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13_ncr:1_{26D7E70B-14AD-4173-A180-5D8C59CD668A}" xr6:coauthVersionLast="47" xr6:coauthVersionMax="47" xr10:uidLastSave="{00000000-0000-0000-0000-000000000000}"/>
  <bookViews>
    <workbookView xWindow="-110" yWindow="-110" windowWidth="19420" windowHeight="10420" tabRatio="882" xr2:uid="{00000000-000D-0000-FFFF-FFFF00000000}"/>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r:id="rId7"/>
    <sheet name="6.2. Weather Sensitive" sheetId="59" r:id="rId8"/>
    <sheet name="7. Billed kWh" sheetId="29" r:id="rId9"/>
    <sheet name="7.1. Billed kW" sheetId="46" r:id="rId10"/>
    <sheet name="8.1. Loblaws KW Regression" sheetId="57" state="hidden" r:id="rId11"/>
    <sheet name="8. Final LF" sheetId="32" r:id="rId12"/>
    <sheet name="9. Exhibit_Tables" sheetId="38" r:id="rId13"/>
    <sheet name="10. Analysis_Tables" sheetId="47" r:id="rId14"/>
    <sheet name="X.1 Loss Factor" sheetId="58" r:id="rId15"/>
    <sheet name="X.2 Appendix 3-1-1 (D)" sheetId="65" r:id="rId16"/>
  </sheets>
  <definedNames>
    <definedName name="_Hlk144452856" localSheetId="12">'9. Exhibit_Tables'!$L$99</definedName>
    <definedName name="AllVariables">'5.Variables'!$B$116:$B$123</definedName>
    <definedName name="_xlnm.Print_Area" localSheetId="4">'5.Variables'!$A$1:$Z$126</definedName>
    <definedName name="_xlnm.Print_Area" localSheetId="11">'8. Final LF'!$A$1:$P$61</definedName>
    <definedName name="Variable1">'5.Variables'!$B$10</definedName>
    <definedName name="Variable2">'5.Variables'!$B$34</definedName>
    <definedName name="Variable3">'5.Variables'!$B$58</definedName>
    <definedName name="Variable5">'5.Variables'!$B$86</definedName>
    <definedName name="Variable6">'5.Variables'!$B$100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35" i="30" l="1"/>
  <c r="K39" i="47" l="1"/>
  <c r="C127" i="38" l="1"/>
  <c r="C126" i="38"/>
  <c r="C148" i="38"/>
  <c r="D148" i="38"/>
  <c r="E148" i="38"/>
  <c r="F148" i="38"/>
  <c r="G148" i="38"/>
  <c r="H148" i="38"/>
  <c r="I148" i="38"/>
  <c r="C149" i="38"/>
  <c r="D149" i="38"/>
  <c r="E149" i="38"/>
  <c r="F149" i="38"/>
  <c r="G149" i="38"/>
  <c r="H149" i="38"/>
  <c r="I149" i="38"/>
  <c r="C150" i="38"/>
  <c r="D150" i="38"/>
  <c r="E150" i="38"/>
  <c r="F150" i="38"/>
  <c r="G150" i="38"/>
  <c r="H150" i="38"/>
  <c r="I150" i="38"/>
  <c r="C151" i="38"/>
  <c r="D151" i="38"/>
  <c r="E151" i="38"/>
  <c r="F151" i="38"/>
  <c r="G151" i="38"/>
  <c r="H151" i="38"/>
  <c r="I151" i="38"/>
  <c r="C152" i="38"/>
  <c r="D152" i="38"/>
  <c r="E152" i="38"/>
  <c r="F152" i="38"/>
  <c r="G152" i="38"/>
  <c r="H152" i="38"/>
  <c r="I152" i="38"/>
  <c r="C153" i="38"/>
  <c r="D153" i="38"/>
  <c r="E153" i="38"/>
  <c r="F153" i="38"/>
  <c r="G153" i="38"/>
  <c r="H153" i="38"/>
  <c r="I153" i="38"/>
  <c r="C154" i="38"/>
  <c r="D154" i="38"/>
  <c r="E154" i="38"/>
  <c r="F154" i="38"/>
  <c r="G154" i="38"/>
  <c r="H154" i="38"/>
  <c r="I154" i="38"/>
  <c r="C155" i="38"/>
  <c r="D155" i="38"/>
  <c r="E155" i="38"/>
  <c r="F155" i="38"/>
  <c r="G155" i="38"/>
  <c r="H155" i="38"/>
  <c r="I155" i="38"/>
  <c r="C156" i="38"/>
  <c r="D156" i="38"/>
  <c r="E156" i="38"/>
  <c r="F156" i="38"/>
  <c r="G156" i="38"/>
  <c r="H156" i="38"/>
  <c r="I156" i="38"/>
  <c r="C157" i="38"/>
  <c r="D157" i="38"/>
  <c r="E157" i="38"/>
  <c r="F157" i="38"/>
  <c r="G157" i="38"/>
  <c r="H157" i="38"/>
  <c r="I157" i="38"/>
  <c r="D147" i="38"/>
  <c r="E147" i="38"/>
  <c r="F147" i="38"/>
  <c r="G147" i="38"/>
  <c r="H147" i="38"/>
  <c r="I147" i="38"/>
  <c r="C147" i="38"/>
  <c r="B157" i="38"/>
  <c r="B156" i="38"/>
  <c r="B155" i="38"/>
  <c r="B154" i="38"/>
  <c r="B153" i="38"/>
  <c r="B152" i="38"/>
  <c r="B151" i="38"/>
  <c r="B150" i="38"/>
  <c r="B149" i="38"/>
  <c r="B148" i="38"/>
  <c r="B147" i="38"/>
  <c r="B146" i="38"/>
  <c r="C132" i="38"/>
  <c r="D48" i="38"/>
  <c r="E48" i="38"/>
  <c r="F48" i="38"/>
  <c r="G48" i="38"/>
  <c r="H48" i="38"/>
  <c r="I48" i="38"/>
  <c r="J48" i="38"/>
  <c r="K48" i="38"/>
  <c r="L48" i="38"/>
  <c r="C48" i="38"/>
  <c r="K22" i="38"/>
  <c r="K37" i="38"/>
  <c r="K23" i="38"/>
  <c r="K38" i="38"/>
  <c r="K24" i="38"/>
  <c r="K39" i="38"/>
  <c r="K25" i="38"/>
  <c r="K40" i="38"/>
  <c r="K26" i="38"/>
  <c r="K41" i="38"/>
  <c r="K27" i="38"/>
  <c r="K42" i="38"/>
  <c r="K28" i="38"/>
  <c r="K43" i="38"/>
  <c r="K29" i="38"/>
  <c r="K44" i="38"/>
  <c r="K30" i="38"/>
  <c r="K45" i="38"/>
  <c r="K31" i="38"/>
  <c r="K46" i="38"/>
  <c r="K32" i="38"/>
  <c r="K47" i="38"/>
  <c r="L21" i="38"/>
  <c r="L36" i="38"/>
  <c r="L22" i="38"/>
  <c r="L37" i="38"/>
  <c r="L23" i="38"/>
  <c r="L38" i="38"/>
  <c r="L24" i="38"/>
  <c r="L39" i="38"/>
  <c r="L25" i="38"/>
  <c r="L40" i="38"/>
  <c r="L26" i="38"/>
  <c r="L41" i="38"/>
  <c r="L27" i="38"/>
  <c r="L42" i="38"/>
  <c r="L28" i="38"/>
  <c r="L43" i="38"/>
  <c r="L29" i="38"/>
  <c r="L44" i="38"/>
  <c r="L30" i="38"/>
  <c r="L45" i="38"/>
  <c r="L31" i="38"/>
  <c r="L46" i="38"/>
  <c r="L32" i="38"/>
  <c r="L47" i="38"/>
  <c r="S130" i="38"/>
  <c r="T130" i="38"/>
  <c r="S131" i="38"/>
  <c r="T131" i="38"/>
  <c r="S132" i="38"/>
  <c r="T132" i="38"/>
  <c r="S133" i="38"/>
  <c r="T133" i="38"/>
  <c r="S134" i="38"/>
  <c r="T134" i="38"/>
  <c r="I30" i="38"/>
  <c r="I45" i="38"/>
  <c r="I31" i="38"/>
  <c r="I46" i="38"/>
  <c r="I32" i="38"/>
  <c r="I47" i="38"/>
  <c r="J21" i="38"/>
  <c r="J36" i="38"/>
  <c r="J22" i="38"/>
  <c r="J37" i="38"/>
  <c r="J23" i="38"/>
  <c r="J38" i="38"/>
  <c r="J24" i="38"/>
  <c r="J39" i="38"/>
  <c r="J25" i="38"/>
  <c r="J40" i="38"/>
  <c r="J26" i="38"/>
  <c r="J41" i="38"/>
  <c r="J27" i="38"/>
  <c r="J42" i="38"/>
  <c r="J28" i="38"/>
  <c r="J43" i="38"/>
  <c r="J29" i="38"/>
  <c r="J44" i="38"/>
  <c r="J30" i="38"/>
  <c r="J45" i="38"/>
  <c r="J31" i="38"/>
  <c r="J46" i="38"/>
  <c r="J32" i="38"/>
  <c r="J47" i="38"/>
  <c r="K21" i="38"/>
  <c r="K36" i="38"/>
  <c r="C22" i="38"/>
  <c r="C37" i="38"/>
  <c r="C23" i="38"/>
  <c r="C38" i="38"/>
  <c r="C24" i="38"/>
  <c r="C39" i="38"/>
  <c r="C25" i="38"/>
  <c r="C40" i="38"/>
  <c r="C26" i="38"/>
  <c r="C41" i="38"/>
  <c r="C27" i="38"/>
  <c r="C42" i="38"/>
  <c r="C28" i="38"/>
  <c r="C43" i="38"/>
  <c r="C29" i="38"/>
  <c r="C44" i="38"/>
  <c r="C30" i="38"/>
  <c r="C45" i="38"/>
  <c r="C31" i="38"/>
  <c r="C46" i="38"/>
  <c r="C32" i="38"/>
  <c r="C47" i="38"/>
  <c r="D21" i="38"/>
  <c r="D36" i="38"/>
  <c r="D22" i="38"/>
  <c r="D37" i="38"/>
  <c r="D23" i="38"/>
  <c r="D38" i="38"/>
  <c r="D24" i="38"/>
  <c r="D39" i="38"/>
  <c r="D25" i="38"/>
  <c r="D40" i="38"/>
  <c r="D26" i="38"/>
  <c r="D41" i="38"/>
  <c r="D27" i="38"/>
  <c r="D42" i="38"/>
  <c r="D28" i="38"/>
  <c r="D43" i="38"/>
  <c r="D29" i="38"/>
  <c r="D44" i="38"/>
  <c r="D30" i="38"/>
  <c r="D45" i="38"/>
  <c r="D31" i="38"/>
  <c r="D46" i="38"/>
  <c r="D32" i="38"/>
  <c r="D47" i="38"/>
  <c r="E21" i="38"/>
  <c r="E36" i="38"/>
  <c r="E22" i="38"/>
  <c r="E37" i="38"/>
  <c r="E23" i="38"/>
  <c r="E38" i="38"/>
  <c r="E24" i="38"/>
  <c r="E39" i="38"/>
  <c r="E25" i="38"/>
  <c r="E40" i="38"/>
  <c r="E26" i="38"/>
  <c r="E41" i="38"/>
  <c r="E27" i="38"/>
  <c r="E42" i="38"/>
  <c r="E28" i="38"/>
  <c r="E43" i="38"/>
  <c r="E29" i="38"/>
  <c r="E44" i="38"/>
  <c r="E30" i="38"/>
  <c r="E45" i="38"/>
  <c r="E31" i="38"/>
  <c r="E46" i="38"/>
  <c r="E32" i="38"/>
  <c r="E47" i="38"/>
  <c r="F21" i="38"/>
  <c r="F36" i="38"/>
  <c r="F22" i="38"/>
  <c r="F37" i="38"/>
  <c r="F23" i="38"/>
  <c r="F38" i="38"/>
  <c r="F24" i="38"/>
  <c r="F39" i="38"/>
  <c r="F25" i="38"/>
  <c r="F40" i="38"/>
  <c r="F26" i="38"/>
  <c r="F41" i="38"/>
  <c r="F27" i="38"/>
  <c r="F42" i="38"/>
  <c r="F28" i="38"/>
  <c r="F43" i="38"/>
  <c r="F29" i="38"/>
  <c r="F44" i="38"/>
  <c r="F30" i="38"/>
  <c r="F45" i="38"/>
  <c r="F31" i="38"/>
  <c r="F46" i="38"/>
  <c r="F32" i="38"/>
  <c r="F47" i="38"/>
  <c r="G21" i="38"/>
  <c r="G36" i="38"/>
  <c r="G22" i="38"/>
  <c r="G37" i="38"/>
  <c r="G23" i="38"/>
  <c r="G38" i="38"/>
  <c r="G24" i="38"/>
  <c r="G39" i="38"/>
  <c r="G25" i="38"/>
  <c r="G40" i="38"/>
  <c r="G26" i="38"/>
  <c r="G41" i="38"/>
  <c r="G27" i="38"/>
  <c r="G42" i="38"/>
  <c r="G28" i="38"/>
  <c r="G43" i="38"/>
  <c r="G29" i="38"/>
  <c r="G44" i="38"/>
  <c r="G30" i="38"/>
  <c r="G45" i="38"/>
  <c r="G31" i="38"/>
  <c r="G46" i="38"/>
  <c r="G32" i="38"/>
  <c r="G47" i="38"/>
  <c r="H21" i="38"/>
  <c r="H36" i="38"/>
  <c r="H22" i="38"/>
  <c r="H37" i="38"/>
  <c r="H23" i="38"/>
  <c r="H38" i="38"/>
  <c r="H24" i="38"/>
  <c r="H39" i="38"/>
  <c r="H25" i="38"/>
  <c r="H40" i="38"/>
  <c r="H26" i="38"/>
  <c r="H41" i="38"/>
  <c r="H27" i="38"/>
  <c r="H42" i="38"/>
  <c r="H28" i="38"/>
  <c r="H43" i="38"/>
  <c r="H29" i="38"/>
  <c r="H44" i="38"/>
  <c r="H30" i="38"/>
  <c r="H45" i="38"/>
  <c r="H31" i="38"/>
  <c r="H46" i="38"/>
  <c r="H32" i="38"/>
  <c r="H47" i="38"/>
  <c r="I21" i="38"/>
  <c r="I36" i="38"/>
  <c r="I22" i="38"/>
  <c r="I37" i="38"/>
  <c r="I23" i="38"/>
  <c r="I38" i="38"/>
  <c r="I24" i="38"/>
  <c r="I39" i="38"/>
  <c r="I25" i="38"/>
  <c r="I40" i="38"/>
  <c r="I26" i="38"/>
  <c r="I41" i="38"/>
  <c r="I27" i="38"/>
  <c r="I42" i="38"/>
  <c r="I28" i="38"/>
  <c r="I43" i="38"/>
  <c r="I29" i="38"/>
  <c r="I44" i="38"/>
  <c r="C36" i="38"/>
  <c r="C21" i="38"/>
  <c r="O36" i="47"/>
  <c r="M36" i="47"/>
  <c r="L36" i="47"/>
  <c r="K36" i="47"/>
  <c r="AB72" i="4"/>
  <c r="AA84" i="4" s="1"/>
  <c r="Z72" i="4"/>
  <c r="Z84" i="4"/>
  <c r="V118" i="4"/>
  <c r="X30" i="4"/>
  <c r="X29" i="4"/>
  <c r="X28" i="4"/>
  <c r="X27" i="4"/>
  <c r="X26" i="4"/>
  <c r="C33" i="38" l="1"/>
  <c r="J33" i="38"/>
  <c r="E33" i="38"/>
  <c r="L33" i="38"/>
  <c r="F33" i="38"/>
  <c r="G33" i="38"/>
  <c r="D33" i="38"/>
  <c r="I33" i="38"/>
  <c r="H33" i="38"/>
  <c r="K33" i="38"/>
  <c r="C32" i="52" l="1"/>
  <c r="M99" i="30" l="1"/>
  <c r="M87" i="30"/>
  <c r="F99" i="30"/>
  <c r="L111" i="30" l="1"/>
  <c r="D99" i="30"/>
  <c r="R97" i="30"/>
  <c r="H97" i="30"/>
  <c r="O10" i="58" l="1"/>
  <c r="S70" i="47" l="1"/>
  <c r="Q70" i="47"/>
  <c r="S53" i="47"/>
  <c r="Q53" i="47"/>
  <c r="O53" i="47"/>
  <c r="O70" i="47" s="1"/>
  <c r="M53" i="47"/>
  <c r="M70" i="47" s="1"/>
  <c r="L53" i="47"/>
  <c r="L70" i="47" s="1"/>
  <c r="K53" i="47"/>
  <c r="K70" i="47" s="1"/>
  <c r="S36" i="47"/>
  <c r="Q36" i="47"/>
  <c r="R161" i="4"/>
  <c r="C56" i="47"/>
  <c r="D56" i="47"/>
  <c r="B53" i="47"/>
  <c r="C55" i="47"/>
  <c r="C57" i="47"/>
  <c r="D58" i="47" s="1"/>
  <c r="D57" i="47"/>
  <c r="C58" i="47"/>
  <c r="C59" i="47"/>
  <c r="D59" i="47"/>
  <c r="K4" i="47"/>
  <c r="H131" i="38" l="1"/>
  <c r="G131" i="38"/>
  <c r="F131" i="38"/>
  <c r="E131" i="38"/>
  <c r="D131" i="38"/>
  <c r="C131" i="38"/>
  <c r="D20" i="6"/>
  <c r="I131" i="38" l="1"/>
  <c r="P20" i="6" l="1"/>
  <c r="L20" i="6"/>
  <c r="H20" i="6"/>
  <c r="F20" i="6"/>
  <c r="Y20" i="6"/>
  <c r="AA64" i="4"/>
  <c r="Z63" i="4"/>
  <c r="R165" i="4"/>
  <c r="R164" i="4"/>
  <c r="R163" i="4"/>
  <c r="R162" i="4"/>
  <c r="R166" i="4"/>
  <c r="R170" i="4" l="1"/>
  <c r="R169" i="4"/>
  <c r="R168" i="4"/>
  <c r="R167" i="4"/>
  <c r="Z75" i="4"/>
  <c r="N10" i="32" l="1"/>
  <c r="M10" i="32"/>
  <c r="L10" i="32"/>
  <c r="K10" i="32"/>
  <c r="J10" i="32"/>
  <c r="I10" i="32"/>
  <c r="H10" i="32"/>
  <c r="G10" i="32"/>
  <c r="F10" i="32"/>
  <c r="E10" i="32"/>
  <c r="F31" i="59"/>
  <c r="M132" i="4" l="1"/>
  <c r="M144" i="4" s="1"/>
  <c r="M133" i="4"/>
  <c r="M145" i="4" s="1"/>
  <c r="M134" i="4"/>
  <c r="M146" i="4" s="1"/>
  <c r="M135" i="4"/>
  <c r="M147" i="4" s="1"/>
  <c r="M136" i="4"/>
  <c r="M148" i="4" s="1"/>
  <c r="M137" i="4"/>
  <c r="M149" i="4" s="1"/>
  <c r="M138" i="4"/>
  <c r="M150" i="4" s="1"/>
  <c r="M139" i="4"/>
  <c r="M151" i="4" s="1"/>
  <c r="M140" i="4"/>
  <c r="M152" i="4" s="1"/>
  <c r="M141" i="4"/>
  <c r="M153" i="4" s="1"/>
  <c r="M142" i="4"/>
  <c r="M154" i="4" s="1"/>
  <c r="L139" i="4"/>
  <c r="L151" i="4" s="1"/>
  <c r="L140" i="4"/>
  <c r="L152" i="4" s="1"/>
  <c r="L141" i="4"/>
  <c r="L153" i="4" s="1"/>
  <c r="L142" i="4"/>
  <c r="L154" i="4" s="1"/>
  <c r="L132" i="4"/>
  <c r="L144" i="4" s="1"/>
  <c r="L133" i="4"/>
  <c r="L145" i="4" s="1"/>
  <c r="L134" i="4"/>
  <c r="L146" i="4" s="1"/>
  <c r="L135" i="4"/>
  <c r="L147" i="4" s="1"/>
  <c r="L136" i="4"/>
  <c r="L148" i="4" s="1"/>
  <c r="L137" i="4"/>
  <c r="L149" i="4" s="1"/>
  <c r="L138" i="4"/>
  <c r="L150" i="4" s="1"/>
  <c r="Q7" i="58"/>
  <c r="O11" i="4" l="1"/>
  <c r="A131" i="4" l="1"/>
  <c r="V109" i="58" l="1"/>
  <c r="V122" i="58"/>
  <c r="V96" i="58"/>
  <c r="V83" i="58"/>
  <c r="V70" i="58"/>
  <c r="V57" i="58"/>
  <c r="V44" i="58"/>
  <c r="V31" i="58"/>
  <c r="V18" i="58"/>
  <c r="U98" i="58" l="1"/>
  <c r="W98" i="58" s="1"/>
  <c r="U99" i="58"/>
  <c r="W99" i="58" s="1"/>
  <c r="U100" i="58"/>
  <c r="W100" i="58" s="1"/>
  <c r="U101" i="58"/>
  <c r="W101" i="58" s="1"/>
  <c r="U102" i="58"/>
  <c r="W102" i="58" s="1"/>
  <c r="U103" i="58"/>
  <c r="W103" i="58" s="1"/>
  <c r="U104" i="58"/>
  <c r="W104" i="58" s="1"/>
  <c r="U105" i="58"/>
  <c r="W105" i="58" s="1"/>
  <c r="U106" i="58"/>
  <c r="W106" i="58" s="1"/>
  <c r="U107" i="58"/>
  <c r="W107" i="58" s="1"/>
  <c r="U108" i="58"/>
  <c r="W108" i="58" s="1"/>
  <c r="U97" i="58"/>
  <c r="W97" i="58" s="1"/>
  <c r="U85" i="58"/>
  <c r="W85" i="58" s="1"/>
  <c r="U86" i="58"/>
  <c r="U87" i="58"/>
  <c r="W87" i="58" s="1"/>
  <c r="U88" i="58"/>
  <c r="W88" i="58" s="1"/>
  <c r="U89" i="58"/>
  <c r="W89" i="58" s="1"/>
  <c r="U90" i="58"/>
  <c r="W90" i="58" s="1"/>
  <c r="U91" i="58"/>
  <c r="W91" i="58" s="1"/>
  <c r="U92" i="58"/>
  <c r="W92" i="58" s="1"/>
  <c r="U93" i="58"/>
  <c r="W93" i="58" s="1"/>
  <c r="U94" i="58"/>
  <c r="W94" i="58" s="1"/>
  <c r="U95" i="58"/>
  <c r="W95" i="58" s="1"/>
  <c r="U84" i="58"/>
  <c r="U72" i="58"/>
  <c r="W72" i="58" s="1"/>
  <c r="U73" i="58"/>
  <c r="W73" i="58" s="1"/>
  <c r="U74" i="58"/>
  <c r="W74" i="58" s="1"/>
  <c r="U75" i="58"/>
  <c r="W75" i="58" s="1"/>
  <c r="U76" i="58"/>
  <c r="W76" i="58" s="1"/>
  <c r="U77" i="58"/>
  <c r="W77" i="58" s="1"/>
  <c r="U78" i="58"/>
  <c r="W78" i="58" s="1"/>
  <c r="U79" i="58"/>
  <c r="W79" i="58" s="1"/>
  <c r="U80" i="58"/>
  <c r="W80" i="58" s="1"/>
  <c r="U81" i="58"/>
  <c r="W81" i="58" s="1"/>
  <c r="U82" i="58"/>
  <c r="W82" i="58" s="1"/>
  <c r="U71" i="58"/>
  <c r="W71" i="58" s="1"/>
  <c r="U59" i="58"/>
  <c r="W59" i="58" s="1"/>
  <c r="U60" i="58"/>
  <c r="U61" i="58"/>
  <c r="W61" i="58" s="1"/>
  <c r="U62" i="58"/>
  <c r="W62" i="58" s="1"/>
  <c r="U63" i="58"/>
  <c r="W63" i="58" s="1"/>
  <c r="U64" i="58"/>
  <c r="W64" i="58" s="1"/>
  <c r="U65" i="58"/>
  <c r="W65" i="58" s="1"/>
  <c r="U66" i="58"/>
  <c r="W66" i="58" s="1"/>
  <c r="U67" i="58"/>
  <c r="W67" i="58" s="1"/>
  <c r="U68" i="58"/>
  <c r="W68" i="58" s="1"/>
  <c r="U69" i="58"/>
  <c r="W69" i="58" s="1"/>
  <c r="U58" i="58"/>
  <c r="W58" i="58" s="1"/>
  <c r="U46" i="58"/>
  <c r="U47" i="58"/>
  <c r="W47" i="58" s="1"/>
  <c r="U48" i="58"/>
  <c r="W48" i="58" s="1"/>
  <c r="U49" i="58"/>
  <c r="U50" i="58"/>
  <c r="W50" i="58" s="1"/>
  <c r="U51" i="58"/>
  <c r="W51" i="58" s="1"/>
  <c r="U52" i="58"/>
  <c r="W52" i="58" s="1"/>
  <c r="U53" i="58"/>
  <c r="W53" i="58" s="1"/>
  <c r="U54" i="58"/>
  <c r="W54" i="58" s="1"/>
  <c r="U55" i="58"/>
  <c r="W55" i="58" s="1"/>
  <c r="U56" i="58"/>
  <c r="W56" i="58" s="1"/>
  <c r="U45" i="58"/>
  <c r="W45" i="58" s="1"/>
  <c r="U33" i="58"/>
  <c r="W33" i="58" s="1"/>
  <c r="U34" i="58"/>
  <c r="U35" i="58"/>
  <c r="W35" i="58" s="1"/>
  <c r="U36" i="58"/>
  <c r="W36" i="58" s="1"/>
  <c r="U37" i="58"/>
  <c r="U38" i="58"/>
  <c r="W38" i="58" s="1"/>
  <c r="U39" i="58"/>
  <c r="W39" i="58" s="1"/>
  <c r="U40" i="58"/>
  <c r="W40" i="58" s="1"/>
  <c r="U41" i="58"/>
  <c r="W41" i="58" s="1"/>
  <c r="U42" i="58"/>
  <c r="W42" i="58" s="1"/>
  <c r="U43" i="58"/>
  <c r="W43" i="58" s="1"/>
  <c r="U32" i="58"/>
  <c r="W32" i="58" s="1"/>
  <c r="U20" i="58"/>
  <c r="U21" i="58"/>
  <c r="W21" i="58" s="1"/>
  <c r="U22" i="58"/>
  <c r="W22" i="58" s="1"/>
  <c r="U23" i="58"/>
  <c r="W23" i="58" s="1"/>
  <c r="U24" i="58"/>
  <c r="W24" i="58" s="1"/>
  <c r="U25" i="58"/>
  <c r="W25" i="58" s="1"/>
  <c r="U26" i="58"/>
  <c r="W26" i="58" s="1"/>
  <c r="U27" i="58"/>
  <c r="W27" i="58" s="1"/>
  <c r="U28" i="58"/>
  <c r="W28" i="58" s="1"/>
  <c r="U29" i="58"/>
  <c r="W29" i="58" s="1"/>
  <c r="U30" i="58"/>
  <c r="W30" i="58" s="1"/>
  <c r="U19" i="58"/>
  <c r="W19" i="58" s="1"/>
  <c r="U7" i="58"/>
  <c r="W7" i="58" s="1"/>
  <c r="U8" i="58"/>
  <c r="W8" i="58" s="1"/>
  <c r="U9" i="58"/>
  <c r="W9" i="58" s="1"/>
  <c r="U10" i="58"/>
  <c r="W10" i="58" s="1"/>
  <c r="U11" i="58"/>
  <c r="W11" i="58" s="1"/>
  <c r="U12" i="58"/>
  <c r="W12" i="58" s="1"/>
  <c r="U13" i="58"/>
  <c r="W13" i="58" s="1"/>
  <c r="U14" i="58"/>
  <c r="W14" i="58" s="1"/>
  <c r="U15" i="58"/>
  <c r="W15" i="58" s="1"/>
  <c r="U16" i="58"/>
  <c r="W16" i="58" s="1"/>
  <c r="U17" i="58"/>
  <c r="W17" i="58" s="1"/>
  <c r="U6" i="58"/>
  <c r="W6" i="58" s="1"/>
  <c r="W60" i="58"/>
  <c r="W49" i="58"/>
  <c r="W46" i="58"/>
  <c r="W37" i="58"/>
  <c r="W34" i="58"/>
  <c r="W20" i="58"/>
  <c r="U96" i="58" l="1"/>
  <c r="W96" i="58" s="1"/>
  <c r="U44" i="58"/>
  <c r="W44" i="58" s="1"/>
  <c r="W86" i="58"/>
  <c r="U70" i="58"/>
  <c r="W70" i="58" s="1"/>
  <c r="U83" i="58"/>
  <c r="W83" i="58" s="1"/>
  <c r="U18" i="58"/>
  <c r="U57" i="58"/>
  <c r="W57" i="58" s="1"/>
  <c r="U31" i="58"/>
  <c r="W31" i="58" s="1"/>
  <c r="W84" i="58"/>
  <c r="U109" i="58"/>
  <c r="W109" i="58" s="1"/>
  <c r="W18" i="58" l="1"/>
  <c r="E5" i="58"/>
  <c r="A118" i="4"/>
  <c r="A119" i="4"/>
  <c r="A120" i="4"/>
  <c r="A121" i="4" s="1"/>
  <c r="A122" i="4" s="1"/>
  <c r="A123" i="4" s="1"/>
  <c r="A124" i="4" s="1"/>
  <c r="A125" i="4" s="1"/>
  <c r="A126" i="4" s="1"/>
  <c r="A127" i="4" s="1"/>
  <c r="A128" i="4" s="1"/>
  <c r="A129" i="4" s="1"/>
  <c r="A130" i="4" s="1"/>
  <c r="B172" i="4"/>
  <c r="B171" i="4"/>
  <c r="B170" i="4"/>
  <c r="B169" i="4"/>
  <c r="B168" i="4"/>
  <c r="B167" i="4"/>
  <c r="J11" i="4" l="1"/>
  <c r="U124" i="58" l="1"/>
  <c r="U125" i="58"/>
  <c r="U126" i="58"/>
  <c r="U127" i="58"/>
  <c r="U128" i="58"/>
  <c r="U129" i="58"/>
  <c r="U130" i="58"/>
  <c r="U131" i="58"/>
  <c r="U132" i="58"/>
  <c r="U133" i="58"/>
  <c r="U134" i="58"/>
  <c r="U111" i="58"/>
  <c r="U112" i="58"/>
  <c r="U113" i="58"/>
  <c r="U114" i="58"/>
  <c r="U115" i="58"/>
  <c r="U116" i="58"/>
  <c r="U117" i="58"/>
  <c r="U118" i="58"/>
  <c r="U119" i="58"/>
  <c r="U120" i="58"/>
  <c r="U121" i="58"/>
  <c r="U110" i="58"/>
  <c r="U122" i="58" l="1"/>
  <c r="R7" i="58" l="1"/>
  <c r="AB27" i="29" l="1"/>
  <c r="AJ27" i="29" s="1"/>
  <c r="AB26" i="29"/>
  <c r="AJ26" i="29" s="1"/>
  <c r="B85" i="47"/>
  <c r="B69" i="47"/>
  <c r="B37" i="47"/>
  <c r="B21" i="47"/>
  <c r="B5" i="47"/>
  <c r="O53" i="38"/>
  <c r="M53" i="38"/>
  <c r="K53" i="38"/>
  <c r="I53" i="38"/>
  <c r="G53" i="38"/>
  <c r="E53" i="38"/>
  <c r="C53" i="38"/>
  <c r="L11" i="4" l="1"/>
  <c r="M11" i="4"/>
  <c r="N11" i="4"/>
  <c r="S11" i="4" s="1"/>
  <c r="P11" i="4"/>
  <c r="L12" i="4"/>
  <c r="M12" i="4"/>
  <c r="N12" i="4"/>
  <c r="O12" i="4"/>
  <c r="P12" i="4"/>
  <c r="L13" i="4"/>
  <c r="M13" i="4"/>
  <c r="N13" i="4"/>
  <c r="O13" i="4"/>
  <c r="P13" i="4"/>
  <c r="L14" i="4"/>
  <c r="M14" i="4"/>
  <c r="N14" i="4"/>
  <c r="O14" i="4"/>
  <c r="P14" i="4"/>
  <c r="L15" i="4"/>
  <c r="M15" i="4"/>
  <c r="N15" i="4"/>
  <c r="O15" i="4"/>
  <c r="P15" i="4"/>
  <c r="L16" i="4"/>
  <c r="M16" i="4"/>
  <c r="N16" i="4"/>
  <c r="O16" i="4"/>
  <c r="P16" i="4"/>
  <c r="L17" i="4"/>
  <c r="M17" i="4"/>
  <c r="N17" i="4"/>
  <c r="O17" i="4"/>
  <c r="P17" i="4"/>
  <c r="L18" i="4"/>
  <c r="M18" i="4"/>
  <c r="N18" i="4"/>
  <c r="O18" i="4"/>
  <c r="P18" i="4"/>
  <c r="L19" i="4"/>
  <c r="M19" i="4"/>
  <c r="N19" i="4"/>
  <c r="O19" i="4"/>
  <c r="P19" i="4"/>
  <c r="L20" i="4"/>
  <c r="M20" i="4"/>
  <c r="N20" i="4"/>
  <c r="O20" i="4"/>
  <c r="P20" i="4"/>
  <c r="L21" i="4"/>
  <c r="M21" i="4"/>
  <c r="N21" i="4"/>
  <c r="O21" i="4"/>
  <c r="P21" i="4"/>
  <c r="L22" i="4"/>
  <c r="M22" i="4"/>
  <c r="N22" i="4"/>
  <c r="O22" i="4"/>
  <c r="P22" i="4"/>
  <c r="L23" i="4"/>
  <c r="M23" i="4"/>
  <c r="N23" i="4"/>
  <c r="O23" i="4"/>
  <c r="P23" i="4"/>
  <c r="L24" i="4"/>
  <c r="M24" i="4"/>
  <c r="N24" i="4"/>
  <c r="O24" i="4"/>
  <c r="P24" i="4"/>
  <c r="L25" i="4"/>
  <c r="M25" i="4"/>
  <c r="N25" i="4"/>
  <c r="O25" i="4"/>
  <c r="P25" i="4"/>
  <c r="L26" i="4"/>
  <c r="M26" i="4"/>
  <c r="N26" i="4"/>
  <c r="O26" i="4"/>
  <c r="P26" i="4"/>
  <c r="L27" i="4"/>
  <c r="M27" i="4"/>
  <c r="N27" i="4"/>
  <c r="O27" i="4"/>
  <c r="P27" i="4"/>
  <c r="L28" i="4"/>
  <c r="M28" i="4"/>
  <c r="N28" i="4"/>
  <c r="O28" i="4"/>
  <c r="P28" i="4"/>
  <c r="L29" i="4"/>
  <c r="M29" i="4"/>
  <c r="N29" i="4"/>
  <c r="O29" i="4"/>
  <c r="P29" i="4"/>
  <c r="L30" i="4"/>
  <c r="M30" i="4"/>
  <c r="N30" i="4"/>
  <c r="O30" i="4"/>
  <c r="P30" i="4"/>
  <c r="L31" i="4"/>
  <c r="M31" i="4"/>
  <c r="N31" i="4"/>
  <c r="O31" i="4"/>
  <c r="P31" i="4"/>
  <c r="L32" i="4"/>
  <c r="M32" i="4"/>
  <c r="N32" i="4"/>
  <c r="O32" i="4"/>
  <c r="P32" i="4"/>
  <c r="L33" i="4"/>
  <c r="M33" i="4"/>
  <c r="N33" i="4"/>
  <c r="O33" i="4"/>
  <c r="P33" i="4"/>
  <c r="L34" i="4"/>
  <c r="M34" i="4"/>
  <c r="N34" i="4"/>
  <c r="O34" i="4"/>
  <c r="P34" i="4"/>
  <c r="L35" i="4"/>
  <c r="M35" i="4"/>
  <c r="N35" i="4"/>
  <c r="O35" i="4"/>
  <c r="P35" i="4"/>
  <c r="L36" i="4"/>
  <c r="M36" i="4"/>
  <c r="N36" i="4"/>
  <c r="O36" i="4"/>
  <c r="P36" i="4"/>
  <c r="L37" i="4"/>
  <c r="M37" i="4"/>
  <c r="N37" i="4"/>
  <c r="O37" i="4"/>
  <c r="P37" i="4"/>
  <c r="L38" i="4"/>
  <c r="M38" i="4"/>
  <c r="N38" i="4"/>
  <c r="O38" i="4"/>
  <c r="P38" i="4"/>
  <c r="L39" i="4"/>
  <c r="M39" i="4"/>
  <c r="N39" i="4"/>
  <c r="O39" i="4"/>
  <c r="P39" i="4"/>
  <c r="L40" i="4"/>
  <c r="M40" i="4"/>
  <c r="N40" i="4"/>
  <c r="O40" i="4"/>
  <c r="P40" i="4"/>
  <c r="L41" i="4"/>
  <c r="M41" i="4"/>
  <c r="N41" i="4"/>
  <c r="O41" i="4"/>
  <c r="P41"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L53" i="4"/>
  <c r="M53" i="4"/>
  <c r="N53" i="4"/>
  <c r="O53" i="4"/>
  <c r="P53" i="4"/>
  <c r="L54" i="4"/>
  <c r="M54" i="4"/>
  <c r="N54" i="4"/>
  <c r="O54" i="4"/>
  <c r="P54" i="4"/>
  <c r="L55" i="4"/>
  <c r="M55" i="4"/>
  <c r="N55" i="4"/>
  <c r="O55" i="4"/>
  <c r="P55" i="4"/>
  <c r="L56" i="4"/>
  <c r="M56" i="4"/>
  <c r="N56" i="4"/>
  <c r="O56" i="4"/>
  <c r="P56" i="4"/>
  <c r="L57" i="4"/>
  <c r="M57" i="4"/>
  <c r="N57" i="4"/>
  <c r="O57" i="4"/>
  <c r="P57" i="4"/>
  <c r="L58" i="4"/>
  <c r="M58" i="4"/>
  <c r="N58" i="4"/>
  <c r="O58" i="4"/>
  <c r="P58" i="4"/>
  <c r="L59" i="4"/>
  <c r="M59" i="4"/>
  <c r="N59" i="4"/>
  <c r="O59" i="4"/>
  <c r="P59"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L66" i="4"/>
  <c r="M66" i="4"/>
  <c r="N66" i="4"/>
  <c r="O66" i="4"/>
  <c r="P66" i="4"/>
  <c r="L67" i="4"/>
  <c r="M67" i="4"/>
  <c r="N67" i="4"/>
  <c r="O67" i="4"/>
  <c r="P67" i="4"/>
  <c r="L68" i="4"/>
  <c r="M68" i="4"/>
  <c r="N68" i="4"/>
  <c r="O68" i="4"/>
  <c r="P68" i="4"/>
  <c r="L69" i="4"/>
  <c r="M69" i="4"/>
  <c r="N69" i="4"/>
  <c r="O69" i="4"/>
  <c r="P69" i="4"/>
  <c r="L70" i="4"/>
  <c r="M70" i="4"/>
  <c r="N70" i="4"/>
  <c r="O70" i="4"/>
  <c r="P70" i="4"/>
  <c r="L71" i="4"/>
  <c r="M71" i="4"/>
  <c r="N71" i="4"/>
  <c r="O71" i="4"/>
  <c r="P71" i="4"/>
  <c r="L72" i="4"/>
  <c r="M72" i="4"/>
  <c r="N72" i="4"/>
  <c r="O72" i="4"/>
  <c r="P72" i="4"/>
  <c r="L73" i="4"/>
  <c r="M73" i="4"/>
  <c r="N73" i="4"/>
  <c r="O73" i="4"/>
  <c r="P73" i="4"/>
  <c r="L74" i="4"/>
  <c r="M74" i="4"/>
  <c r="N74" i="4"/>
  <c r="O74" i="4"/>
  <c r="P74" i="4"/>
  <c r="L75" i="4"/>
  <c r="M75" i="4"/>
  <c r="N75" i="4"/>
  <c r="O75" i="4"/>
  <c r="P75" i="4"/>
  <c r="L76" i="4"/>
  <c r="M76" i="4"/>
  <c r="N76" i="4"/>
  <c r="O76" i="4"/>
  <c r="P76" i="4"/>
  <c r="L77" i="4"/>
  <c r="M77" i="4"/>
  <c r="N77" i="4"/>
  <c r="O77" i="4"/>
  <c r="P77" i="4"/>
  <c r="L78" i="4"/>
  <c r="M78" i="4"/>
  <c r="N78" i="4"/>
  <c r="O78" i="4"/>
  <c r="P78" i="4"/>
  <c r="L79" i="4"/>
  <c r="M79" i="4"/>
  <c r="N79" i="4"/>
  <c r="O79" i="4"/>
  <c r="P79" i="4"/>
  <c r="L80" i="4"/>
  <c r="M80" i="4"/>
  <c r="N80" i="4"/>
  <c r="O80" i="4"/>
  <c r="P80" i="4"/>
  <c r="L81" i="4"/>
  <c r="M81" i="4"/>
  <c r="N81" i="4"/>
  <c r="O81" i="4"/>
  <c r="P81" i="4"/>
  <c r="L82" i="4"/>
  <c r="M82" i="4"/>
  <c r="N82" i="4"/>
  <c r="O82" i="4"/>
  <c r="P82" i="4"/>
  <c r="L83" i="4"/>
  <c r="M83" i="4"/>
  <c r="N83" i="4"/>
  <c r="O83" i="4"/>
  <c r="P83" i="4"/>
  <c r="L84" i="4"/>
  <c r="M84" i="4"/>
  <c r="N84" i="4"/>
  <c r="O84" i="4"/>
  <c r="P84" i="4"/>
  <c r="L85" i="4"/>
  <c r="M85" i="4"/>
  <c r="N85" i="4"/>
  <c r="O85" i="4"/>
  <c r="P85" i="4"/>
  <c r="L86" i="4"/>
  <c r="M86" i="4"/>
  <c r="N86" i="4"/>
  <c r="O86" i="4"/>
  <c r="P86" i="4"/>
  <c r="L87" i="4"/>
  <c r="M87" i="4"/>
  <c r="N87" i="4"/>
  <c r="O87" i="4"/>
  <c r="P87" i="4"/>
  <c r="L88" i="4"/>
  <c r="M88" i="4"/>
  <c r="N88" i="4"/>
  <c r="O88" i="4"/>
  <c r="P88" i="4"/>
  <c r="L89" i="4"/>
  <c r="M89" i="4"/>
  <c r="N89" i="4"/>
  <c r="O89" i="4"/>
  <c r="P89" i="4"/>
  <c r="L90" i="4"/>
  <c r="M90" i="4"/>
  <c r="N90" i="4"/>
  <c r="O90" i="4"/>
  <c r="P90" i="4"/>
  <c r="L91" i="4"/>
  <c r="M91" i="4"/>
  <c r="N91" i="4"/>
  <c r="O91" i="4"/>
  <c r="P91" i="4"/>
  <c r="L92" i="4"/>
  <c r="M92" i="4"/>
  <c r="N92" i="4"/>
  <c r="O92" i="4"/>
  <c r="P92" i="4"/>
  <c r="L93" i="4"/>
  <c r="M93" i="4"/>
  <c r="N93" i="4"/>
  <c r="O93" i="4"/>
  <c r="P93" i="4"/>
  <c r="L94" i="4"/>
  <c r="M94" i="4"/>
  <c r="N94" i="4"/>
  <c r="O94" i="4"/>
  <c r="P94" i="4"/>
  <c r="L95" i="4"/>
  <c r="M95" i="4"/>
  <c r="N95" i="4"/>
  <c r="O95" i="4"/>
  <c r="P95" i="4"/>
  <c r="L96" i="4"/>
  <c r="M96" i="4"/>
  <c r="N96" i="4"/>
  <c r="O96" i="4"/>
  <c r="P96" i="4"/>
  <c r="L97" i="4"/>
  <c r="M97" i="4"/>
  <c r="N97" i="4"/>
  <c r="O97" i="4"/>
  <c r="P97" i="4"/>
  <c r="L98" i="4"/>
  <c r="M98" i="4"/>
  <c r="N98" i="4"/>
  <c r="O98" i="4"/>
  <c r="P98" i="4"/>
  <c r="L99" i="4"/>
  <c r="M99" i="4"/>
  <c r="N99" i="4"/>
  <c r="O99" i="4"/>
  <c r="P99" i="4"/>
  <c r="L100" i="4"/>
  <c r="M100" i="4"/>
  <c r="N100" i="4"/>
  <c r="O100" i="4"/>
  <c r="P100" i="4"/>
  <c r="L101" i="4"/>
  <c r="M101" i="4"/>
  <c r="N101" i="4"/>
  <c r="O101" i="4"/>
  <c r="P101" i="4"/>
  <c r="L102" i="4"/>
  <c r="M102" i="4"/>
  <c r="N102" i="4"/>
  <c r="O102" i="4"/>
  <c r="P102" i="4"/>
  <c r="L103" i="4"/>
  <c r="M103" i="4"/>
  <c r="N103" i="4"/>
  <c r="O103" i="4"/>
  <c r="P103" i="4"/>
  <c r="L104" i="4"/>
  <c r="M104" i="4"/>
  <c r="N104" i="4"/>
  <c r="O104" i="4"/>
  <c r="P104" i="4"/>
  <c r="L105" i="4"/>
  <c r="M105" i="4"/>
  <c r="N105" i="4"/>
  <c r="O105" i="4"/>
  <c r="P105" i="4"/>
  <c r="L106" i="4"/>
  <c r="M106" i="4"/>
  <c r="N106" i="4"/>
  <c r="O106" i="4"/>
  <c r="P106" i="4"/>
  <c r="L107" i="4"/>
  <c r="M107" i="4"/>
  <c r="N107" i="4"/>
  <c r="O107" i="4"/>
  <c r="P107" i="4"/>
  <c r="L108" i="4"/>
  <c r="M108" i="4"/>
  <c r="N108" i="4"/>
  <c r="O108" i="4"/>
  <c r="P108" i="4"/>
  <c r="L109" i="4"/>
  <c r="M109" i="4"/>
  <c r="N109" i="4"/>
  <c r="O109" i="4"/>
  <c r="P109" i="4"/>
  <c r="L110" i="4"/>
  <c r="M110" i="4"/>
  <c r="N110" i="4"/>
  <c r="O110" i="4"/>
  <c r="P110" i="4"/>
  <c r="L111" i="4"/>
  <c r="M111" i="4"/>
  <c r="N111" i="4"/>
  <c r="O111" i="4"/>
  <c r="P111" i="4"/>
  <c r="L112" i="4"/>
  <c r="M112" i="4"/>
  <c r="N112" i="4"/>
  <c r="O112" i="4"/>
  <c r="P112" i="4"/>
  <c r="L113" i="4"/>
  <c r="M113" i="4"/>
  <c r="N113" i="4"/>
  <c r="O113" i="4"/>
  <c r="P113" i="4"/>
  <c r="L114" i="4"/>
  <c r="M114" i="4"/>
  <c r="N114" i="4"/>
  <c r="O114" i="4"/>
  <c r="P114" i="4"/>
  <c r="L115" i="4"/>
  <c r="M115" i="4"/>
  <c r="N115" i="4"/>
  <c r="O115" i="4"/>
  <c r="P115" i="4"/>
  <c r="L116" i="4"/>
  <c r="M116" i="4"/>
  <c r="N116" i="4"/>
  <c r="O116" i="4"/>
  <c r="P116" i="4"/>
  <c r="L117" i="4"/>
  <c r="M117" i="4"/>
  <c r="N117" i="4"/>
  <c r="O117" i="4"/>
  <c r="P117" i="4"/>
  <c r="L118" i="4"/>
  <c r="M118" i="4"/>
  <c r="N118" i="4"/>
  <c r="O118" i="4"/>
  <c r="P118" i="4"/>
  <c r="L119" i="4"/>
  <c r="M119" i="4"/>
  <c r="N119" i="4"/>
  <c r="O119" i="4"/>
  <c r="P119" i="4"/>
  <c r="L120" i="4"/>
  <c r="M120" i="4"/>
  <c r="N120" i="4"/>
  <c r="O120" i="4"/>
  <c r="P120" i="4"/>
  <c r="L121" i="4"/>
  <c r="M121" i="4"/>
  <c r="N121" i="4"/>
  <c r="O121" i="4"/>
  <c r="P121" i="4"/>
  <c r="L122" i="4"/>
  <c r="M122" i="4"/>
  <c r="N122" i="4"/>
  <c r="O122" i="4"/>
  <c r="P122" i="4"/>
  <c r="L123" i="4"/>
  <c r="M123" i="4"/>
  <c r="N123" i="4"/>
  <c r="O123" i="4"/>
  <c r="P123" i="4"/>
  <c r="L124" i="4"/>
  <c r="M124" i="4"/>
  <c r="N124" i="4"/>
  <c r="O124" i="4"/>
  <c r="P124" i="4"/>
  <c r="L125" i="4"/>
  <c r="M125" i="4"/>
  <c r="N125" i="4"/>
  <c r="O125" i="4"/>
  <c r="P125" i="4"/>
  <c r="L126" i="4"/>
  <c r="M126" i="4"/>
  <c r="N126" i="4"/>
  <c r="O126" i="4"/>
  <c r="P126" i="4"/>
  <c r="L127" i="4"/>
  <c r="M127" i="4"/>
  <c r="N127" i="4"/>
  <c r="O127" i="4"/>
  <c r="P127" i="4"/>
  <c r="L128" i="4"/>
  <c r="M128" i="4"/>
  <c r="N128" i="4"/>
  <c r="O128" i="4"/>
  <c r="P128" i="4"/>
  <c r="L129" i="4"/>
  <c r="M129" i="4"/>
  <c r="N129" i="4"/>
  <c r="O129" i="4"/>
  <c r="P129" i="4"/>
  <c r="L130" i="4"/>
  <c r="M130" i="4"/>
  <c r="N130" i="4"/>
  <c r="O130" i="4"/>
  <c r="P130" i="4"/>
  <c r="K130" i="4"/>
  <c r="K129" i="4"/>
  <c r="K128" i="4"/>
  <c r="K127" i="4"/>
  <c r="K126" i="4"/>
  <c r="K125" i="4"/>
  <c r="K124" i="4"/>
  <c r="K123" i="4"/>
  <c r="K122" i="4"/>
  <c r="K121" i="4"/>
  <c r="K120" i="4"/>
  <c r="K113" i="4"/>
  <c r="K94" i="4"/>
  <c r="K82" i="4"/>
  <c r="K81" i="4"/>
  <c r="K80" i="4"/>
  <c r="K79" i="4"/>
  <c r="K78" i="4"/>
  <c r="K77" i="4"/>
  <c r="K76" i="4"/>
  <c r="K75" i="4"/>
  <c r="K74" i="4"/>
  <c r="K73" i="4"/>
  <c r="K72" i="4"/>
  <c r="K70" i="4"/>
  <c r="K69" i="4"/>
  <c r="K68" i="4"/>
  <c r="K67" i="4"/>
  <c r="K66" i="4"/>
  <c r="K65" i="4"/>
  <c r="K64" i="4"/>
  <c r="K63" i="4"/>
  <c r="K62" i="4"/>
  <c r="K61" i="4"/>
  <c r="K60" i="4"/>
  <c r="K59" i="4"/>
  <c r="K58" i="4"/>
  <c r="K57" i="4"/>
  <c r="K56" i="4"/>
  <c r="K55" i="4"/>
  <c r="K54" i="4"/>
  <c r="K53" i="4"/>
  <c r="K52" i="4"/>
  <c r="K51" i="4"/>
  <c r="K50" i="4"/>
  <c r="K49" i="4"/>
  <c r="K48" i="4"/>
  <c r="K46" i="4"/>
  <c r="K45" i="4"/>
  <c r="K44" i="4"/>
  <c r="K43" i="4"/>
  <c r="K42" i="4"/>
  <c r="K41" i="4"/>
  <c r="K40" i="4"/>
  <c r="K39" i="4"/>
  <c r="K38" i="4"/>
  <c r="K37" i="4"/>
  <c r="K36" i="4"/>
  <c r="K34" i="4"/>
  <c r="K33" i="4"/>
  <c r="K32" i="4"/>
  <c r="K31" i="4"/>
  <c r="K30" i="4"/>
  <c r="K29" i="4"/>
  <c r="K28" i="4"/>
  <c r="K27" i="4"/>
  <c r="K26" i="4"/>
  <c r="K25" i="4"/>
  <c r="K24" i="4"/>
  <c r="K22" i="4"/>
  <c r="K21" i="4"/>
  <c r="K20" i="4"/>
  <c r="K19" i="4"/>
  <c r="K18" i="4"/>
  <c r="K17" i="4"/>
  <c r="K16" i="4"/>
  <c r="K15" i="4"/>
  <c r="K14" i="4"/>
  <c r="K119" i="4"/>
  <c r="K71" i="4"/>
  <c r="K47" i="4"/>
  <c r="K35" i="4"/>
  <c r="K23" i="4"/>
  <c r="K13" i="4"/>
  <c r="K12" i="4"/>
  <c r="K11" i="4"/>
  <c r="S119" i="4" l="1"/>
  <c r="M131" i="4"/>
  <c r="M143" i="4" s="1"/>
  <c r="L131" i="4"/>
  <c r="L143" i="4" s="1"/>
  <c r="P145" i="4"/>
  <c r="O141" i="4"/>
  <c r="O145" i="4"/>
  <c r="D170" i="4"/>
  <c r="C170" i="4"/>
  <c r="N131" i="4" s="1"/>
  <c r="N132" i="4" s="1"/>
  <c r="N133" i="4" s="1"/>
  <c r="N134" i="4" s="1"/>
  <c r="N135" i="4" s="1"/>
  <c r="N136" i="4" s="1"/>
  <c r="N137" i="4" s="1"/>
  <c r="N138" i="4" s="1"/>
  <c r="N139" i="4" s="1"/>
  <c r="N140" i="4" s="1"/>
  <c r="N141" i="4" s="1"/>
  <c r="N142" i="4" s="1"/>
  <c r="N143" i="4" s="1"/>
  <c r="N144" i="4" s="1"/>
  <c r="N145" i="4" s="1"/>
  <c r="N146" i="4" s="1"/>
  <c r="N147" i="4" s="1"/>
  <c r="N148" i="4" s="1"/>
  <c r="N149" i="4" s="1"/>
  <c r="N150" i="4" s="1"/>
  <c r="N151" i="4" s="1"/>
  <c r="N152" i="4" s="1"/>
  <c r="N153" i="4" s="1"/>
  <c r="N154" i="4" s="1"/>
  <c r="D172" i="4"/>
  <c r="C172" i="4"/>
  <c r="O131" i="4"/>
  <c r="S29" i="4"/>
  <c r="T29" i="4" s="1"/>
  <c r="S12" i="4"/>
  <c r="S34" i="4"/>
  <c r="S26" i="4"/>
  <c r="S18" i="4"/>
  <c r="S44" i="4"/>
  <c r="S53" i="4"/>
  <c r="S130" i="4"/>
  <c r="S122" i="4"/>
  <c r="S82" i="4"/>
  <c r="S74" i="4"/>
  <c r="S66" i="4"/>
  <c r="S58" i="4"/>
  <c r="S50" i="4"/>
  <c r="S40" i="4"/>
  <c r="S80" i="4"/>
  <c r="S72" i="4"/>
  <c r="S64" i="4"/>
  <c r="S56" i="4"/>
  <c r="S48" i="4"/>
  <c r="S32" i="4"/>
  <c r="S24" i="4"/>
  <c r="S13" i="4"/>
  <c r="S21" i="4"/>
  <c r="S30" i="4"/>
  <c r="S125" i="4"/>
  <c r="S75" i="4"/>
  <c r="S19" i="4"/>
  <c r="S17" i="4"/>
  <c r="S121" i="4"/>
  <c r="S69" i="4"/>
  <c r="S124" i="4"/>
  <c r="S28" i="4"/>
  <c r="S20" i="4"/>
  <c r="S43" i="4"/>
  <c r="S78" i="4"/>
  <c r="S41" i="4"/>
  <c r="S51" i="4"/>
  <c r="S59" i="4"/>
  <c r="S67" i="4"/>
  <c r="S129" i="4"/>
  <c r="S113" i="4"/>
  <c r="S73" i="4"/>
  <c r="S81" i="4"/>
  <c r="S49" i="4"/>
  <c r="S57" i="4"/>
  <c r="S65" i="4"/>
  <c r="S16" i="4"/>
  <c r="S120" i="4"/>
  <c r="S128" i="4"/>
  <c r="S25" i="4"/>
  <c r="S33" i="4"/>
  <c r="S36" i="4"/>
  <c r="S52" i="4"/>
  <c r="S60" i="4"/>
  <c r="S68" i="4"/>
  <c r="S76" i="4"/>
  <c r="S37" i="4"/>
  <c r="S45" i="4"/>
  <c r="S61" i="4"/>
  <c r="S77" i="4"/>
  <c r="S35" i="4"/>
  <c r="S14" i="4"/>
  <c r="S22" i="4"/>
  <c r="S38" i="4"/>
  <c r="S46" i="4"/>
  <c r="S54" i="4"/>
  <c r="S62" i="4"/>
  <c r="S70" i="4"/>
  <c r="S94" i="4"/>
  <c r="S126" i="4"/>
  <c r="S42" i="4"/>
  <c r="S27" i="4"/>
  <c r="S123" i="4"/>
  <c r="S15" i="4"/>
  <c r="S23" i="4"/>
  <c r="S31" i="4"/>
  <c r="S39" i="4"/>
  <c r="S47" i="4"/>
  <c r="S55" i="4"/>
  <c r="S63" i="4"/>
  <c r="S71" i="4"/>
  <c r="S79" i="4"/>
  <c r="S127" i="4"/>
  <c r="B56" i="52"/>
  <c r="B32" i="52"/>
  <c r="N56" i="52"/>
  <c r="M56" i="52"/>
  <c r="L56" i="52"/>
  <c r="K56" i="52"/>
  <c r="J56" i="52"/>
  <c r="I56" i="52"/>
  <c r="H56" i="52"/>
  <c r="G56" i="52"/>
  <c r="F56" i="52"/>
  <c r="E56" i="52"/>
  <c r="D56" i="52"/>
  <c r="C56" i="52"/>
  <c r="D32" i="52"/>
  <c r="E32" i="52"/>
  <c r="F32" i="52"/>
  <c r="G32" i="52"/>
  <c r="H32" i="52"/>
  <c r="I32" i="52"/>
  <c r="J32" i="52"/>
  <c r="K32" i="52"/>
  <c r="L32" i="52"/>
  <c r="M32" i="52"/>
  <c r="N32" i="52"/>
  <c r="B16" i="59"/>
  <c r="B42" i="59" s="1"/>
  <c r="K42" i="59" s="1"/>
  <c r="K57" i="59" s="1"/>
  <c r="K73" i="59" s="1"/>
  <c r="B15" i="59"/>
  <c r="B41" i="59" s="1"/>
  <c r="K41" i="59" s="1"/>
  <c r="K56" i="59" s="1"/>
  <c r="K72" i="59" s="1"/>
  <c r="B12" i="59"/>
  <c r="B11" i="59"/>
  <c r="O11" i="30"/>
  <c r="N21" i="46"/>
  <c r="P21" i="46" s="1"/>
  <c r="AB84" i="4" l="1"/>
  <c r="T11" i="4"/>
  <c r="U11" i="4" s="1"/>
  <c r="AB68" i="4"/>
  <c r="AA80" i="4" s="1"/>
  <c r="S161" i="4"/>
  <c r="T161" i="4" s="1"/>
  <c r="S162" i="4"/>
  <c r="T162" i="4" s="1"/>
  <c r="AB64" i="4"/>
  <c r="AB66" i="4"/>
  <c r="S164" i="4"/>
  <c r="T164" i="4" s="1"/>
  <c r="S163" i="4"/>
  <c r="T163" i="4" s="1"/>
  <c r="AB65" i="4"/>
  <c r="AB63" i="4"/>
  <c r="AA75" i="4" s="1"/>
  <c r="AB75" i="4" s="1"/>
  <c r="S166" i="4"/>
  <c r="T166" i="4" s="1"/>
  <c r="S170" i="4"/>
  <c r="T170" i="4" s="1"/>
  <c r="T126" i="4"/>
  <c r="T68" i="4"/>
  <c r="T72" i="4"/>
  <c r="T82" i="4"/>
  <c r="T23" i="4"/>
  <c r="T38" i="4"/>
  <c r="T60" i="4"/>
  <c r="T120" i="4"/>
  <c r="T19" i="4"/>
  <c r="T80" i="4"/>
  <c r="T41" i="4"/>
  <c r="T79" i="4"/>
  <c r="T15" i="4"/>
  <c r="T22" i="4"/>
  <c r="T77" i="4"/>
  <c r="T52" i="4"/>
  <c r="T16" i="4"/>
  <c r="T78" i="4"/>
  <c r="T75" i="4"/>
  <c r="T128" i="4"/>
  <c r="T123" i="4"/>
  <c r="T14" i="4"/>
  <c r="T61" i="4"/>
  <c r="T36" i="4"/>
  <c r="T113" i="4"/>
  <c r="T125" i="4"/>
  <c r="T24" i="4"/>
  <c r="T40" i="4"/>
  <c r="T46" i="4"/>
  <c r="T73" i="4"/>
  <c r="T71" i="4"/>
  <c r="T127" i="4"/>
  <c r="T63" i="4"/>
  <c r="T94" i="4"/>
  <c r="T35" i="4"/>
  <c r="T45" i="4"/>
  <c r="T65" i="4"/>
  <c r="T129" i="4"/>
  <c r="T43" i="4"/>
  <c r="T124" i="4"/>
  <c r="T30" i="4"/>
  <c r="T32" i="4"/>
  <c r="T50" i="4"/>
  <c r="T122" i="4"/>
  <c r="T31" i="4"/>
  <c r="T17" i="4"/>
  <c r="T119" i="4"/>
  <c r="T55" i="4"/>
  <c r="T70" i="4"/>
  <c r="T37" i="4"/>
  <c r="T57" i="4"/>
  <c r="T67" i="4"/>
  <c r="T12" i="4"/>
  <c r="T69" i="4"/>
  <c r="T21" i="4"/>
  <c r="T48" i="4"/>
  <c r="T58" i="4"/>
  <c r="T130" i="4"/>
  <c r="U130" i="4" s="1"/>
  <c r="T18" i="4"/>
  <c r="T47" i="4"/>
  <c r="T27" i="4"/>
  <c r="T62" i="4"/>
  <c r="T33" i="4"/>
  <c r="T49" i="4"/>
  <c r="T59" i="4"/>
  <c r="T20" i="4"/>
  <c r="T121" i="4"/>
  <c r="T13" i="4"/>
  <c r="T56" i="4"/>
  <c r="T66" i="4"/>
  <c r="T53" i="4"/>
  <c r="T26" i="4"/>
  <c r="T39" i="4"/>
  <c r="T42" i="4"/>
  <c r="T54" i="4"/>
  <c r="T76" i="4"/>
  <c r="T25" i="4"/>
  <c r="T81" i="4"/>
  <c r="T51" i="4"/>
  <c r="T28" i="4"/>
  <c r="T64" i="4"/>
  <c r="T74" i="4"/>
  <c r="T44" i="4"/>
  <c r="T34" i="4"/>
  <c r="B56" i="59"/>
  <c r="B72" i="59" s="1"/>
  <c r="B57" i="59"/>
  <c r="B73" i="59" s="1"/>
  <c r="V164" i="4" l="1"/>
  <c r="V58" i="47"/>
  <c r="V162" i="4"/>
  <c r="V56" i="47"/>
  <c r="V166" i="4"/>
  <c r="V60" i="47"/>
  <c r="V163" i="4"/>
  <c r="V57" i="47"/>
  <c r="V161" i="4"/>
  <c r="V55" i="47"/>
  <c r="V170" i="4"/>
  <c r="V64" i="47"/>
  <c r="AA77" i="4"/>
  <c r="AC65" i="4"/>
  <c r="AA78" i="4"/>
  <c r="AC66" i="4"/>
  <c r="AC64" i="4"/>
  <c r="AA76" i="4"/>
  <c r="S20" i="29"/>
  <c r="S19" i="29"/>
  <c r="G16" i="6" l="1"/>
  <c r="G15" i="6"/>
  <c r="AA15" i="46"/>
  <c r="W124" i="58" l="1"/>
  <c r="W125" i="58"/>
  <c r="W126" i="58"/>
  <c r="W127" i="58"/>
  <c r="W129" i="58"/>
  <c r="W130" i="58"/>
  <c r="W131" i="58"/>
  <c r="W133" i="58"/>
  <c r="W134" i="58"/>
  <c r="U123" i="58"/>
  <c r="W123" i="58" s="1"/>
  <c r="W111" i="58"/>
  <c r="W113" i="58"/>
  <c r="W114" i="58"/>
  <c r="W115" i="58"/>
  <c r="W116" i="58"/>
  <c r="W117" i="58"/>
  <c r="W118" i="58"/>
  <c r="W119" i="58"/>
  <c r="W120" i="58"/>
  <c r="W121" i="58"/>
  <c r="W110" i="58"/>
  <c r="W132" i="58"/>
  <c r="W112" i="58"/>
  <c r="V135" i="58"/>
  <c r="N8" i="58" s="1"/>
  <c r="L8" i="58"/>
  <c r="K8" i="58"/>
  <c r="J8" i="58"/>
  <c r="U135" i="58" l="1"/>
  <c r="W135" i="58" s="1"/>
  <c r="W128" i="58"/>
  <c r="W122" i="58"/>
  <c r="J118" i="4" l="1"/>
  <c r="K118" i="4" l="1"/>
  <c r="S118" i="4" s="1"/>
  <c r="K115" i="4"/>
  <c r="S115" i="4" s="1"/>
  <c r="K114" i="4"/>
  <c r="S114" i="4" s="1"/>
  <c r="K110" i="4"/>
  <c r="S110" i="4" s="1"/>
  <c r="K109" i="4"/>
  <c r="S109" i="4" s="1"/>
  <c r="K108" i="4"/>
  <c r="S108" i="4" s="1"/>
  <c r="K107" i="4"/>
  <c r="S107" i="4" s="1"/>
  <c r="K106" i="4"/>
  <c r="S106" i="4" s="1"/>
  <c r="K105" i="4"/>
  <c r="S105" i="4" s="1"/>
  <c r="K104" i="4"/>
  <c r="S104" i="4" s="1"/>
  <c r="K103" i="4"/>
  <c r="S103" i="4" s="1"/>
  <c r="K102" i="4"/>
  <c r="S102" i="4" s="1"/>
  <c r="K101" i="4"/>
  <c r="S101" i="4" s="1"/>
  <c r="K100" i="4"/>
  <c r="S100" i="4" s="1"/>
  <c r="K99" i="4"/>
  <c r="S99" i="4" s="1"/>
  <c r="K98" i="4"/>
  <c r="S98" i="4" s="1"/>
  <c r="K97" i="4"/>
  <c r="S97" i="4" s="1"/>
  <c r="K96" i="4"/>
  <c r="S96" i="4" s="1"/>
  <c r="K95" i="4"/>
  <c r="S95" i="4" s="1"/>
  <c r="K93" i="4"/>
  <c r="S93" i="4" s="1"/>
  <c r="K92" i="4"/>
  <c r="S92" i="4" s="1"/>
  <c r="K91" i="4"/>
  <c r="S91" i="4" s="1"/>
  <c r="K90" i="4"/>
  <c r="S90" i="4" s="1"/>
  <c r="K89" i="4"/>
  <c r="S89" i="4" s="1"/>
  <c r="K88" i="4"/>
  <c r="S88" i="4" s="1"/>
  <c r="K87" i="4"/>
  <c r="S87" i="4" s="1"/>
  <c r="K86" i="4"/>
  <c r="S86" i="4" s="1"/>
  <c r="K85" i="4"/>
  <c r="S85" i="4" s="1"/>
  <c r="K84" i="4"/>
  <c r="S84" i="4" s="1"/>
  <c r="K83" i="4"/>
  <c r="AB70" i="4" l="1"/>
  <c r="S168" i="4"/>
  <c r="T168" i="4" s="1"/>
  <c r="S83" i="4"/>
  <c r="T106" i="4"/>
  <c r="T107" i="4"/>
  <c r="T91" i="4"/>
  <c r="T100" i="4"/>
  <c r="T108" i="4"/>
  <c r="T89" i="4"/>
  <c r="T90" i="4"/>
  <c r="T92" i="4"/>
  <c r="T101" i="4"/>
  <c r="T109" i="4"/>
  <c r="T118" i="4"/>
  <c r="U118" i="4" s="1"/>
  <c r="T84" i="4"/>
  <c r="T85" i="4"/>
  <c r="T93" i="4"/>
  <c r="T102" i="4"/>
  <c r="T110" i="4"/>
  <c r="T98" i="4"/>
  <c r="T99" i="4"/>
  <c r="T86" i="4"/>
  <c r="T95" i="4"/>
  <c r="T103" i="4"/>
  <c r="K112" i="4"/>
  <c r="S112" i="4" s="1"/>
  <c r="K111" i="4"/>
  <c r="S111" i="4" s="1"/>
  <c r="T87" i="4"/>
  <c r="T96" i="4"/>
  <c r="T104" i="4"/>
  <c r="T114" i="4"/>
  <c r="T88" i="4"/>
  <c r="T97" i="4"/>
  <c r="T105" i="4"/>
  <c r="T115" i="4"/>
  <c r="V168" i="4" l="1"/>
  <c r="V62" i="47"/>
  <c r="AB69" i="4"/>
  <c r="AB67" i="4"/>
  <c r="S165" i="4"/>
  <c r="T165" i="4" s="1"/>
  <c r="AA82" i="4"/>
  <c r="AC70" i="4"/>
  <c r="T83" i="4"/>
  <c r="S167" i="4"/>
  <c r="T167" i="4" s="1"/>
  <c r="K117" i="4"/>
  <c r="S117" i="4" s="1"/>
  <c r="K116" i="4"/>
  <c r="T112" i="4"/>
  <c r="T111" i="4"/>
  <c r="B20" i="59"/>
  <c r="B24" i="59" s="1"/>
  <c r="V165" i="4" l="1"/>
  <c r="V59" i="47"/>
  <c r="V167" i="4"/>
  <c r="V61" i="47"/>
  <c r="AA79" i="4"/>
  <c r="AC67" i="4"/>
  <c r="AC68" i="4"/>
  <c r="AC69" i="4"/>
  <c r="AA81" i="4"/>
  <c r="S116" i="4"/>
  <c r="AB71" i="4" s="1"/>
  <c r="C167" i="4"/>
  <c r="T117" i="4"/>
  <c r="AA83" i="4" l="1"/>
  <c r="AC71" i="4"/>
  <c r="AC72" i="4"/>
  <c r="T116" i="4"/>
  <c r="S169" i="4"/>
  <c r="T169" i="4" s="1"/>
  <c r="C18" i="6"/>
  <c r="V169" i="4" l="1"/>
  <c r="V63" i="47"/>
  <c r="K60" i="59"/>
  <c r="I10" i="59" s="1"/>
  <c r="I14" i="59" s="1"/>
  <c r="I22" i="59" s="1"/>
  <c r="K44" i="59"/>
  <c r="H10" i="59" s="1"/>
  <c r="H14" i="59" s="1"/>
  <c r="H22" i="59" s="1"/>
  <c r="K29" i="59"/>
  <c r="G10" i="59" s="1"/>
  <c r="G14" i="59" s="1"/>
  <c r="G22" i="59" s="1"/>
  <c r="B60" i="59"/>
  <c r="F10" i="59" s="1"/>
  <c r="F14" i="59" s="1"/>
  <c r="F22" i="59" s="1"/>
  <c r="B29" i="59"/>
  <c r="D10" i="59" s="1"/>
  <c r="D14" i="59" s="1"/>
  <c r="D22" i="59" s="1"/>
  <c r="B44" i="59"/>
  <c r="E10" i="59" s="1"/>
  <c r="E14" i="59" s="1"/>
  <c r="E22" i="59" s="1"/>
  <c r="AN27" i="29"/>
  <c r="AN26" i="29"/>
  <c r="AF27" i="29"/>
  <c r="AF26" i="29"/>
  <c r="Q21" i="46" l="1"/>
  <c r="Q28" i="57" l="1"/>
  <c r="Q27" i="57"/>
  <c r="Q26" i="57"/>
  <c r="Q25" i="57"/>
  <c r="C129" i="57" l="1"/>
  <c r="C128" i="57"/>
  <c r="C127" i="57"/>
  <c r="C126" i="57"/>
  <c r="C125" i="57"/>
  <c r="C124" i="57"/>
  <c r="C123" i="57"/>
  <c r="C122" i="57"/>
  <c r="C121" i="57"/>
  <c r="C120" i="57"/>
  <c r="C119" i="57"/>
  <c r="C118" i="57"/>
  <c r="C117" i="57"/>
  <c r="C116" i="57"/>
  <c r="C115" i="57"/>
  <c r="C114" i="57"/>
  <c r="C113" i="57"/>
  <c r="C112" i="57"/>
  <c r="C111" i="57"/>
  <c r="C110" i="57"/>
  <c r="C109" i="57"/>
  <c r="C108" i="57"/>
  <c r="C107" i="57"/>
  <c r="C106" i="57"/>
  <c r="C105" i="57"/>
  <c r="C104" i="57"/>
  <c r="C103" i="57"/>
  <c r="C102" i="57"/>
  <c r="C101" i="57"/>
  <c r="C100" i="57"/>
  <c r="C99" i="57"/>
  <c r="C98" i="57"/>
  <c r="C97" i="57"/>
  <c r="E8" i="58" l="1"/>
  <c r="E10" i="58" s="1"/>
  <c r="K10" i="58"/>
  <c r="J10" i="58"/>
  <c r="I8" i="58"/>
  <c r="I10" i="58" s="1"/>
  <c r="H8" i="58"/>
  <c r="H10" i="58" s="1"/>
  <c r="G8" i="58"/>
  <c r="G10" i="58" s="1"/>
  <c r="F8" i="58"/>
  <c r="F10" i="58" s="1"/>
  <c r="B3" i="58"/>
  <c r="N10" i="58"/>
  <c r="M8" i="58"/>
  <c r="M10" i="58" s="1"/>
  <c r="L10" i="58"/>
  <c r="L5" i="58" l="1"/>
  <c r="K5" i="58"/>
  <c r="K18" i="58" s="1"/>
  <c r="F5" i="58"/>
  <c r="F18" i="58" s="1"/>
  <c r="H5" i="58"/>
  <c r="H18" i="58" s="1"/>
  <c r="I5" i="58"/>
  <c r="I18" i="58" s="1"/>
  <c r="G5" i="58"/>
  <c r="G18" i="58" s="1"/>
  <c r="J5" i="58"/>
  <c r="J18" i="58" s="1"/>
  <c r="E18" i="58" l="1"/>
  <c r="M5" i="58"/>
  <c r="M18" i="58" s="1"/>
  <c r="L18" i="58"/>
  <c r="N5" i="58"/>
  <c r="N18" i="58" s="1"/>
  <c r="O18" i="58" l="1"/>
  <c r="F19" i="46"/>
  <c r="C22" i="58" l="1"/>
  <c r="F21" i="46"/>
  <c r="F16" i="46"/>
  <c r="F18" i="57" l="1"/>
  <c r="F19" i="57"/>
  <c r="F21" i="57"/>
  <c r="F22" i="57"/>
  <c r="F23" i="57"/>
  <c r="F26" i="57"/>
  <c r="F27" i="57"/>
  <c r="F29" i="57"/>
  <c r="F30" i="57"/>
  <c r="F31" i="57"/>
  <c r="F35" i="57"/>
  <c r="F37" i="57"/>
  <c r="F38" i="57"/>
  <c r="F39" i="57"/>
  <c r="F43" i="57"/>
  <c r="F46" i="57"/>
  <c r="F47" i="57"/>
  <c r="F50" i="57"/>
  <c r="F51" i="57"/>
  <c r="F53" i="57"/>
  <c r="F54" i="57"/>
  <c r="F55" i="57"/>
  <c r="F58" i="57"/>
  <c r="F59" i="57"/>
  <c r="F60" i="57"/>
  <c r="F61" i="57"/>
  <c r="F62" i="57"/>
  <c r="F63" i="57"/>
  <c r="F66" i="57"/>
  <c r="F67" i="57"/>
  <c r="F68" i="57"/>
  <c r="F69" i="57"/>
  <c r="F70" i="57"/>
  <c r="F71" i="57"/>
  <c r="F74" i="57"/>
  <c r="F75" i="57"/>
  <c r="F76" i="57"/>
  <c r="F77" i="57"/>
  <c r="F78" i="57"/>
  <c r="F79" i="57"/>
  <c r="F82" i="57"/>
  <c r="F83" i="57"/>
  <c r="F84" i="57"/>
  <c r="F85" i="57"/>
  <c r="F86" i="57"/>
  <c r="F87" i="57"/>
  <c r="F90" i="57"/>
  <c r="F91" i="57"/>
  <c r="F92" i="57"/>
  <c r="F93" i="57"/>
  <c r="F94" i="57"/>
  <c r="F95" i="57"/>
  <c r="E99" i="57"/>
  <c r="F99" i="57" s="1"/>
  <c r="E100" i="57"/>
  <c r="F100" i="57" s="1"/>
  <c r="E102" i="57"/>
  <c r="F102" i="57" s="1"/>
  <c r="E107" i="57"/>
  <c r="F107" i="57" s="1"/>
  <c r="E108" i="57"/>
  <c r="F108" i="57" s="1"/>
  <c r="E110" i="57"/>
  <c r="F110" i="57" s="1"/>
  <c r="E113" i="57"/>
  <c r="F113" i="57" s="1"/>
  <c r="E114" i="57"/>
  <c r="F114" i="57" s="1"/>
  <c r="E115" i="57"/>
  <c r="F115" i="57" s="1"/>
  <c r="E118" i="57"/>
  <c r="F118" i="57" s="1"/>
  <c r="E120" i="57"/>
  <c r="E121" i="57"/>
  <c r="E122" i="57"/>
  <c r="F122" i="57" s="1"/>
  <c r="E123" i="57"/>
  <c r="F123" i="57" s="1"/>
  <c r="E128" i="57"/>
  <c r="F128" i="57" s="1"/>
  <c r="E129" i="57"/>
  <c r="E97" i="57"/>
  <c r="F97" i="57" s="1"/>
  <c r="E98" i="57"/>
  <c r="F98" i="57" s="1"/>
  <c r="E101" i="57"/>
  <c r="F101" i="57" s="1"/>
  <c r="E103" i="57"/>
  <c r="F103" i="57" s="1"/>
  <c r="E104" i="57"/>
  <c r="F104" i="57" s="1"/>
  <c r="E105" i="57"/>
  <c r="F105" i="57" s="1"/>
  <c r="E117" i="57"/>
  <c r="E116" i="57"/>
  <c r="F116" i="57" s="1"/>
  <c r="E119" i="57"/>
  <c r="F119" i="57" s="1"/>
  <c r="E124" i="57"/>
  <c r="F124" i="57" s="1"/>
  <c r="E125" i="57"/>
  <c r="F125" i="57" s="1"/>
  <c r="E126" i="57"/>
  <c r="F126" i="57" s="1"/>
  <c r="E127" i="57"/>
  <c r="F127" i="57" s="1"/>
  <c r="E111" i="57"/>
  <c r="F111" i="57" s="1"/>
  <c r="E106" i="57"/>
  <c r="F106" i="57" s="1"/>
  <c r="E109" i="57"/>
  <c r="F109" i="57" s="1"/>
  <c r="E112" i="57"/>
  <c r="F112" i="57" s="1"/>
  <c r="L153" i="57"/>
  <c r="L152" i="57"/>
  <c r="L151" i="57"/>
  <c r="L150" i="57"/>
  <c r="L149" i="57"/>
  <c r="L148" i="57"/>
  <c r="L147" i="57"/>
  <c r="L146" i="57"/>
  <c r="L145" i="57"/>
  <c r="L144" i="57"/>
  <c r="L143" i="57"/>
  <c r="L142" i="57"/>
  <c r="L141" i="57"/>
  <c r="L140" i="57"/>
  <c r="L139" i="57"/>
  <c r="L138" i="57"/>
  <c r="L137" i="57"/>
  <c r="L136" i="57"/>
  <c r="L135" i="57"/>
  <c r="L134" i="57"/>
  <c r="L133" i="57"/>
  <c r="L132" i="57"/>
  <c r="L131" i="57"/>
  <c r="L130" i="57"/>
  <c r="L129" i="57"/>
  <c r="K129" i="57"/>
  <c r="J129" i="57"/>
  <c r="I129" i="57"/>
  <c r="H129" i="57"/>
  <c r="G129" i="57"/>
  <c r="L128" i="57"/>
  <c r="K128" i="57"/>
  <c r="J128" i="57"/>
  <c r="I128" i="57"/>
  <c r="H128" i="57"/>
  <c r="G128" i="57"/>
  <c r="L127" i="57"/>
  <c r="K127" i="57"/>
  <c r="J127" i="57"/>
  <c r="I127" i="57"/>
  <c r="H127" i="57"/>
  <c r="G127" i="57"/>
  <c r="L126" i="57"/>
  <c r="K126" i="57"/>
  <c r="J126" i="57"/>
  <c r="I126" i="57"/>
  <c r="H126" i="57"/>
  <c r="G126" i="57"/>
  <c r="L125" i="57"/>
  <c r="K125" i="57"/>
  <c r="J125" i="57"/>
  <c r="I125" i="57"/>
  <c r="H125" i="57"/>
  <c r="G125" i="57"/>
  <c r="L124" i="57"/>
  <c r="K124" i="57"/>
  <c r="J124" i="57"/>
  <c r="I124" i="57"/>
  <c r="H124" i="57"/>
  <c r="G124" i="57"/>
  <c r="L123" i="57"/>
  <c r="K123" i="57"/>
  <c r="J123" i="57"/>
  <c r="I123" i="57"/>
  <c r="H123" i="57"/>
  <c r="G123" i="57"/>
  <c r="L122" i="57"/>
  <c r="K122" i="57"/>
  <c r="J122" i="57"/>
  <c r="I122" i="57"/>
  <c r="H122" i="57"/>
  <c r="G122" i="57"/>
  <c r="L121" i="57"/>
  <c r="K121" i="57"/>
  <c r="J121" i="57"/>
  <c r="I121" i="57"/>
  <c r="H121" i="57"/>
  <c r="G121" i="57"/>
  <c r="L120" i="57"/>
  <c r="K120" i="57"/>
  <c r="J120" i="57"/>
  <c r="I120" i="57"/>
  <c r="H120" i="57"/>
  <c r="G120" i="57"/>
  <c r="L119" i="57"/>
  <c r="K119" i="57"/>
  <c r="J119" i="57"/>
  <c r="I119" i="57"/>
  <c r="H119" i="57"/>
  <c r="G119" i="57"/>
  <c r="L118" i="57"/>
  <c r="K118" i="57"/>
  <c r="J118" i="57"/>
  <c r="I118" i="57"/>
  <c r="H118" i="57"/>
  <c r="G118" i="57"/>
  <c r="L117" i="57"/>
  <c r="K117" i="57"/>
  <c r="J117" i="57"/>
  <c r="I117" i="57"/>
  <c r="H117" i="57"/>
  <c r="G117" i="57"/>
  <c r="L116" i="57"/>
  <c r="K116" i="57"/>
  <c r="J116" i="57"/>
  <c r="I116" i="57"/>
  <c r="H116" i="57"/>
  <c r="G116" i="57"/>
  <c r="L115" i="57"/>
  <c r="K115" i="57"/>
  <c r="J115" i="57"/>
  <c r="I115" i="57"/>
  <c r="H115" i="57"/>
  <c r="G115" i="57"/>
  <c r="L114" i="57"/>
  <c r="K114" i="57"/>
  <c r="J114" i="57"/>
  <c r="I114" i="57"/>
  <c r="H114" i="57"/>
  <c r="G114" i="57"/>
  <c r="L113" i="57"/>
  <c r="K113" i="57"/>
  <c r="J113" i="57"/>
  <c r="I113" i="57"/>
  <c r="H113" i="57"/>
  <c r="G113" i="57"/>
  <c r="L112" i="57"/>
  <c r="K112" i="57"/>
  <c r="J112" i="57"/>
  <c r="I112" i="57"/>
  <c r="H112" i="57"/>
  <c r="G112" i="57"/>
  <c r="L111" i="57"/>
  <c r="K111" i="57"/>
  <c r="J111" i="57"/>
  <c r="I111" i="57"/>
  <c r="H111" i="57"/>
  <c r="G111" i="57"/>
  <c r="L110" i="57"/>
  <c r="K110" i="57"/>
  <c r="J110" i="57"/>
  <c r="I110" i="57"/>
  <c r="H110" i="57"/>
  <c r="G110" i="57"/>
  <c r="L109" i="57"/>
  <c r="K109" i="57"/>
  <c r="J109" i="57"/>
  <c r="I109" i="57"/>
  <c r="H109" i="57"/>
  <c r="G109" i="57"/>
  <c r="L108" i="57"/>
  <c r="K108" i="57"/>
  <c r="J108" i="57"/>
  <c r="I108" i="57"/>
  <c r="H108" i="57"/>
  <c r="G108" i="57"/>
  <c r="L107" i="57"/>
  <c r="K107" i="57"/>
  <c r="J107" i="57"/>
  <c r="I107" i="57"/>
  <c r="H107" i="57"/>
  <c r="G107" i="57"/>
  <c r="L106" i="57"/>
  <c r="K106" i="57"/>
  <c r="J106" i="57"/>
  <c r="I106" i="57"/>
  <c r="H106" i="57"/>
  <c r="G106" i="57"/>
  <c r="L105" i="57"/>
  <c r="K105" i="57"/>
  <c r="J105" i="57"/>
  <c r="I105" i="57"/>
  <c r="H105" i="57"/>
  <c r="G105" i="57"/>
  <c r="L104" i="57"/>
  <c r="K104" i="57"/>
  <c r="J104" i="57"/>
  <c r="I104" i="57"/>
  <c r="H104" i="57"/>
  <c r="G104" i="57"/>
  <c r="L103" i="57"/>
  <c r="K103" i="57"/>
  <c r="J103" i="57"/>
  <c r="I103" i="57"/>
  <c r="H103" i="57"/>
  <c r="G103" i="57"/>
  <c r="L102" i="57"/>
  <c r="K102" i="57"/>
  <c r="J102" i="57"/>
  <c r="I102" i="57"/>
  <c r="H102" i="57"/>
  <c r="G102" i="57"/>
  <c r="L101" i="57"/>
  <c r="K101" i="57"/>
  <c r="J101" i="57"/>
  <c r="I101" i="57"/>
  <c r="H101" i="57"/>
  <c r="G101" i="57"/>
  <c r="L100" i="57"/>
  <c r="K100" i="57"/>
  <c r="J100" i="57"/>
  <c r="I100" i="57"/>
  <c r="H100" i="57"/>
  <c r="G100" i="57"/>
  <c r="L99" i="57"/>
  <c r="K99" i="57"/>
  <c r="J99" i="57"/>
  <c r="I99" i="57"/>
  <c r="H99" i="57"/>
  <c r="G99" i="57"/>
  <c r="L98" i="57"/>
  <c r="K98" i="57"/>
  <c r="J98" i="57"/>
  <c r="I98" i="57"/>
  <c r="H98" i="57"/>
  <c r="G98" i="57"/>
  <c r="L97" i="57"/>
  <c r="K97" i="57"/>
  <c r="J97" i="57"/>
  <c r="I97" i="57"/>
  <c r="H97" i="57"/>
  <c r="G97" i="57"/>
  <c r="L96" i="57"/>
  <c r="K96" i="57"/>
  <c r="J96" i="57"/>
  <c r="I96" i="57"/>
  <c r="H96" i="57"/>
  <c r="G96" i="57"/>
  <c r="F96" i="57"/>
  <c r="L95" i="57"/>
  <c r="K95" i="57"/>
  <c r="J95" i="57"/>
  <c r="I95" i="57"/>
  <c r="H95" i="57"/>
  <c r="G95" i="57"/>
  <c r="L94" i="57"/>
  <c r="K94" i="57"/>
  <c r="J94" i="57"/>
  <c r="I94" i="57"/>
  <c r="H94" i="57"/>
  <c r="G94" i="57"/>
  <c r="L93" i="57"/>
  <c r="K93" i="57"/>
  <c r="J93" i="57"/>
  <c r="I93" i="57"/>
  <c r="H93" i="57"/>
  <c r="G93" i="57"/>
  <c r="L92" i="57"/>
  <c r="K92" i="57"/>
  <c r="J92" i="57"/>
  <c r="I92" i="57"/>
  <c r="H92" i="57"/>
  <c r="G92" i="57"/>
  <c r="L91" i="57"/>
  <c r="K91" i="57"/>
  <c r="J91" i="57"/>
  <c r="I91" i="57"/>
  <c r="H91" i="57"/>
  <c r="G91" i="57"/>
  <c r="L90" i="57"/>
  <c r="K90" i="57"/>
  <c r="J90" i="57"/>
  <c r="I90" i="57"/>
  <c r="H90" i="57"/>
  <c r="G90" i="57"/>
  <c r="L89" i="57"/>
  <c r="K89" i="57"/>
  <c r="J89" i="57"/>
  <c r="I89" i="57"/>
  <c r="H89" i="57"/>
  <c r="G89" i="57"/>
  <c r="F89" i="57"/>
  <c r="L88" i="57"/>
  <c r="K88" i="57"/>
  <c r="J88" i="57"/>
  <c r="I88" i="57"/>
  <c r="H88" i="57"/>
  <c r="G88" i="57"/>
  <c r="F88" i="57"/>
  <c r="L87" i="57"/>
  <c r="K87" i="57"/>
  <c r="J87" i="57"/>
  <c r="I87" i="57"/>
  <c r="H87" i="57"/>
  <c r="G87" i="57"/>
  <c r="L86" i="57"/>
  <c r="K86" i="57"/>
  <c r="J86" i="57"/>
  <c r="I86" i="57"/>
  <c r="H86" i="57"/>
  <c r="G86" i="57"/>
  <c r="L85" i="57"/>
  <c r="K85" i="57"/>
  <c r="J85" i="57"/>
  <c r="I85" i="57"/>
  <c r="H85" i="57"/>
  <c r="G85" i="57"/>
  <c r="L84" i="57"/>
  <c r="K84" i="57"/>
  <c r="J84" i="57"/>
  <c r="I84" i="57"/>
  <c r="H84" i="57"/>
  <c r="G84" i="57"/>
  <c r="L83" i="57"/>
  <c r="K83" i="57"/>
  <c r="J83" i="57"/>
  <c r="I83" i="57"/>
  <c r="H83" i="57"/>
  <c r="G83" i="57"/>
  <c r="L82" i="57"/>
  <c r="K82" i="57"/>
  <c r="J82" i="57"/>
  <c r="I82" i="57"/>
  <c r="H82" i="57"/>
  <c r="G82" i="57"/>
  <c r="L81" i="57"/>
  <c r="K81" i="57"/>
  <c r="J81" i="57"/>
  <c r="I81" i="57"/>
  <c r="H81" i="57"/>
  <c r="G81" i="57"/>
  <c r="F81" i="57"/>
  <c r="L80" i="57"/>
  <c r="K80" i="57"/>
  <c r="J80" i="57"/>
  <c r="I80" i="57"/>
  <c r="H80" i="57"/>
  <c r="G80" i="57"/>
  <c r="F80" i="57"/>
  <c r="L79" i="57"/>
  <c r="K79" i="57"/>
  <c r="J79" i="57"/>
  <c r="I79" i="57"/>
  <c r="H79" i="57"/>
  <c r="G79" i="57"/>
  <c r="L78" i="57"/>
  <c r="K78" i="57"/>
  <c r="J78" i="57"/>
  <c r="I78" i="57"/>
  <c r="H78" i="57"/>
  <c r="G78" i="57"/>
  <c r="L77" i="57"/>
  <c r="K77" i="57"/>
  <c r="J77" i="57"/>
  <c r="I77" i="57"/>
  <c r="H77" i="57"/>
  <c r="G77" i="57"/>
  <c r="L76" i="57"/>
  <c r="K76" i="57"/>
  <c r="J76" i="57"/>
  <c r="I76" i="57"/>
  <c r="H76" i="57"/>
  <c r="G76" i="57"/>
  <c r="L75" i="57"/>
  <c r="K75" i="57"/>
  <c r="J75" i="57"/>
  <c r="I75" i="57"/>
  <c r="H75" i="57"/>
  <c r="G75" i="57"/>
  <c r="L74" i="57"/>
  <c r="K74" i="57"/>
  <c r="J74" i="57"/>
  <c r="I74" i="57"/>
  <c r="H74" i="57"/>
  <c r="G74" i="57"/>
  <c r="L73" i="57"/>
  <c r="K73" i="57"/>
  <c r="J73" i="57"/>
  <c r="I73" i="57"/>
  <c r="H73" i="57"/>
  <c r="G73" i="57"/>
  <c r="F73" i="57"/>
  <c r="L72" i="57"/>
  <c r="K72" i="57"/>
  <c r="J72" i="57"/>
  <c r="I72" i="57"/>
  <c r="H72" i="57"/>
  <c r="G72" i="57"/>
  <c r="F72" i="57"/>
  <c r="L71" i="57"/>
  <c r="K71" i="57"/>
  <c r="J71" i="57"/>
  <c r="I71" i="57"/>
  <c r="H71" i="57"/>
  <c r="G71" i="57"/>
  <c r="L70" i="57"/>
  <c r="K70" i="57"/>
  <c r="J70" i="57"/>
  <c r="I70" i="57"/>
  <c r="H70" i="57"/>
  <c r="G70" i="57"/>
  <c r="L69" i="57"/>
  <c r="K69" i="57"/>
  <c r="J69" i="57"/>
  <c r="I69" i="57"/>
  <c r="H69" i="57"/>
  <c r="G69" i="57"/>
  <c r="L68" i="57"/>
  <c r="K68" i="57"/>
  <c r="J68" i="57"/>
  <c r="I68" i="57"/>
  <c r="H68" i="57"/>
  <c r="G68" i="57"/>
  <c r="L67" i="57"/>
  <c r="K67" i="57"/>
  <c r="J67" i="57"/>
  <c r="I67" i="57"/>
  <c r="H67" i="57"/>
  <c r="G67" i="57"/>
  <c r="L66" i="57"/>
  <c r="K66" i="57"/>
  <c r="J66" i="57"/>
  <c r="I66" i="57"/>
  <c r="H66" i="57"/>
  <c r="G66" i="57"/>
  <c r="L65" i="57"/>
  <c r="K65" i="57"/>
  <c r="J65" i="57"/>
  <c r="I65" i="57"/>
  <c r="H65" i="57"/>
  <c r="G65" i="57"/>
  <c r="F65" i="57"/>
  <c r="L64" i="57"/>
  <c r="K64" i="57"/>
  <c r="J64" i="57"/>
  <c r="I64" i="57"/>
  <c r="H64" i="57"/>
  <c r="G64" i="57"/>
  <c r="F64" i="57"/>
  <c r="L63" i="57"/>
  <c r="K63" i="57"/>
  <c r="J63" i="57"/>
  <c r="I63" i="57"/>
  <c r="H63" i="57"/>
  <c r="G63" i="57"/>
  <c r="L62" i="57"/>
  <c r="K62" i="57"/>
  <c r="J62" i="57"/>
  <c r="I62" i="57"/>
  <c r="H62" i="57"/>
  <c r="G62" i="57"/>
  <c r="L61" i="57"/>
  <c r="K61" i="57"/>
  <c r="J61" i="57"/>
  <c r="I61" i="57"/>
  <c r="H61" i="57"/>
  <c r="G61" i="57"/>
  <c r="L60" i="57"/>
  <c r="K60" i="57"/>
  <c r="J60" i="57"/>
  <c r="I60" i="57"/>
  <c r="H60" i="57"/>
  <c r="G60" i="57"/>
  <c r="L59" i="57"/>
  <c r="K59" i="57"/>
  <c r="J59" i="57"/>
  <c r="I59" i="57"/>
  <c r="H59" i="57"/>
  <c r="G59" i="57"/>
  <c r="L58" i="57"/>
  <c r="K58" i="57"/>
  <c r="J58" i="57"/>
  <c r="I58" i="57"/>
  <c r="H58" i="57"/>
  <c r="G58" i="57"/>
  <c r="L57" i="57"/>
  <c r="K57" i="57"/>
  <c r="J57" i="57"/>
  <c r="I57" i="57"/>
  <c r="H57" i="57"/>
  <c r="G57" i="57"/>
  <c r="F57" i="57"/>
  <c r="L56" i="57"/>
  <c r="K56" i="57"/>
  <c r="J56" i="57"/>
  <c r="I56" i="57"/>
  <c r="H56" i="57"/>
  <c r="G56" i="57"/>
  <c r="F56" i="57"/>
  <c r="L55" i="57"/>
  <c r="K55" i="57"/>
  <c r="J55" i="57"/>
  <c r="I55" i="57"/>
  <c r="H55" i="57"/>
  <c r="G55" i="57"/>
  <c r="L54" i="57"/>
  <c r="K54" i="57"/>
  <c r="J54" i="57"/>
  <c r="I54" i="57"/>
  <c r="H54" i="57"/>
  <c r="G54" i="57"/>
  <c r="L53" i="57"/>
  <c r="K53" i="57"/>
  <c r="J53" i="57"/>
  <c r="I53" i="57"/>
  <c r="H53" i="57"/>
  <c r="G53" i="57"/>
  <c r="L52" i="57"/>
  <c r="K52" i="57"/>
  <c r="J52" i="57"/>
  <c r="I52" i="57"/>
  <c r="H52" i="57"/>
  <c r="G52" i="57"/>
  <c r="F52" i="57"/>
  <c r="L51" i="57"/>
  <c r="K51" i="57"/>
  <c r="J51" i="57"/>
  <c r="I51" i="57"/>
  <c r="H51" i="57"/>
  <c r="G51" i="57"/>
  <c r="L50" i="57"/>
  <c r="K50" i="57"/>
  <c r="J50" i="57"/>
  <c r="I50" i="57"/>
  <c r="H50" i="57"/>
  <c r="G50" i="57"/>
  <c r="L49" i="57"/>
  <c r="K49" i="57"/>
  <c r="J49" i="57"/>
  <c r="I49" i="57"/>
  <c r="H49" i="57"/>
  <c r="G49" i="57"/>
  <c r="F49" i="57"/>
  <c r="L48" i="57"/>
  <c r="K48" i="57"/>
  <c r="J48" i="57"/>
  <c r="I48" i="57"/>
  <c r="H48" i="57"/>
  <c r="G48" i="57"/>
  <c r="F48" i="57"/>
  <c r="L47" i="57"/>
  <c r="K47" i="57"/>
  <c r="J47" i="57"/>
  <c r="I47" i="57"/>
  <c r="H47" i="57"/>
  <c r="G47" i="57"/>
  <c r="L46" i="57"/>
  <c r="K46" i="57"/>
  <c r="J46" i="57"/>
  <c r="I46" i="57"/>
  <c r="H46" i="57"/>
  <c r="G46" i="57"/>
  <c r="L45" i="57"/>
  <c r="K45" i="57"/>
  <c r="J45" i="57"/>
  <c r="I45" i="57"/>
  <c r="H45" i="57"/>
  <c r="G45" i="57"/>
  <c r="F45" i="57"/>
  <c r="L44" i="57"/>
  <c r="K44" i="57"/>
  <c r="J44" i="57"/>
  <c r="I44" i="57"/>
  <c r="H44" i="57"/>
  <c r="G44" i="57"/>
  <c r="F44" i="57"/>
  <c r="L43" i="57"/>
  <c r="K43" i="57"/>
  <c r="J43" i="57"/>
  <c r="I43" i="57"/>
  <c r="H43" i="57"/>
  <c r="G43" i="57"/>
  <c r="L42" i="57"/>
  <c r="K42" i="57"/>
  <c r="J42" i="57"/>
  <c r="I42" i="57"/>
  <c r="H42" i="57"/>
  <c r="G42" i="57"/>
  <c r="F42" i="57"/>
  <c r="L41" i="57"/>
  <c r="K41" i="57"/>
  <c r="J41" i="57"/>
  <c r="I41" i="57"/>
  <c r="H41" i="57"/>
  <c r="G41" i="57"/>
  <c r="F41" i="57"/>
  <c r="L40" i="57"/>
  <c r="K40" i="57"/>
  <c r="J40" i="57"/>
  <c r="I40" i="57"/>
  <c r="H40" i="57"/>
  <c r="G40" i="57"/>
  <c r="F40" i="57"/>
  <c r="L39" i="57"/>
  <c r="K39" i="57"/>
  <c r="J39" i="57"/>
  <c r="I39" i="57"/>
  <c r="H39" i="57"/>
  <c r="G39" i="57"/>
  <c r="L38" i="57"/>
  <c r="K38" i="57"/>
  <c r="J38" i="57"/>
  <c r="I38" i="57"/>
  <c r="H38" i="57"/>
  <c r="G38" i="57"/>
  <c r="L37" i="57"/>
  <c r="K37" i="57"/>
  <c r="J37" i="57"/>
  <c r="I37" i="57"/>
  <c r="H37" i="57"/>
  <c r="G37" i="57"/>
  <c r="L36" i="57"/>
  <c r="K36" i="57"/>
  <c r="J36" i="57"/>
  <c r="I36" i="57"/>
  <c r="H36" i="57"/>
  <c r="G36" i="57"/>
  <c r="F36" i="57"/>
  <c r="L35" i="57"/>
  <c r="K35" i="57"/>
  <c r="J35" i="57"/>
  <c r="I35" i="57"/>
  <c r="H35" i="57"/>
  <c r="G35" i="57"/>
  <c r="L34" i="57"/>
  <c r="K34" i="57"/>
  <c r="J34" i="57"/>
  <c r="I34" i="57"/>
  <c r="H34" i="57"/>
  <c r="G34" i="57"/>
  <c r="F34" i="57"/>
  <c r="L33" i="57"/>
  <c r="K33" i="57"/>
  <c r="J33" i="57"/>
  <c r="I33" i="57"/>
  <c r="H33" i="57"/>
  <c r="G33" i="57"/>
  <c r="F33" i="57"/>
  <c r="L32" i="57"/>
  <c r="K32" i="57"/>
  <c r="J32" i="57"/>
  <c r="I32" i="57"/>
  <c r="H32" i="57"/>
  <c r="G32" i="57"/>
  <c r="F32" i="57"/>
  <c r="L31" i="57"/>
  <c r="K31" i="57"/>
  <c r="J31" i="57"/>
  <c r="I31" i="57"/>
  <c r="H31" i="57"/>
  <c r="G31" i="57"/>
  <c r="L30" i="57"/>
  <c r="K30" i="57"/>
  <c r="J30" i="57"/>
  <c r="I30" i="57"/>
  <c r="H30" i="57"/>
  <c r="G30" i="57"/>
  <c r="L29" i="57"/>
  <c r="K29" i="57"/>
  <c r="J29" i="57"/>
  <c r="I29" i="57"/>
  <c r="H29" i="57"/>
  <c r="G29" i="57"/>
  <c r="L28" i="57"/>
  <c r="K28" i="57"/>
  <c r="J28" i="57"/>
  <c r="I28" i="57"/>
  <c r="H28" i="57"/>
  <c r="G28" i="57"/>
  <c r="F28" i="57"/>
  <c r="L27" i="57"/>
  <c r="K27" i="57"/>
  <c r="J27" i="57"/>
  <c r="I27" i="57"/>
  <c r="H27" i="57"/>
  <c r="G27" i="57"/>
  <c r="L26" i="57"/>
  <c r="K26" i="57"/>
  <c r="J26" i="57"/>
  <c r="I26" i="57"/>
  <c r="H26" i="57"/>
  <c r="G26" i="57"/>
  <c r="L25" i="57"/>
  <c r="K25" i="57"/>
  <c r="J25" i="57"/>
  <c r="I25" i="57"/>
  <c r="H25" i="57"/>
  <c r="G25" i="57"/>
  <c r="F25" i="57"/>
  <c r="L24" i="57"/>
  <c r="K24" i="57"/>
  <c r="J24" i="57"/>
  <c r="I24" i="57"/>
  <c r="H24" i="57"/>
  <c r="G24" i="57"/>
  <c r="F24" i="57"/>
  <c r="L23" i="57"/>
  <c r="K23" i="57"/>
  <c r="J23" i="57"/>
  <c r="I23" i="57"/>
  <c r="H23" i="57"/>
  <c r="G23" i="57"/>
  <c r="L22" i="57"/>
  <c r="K22" i="57"/>
  <c r="J22" i="57"/>
  <c r="I22" i="57"/>
  <c r="H22" i="57"/>
  <c r="G22" i="57"/>
  <c r="L21" i="57"/>
  <c r="K21" i="57"/>
  <c r="J21" i="57"/>
  <c r="I21" i="57"/>
  <c r="H21" i="57"/>
  <c r="G21" i="57"/>
  <c r="L20" i="57"/>
  <c r="K20" i="57"/>
  <c r="J20" i="57"/>
  <c r="I20" i="57"/>
  <c r="H20" i="57"/>
  <c r="G20" i="57"/>
  <c r="F20" i="57"/>
  <c r="L19" i="57"/>
  <c r="K19" i="57"/>
  <c r="J19" i="57"/>
  <c r="I19" i="57"/>
  <c r="H19" i="57"/>
  <c r="G19" i="57"/>
  <c r="L18" i="57"/>
  <c r="K18" i="57"/>
  <c r="J18" i="57"/>
  <c r="I18" i="57"/>
  <c r="H18" i="57"/>
  <c r="G18" i="57"/>
  <c r="L17" i="57"/>
  <c r="K17" i="57"/>
  <c r="J17" i="57"/>
  <c r="I17" i="57"/>
  <c r="H17" i="57"/>
  <c r="G17" i="57"/>
  <c r="F17" i="57"/>
  <c r="L16" i="57"/>
  <c r="K16" i="57"/>
  <c r="J16" i="57"/>
  <c r="I16" i="57"/>
  <c r="H16" i="57"/>
  <c r="G16" i="57"/>
  <c r="F16" i="57"/>
  <c r="L15" i="57"/>
  <c r="K15" i="57"/>
  <c r="J15" i="57"/>
  <c r="I15" i="57"/>
  <c r="H15" i="57"/>
  <c r="G15" i="57"/>
  <c r="F15" i="57"/>
  <c r="L14" i="57"/>
  <c r="K14" i="57"/>
  <c r="J14" i="57"/>
  <c r="I14" i="57"/>
  <c r="H14" i="57"/>
  <c r="G14" i="57"/>
  <c r="F14" i="57"/>
  <c r="L13" i="57"/>
  <c r="K13" i="57"/>
  <c r="J13" i="57"/>
  <c r="I13" i="57"/>
  <c r="H13" i="57"/>
  <c r="G13" i="57"/>
  <c r="F13" i="57"/>
  <c r="L12" i="57"/>
  <c r="K12" i="57"/>
  <c r="J12" i="57"/>
  <c r="I12" i="57"/>
  <c r="H12" i="57"/>
  <c r="G12" i="57"/>
  <c r="F12" i="57"/>
  <c r="L11" i="57"/>
  <c r="K11" i="57"/>
  <c r="J11" i="57"/>
  <c r="I11" i="57"/>
  <c r="H11" i="57"/>
  <c r="G11" i="57"/>
  <c r="F11" i="57"/>
  <c r="A11" i="57"/>
  <c r="L10" i="57"/>
  <c r="K10" i="57"/>
  <c r="J10" i="57"/>
  <c r="I10" i="57"/>
  <c r="H10" i="57"/>
  <c r="G10" i="57"/>
  <c r="F10" i="57"/>
  <c r="AI15" i="29"/>
  <c r="AA15" i="29"/>
  <c r="S15" i="29"/>
  <c r="K15" i="29"/>
  <c r="C15" i="29"/>
  <c r="R39" i="57" l="1"/>
  <c r="R40" i="57"/>
  <c r="R52" i="57" s="1"/>
  <c r="R37" i="57"/>
  <c r="R38" i="57"/>
  <c r="R36" i="57"/>
  <c r="R48" i="57" s="1"/>
  <c r="R42" i="57"/>
  <c r="R41" i="57"/>
  <c r="R43" i="57"/>
  <c r="S43" i="57" s="1"/>
  <c r="N45" i="57"/>
  <c r="J130" i="57"/>
  <c r="I132" i="57"/>
  <c r="E153" i="57"/>
  <c r="N39" i="57"/>
  <c r="N35" i="57"/>
  <c r="F117" i="57"/>
  <c r="R44" i="57" s="1"/>
  <c r="F129" i="57"/>
  <c r="F121" i="57"/>
  <c r="F120" i="57"/>
  <c r="R45" i="57" s="1"/>
  <c r="R57" i="57" s="1"/>
  <c r="N48" i="57"/>
  <c r="N28" i="57"/>
  <c r="N97" i="57"/>
  <c r="N113" i="57"/>
  <c r="N122" i="57"/>
  <c r="I152" i="57"/>
  <c r="N78" i="57"/>
  <c r="N83" i="57"/>
  <c r="N88" i="57"/>
  <c r="N89" i="57"/>
  <c r="N104" i="57"/>
  <c r="N117" i="57"/>
  <c r="G147" i="57"/>
  <c r="N26" i="57"/>
  <c r="N126" i="57"/>
  <c r="H134" i="57"/>
  <c r="H138" i="57"/>
  <c r="G133" i="57"/>
  <c r="J149" i="57"/>
  <c r="N51" i="57"/>
  <c r="N77" i="57"/>
  <c r="N107" i="57"/>
  <c r="N50" i="57"/>
  <c r="N30" i="57"/>
  <c r="I137" i="57"/>
  <c r="I141" i="57"/>
  <c r="I131" i="57"/>
  <c r="J138" i="57"/>
  <c r="I139" i="57"/>
  <c r="H147" i="57"/>
  <c r="N56" i="57"/>
  <c r="N61" i="57"/>
  <c r="N82" i="57"/>
  <c r="N91" i="57"/>
  <c r="N93" i="57"/>
  <c r="N118" i="57"/>
  <c r="N123" i="57"/>
  <c r="J144" i="57"/>
  <c r="J137" i="57"/>
  <c r="N22" i="57"/>
  <c r="I146" i="57"/>
  <c r="N36" i="57"/>
  <c r="I135" i="57"/>
  <c r="N53" i="57"/>
  <c r="N66" i="57"/>
  <c r="N71" i="57"/>
  <c r="N87" i="57"/>
  <c r="N95" i="57"/>
  <c r="N96" i="57"/>
  <c r="N98" i="57"/>
  <c r="N102" i="57"/>
  <c r="N128" i="57"/>
  <c r="I134" i="57"/>
  <c r="N47" i="57"/>
  <c r="N63" i="57"/>
  <c r="N69" i="57"/>
  <c r="I144" i="57"/>
  <c r="N92" i="57"/>
  <c r="N109" i="57"/>
  <c r="N40" i="57"/>
  <c r="G137" i="57"/>
  <c r="N79" i="57"/>
  <c r="N84" i="57"/>
  <c r="N94" i="57"/>
  <c r="N120" i="57"/>
  <c r="N31" i="57"/>
  <c r="J136" i="57"/>
  <c r="N27" i="57"/>
  <c r="N29" i="57"/>
  <c r="G140" i="57"/>
  <c r="N42" i="57"/>
  <c r="N57" i="57"/>
  <c r="N100" i="57"/>
  <c r="N105" i="57"/>
  <c r="I138" i="57"/>
  <c r="N125" i="57"/>
  <c r="N127" i="57"/>
  <c r="J142" i="57"/>
  <c r="N74" i="57"/>
  <c r="N106" i="57"/>
  <c r="J134" i="57"/>
  <c r="N111" i="57"/>
  <c r="H130" i="57"/>
  <c r="G135" i="57"/>
  <c r="H143" i="57"/>
  <c r="N54" i="57"/>
  <c r="N55" i="57"/>
  <c r="N62" i="57"/>
  <c r="N67" i="57"/>
  <c r="N72" i="57"/>
  <c r="N76" i="57"/>
  <c r="N110" i="57"/>
  <c r="N129" i="57"/>
  <c r="G134" i="57"/>
  <c r="G146" i="57"/>
  <c r="H144" i="57"/>
  <c r="H132" i="57"/>
  <c r="H133" i="57"/>
  <c r="H145" i="57"/>
  <c r="N70" i="57"/>
  <c r="H152" i="57"/>
  <c r="H140" i="57"/>
  <c r="N21" i="57"/>
  <c r="H141" i="57"/>
  <c r="H153" i="57"/>
  <c r="J139" i="57"/>
  <c r="N19" i="57"/>
  <c r="J151" i="57"/>
  <c r="J131" i="57"/>
  <c r="J143" i="57"/>
  <c r="I130" i="57"/>
  <c r="N65" i="57"/>
  <c r="N115" i="57"/>
  <c r="G139" i="57"/>
  <c r="I145" i="57"/>
  <c r="N25" i="57"/>
  <c r="N33" i="57"/>
  <c r="G141" i="57"/>
  <c r="H151" i="57"/>
  <c r="H139" i="57"/>
  <c r="N43" i="57"/>
  <c r="J141" i="57"/>
  <c r="J153" i="57"/>
  <c r="G136" i="57"/>
  <c r="G130" i="57"/>
  <c r="G142" i="57"/>
  <c r="A12" i="57"/>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86" i="57" s="1"/>
  <c r="A87" i="57" s="1"/>
  <c r="A88" i="57" s="1"/>
  <c r="A89" i="57" s="1"/>
  <c r="A90" i="57" s="1"/>
  <c r="A91" i="57" s="1"/>
  <c r="A92" i="57" s="1"/>
  <c r="A93" i="57" s="1"/>
  <c r="A94" i="57" s="1"/>
  <c r="A95" i="57" s="1"/>
  <c r="A96" i="57" s="1"/>
  <c r="A97" i="57" s="1"/>
  <c r="A98" i="57" s="1"/>
  <c r="A99" i="57" s="1"/>
  <c r="A100" i="57" s="1"/>
  <c r="A101" i="57" s="1"/>
  <c r="A102" i="57" s="1"/>
  <c r="A103" i="57" s="1"/>
  <c r="A104" i="57" s="1"/>
  <c r="A105" i="57" s="1"/>
  <c r="A106" i="57" s="1"/>
  <c r="A107" i="57" s="1"/>
  <c r="A108" i="57" s="1"/>
  <c r="A109" i="57" s="1"/>
  <c r="A110" i="57" s="1"/>
  <c r="A111" i="57" s="1"/>
  <c r="A112" i="57" s="1"/>
  <c r="A113" i="57" s="1"/>
  <c r="A114" i="57" s="1"/>
  <c r="A115" i="57" s="1"/>
  <c r="A116" i="57" s="1"/>
  <c r="A117" i="57" s="1"/>
  <c r="A118" i="57" s="1"/>
  <c r="A119" i="57" s="1"/>
  <c r="A120" i="57" s="1"/>
  <c r="A121" i="57" s="1"/>
  <c r="A122" i="57" s="1"/>
  <c r="A123" i="57" s="1"/>
  <c r="A124" i="57" s="1"/>
  <c r="A125" i="57" s="1"/>
  <c r="A126" i="57" s="1"/>
  <c r="A127" i="57" s="1"/>
  <c r="A128" i="57" s="1"/>
  <c r="A129" i="57" s="1"/>
  <c r="A130" i="57" s="1"/>
  <c r="A131" i="57" s="1"/>
  <c r="A132" i="57" s="1"/>
  <c r="A133" i="57" s="1"/>
  <c r="A134" i="57" s="1"/>
  <c r="A135" i="57" s="1"/>
  <c r="A136" i="57" s="1"/>
  <c r="A137" i="57" s="1"/>
  <c r="A138" i="57" s="1"/>
  <c r="A139" i="57" s="1"/>
  <c r="A140" i="57" s="1"/>
  <c r="A141" i="57" s="1"/>
  <c r="A142" i="57" s="1"/>
  <c r="A143" i="57" s="1"/>
  <c r="A144" i="57" s="1"/>
  <c r="A145" i="57" s="1"/>
  <c r="A146" i="57" s="1"/>
  <c r="A147" i="57" s="1"/>
  <c r="A148" i="57" s="1"/>
  <c r="A149" i="57" s="1"/>
  <c r="A150" i="57" s="1"/>
  <c r="A151" i="57" s="1"/>
  <c r="A152" i="57" s="1"/>
  <c r="A153" i="57" s="1"/>
  <c r="J135" i="57"/>
  <c r="J147" i="57"/>
  <c r="H148" i="57"/>
  <c r="H137" i="57"/>
  <c r="N17" i="57"/>
  <c r="H149" i="57"/>
  <c r="G138" i="57"/>
  <c r="N18" i="57"/>
  <c r="G150" i="57"/>
  <c r="N23" i="57"/>
  <c r="I150" i="57"/>
  <c r="N38" i="57"/>
  <c r="N58" i="57"/>
  <c r="N68" i="57"/>
  <c r="N99" i="57"/>
  <c r="N116" i="57"/>
  <c r="N121" i="57"/>
  <c r="G131" i="57"/>
  <c r="I140" i="57"/>
  <c r="I142" i="57"/>
  <c r="H135" i="57"/>
  <c r="G132" i="57"/>
  <c r="J146" i="57"/>
  <c r="G149" i="57"/>
  <c r="G143" i="57"/>
  <c r="H150" i="57"/>
  <c r="N24" i="57"/>
  <c r="N41" i="57"/>
  <c r="N44" i="57"/>
  <c r="N46" i="57"/>
  <c r="N52" i="57"/>
  <c r="N85" i="57"/>
  <c r="N103" i="57"/>
  <c r="H131" i="57"/>
  <c r="H146" i="57"/>
  <c r="J132" i="57"/>
  <c r="J140" i="57"/>
  <c r="N34" i="57"/>
  <c r="N73" i="57"/>
  <c r="N112" i="57"/>
  <c r="I136" i="57"/>
  <c r="G151" i="57"/>
  <c r="G148" i="57"/>
  <c r="J148" i="57"/>
  <c r="N75" i="57"/>
  <c r="N80" i="57"/>
  <c r="N86" i="57"/>
  <c r="N114" i="57"/>
  <c r="J152" i="57"/>
  <c r="I133" i="57"/>
  <c r="J133" i="57"/>
  <c r="J145" i="57"/>
  <c r="G144" i="57"/>
  <c r="I153" i="57"/>
  <c r="I147" i="57"/>
  <c r="H142" i="57"/>
  <c r="I149" i="57"/>
  <c r="I143" i="57"/>
  <c r="G145" i="57"/>
  <c r="N15" i="57"/>
  <c r="J150" i="57"/>
  <c r="I151" i="57"/>
  <c r="N20" i="57"/>
  <c r="G153" i="57"/>
  <c r="G152" i="57"/>
  <c r="N32" i="57"/>
  <c r="N37" i="57"/>
  <c r="N49" i="57"/>
  <c r="N59" i="57"/>
  <c r="N60" i="57"/>
  <c r="N64" i="57"/>
  <c r="N81" i="57"/>
  <c r="N90" i="57"/>
  <c r="N101" i="57"/>
  <c r="N108" i="57"/>
  <c r="N119" i="57"/>
  <c r="N124" i="57"/>
  <c r="H136" i="57"/>
  <c r="N16" i="57"/>
  <c r="I148" i="57"/>
  <c r="S41" i="57" l="1"/>
  <c r="R53" i="57"/>
  <c r="R54" i="57"/>
  <c r="S42" i="57"/>
  <c r="C168" i="57"/>
  <c r="S39" i="57"/>
  <c r="S38" i="57"/>
  <c r="R50" i="57"/>
  <c r="S37" i="57"/>
  <c r="R49" i="57"/>
  <c r="S40" i="57"/>
  <c r="R51" i="57"/>
  <c r="R55" i="57"/>
  <c r="R56" i="57"/>
  <c r="S45" i="57"/>
  <c r="S44" i="57"/>
  <c r="O105" i="57"/>
  <c r="T43" i="57" s="1"/>
  <c r="O21" i="57"/>
  <c r="T36" i="57" s="1"/>
  <c r="O129" i="57"/>
  <c r="T45" i="57" s="1"/>
  <c r="C171" i="57"/>
  <c r="O57" i="57"/>
  <c r="T39" i="57" s="1"/>
  <c r="O117" i="57"/>
  <c r="T44" i="57" s="1"/>
  <c r="O93" i="57"/>
  <c r="T42" i="57" s="1"/>
  <c r="O33" i="57"/>
  <c r="T37" i="57" s="1"/>
  <c r="C167" i="57"/>
  <c r="C169" i="57"/>
  <c r="C166" i="57"/>
  <c r="O45" i="57"/>
  <c r="T38" i="57" s="1"/>
  <c r="O69" i="57"/>
  <c r="T40" i="57" s="1"/>
  <c r="O81" i="57"/>
  <c r="T41" i="57" s="1"/>
  <c r="C170" i="57"/>
  <c r="V42" i="57" l="1"/>
  <c r="S54" i="57"/>
  <c r="T54" i="57" s="1"/>
  <c r="U42" i="57"/>
  <c r="S53" i="57"/>
  <c r="T53" i="57" s="1"/>
  <c r="V41" i="57"/>
  <c r="U45" i="57"/>
  <c r="S56" i="57"/>
  <c r="T56" i="57" s="1"/>
  <c r="V44" i="57"/>
  <c r="S49" i="57"/>
  <c r="T49" i="57" s="1"/>
  <c r="V37" i="57"/>
  <c r="U41" i="57"/>
  <c r="S52" i="57"/>
  <c r="T52" i="57" s="1"/>
  <c r="V40" i="57"/>
  <c r="U40" i="57"/>
  <c r="S51" i="57"/>
  <c r="T51" i="57" s="1"/>
  <c r="V39" i="57"/>
  <c r="U39" i="57"/>
  <c r="V38" i="57"/>
  <c r="S50" i="57"/>
  <c r="T50" i="57" s="1"/>
  <c r="U38" i="57"/>
  <c r="S57" i="57"/>
  <c r="T57" i="57" s="1"/>
  <c r="V45" i="57"/>
  <c r="U37" i="57"/>
  <c r="V36" i="57"/>
  <c r="S48" i="57"/>
  <c r="T48" i="57" s="1"/>
  <c r="U44" i="57"/>
  <c r="S55" i="57"/>
  <c r="T55" i="57" s="1"/>
  <c r="U43" i="57"/>
  <c r="V43" i="57"/>
  <c r="T58" i="57" l="1"/>
  <c r="T59" i="57"/>
  <c r="O18" i="6" l="1"/>
  <c r="O71" i="59" s="1"/>
  <c r="O17" i="6"/>
  <c r="O70" i="59" s="1"/>
  <c r="A12" i="4" l="1"/>
  <c r="X12" i="46"/>
  <c r="AR21" i="46"/>
  <c r="AR20" i="46"/>
  <c r="AT20" i="46" s="1"/>
  <c r="AR19" i="46"/>
  <c r="AT19" i="46" s="1"/>
  <c r="AR18" i="46"/>
  <c r="AT18" i="46" s="1"/>
  <c r="AR17" i="46"/>
  <c r="AT17" i="46" s="1"/>
  <c r="AR16" i="46"/>
  <c r="AT16" i="46" s="1"/>
  <c r="AR15" i="46"/>
  <c r="AT15" i="46" s="1"/>
  <c r="AR14" i="46"/>
  <c r="AT14" i="46" s="1"/>
  <c r="AR13" i="46"/>
  <c r="AT13" i="46" s="1"/>
  <c r="AR12" i="46"/>
  <c r="AT12" i="46" s="1"/>
  <c r="AH21" i="46"/>
  <c r="AH20" i="46"/>
  <c r="AJ20" i="46" s="1"/>
  <c r="AH19" i="46"/>
  <c r="AJ19" i="46" s="1"/>
  <c r="AH18" i="46"/>
  <c r="AJ18" i="46" s="1"/>
  <c r="AH17" i="46"/>
  <c r="AJ17" i="46" s="1"/>
  <c r="AH16" i="46"/>
  <c r="AJ16" i="46" s="1"/>
  <c r="AH15" i="46"/>
  <c r="AJ15" i="46" s="1"/>
  <c r="AH14" i="46"/>
  <c r="AJ14" i="46" s="1"/>
  <c r="AH13" i="46"/>
  <c r="AJ13" i="46" s="1"/>
  <c r="AH12" i="46"/>
  <c r="AJ12" i="46" s="1"/>
  <c r="X21" i="46"/>
  <c r="L71" i="59" s="1"/>
  <c r="N71" i="59" s="1"/>
  <c r="P71" i="59" s="1"/>
  <c r="X20" i="46"/>
  <c r="X19" i="46"/>
  <c r="X18" i="46"/>
  <c r="X17" i="46"/>
  <c r="X16" i="46"/>
  <c r="X15" i="46"/>
  <c r="X14" i="46"/>
  <c r="X13" i="46"/>
  <c r="N20" i="46"/>
  <c r="N19" i="46"/>
  <c r="P19" i="46" s="1"/>
  <c r="N18" i="46"/>
  <c r="P18" i="46" s="1"/>
  <c r="N17" i="46"/>
  <c r="P17" i="46" s="1"/>
  <c r="N16" i="46"/>
  <c r="P16" i="46" s="1"/>
  <c r="N15" i="46"/>
  <c r="P15" i="46" s="1"/>
  <c r="N14" i="46"/>
  <c r="P14" i="46" s="1"/>
  <c r="L48" i="59" s="1"/>
  <c r="N48" i="59" s="1"/>
  <c r="P48" i="59" s="1"/>
  <c r="N13" i="46"/>
  <c r="P13" i="46" s="1"/>
  <c r="L47" i="59" s="1"/>
  <c r="N47" i="59" s="1"/>
  <c r="P47" i="59" s="1"/>
  <c r="N12" i="46"/>
  <c r="P12" i="46" s="1"/>
  <c r="L46" i="59" s="1"/>
  <c r="N46" i="59" s="1"/>
  <c r="P46" i="59" s="1"/>
  <c r="C21" i="46"/>
  <c r="E21" i="46" s="1"/>
  <c r="J21" i="46" s="1"/>
  <c r="J25" i="46" s="1"/>
  <c r="C20" i="46"/>
  <c r="E20" i="46" s="1"/>
  <c r="L39" i="59" s="1"/>
  <c r="N39" i="59" s="1"/>
  <c r="C19" i="46"/>
  <c r="E19" i="46" s="1"/>
  <c r="L38" i="59" s="1"/>
  <c r="N38" i="59" s="1"/>
  <c r="C18" i="46"/>
  <c r="E18" i="46" s="1"/>
  <c r="L37" i="59" s="1"/>
  <c r="N37" i="59" s="1"/>
  <c r="C17" i="46"/>
  <c r="E17" i="46" s="1"/>
  <c r="L36" i="59" s="1"/>
  <c r="N36" i="59" s="1"/>
  <c r="C16" i="46"/>
  <c r="E16" i="46" s="1"/>
  <c r="L35" i="59" s="1"/>
  <c r="N35" i="59" s="1"/>
  <c r="C15" i="46"/>
  <c r="E15" i="46" s="1"/>
  <c r="L34" i="59" s="1"/>
  <c r="N34" i="59" s="1"/>
  <c r="C14" i="46"/>
  <c r="E14" i="46" s="1"/>
  <c r="L33" i="59" s="1"/>
  <c r="N33" i="59" s="1"/>
  <c r="C13" i="46"/>
  <c r="E13" i="46" s="1"/>
  <c r="L32" i="59" s="1"/>
  <c r="N32" i="59" s="1"/>
  <c r="C12" i="46"/>
  <c r="E12" i="46" s="1"/>
  <c r="L31" i="59" s="1"/>
  <c r="N31" i="59" s="1"/>
  <c r="B73" i="32"/>
  <c r="F73" i="32" s="1"/>
  <c r="AU21" i="46"/>
  <c r="AX21" i="46" s="1"/>
  <c r="AU20" i="46"/>
  <c r="AU19" i="46"/>
  <c r="AU18" i="46"/>
  <c r="AY18" i="46" s="1"/>
  <c r="AU17" i="46"/>
  <c r="AU16" i="46"/>
  <c r="AX16" i="46" s="1"/>
  <c r="AU15" i="46"/>
  <c r="AX15" i="46" s="1"/>
  <c r="AU14" i="46"/>
  <c r="AY14" i="46" s="1"/>
  <c r="AU13" i="46"/>
  <c r="AW13" i="46" s="1"/>
  <c r="AU12" i="46"/>
  <c r="AX12" i="46" s="1"/>
  <c r="AQ38" i="46"/>
  <c r="L49" i="59" l="1"/>
  <c r="N49" i="59" s="1"/>
  <c r="P49" i="59" s="1"/>
  <c r="L50" i="59"/>
  <c r="N50" i="59" s="1"/>
  <c r="P50" i="59" s="1"/>
  <c r="L51" i="59"/>
  <c r="N51" i="59" s="1"/>
  <c r="P51" i="59" s="1"/>
  <c r="Q51" i="59" s="1"/>
  <c r="L52" i="59"/>
  <c r="N52" i="59" s="1"/>
  <c r="P52" i="59" s="1"/>
  <c r="Q49" i="59"/>
  <c r="Q48" i="59"/>
  <c r="Z14" i="46"/>
  <c r="L64" i="59"/>
  <c r="N64" i="59" s="1"/>
  <c r="Q50" i="59"/>
  <c r="Z15" i="46"/>
  <c r="L65" i="59"/>
  <c r="N65" i="59" s="1"/>
  <c r="Z17" i="46"/>
  <c r="L67" i="59"/>
  <c r="N67" i="59" s="1"/>
  <c r="Z19" i="46"/>
  <c r="L69" i="59"/>
  <c r="N69" i="59" s="1"/>
  <c r="Z18" i="46"/>
  <c r="L68" i="59"/>
  <c r="N68" i="59" s="1"/>
  <c r="Z12" i="46"/>
  <c r="L62" i="59"/>
  <c r="N62" i="59" s="1"/>
  <c r="Q47" i="59"/>
  <c r="Z20" i="46"/>
  <c r="L70" i="59"/>
  <c r="N70" i="59" s="1"/>
  <c r="P70" i="59" s="1"/>
  <c r="Z16" i="46"/>
  <c r="L66" i="59"/>
  <c r="N66" i="59" s="1"/>
  <c r="Z13" i="46"/>
  <c r="L63" i="59"/>
  <c r="N63" i="59" s="1"/>
  <c r="L53" i="59"/>
  <c r="N53" i="59" s="1"/>
  <c r="P53" i="59" s="1"/>
  <c r="L40" i="59"/>
  <c r="N40" i="59" s="1"/>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Z21" i="46"/>
  <c r="AJ21" i="46"/>
  <c r="AT21" i="46"/>
  <c r="AY19" i="46"/>
  <c r="AY20" i="46"/>
  <c r="AX17" i="46"/>
  <c r="AY16" i="46"/>
  <c r="AY17" i="46"/>
  <c r="AY12" i="46"/>
  <c r="AW12" i="46"/>
  <c r="AY15" i="46"/>
  <c r="AW16" i="46"/>
  <c r="AW15" i="46"/>
  <c r="AW14" i="46"/>
  <c r="AX14" i="46"/>
  <c r="AW17" i="46"/>
  <c r="AW21" i="46"/>
  <c r="AY13" i="46"/>
  <c r="AW19" i="46"/>
  <c r="AX20" i="46"/>
  <c r="AY21" i="46"/>
  <c r="AX13" i="46"/>
  <c r="AW20" i="46"/>
  <c r="AW18" i="46"/>
  <c r="AX19" i="46"/>
  <c r="AX18" i="46"/>
  <c r="Q52" i="59" l="1"/>
  <c r="Q71" i="59"/>
  <c r="Q53" i="59"/>
  <c r="AY25" i="46"/>
  <c r="AX25" i="46"/>
  <c r="AV40" i="46" s="1"/>
  <c r="AW25" i="46"/>
  <c r="AU40" i="46" s="1"/>
  <c r="AV41" i="46" l="1"/>
  <c r="AU41" i="46"/>
  <c r="B64" i="32" l="1"/>
  <c r="F64" i="32" s="1"/>
  <c r="B65" i="32"/>
  <c r="F65" i="32" s="1"/>
  <c r="B66" i="32"/>
  <c r="F66" i="32" s="1"/>
  <c r="B67" i="32"/>
  <c r="F67" i="32" s="1"/>
  <c r="B68" i="32"/>
  <c r="F68" i="32" s="1"/>
  <c r="B69" i="32"/>
  <c r="F69" i="32" s="1"/>
  <c r="B70" i="32"/>
  <c r="F70" i="32" s="1"/>
  <c r="B71" i="32"/>
  <c r="F71" i="32" s="1"/>
  <c r="B72" i="32"/>
  <c r="F72" i="32" s="1"/>
  <c r="AA21" i="46"/>
  <c r="AA20" i="46"/>
  <c r="AA19" i="46"/>
  <c r="AA18" i="46"/>
  <c r="AA17" i="46"/>
  <c r="AA16" i="46"/>
  <c r="AE16" i="46" s="1"/>
  <c r="AA14" i="46"/>
  <c r="AE14" i="46" s="1"/>
  <c r="AA13" i="46"/>
  <c r="AE13" i="46" s="1"/>
  <c r="AA12" i="46"/>
  <c r="AE12" i="46" s="1"/>
  <c r="AE15" i="46"/>
  <c r="AK13" i="46"/>
  <c r="AK15" i="46"/>
  <c r="AK16" i="46"/>
  <c r="AK14" i="46"/>
  <c r="AK12" i="46"/>
  <c r="AK17" i="46"/>
  <c r="AK18" i="46"/>
  <c r="AK19" i="46"/>
  <c r="AK20" i="46"/>
  <c r="AK21" i="46"/>
  <c r="AG38" i="46"/>
  <c r="W38" i="46"/>
  <c r="M38" i="46"/>
  <c r="B38" i="46"/>
  <c r="H33" i="32" l="1"/>
  <c r="L58" i="38" s="1"/>
  <c r="G74" i="47" s="1"/>
  <c r="R9" i="47" s="1"/>
  <c r="N28" i="32"/>
  <c r="I64" i="38" s="1"/>
  <c r="H36" i="32"/>
  <c r="M58" i="38" s="1"/>
  <c r="N41" i="32"/>
  <c r="P64" i="38" s="1"/>
  <c r="M41" i="32"/>
  <c r="P63" i="38" s="1"/>
  <c r="L41" i="32"/>
  <c r="P62" i="38" s="1"/>
  <c r="K41" i="32"/>
  <c r="P61" i="38" s="1"/>
  <c r="AO16" i="46"/>
  <c r="I41" i="32"/>
  <c r="P59" i="38" s="1"/>
  <c r="AO12" i="46"/>
  <c r="E41" i="32"/>
  <c r="P55" i="38" s="1"/>
  <c r="AO14" i="46"/>
  <c r="G41" i="32"/>
  <c r="P57" i="38" s="1"/>
  <c r="AO13" i="46"/>
  <c r="F41" i="32"/>
  <c r="P56" i="38" s="1"/>
  <c r="AO15" i="46"/>
  <c r="H41" i="32"/>
  <c r="P58" i="38" s="1"/>
  <c r="AO17" i="46"/>
  <c r="J41" i="32"/>
  <c r="P60" i="38" s="1"/>
  <c r="E40" i="32"/>
  <c r="O55" i="38" s="1"/>
  <c r="M40" i="32"/>
  <c r="O63" i="38" s="1"/>
  <c r="H40" i="32"/>
  <c r="O58" i="38" s="1"/>
  <c r="J32" i="32"/>
  <c r="K60" i="38" s="1"/>
  <c r="F40" i="32"/>
  <c r="O56" i="38" s="1"/>
  <c r="N40" i="32"/>
  <c r="O64" i="38" s="1"/>
  <c r="G40" i="32"/>
  <c r="O57" i="38" s="1"/>
  <c r="K40" i="32"/>
  <c r="L40" i="32"/>
  <c r="O62" i="38" s="1"/>
  <c r="I40" i="32"/>
  <c r="O59" i="38" s="1"/>
  <c r="J24" i="32"/>
  <c r="G60" i="38" s="1"/>
  <c r="J40" i="32"/>
  <c r="L28" i="32"/>
  <c r="I62" i="38" s="1"/>
  <c r="L24" i="32"/>
  <c r="G62" i="38" s="1"/>
  <c r="N24" i="32"/>
  <c r="G64" i="38" s="1"/>
  <c r="K28" i="32"/>
  <c r="I61" i="38" s="1"/>
  <c r="K24" i="32"/>
  <c r="G61" i="38" s="1"/>
  <c r="J28" i="32"/>
  <c r="I60" i="38" s="1"/>
  <c r="I28" i="32"/>
  <c r="I59" i="38" s="1"/>
  <c r="E59" i="47" s="1"/>
  <c r="E28" i="32"/>
  <c r="I55" i="38" s="1"/>
  <c r="E55" i="47" s="1"/>
  <c r="F24" i="32"/>
  <c r="G56" i="38" s="1"/>
  <c r="I24" i="32"/>
  <c r="G59" i="38" s="1"/>
  <c r="H28" i="32"/>
  <c r="I58" i="38" s="1"/>
  <c r="E58" i="47" s="1"/>
  <c r="H24" i="32"/>
  <c r="G58" i="38" s="1"/>
  <c r="M24" i="32"/>
  <c r="G63" i="38" s="1"/>
  <c r="G28" i="32"/>
  <c r="I57" i="38" s="1"/>
  <c r="E57" i="47" s="1"/>
  <c r="E24" i="32"/>
  <c r="G55" i="38" s="1"/>
  <c r="F28" i="32"/>
  <c r="I56" i="38" s="1"/>
  <c r="E56" i="47" s="1"/>
  <c r="G24" i="32"/>
  <c r="G57" i="38" s="1"/>
  <c r="L37" i="32"/>
  <c r="N62" i="38" s="1"/>
  <c r="G94" i="47" s="1"/>
  <c r="H95" i="47" s="1"/>
  <c r="L21" i="32"/>
  <c r="F62" i="38" s="1"/>
  <c r="G30" i="47" s="1"/>
  <c r="P17" i="32"/>
  <c r="D66" i="38" s="1"/>
  <c r="G18" i="47" s="1"/>
  <c r="H17" i="32"/>
  <c r="D58" i="38" s="1"/>
  <c r="G10" i="47" s="1"/>
  <c r="H37" i="32"/>
  <c r="N58" i="38" s="1"/>
  <c r="G90" i="47" s="1"/>
  <c r="H91" i="47" s="1"/>
  <c r="K33" i="32"/>
  <c r="L61" i="38" s="1"/>
  <c r="G77" i="47" s="1"/>
  <c r="R12" i="47" s="1"/>
  <c r="J21" i="32"/>
  <c r="M17" i="32"/>
  <c r="D63" i="38" s="1"/>
  <c r="G15" i="47" s="1"/>
  <c r="G37" i="32"/>
  <c r="N57" i="38" s="1"/>
  <c r="G89" i="47" s="1"/>
  <c r="H90" i="47" s="1"/>
  <c r="I21" i="32"/>
  <c r="L17" i="32"/>
  <c r="D62" i="38" s="1"/>
  <c r="G14" i="47" s="1"/>
  <c r="F37" i="32"/>
  <c r="N56" i="38" s="1"/>
  <c r="G88" i="47" s="1"/>
  <c r="H89" i="47" s="1"/>
  <c r="H21" i="32"/>
  <c r="K17" i="32"/>
  <c r="D61" i="38" s="1"/>
  <c r="G13" i="47" s="1"/>
  <c r="M37" i="32"/>
  <c r="N63" i="38" s="1"/>
  <c r="G95" i="47" s="1"/>
  <c r="H96" i="47" s="1"/>
  <c r="F33" i="32"/>
  <c r="L56" i="38" s="1"/>
  <c r="G72" i="47" s="1"/>
  <c r="R7" i="47" s="1"/>
  <c r="O21" i="32"/>
  <c r="F65" i="38" s="1"/>
  <c r="G33" i="47" s="1"/>
  <c r="F21" i="32"/>
  <c r="I17" i="32"/>
  <c r="D59" i="38" s="1"/>
  <c r="G11" i="47" s="1"/>
  <c r="J37" i="32"/>
  <c r="N60" i="38" s="1"/>
  <c r="G92" i="47" s="1"/>
  <c r="H93" i="47" s="1"/>
  <c r="O17" i="32"/>
  <c r="D65" i="38" s="1"/>
  <c r="G17" i="47" s="1"/>
  <c r="E37" i="32"/>
  <c r="N55" i="38" s="1"/>
  <c r="G87" i="47" s="1"/>
  <c r="H88" i="47" s="1"/>
  <c r="P21" i="32"/>
  <c r="F66" i="38" s="1"/>
  <c r="G34" i="47" s="1"/>
  <c r="F17" i="32"/>
  <c r="D56" i="38" s="1"/>
  <c r="G8" i="47" s="1"/>
  <c r="E17" i="32"/>
  <c r="D55" i="38" s="1"/>
  <c r="G7" i="47" s="1"/>
  <c r="I37" i="32"/>
  <c r="N59" i="38" s="1"/>
  <c r="G91" i="47" s="1"/>
  <c r="H92" i="47" s="1"/>
  <c r="N17" i="32"/>
  <c r="D64" i="38" s="1"/>
  <c r="G16" i="47" s="1"/>
  <c r="J17" i="32"/>
  <c r="D60" i="38" s="1"/>
  <c r="G12" i="47" s="1"/>
  <c r="K21" i="32"/>
  <c r="N33" i="32"/>
  <c r="L64" i="38" s="1"/>
  <c r="G80" i="47" s="1"/>
  <c r="R15" i="47" s="1"/>
  <c r="N21" i="32"/>
  <c r="F64" i="38" s="1"/>
  <c r="G32" i="47" s="1"/>
  <c r="G17" i="32"/>
  <c r="D57" i="38" s="1"/>
  <c r="G9" i="47" s="1"/>
  <c r="M21" i="32"/>
  <c r="F63" i="38" s="1"/>
  <c r="G31" i="47" s="1"/>
  <c r="N37" i="32"/>
  <c r="N64" i="38" s="1"/>
  <c r="G96" i="47" s="1"/>
  <c r="H97" i="47" s="1"/>
  <c r="G21" i="32"/>
  <c r="K37" i="32"/>
  <c r="N61" i="38" s="1"/>
  <c r="G93" i="47" s="1"/>
  <c r="H94" i="47" s="1"/>
  <c r="E21" i="32"/>
  <c r="AE21" i="46"/>
  <c r="C27" i="32"/>
  <c r="C19" i="32"/>
  <c r="C35" i="32"/>
  <c r="C31" i="32"/>
  <c r="C23" i="32"/>
  <c r="C39" i="32"/>
  <c r="C15" i="32"/>
  <c r="AE19" i="46"/>
  <c r="AE20" i="46"/>
  <c r="AN15" i="46"/>
  <c r="AO19" i="46"/>
  <c r="AM12" i="46"/>
  <c r="AO18" i="46"/>
  <c r="AN12" i="46"/>
  <c r="AM20" i="46"/>
  <c r="AO20" i="46"/>
  <c r="AO21" i="46"/>
  <c r="AE17" i="46"/>
  <c r="AE18" i="46"/>
  <c r="AM14" i="46"/>
  <c r="AN14" i="46"/>
  <c r="AM15" i="46"/>
  <c r="AN16" i="46"/>
  <c r="AM16" i="46"/>
  <c r="AM13" i="46"/>
  <c r="AN13" i="46"/>
  <c r="N29" i="32"/>
  <c r="J64" i="38" s="1"/>
  <c r="G64" i="47" s="1"/>
  <c r="P15" i="47" s="1"/>
  <c r="Q20" i="46"/>
  <c r="M29" i="32" s="1"/>
  <c r="J63" i="38" s="1"/>
  <c r="G63" i="47" s="1"/>
  <c r="P14" i="47" s="1"/>
  <c r="P63" i="47" s="1"/>
  <c r="Q19" i="46"/>
  <c r="Q18" i="46"/>
  <c r="K29" i="32" s="1"/>
  <c r="J61" i="38" s="1"/>
  <c r="G61" i="47" s="1"/>
  <c r="P12" i="47" s="1"/>
  <c r="Q17" i="46"/>
  <c r="J29" i="32" s="1"/>
  <c r="J60" i="38" s="1"/>
  <c r="G60" i="47" s="1"/>
  <c r="P11" i="47" s="1"/>
  <c r="Q16" i="46"/>
  <c r="I29" i="32" s="1"/>
  <c r="J59" i="38" s="1"/>
  <c r="Q15" i="46"/>
  <c r="H29" i="32" s="1"/>
  <c r="J58" i="38" s="1"/>
  <c r="Q14" i="46"/>
  <c r="G29" i="32" s="1"/>
  <c r="J57" i="38" s="1"/>
  <c r="Q13" i="46"/>
  <c r="F29" i="32" s="1"/>
  <c r="J56" i="38" s="1"/>
  <c r="Q12" i="46"/>
  <c r="E29" i="32" s="1"/>
  <c r="J55" i="38" s="1"/>
  <c r="N25" i="32"/>
  <c r="H64" i="38" s="1"/>
  <c r="G48" i="47" s="1"/>
  <c r="N15" i="47" s="1"/>
  <c r="F20" i="46"/>
  <c r="M25" i="32" s="1"/>
  <c r="H63" i="38" s="1"/>
  <c r="G47" i="47" s="1"/>
  <c r="N14" i="47" s="1"/>
  <c r="N63" i="47" s="1"/>
  <c r="L25" i="32"/>
  <c r="H62" i="38" s="1"/>
  <c r="G46" i="47" s="1"/>
  <c r="N13" i="47" s="1"/>
  <c r="F18" i="46"/>
  <c r="F17" i="46"/>
  <c r="J25" i="32" s="1"/>
  <c r="H60" i="38" s="1"/>
  <c r="G44" i="47" s="1"/>
  <c r="N11" i="47" s="1"/>
  <c r="I25" i="32"/>
  <c r="H59" i="38" s="1"/>
  <c r="G43" i="47" s="1"/>
  <c r="N10" i="47" s="1"/>
  <c r="F15" i="46"/>
  <c r="H25" i="32" s="1"/>
  <c r="H58" i="38" s="1"/>
  <c r="G42" i="47" s="1"/>
  <c r="N9" i="47" s="1"/>
  <c r="F14" i="46"/>
  <c r="G25" i="32" s="1"/>
  <c r="H57" i="38" s="1"/>
  <c r="G41" i="47" s="1"/>
  <c r="N8" i="47" s="1"/>
  <c r="F13" i="46"/>
  <c r="F12" i="46"/>
  <c r="E25" i="32" s="1"/>
  <c r="H55" i="38" s="1"/>
  <c r="G39" i="47" s="1"/>
  <c r="N6" i="47" s="1"/>
  <c r="N55" i="47" s="1"/>
  <c r="AI25" i="29"/>
  <c r="AI24" i="29"/>
  <c r="AI23" i="29"/>
  <c r="AI22" i="29"/>
  <c r="AI21" i="29"/>
  <c r="AI20" i="29"/>
  <c r="AI19" i="29"/>
  <c r="AI18" i="29"/>
  <c r="AI17" i="29"/>
  <c r="AI16" i="29"/>
  <c r="AA16" i="29"/>
  <c r="AH35" i="29"/>
  <c r="J29" i="6"/>
  <c r="AA25" i="29"/>
  <c r="AA24" i="29"/>
  <c r="AA23" i="29"/>
  <c r="AA22" i="29"/>
  <c r="AA21" i="29"/>
  <c r="AA20" i="29"/>
  <c r="AA19" i="29"/>
  <c r="AA18" i="29"/>
  <c r="AA17" i="29"/>
  <c r="S25" i="29"/>
  <c r="S24" i="29"/>
  <c r="M36" i="32" s="1"/>
  <c r="M63" i="38" s="1"/>
  <c r="S23" i="29"/>
  <c r="C69" i="59" s="1"/>
  <c r="E69" i="59" s="1"/>
  <c r="S22" i="29"/>
  <c r="K36" i="32" s="1"/>
  <c r="M61" i="38" s="1"/>
  <c r="S21" i="29"/>
  <c r="J36" i="32" s="1"/>
  <c r="M60" i="38" s="1"/>
  <c r="I36" i="32"/>
  <c r="M59" i="38" s="1"/>
  <c r="S18" i="29"/>
  <c r="G36" i="32" s="1"/>
  <c r="M57" i="38" s="1"/>
  <c r="S17" i="29"/>
  <c r="F36" i="32" s="1"/>
  <c r="M56" i="38" s="1"/>
  <c r="S16" i="29"/>
  <c r="E36" i="32" s="1"/>
  <c r="M55" i="38" s="1"/>
  <c r="K25" i="29"/>
  <c r="C55" i="59" s="1"/>
  <c r="E55" i="59" s="1"/>
  <c r="K24" i="29"/>
  <c r="C54" i="59" s="1"/>
  <c r="E54" i="59" s="1"/>
  <c r="K23" i="29"/>
  <c r="C53" i="59" s="1"/>
  <c r="E53" i="59" s="1"/>
  <c r="K21" i="29"/>
  <c r="K22" i="29"/>
  <c r="C52" i="59" s="1"/>
  <c r="E52" i="59" s="1"/>
  <c r="K20" i="29"/>
  <c r="C50" i="59" s="1"/>
  <c r="E50" i="59" s="1"/>
  <c r="K19" i="29"/>
  <c r="C49" i="59" s="1"/>
  <c r="E49" i="59" s="1"/>
  <c r="K18" i="29"/>
  <c r="C48" i="59" s="1"/>
  <c r="E48" i="59" s="1"/>
  <c r="K17" i="29"/>
  <c r="C47" i="59" s="1"/>
  <c r="E47" i="59" s="1"/>
  <c r="K16" i="29"/>
  <c r="C46" i="59" s="1"/>
  <c r="E46" i="59" s="1"/>
  <c r="C25" i="29"/>
  <c r="C24" i="29"/>
  <c r="C23" i="29"/>
  <c r="C38" i="59" s="1"/>
  <c r="E38" i="59" s="1"/>
  <c r="C22" i="29"/>
  <c r="C37" i="59" s="1"/>
  <c r="E37" i="59" s="1"/>
  <c r="C21" i="29"/>
  <c r="C20" i="29"/>
  <c r="C35" i="59" s="1"/>
  <c r="E35" i="59" s="1"/>
  <c r="C19" i="29"/>
  <c r="C34" i="59" s="1"/>
  <c r="E34" i="59" s="1"/>
  <c r="C18" i="29"/>
  <c r="C33" i="59" s="1"/>
  <c r="E33" i="59" s="1"/>
  <c r="C17" i="29"/>
  <c r="C16" i="29"/>
  <c r="I18" i="6"/>
  <c r="I17" i="6"/>
  <c r="AL20" i="46" s="1"/>
  <c r="AN20" i="46" s="1"/>
  <c r="I16" i="6"/>
  <c r="AL19" i="46" s="1"/>
  <c r="AN19" i="46" s="1"/>
  <c r="I15" i="6"/>
  <c r="AL18" i="46" s="1"/>
  <c r="AN18" i="46" s="1"/>
  <c r="I14" i="6"/>
  <c r="AL17" i="46" s="1"/>
  <c r="AN17" i="46" s="1"/>
  <c r="I13" i="6"/>
  <c r="AL16" i="46" s="1"/>
  <c r="I12" i="6"/>
  <c r="AL15" i="46" s="1"/>
  <c r="I11" i="6"/>
  <c r="AL14" i="46" s="1"/>
  <c r="I10" i="6"/>
  <c r="AL13" i="46" s="1"/>
  <c r="I9" i="6"/>
  <c r="AL12" i="46" s="1"/>
  <c r="M18" i="6"/>
  <c r="M17" i="6"/>
  <c r="O54" i="59" s="1"/>
  <c r="M16" i="6"/>
  <c r="M15" i="6"/>
  <c r="M14" i="6"/>
  <c r="M13" i="6"/>
  <c r="M12" i="6"/>
  <c r="M11" i="6"/>
  <c r="M10" i="6"/>
  <c r="M9" i="6"/>
  <c r="R12" i="46" s="1"/>
  <c r="AB20" i="46"/>
  <c r="AC20" i="46" s="1"/>
  <c r="O16" i="6"/>
  <c r="O69" i="59" s="1"/>
  <c r="P69" i="59" s="1"/>
  <c r="O15" i="6"/>
  <c r="O68" i="59" s="1"/>
  <c r="P68" i="59" s="1"/>
  <c r="O14" i="6"/>
  <c r="O67" i="59" s="1"/>
  <c r="P67" i="59" s="1"/>
  <c r="O13" i="6"/>
  <c r="O66" i="59" s="1"/>
  <c r="P66" i="59" s="1"/>
  <c r="O12" i="6"/>
  <c r="O11" i="6"/>
  <c r="O64" i="59" s="1"/>
  <c r="P64" i="59" s="1"/>
  <c r="O10" i="6"/>
  <c r="O63" i="59" s="1"/>
  <c r="P63" i="59" s="1"/>
  <c r="O9" i="6"/>
  <c r="K18" i="6"/>
  <c r="O40" i="59" s="1"/>
  <c r="P40" i="59" s="1"/>
  <c r="K17" i="6"/>
  <c r="K16" i="6"/>
  <c r="K15" i="6"/>
  <c r="K14" i="6"/>
  <c r="K13" i="6"/>
  <c r="K12" i="6"/>
  <c r="K11" i="6"/>
  <c r="K10" i="6"/>
  <c r="K9" i="6"/>
  <c r="G9" i="6"/>
  <c r="G10" i="6"/>
  <c r="G11" i="6"/>
  <c r="G12" i="6"/>
  <c r="G13" i="6"/>
  <c r="G14" i="6"/>
  <c r="G17" i="6"/>
  <c r="G18" i="6"/>
  <c r="O7" i="6"/>
  <c r="M7" i="6"/>
  <c r="F59" i="47" l="1"/>
  <c r="F57" i="47"/>
  <c r="F58" i="47"/>
  <c r="N57" i="47"/>
  <c r="G59" i="47"/>
  <c r="P10" i="47" s="1"/>
  <c r="N41" i="47"/>
  <c r="N58" i="47"/>
  <c r="N42" i="47"/>
  <c r="N59" i="47"/>
  <c r="R64" i="47"/>
  <c r="P47" i="47"/>
  <c r="P64" i="47"/>
  <c r="P81" i="47" s="1"/>
  <c r="G58" i="47"/>
  <c r="R56" i="47"/>
  <c r="F56" i="47"/>
  <c r="N47" i="47"/>
  <c r="N64" i="47"/>
  <c r="N81" i="47" s="1"/>
  <c r="G55" i="47"/>
  <c r="G57" i="47"/>
  <c r="G56" i="47"/>
  <c r="P7" i="47" s="1"/>
  <c r="P56" i="47" s="1"/>
  <c r="R58" i="47"/>
  <c r="N46" i="47"/>
  <c r="N62" i="47"/>
  <c r="N80" i="47" s="1"/>
  <c r="R61" i="47"/>
  <c r="P61" i="47"/>
  <c r="P60" i="47"/>
  <c r="P44" i="47"/>
  <c r="N60" i="47"/>
  <c r="N43" i="47"/>
  <c r="O7" i="47"/>
  <c r="F87" i="38"/>
  <c r="E61" i="47"/>
  <c r="O12" i="47" s="1"/>
  <c r="F92" i="38"/>
  <c r="E76" i="47"/>
  <c r="Q11" i="47" s="1"/>
  <c r="G91" i="38"/>
  <c r="E39" i="47"/>
  <c r="M6" i="47" s="1"/>
  <c r="M55" i="47" s="1"/>
  <c r="E86" i="38"/>
  <c r="O8" i="47"/>
  <c r="O57" i="47" s="1"/>
  <c r="F88" i="38"/>
  <c r="E46" i="47"/>
  <c r="M13" i="47" s="1"/>
  <c r="E93" i="38"/>
  <c r="E47" i="47"/>
  <c r="M14" i="47" s="1"/>
  <c r="M63" i="47" s="1"/>
  <c r="E94" i="38"/>
  <c r="E62" i="47"/>
  <c r="O13" i="47" s="1"/>
  <c r="F93" i="38"/>
  <c r="E95" i="47"/>
  <c r="S14" i="47" s="1"/>
  <c r="S63" i="47" s="1"/>
  <c r="H94" i="38"/>
  <c r="E87" i="47"/>
  <c r="S6" i="47" s="1"/>
  <c r="S55" i="47" s="1"/>
  <c r="H86" i="38"/>
  <c r="E42" i="47"/>
  <c r="M9" i="47" s="1"/>
  <c r="E89" i="38"/>
  <c r="E41" i="47"/>
  <c r="M8" i="47" s="1"/>
  <c r="E88" i="38"/>
  <c r="E88" i="47"/>
  <c r="S7" i="47" s="1"/>
  <c r="H87" i="38"/>
  <c r="O9" i="47"/>
  <c r="O58" i="47" s="1"/>
  <c r="F89" i="38"/>
  <c r="E44" i="47"/>
  <c r="M11" i="47" s="1"/>
  <c r="E91" i="38"/>
  <c r="E89" i="47"/>
  <c r="S8" i="47" s="1"/>
  <c r="H88" i="38"/>
  <c r="E43" i="47"/>
  <c r="M10" i="47" s="1"/>
  <c r="E90" i="38"/>
  <c r="E91" i="47"/>
  <c r="S10" i="47" s="1"/>
  <c r="H90" i="38"/>
  <c r="E40" i="47"/>
  <c r="M7" i="47" s="1"/>
  <c r="E87" i="38"/>
  <c r="E92" i="47"/>
  <c r="S11" i="47" s="1"/>
  <c r="H91" i="38"/>
  <c r="O6" i="47"/>
  <c r="O55" i="47" s="1"/>
  <c r="F86" i="38"/>
  <c r="E90" i="47"/>
  <c r="S9" i="47" s="1"/>
  <c r="H89" i="38"/>
  <c r="E93" i="47"/>
  <c r="S12" i="47" s="1"/>
  <c r="H92" i="38"/>
  <c r="O10" i="47"/>
  <c r="O59" i="47" s="1"/>
  <c r="F90" i="38"/>
  <c r="E45" i="47"/>
  <c r="M12" i="47" s="1"/>
  <c r="E92" i="38"/>
  <c r="E48" i="47"/>
  <c r="M15" i="47" s="1"/>
  <c r="E95" i="38"/>
  <c r="E64" i="47"/>
  <c r="O15" i="47" s="1"/>
  <c r="F95" i="38"/>
  <c r="E60" i="47"/>
  <c r="O11" i="47" s="1"/>
  <c r="F91" i="38"/>
  <c r="C39" i="59"/>
  <c r="E39" i="59" s="1"/>
  <c r="F55" i="38"/>
  <c r="G23" i="47" s="1"/>
  <c r="H24" i="47" s="1"/>
  <c r="F61" i="38"/>
  <c r="G29" i="47" s="1"/>
  <c r="H30" i="47" s="1"/>
  <c r="F58" i="38"/>
  <c r="G26" i="47" s="1"/>
  <c r="H27" i="47" s="1"/>
  <c r="F57" i="38"/>
  <c r="G25" i="47" s="1"/>
  <c r="H26" i="47" s="1"/>
  <c r="F56" i="38"/>
  <c r="G24" i="47" s="1"/>
  <c r="H25" i="47" s="1"/>
  <c r="F59" i="38"/>
  <c r="G27" i="47" s="1"/>
  <c r="H28" i="47" s="1"/>
  <c r="C31" i="59"/>
  <c r="E31" i="59" s="1"/>
  <c r="F60" i="38"/>
  <c r="G28" i="47" s="1"/>
  <c r="H29" i="47" s="1"/>
  <c r="O61" i="38"/>
  <c r="O60" i="38"/>
  <c r="L36" i="32"/>
  <c r="M62" i="38" s="1"/>
  <c r="F25" i="32"/>
  <c r="H56" i="38" s="1"/>
  <c r="G40" i="47" s="1"/>
  <c r="N7" i="47" s="1"/>
  <c r="N16" i="6"/>
  <c r="AV20" i="46"/>
  <c r="F70" i="59"/>
  <c r="N14" i="6"/>
  <c r="Q69" i="59"/>
  <c r="Q70" i="59"/>
  <c r="AV13" i="46"/>
  <c r="F63" i="59"/>
  <c r="Q67" i="59"/>
  <c r="Q68" i="59"/>
  <c r="AV17" i="46"/>
  <c r="F67" i="59"/>
  <c r="AB12" i="46"/>
  <c r="O62" i="59"/>
  <c r="P62" i="59" s="1"/>
  <c r="Q63" i="59" s="1"/>
  <c r="AV16" i="46"/>
  <c r="F66" i="59"/>
  <c r="AV12" i="46"/>
  <c r="F62" i="59"/>
  <c r="AV15" i="46"/>
  <c r="F65" i="59"/>
  <c r="Q64" i="59"/>
  <c r="R21" i="46"/>
  <c r="O55" i="59"/>
  <c r="AV21" i="46"/>
  <c r="F71" i="59"/>
  <c r="AV14" i="46"/>
  <c r="F64" i="59"/>
  <c r="AB15" i="46"/>
  <c r="O65" i="59"/>
  <c r="P65" i="59" s="1"/>
  <c r="Q65" i="59" s="1"/>
  <c r="C40" i="59"/>
  <c r="K25" i="32"/>
  <c r="H61" i="38" s="1"/>
  <c r="G45" i="47" s="1"/>
  <c r="N12" i="47" s="1"/>
  <c r="N44" i="47" s="1"/>
  <c r="J18" i="46"/>
  <c r="L29" i="32"/>
  <c r="J62" i="38" s="1"/>
  <c r="G62" i="47" s="1"/>
  <c r="P13" i="47" s="1"/>
  <c r="C51" i="59"/>
  <c r="E51" i="59" s="1"/>
  <c r="J20" i="32"/>
  <c r="E60" i="38" s="1"/>
  <c r="C36" i="59"/>
  <c r="E36" i="59" s="1"/>
  <c r="J16" i="32"/>
  <c r="C60" i="38" s="1"/>
  <c r="G20" i="46"/>
  <c r="H20" i="46" s="1"/>
  <c r="O39" i="59"/>
  <c r="P39" i="59" s="1"/>
  <c r="Q40" i="59" s="1"/>
  <c r="AV19" i="46"/>
  <c r="F69" i="59"/>
  <c r="G69" i="59" s="1"/>
  <c r="G19" i="46"/>
  <c r="H19" i="46" s="1"/>
  <c r="O38" i="59"/>
  <c r="P38" i="59" s="1"/>
  <c r="AV18" i="46"/>
  <c r="F68" i="59"/>
  <c r="G18" i="46"/>
  <c r="H18" i="46" s="1"/>
  <c r="O37" i="59"/>
  <c r="P37" i="59" s="1"/>
  <c r="G17" i="46"/>
  <c r="H17" i="46" s="1"/>
  <c r="O36" i="59"/>
  <c r="P36" i="59" s="1"/>
  <c r="G16" i="46"/>
  <c r="H16" i="46" s="1"/>
  <c r="O35" i="59"/>
  <c r="P35" i="59" s="1"/>
  <c r="G15" i="46"/>
  <c r="H15" i="46" s="1"/>
  <c r="O34" i="59"/>
  <c r="P34" i="59" s="1"/>
  <c r="G14" i="46"/>
  <c r="O33" i="59"/>
  <c r="P33" i="59" s="1"/>
  <c r="G13" i="46"/>
  <c r="I13" i="46" s="1"/>
  <c r="O32" i="59"/>
  <c r="P32" i="59" s="1"/>
  <c r="G12" i="46"/>
  <c r="I12" i="46" s="1"/>
  <c r="O31" i="59"/>
  <c r="P31" i="59" s="1"/>
  <c r="N15" i="6"/>
  <c r="AM17" i="46"/>
  <c r="AM18" i="46"/>
  <c r="AM19" i="46"/>
  <c r="F32" i="32"/>
  <c r="K56" i="38" s="1"/>
  <c r="C63" i="59"/>
  <c r="E63" i="59" s="1"/>
  <c r="G32" i="32"/>
  <c r="K57" i="38" s="1"/>
  <c r="C64" i="59"/>
  <c r="E64" i="59" s="1"/>
  <c r="K16" i="32"/>
  <c r="C61" i="38" s="1"/>
  <c r="I32" i="32"/>
  <c r="K59" i="38" s="1"/>
  <c r="C66" i="59"/>
  <c r="E66" i="59" s="1"/>
  <c r="C67" i="59"/>
  <c r="E67" i="59" s="1"/>
  <c r="M32" i="32"/>
  <c r="K63" i="38" s="1"/>
  <c r="C71" i="59"/>
  <c r="E71" i="59" s="1"/>
  <c r="C32" i="59"/>
  <c r="E32" i="59" s="1"/>
  <c r="K32" i="32"/>
  <c r="K61" i="38" s="1"/>
  <c r="C68" i="59"/>
  <c r="E68" i="59" s="1"/>
  <c r="K20" i="32"/>
  <c r="E61" i="38" s="1"/>
  <c r="H32" i="32"/>
  <c r="K58" i="38" s="1"/>
  <c r="C65" i="59"/>
  <c r="E65" i="59" s="1"/>
  <c r="E32" i="32"/>
  <c r="K55" i="38" s="1"/>
  <c r="C62" i="59"/>
  <c r="E62" i="59" s="1"/>
  <c r="L32" i="32"/>
  <c r="K62" i="38" s="1"/>
  <c r="C70" i="59"/>
  <c r="E70" i="59" s="1"/>
  <c r="G70" i="59" s="1"/>
  <c r="F16" i="32"/>
  <c r="C56" i="38" s="1"/>
  <c r="N16" i="32"/>
  <c r="C64" i="38" s="1"/>
  <c r="H16" i="32"/>
  <c r="C58" i="38" s="1"/>
  <c r="I16" i="32"/>
  <c r="C59" i="38" s="1"/>
  <c r="G20" i="32"/>
  <c r="E57" i="38" s="1"/>
  <c r="N20" i="32"/>
  <c r="E64" i="38" s="1"/>
  <c r="M16" i="32"/>
  <c r="C63" i="38" s="1"/>
  <c r="G16" i="32"/>
  <c r="C57" i="38" s="1"/>
  <c r="F20" i="32"/>
  <c r="E56" i="38" s="1"/>
  <c r="H20" i="32"/>
  <c r="E58" i="38" s="1"/>
  <c r="I20" i="32"/>
  <c r="E59" i="38" s="1"/>
  <c r="L16" i="32"/>
  <c r="C62" i="38" s="1"/>
  <c r="E20" i="32"/>
  <c r="E55" i="38" s="1"/>
  <c r="L20" i="32"/>
  <c r="E62" i="38" s="1"/>
  <c r="M20" i="32"/>
  <c r="E63" i="38" s="1"/>
  <c r="E16" i="32"/>
  <c r="C55" i="38" s="1"/>
  <c r="R17" i="46"/>
  <c r="T17" i="46" s="1"/>
  <c r="AB19" i="46"/>
  <c r="AB18" i="46"/>
  <c r="AD18" i="46" s="1"/>
  <c r="AB17" i="46"/>
  <c r="AD17" i="46" s="1"/>
  <c r="AB16" i="46"/>
  <c r="AB14" i="46"/>
  <c r="AB13" i="46"/>
  <c r="AB21" i="46"/>
  <c r="AC21" i="46" s="1"/>
  <c r="L33" i="32"/>
  <c r="L62" i="38" s="1"/>
  <c r="G78" i="47" s="1"/>
  <c r="R13" i="47" s="1"/>
  <c r="I33" i="32"/>
  <c r="L59" i="38" s="1"/>
  <c r="G75" i="47" s="1"/>
  <c r="R10" i="47" s="1"/>
  <c r="M33" i="32"/>
  <c r="L63" i="38" s="1"/>
  <c r="G79" i="47" s="1"/>
  <c r="R14" i="47" s="1"/>
  <c r="R63" i="47" s="1"/>
  <c r="G33" i="32"/>
  <c r="L57" i="38" s="1"/>
  <c r="G73" i="47" s="1"/>
  <c r="R8" i="47" s="1"/>
  <c r="J33" i="32"/>
  <c r="L60" i="38" s="1"/>
  <c r="G76" i="47" s="1"/>
  <c r="R11" i="47" s="1"/>
  <c r="E33" i="32"/>
  <c r="L55" i="38" s="1"/>
  <c r="G71" i="47" s="1"/>
  <c r="R6" i="47" s="1"/>
  <c r="R55" i="47" s="1"/>
  <c r="G21" i="46"/>
  <c r="N10" i="6"/>
  <c r="R13" i="46"/>
  <c r="T13" i="46" s="1"/>
  <c r="N11" i="6"/>
  <c r="R14" i="46"/>
  <c r="T14" i="46" s="1"/>
  <c r="AD20" i="46"/>
  <c r="AL21" i="46"/>
  <c r="R18" i="46"/>
  <c r="T18" i="46" s="1"/>
  <c r="N12" i="6"/>
  <c r="R15" i="46"/>
  <c r="T15" i="46" s="1"/>
  <c r="N13" i="6"/>
  <c r="R16" i="46"/>
  <c r="T16" i="46" s="1"/>
  <c r="R19" i="46"/>
  <c r="T19" i="46" s="1"/>
  <c r="N17" i="6"/>
  <c r="R20" i="46"/>
  <c r="T20" i="46" s="1"/>
  <c r="H13" i="47"/>
  <c r="H32" i="47"/>
  <c r="H12" i="47"/>
  <c r="H14" i="47"/>
  <c r="H11" i="47"/>
  <c r="H31" i="47"/>
  <c r="L4" i="47"/>
  <c r="L20" i="47" s="1"/>
  <c r="H33" i="47"/>
  <c r="H9" i="47"/>
  <c r="U12" i="46"/>
  <c r="T12" i="46"/>
  <c r="S12" i="46"/>
  <c r="U13" i="46"/>
  <c r="U14" i="46"/>
  <c r="U15" i="46"/>
  <c r="U16" i="46"/>
  <c r="U17" i="46"/>
  <c r="U18" i="46"/>
  <c r="U19" i="46"/>
  <c r="J19" i="46"/>
  <c r="J20" i="46"/>
  <c r="J13" i="46"/>
  <c r="J14" i="46"/>
  <c r="I14" i="46"/>
  <c r="H14" i="46"/>
  <c r="J15" i="46"/>
  <c r="J16" i="46"/>
  <c r="J17" i="46"/>
  <c r="J12" i="46"/>
  <c r="AO25" i="46"/>
  <c r="AE25" i="46"/>
  <c r="N18" i="6"/>
  <c r="R11" i="30"/>
  <c r="L11" i="30"/>
  <c r="J11" i="30"/>
  <c r="H11" i="30"/>
  <c r="Z35" i="29"/>
  <c r="N75" i="47" l="1"/>
  <c r="R81" i="47"/>
  <c r="M39" i="47"/>
  <c r="O56" i="47"/>
  <c r="O73" i="47" s="1"/>
  <c r="O39" i="47"/>
  <c r="O75" i="47"/>
  <c r="H58" i="47"/>
  <c r="H56" i="47"/>
  <c r="O76" i="47"/>
  <c r="P6" i="47"/>
  <c r="P55" i="47" s="1"/>
  <c r="P73" i="47" s="1"/>
  <c r="P59" i="47"/>
  <c r="P77" i="47" s="1"/>
  <c r="P43" i="47"/>
  <c r="S41" i="47"/>
  <c r="S58" i="47"/>
  <c r="P8" i="47"/>
  <c r="U8" i="47" s="1"/>
  <c r="R47" i="47"/>
  <c r="N76" i="47"/>
  <c r="S40" i="47"/>
  <c r="S57" i="47"/>
  <c r="R40" i="47"/>
  <c r="R57" i="47"/>
  <c r="R74" i="47" s="1"/>
  <c r="M56" i="47"/>
  <c r="M73" i="47" s="1"/>
  <c r="S39" i="47"/>
  <c r="S56" i="47"/>
  <c r="S73" i="47" s="1"/>
  <c r="R42" i="47"/>
  <c r="R59" i="47"/>
  <c r="R76" i="47" s="1"/>
  <c r="S42" i="47"/>
  <c r="S59" i="47"/>
  <c r="M40" i="47"/>
  <c r="M57" i="47"/>
  <c r="R41" i="47"/>
  <c r="R73" i="47"/>
  <c r="H57" i="47"/>
  <c r="R39" i="47"/>
  <c r="U7" i="47"/>
  <c r="U56" i="47" s="1"/>
  <c r="N39" i="47"/>
  <c r="N56" i="47"/>
  <c r="N73" i="47" s="1"/>
  <c r="M42" i="47"/>
  <c r="M59" i="47"/>
  <c r="M41" i="47"/>
  <c r="M58" i="47"/>
  <c r="H59" i="47"/>
  <c r="P9" i="47"/>
  <c r="N40" i="47"/>
  <c r="O64" i="47"/>
  <c r="M47" i="47"/>
  <c r="M64" i="47"/>
  <c r="M81" i="47" s="1"/>
  <c r="P46" i="47"/>
  <c r="P62" i="47"/>
  <c r="P80" i="47" s="1"/>
  <c r="R62" i="47"/>
  <c r="R80" i="47" s="1"/>
  <c r="R46" i="47"/>
  <c r="P45" i="47"/>
  <c r="R45" i="47"/>
  <c r="N61" i="47"/>
  <c r="N79" i="47" s="1"/>
  <c r="N45" i="47"/>
  <c r="R60" i="47"/>
  <c r="R44" i="47"/>
  <c r="R43" i="47"/>
  <c r="N77" i="47"/>
  <c r="P78" i="47"/>
  <c r="O62" i="47"/>
  <c r="M46" i="47"/>
  <c r="M62" i="47"/>
  <c r="M80" i="47" s="1"/>
  <c r="O45" i="47"/>
  <c r="O61" i="47"/>
  <c r="M45" i="47"/>
  <c r="M61" i="47"/>
  <c r="S61" i="47"/>
  <c r="Q72" i="59"/>
  <c r="P72" i="59" s="1"/>
  <c r="P73" i="59" s="1"/>
  <c r="M43" i="47"/>
  <c r="M60" i="47"/>
  <c r="M44" i="47"/>
  <c r="Q60" i="47"/>
  <c r="S44" i="47"/>
  <c r="S60" i="47"/>
  <c r="S43" i="47"/>
  <c r="O44" i="47"/>
  <c r="O60" i="47"/>
  <c r="O40" i="47"/>
  <c r="O41" i="47"/>
  <c r="O42" i="47"/>
  <c r="O43" i="47"/>
  <c r="F57" i="32"/>
  <c r="H40" i="47"/>
  <c r="E31" i="47"/>
  <c r="L14" i="47" s="1"/>
  <c r="L63" i="47" s="1"/>
  <c r="D94" i="38"/>
  <c r="E30" i="47"/>
  <c r="L13" i="47" s="1"/>
  <c r="D93" i="38"/>
  <c r="E23" i="47"/>
  <c r="L6" i="47" s="1"/>
  <c r="L55" i="47" s="1"/>
  <c r="D86" i="38"/>
  <c r="E8" i="47"/>
  <c r="K7" i="47" s="1"/>
  <c r="C87" i="38"/>
  <c r="E79" i="47"/>
  <c r="Q14" i="47" s="1"/>
  <c r="Q63" i="47" s="1"/>
  <c r="G94" i="38"/>
  <c r="E14" i="47"/>
  <c r="K13" i="47" s="1"/>
  <c r="C93" i="38"/>
  <c r="E28" i="47"/>
  <c r="L11" i="47" s="1"/>
  <c r="D91" i="38"/>
  <c r="E27" i="47"/>
  <c r="L10" i="47" s="1"/>
  <c r="D90" i="38"/>
  <c r="E94" i="47"/>
  <c r="S13" i="47" s="1"/>
  <c r="S45" i="47" s="1"/>
  <c r="H93" i="38"/>
  <c r="E12" i="47"/>
  <c r="K11" i="47" s="1"/>
  <c r="C91" i="38"/>
  <c r="E75" i="47"/>
  <c r="Q10" i="47" s="1"/>
  <c r="G90" i="38"/>
  <c r="E78" i="47"/>
  <c r="Q13" i="47" s="1"/>
  <c r="G93" i="38"/>
  <c r="E24" i="47"/>
  <c r="L7" i="47" s="1"/>
  <c r="D87" i="38"/>
  <c r="E71" i="47"/>
  <c r="Q6" i="47" s="1"/>
  <c r="Q55" i="47" s="1"/>
  <c r="G86" i="38"/>
  <c r="E13" i="47"/>
  <c r="K12" i="47" s="1"/>
  <c r="C92" i="38"/>
  <c r="E9" i="47"/>
  <c r="K8" i="47" s="1"/>
  <c r="C88" i="38"/>
  <c r="E15" i="47"/>
  <c r="K14" i="47" s="1"/>
  <c r="K63" i="47" s="1"/>
  <c r="C94" i="38"/>
  <c r="E74" i="47"/>
  <c r="Q9" i="47" s="1"/>
  <c r="G89" i="38"/>
  <c r="E73" i="47"/>
  <c r="Q8" i="47" s="1"/>
  <c r="G88" i="38"/>
  <c r="E29" i="47"/>
  <c r="L12" i="47" s="1"/>
  <c r="D92" i="38"/>
  <c r="E10" i="47"/>
  <c r="K9" i="47" s="1"/>
  <c r="C89" i="38"/>
  <c r="E25" i="47"/>
  <c r="L8" i="47" s="1"/>
  <c r="D88" i="38"/>
  <c r="E72" i="47"/>
  <c r="Q7" i="47" s="1"/>
  <c r="G87" i="38"/>
  <c r="E26" i="47"/>
  <c r="L9" i="47" s="1"/>
  <c r="D89" i="38"/>
  <c r="E7" i="47"/>
  <c r="K6" i="47" s="1"/>
  <c r="K55" i="47" s="1"/>
  <c r="C86" i="38"/>
  <c r="E11" i="47"/>
  <c r="K10" i="47" s="1"/>
  <c r="C90" i="38"/>
  <c r="E77" i="47"/>
  <c r="Q12" i="47" s="1"/>
  <c r="G92" i="38"/>
  <c r="E16" i="47"/>
  <c r="K15" i="47" s="1"/>
  <c r="C95" i="38"/>
  <c r="E32" i="47"/>
  <c r="L15" i="47" s="1"/>
  <c r="D95" i="38"/>
  <c r="G71" i="59"/>
  <c r="H71" i="59" s="1"/>
  <c r="T21" i="46"/>
  <c r="S21" i="46"/>
  <c r="S15" i="46"/>
  <c r="AC12" i="46"/>
  <c r="AD12" i="46"/>
  <c r="H12" i="46"/>
  <c r="I15" i="46"/>
  <c r="U15" i="47"/>
  <c r="H42" i="47"/>
  <c r="G65" i="59"/>
  <c r="S14" i="46"/>
  <c r="AD14" i="46"/>
  <c r="AC14" i="46"/>
  <c r="H77" i="47"/>
  <c r="U11" i="47"/>
  <c r="AD15" i="46"/>
  <c r="AC15" i="46"/>
  <c r="H41" i="47"/>
  <c r="H13" i="46"/>
  <c r="S13" i="46"/>
  <c r="H45" i="47"/>
  <c r="U12" i="47"/>
  <c r="H75" i="47"/>
  <c r="U10" i="47"/>
  <c r="U59" i="47" s="1"/>
  <c r="I16" i="46"/>
  <c r="H43" i="47"/>
  <c r="AD13" i="46"/>
  <c r="AC13" i="46"/>
  <c r="G64" i="59"/>
  <c r="H74" i="47"/>
  <c r="H72" i="47"/>
  <c r="F40" i="47"/>
  <c r="F92" i="47"/>
  <c r="I17" i="46"/>
  <c r="G63" i="59"/>
  <c r="N20" i="6"/>
  <c r="G66" i="59"/>
  <c r="J56" i="32"/>
  <c r="G62" i="59"/>
  <c r="Q66" i="59"/>
  <c r="G67" i="59"/>
  <c r="S19" i="46"/>
  <c r="I19" i="46"/>
  <c r="E40" i="59"/>
  <c r="Q33" i="59"/>
  <c r="Q39" i="59"/>
  <c r="Q32" i="59"/>
  <c r="Q36" i="59"/>
  <c r="Q34" i="59"/>
  <c r="Q38" i="59"/>
  <c r="I20" i="46"/>
  <c r="I18" i="46"/>
  <c r="G68" i="59"/>
  <c r="H70" i="59"/>
  <c r="Q37" i="59"/>
  <c r="Q35" i="59"/>
  <c r="AC19" i="46"/>
  <c r="AD19" i="46"/>
  <c r="AC18" i="46"/>
  <c r="AC17" i="46"/>
  <c r="AD21" i="46"/>
  <c r="AD16" i="46"/>
  <c r="AC16" i="46"/>
  <c r="F42" i="47"/>
  <c r="AM21" i="46"/>
  <c r="AM25" i="46" s="1"/>
  <c r="AK40" i="46" s="1"/>
  <c r="AN21" i="46"/>
  <c r="AN25" i="46" s="1"/>
  <c r="AL41" i="46" s="1"/>
  <c r="I21" i="46"/>
  <c r="H21" i="46"/>
  <c r="S17" i="46"/>
  <c r="H61" i="47"/>
  <c r="H60" i="47"/>
  <c r="H44" i="47"/>
  <c r="F60" i="47"/>
  <c r="F43" i="47"/>
  <c r="F44" i="47"/>
  <c r="F41" i="47"/>
  <c r="F61" i="47"/>
  <c r="F45" i="47"/>
  <c r="T25" i="46"/>
  <c r="S18" i="46"/>
  <c r="S16" i="46"/>
  <c r="G57" i="32"/>
  <c r="E57" i="32"/>
  <c r="F90" i="47"/>
  <c r="F91" i="47"/>
  <c r="H15" i="47"/>
  <c r="L57" i="32"/>
  <c r="H16" i="47"/>
  <c r="J57" i="32"/>
  <c r="F88" i="47"/>
  <c r="Q4" i="47"/>
  <c r="O20" i="47" s="1"/>
  <c r="I57" i="32"/>
  <c r="M4" i="47"/>
  <c r="M20" i="47" s="1"/>
  <c r="H17" i="47"/>
  <c r="K57" i="32"/>
  <c r="S4" i="47"/>
  <c r="P20" i="47" s="1"/>
  <c r="F89" i="47"/>
  <c r="N57" i="32"/>
  <c r="M57" i="32"/>
  <c r="H8" i="47"/>
  <c r="H10" i="47"/>
  <c r="K20" i="47"/>
  <c r="O4" i="47"/>
  <c r="N20" i="47" s="1"/>
  <c r="H57" i="32"/>
  <c r="B123" i="52"/>
  <c r="B121" i="52"/>
  <c r="O74" i="47" l="1"/>
  <c r="I89" i="38"/>
  <c r="P39" i="47"/>
  <c r="U6" i="47"/>
  <c r="U39" i="47" s="1"/>
  <c r="M74" i="47"/>
  <c r="S74" i="47"/>
  <c r="S76" i="47"/>
  <c r="U55" i="47"/>
  <c r="U73" i="47" s="1"/>
  <c r="M75" i="47"/>
  <c r="U64" i="47"/>
  <c r="L40" i="47"/>
  <c r="L57" i="47"/>
  <c r="K40" i="47"/>
  <c r="K57" i="47"/>
  <c r="K56" i="47"/>
  <c r="K73" i="47" s="1"/>
  <c r="M76" i="47"/>
  <c r="K41" i="47"/>
  <c r="K58" i="47"/>
  <c r="Q39" i="47"/>
  <c r="Q56" i="47"/>
  <c r="Q73" i="47" s="1"/>
  <c r="Q42" i="47"/>
  <c r="Q59" i="47"/>
  <c r="K42" i="47"/>
  <c r="K59" i="47"/>
  <c r="L42" i="47"/>
  <c r="L59" i="47"/>
  <c r="R75" i="47"/>
  <c r="P40" i="47"/>
  <c r="P57" i="47"/>
  <c r="P74" i="47" s="1"/>
  <c r="S75" i="47"/>
  <c r="U40" i="47"/>
  <c r="U57" i="47"/>
  <c r="U74" i="47" s="1"/>
  <c r="Q40" i="47"/>
  <c r="Q57" i="47"/>
  <c r="L39" i="47"/>
  <c r="L56" i="47"/>
  <c r="L73" i="47" s="1"/>
  <c r="P58" i="47"/>
  <c r="P41" i="47"/>
  <c r="U9" i="47"/>
  <c r="N74" i="47"/>
  <c r="L41" i="47"/>
  <c r="L58" i="47"/>
  <c r="Q41" i="47"/>
  <c r="Q58" i="47"/>
  <c r="Q43" i="47"/>
  <c r="P42" i="47"/>
  <c r="R79" i="47"/>
  <c r="N78" i="47"/>
  <c r="M79" i="47"/>
  <c r="L47" i="47"/>
  <c r="L64" i="47"/>
  <c r="L81" i="47" s="1"/>
  <c r="K47" i="47"/>
  <c r="K64" i="47"/>
  <c r="K81" i="47" s="1"/>
  <c r="P79" i="47"/>
  <c r="O79" i="47"/>
  <c r="U61" i="47"/>
  <c r="U60" i="47"/>
  <c r="U44" i="47"/>
  <c r="R77" i="47"/>
  <c r="R78" i="47"/>
  <c r="S62" i="47"/>
  <c r="S80" i="47" s="1"/>
  <c r="S46" i="47"/>
  <c r="K46" i="47"/>
  <c r="K62" i="47"/>
  <c r="K80" i="47" s="1"/>
  <c r="F94" i="47"/>
  <c r="L46" i="47"/>
  <c r="L62" i="47"/>
  <c r="L80" i="47" s="1"/>
  <c r="Q46" i="47"/>
  <c r="Q62" i="47"/>
  <c r="Q80" i="47" s="1"/>
  <c r="Q61" i="47"/>
  <c r="Q45" i="47"/>
  <c r="Q44" i="47"/>
  <c r="K45" i="47"/>
  <c r="K61" i="47"/>
  <c r="L45" i="47"/>
  <c r="L61" i="47"/>
  <c r="Q41" i="59"/>
  <c r="Q56" i="59" s="1"/>
  <c r="L43" i="47"/>
  <c r="L60" i="47"/>
  <c r="L44" i="47"/>
  <c r="S77" i="47"/>
  <c r="S78" i="47"/>
  <c r="K43" i="47"/>
  <c r="K44" i="47"/>
  <c r="K60" i="47"/>
  <c r="I91" i="38"/>
  <c r="O77" i="47"/>
  <c r="O78" i="47"/>
  <c r="M78" i="47"/>
  <c r="M77" i="47"/>
  <c r="U43" i="47"/>
  <c r="U42" i="47"/>
  <c r="I93" i="38"/>
  <c r="I88" i="38"/>
  <c r="I87" i="38"/>
  <c r="I92" i="38"/>
  <c r="I90" i="38"/>
  <c r="I86" i="38"/>
  <c r="M22" i="6"/>
  <c r="M23" i="6" s="1"/>
  <c r="M35" i="6" s="1"/>
  <c r="H25" i="46"/>
  <c r="F41" i="46" s="1"/>
  <c r="J12" i="58"/>
  <c r="C76" i="38"/>
  <c r="H66" i="59"/>
  <c r="H65" i="59"/>
  <c r="H76" i="47"/>
  <c r="H63" i="47"/>
  <c r="H80" i="47"/>
  <c r="U14" i="47"/>
  <c r="U63" i="47" s="1"/>
  <c r="H78" i="47"/>
  <c r="H64" i="59"/>
  <c r="H73" i="47"/>
  <c r="F93" i="47"/>
  <c r="H63" i="59"/>
  <c r="H67" i="59"/>
  <c r="H68" i="59"/>
  <c r="I25" i="46"/>
  <c r="G40" i="46" s="1"/>
  <c r="H69" i="59"/>
  <c r="AC25" i="46"/>
  <c r="AA40" i="46" s="1"/>
  <c r="AD25" i="46"/>
  <c r="AB40" i="46" s="1"/>
  <c r="AK41" i="46"/>
  <c r="AL40" i="46"/>
  <c r="H48" i="47"/>
  <c r="H64" i="47"/>
  <c r="F47" i="47"/>
  <c r="H47" i="47"/>
  <c r="H46" i="47"/>
  <c r="F46" i="47"/>
  <c r="F62" i="47"/>
  <c r="F48" i="47"/>
  <c r="AA38" i="29"/>
  <c r="AA37" i="29"/>
  <c r="F95" i="47"/>
  <c r="R40" i="46"/>
  <c r="R41" i="46"/>
  <c r="U81" i="47" l="1"/>
  <c r="Q74" i="47"/>
  <c r="P75" i="47"/>
  <c r="K76" i="47"/>
  <c r="L76" i="47"/>
  <c r="Q76" i="47"/>
  <c r="L75" i="47"/>
  <c r="P76" i="47"/>
  <c r="K74" i="47"/>
  <c r="Q75" i="47"/>
  <c r="L74" i="47"/>
  <c r="U47" i="47"/>
  <c r="Q77" i="47"/>
  <c r="U58" i="47"/>
  <c r="U41" i="47"/>
  <c r="K75" i="47"/>
  <c r="Q79" i="47"/>
  <c r="Q78" i="47"/>
  <c r="U77" i="47"/>
  <c r="U78" i="47"/>
  <c r="K79" i="47"/>
  <c r="L79" i="47"/>
  <c r="S79" i="47"/>
  <c r="K77" i="47"/>
  <c r="K78" i="47"/>
  <c r="L78" i="47"/>
  <c r="L77" i="47"/>
  <c r="H72" i="59"/>
  <c r="G72" i="59" s="1"/>
  <c r="G73" i="59" s="1"/>
  <c r="M34" i="6"/>
  <c r="F40" i="46"/>
  <c r="P41" i="59"/>
  <c r="N28" i="6"/>
  <c r="N34" i="6" s="1"/>
  <c r="N29" i="6"/>
  <c r="N35" i="6" s="1"/>
  <c r="H62" i="47"/>
  <c r="H79" i="47"/>
  <c r="U13" i="47"/>
  <c r="H34" i="47"/>
  <c r="G41" i="46"/>
  <c r="AA41" i="46"/>
  <c r="AB41" i="46"/>
  <c r="U75" i="47" l="1"/>
  <c r="U76" i="47"/>
  <c r="U46" i="47"/>
  <c r="U62" i="47"/>
  <c r="U45" i="47"/>
  <c r="P42" i="59"/>
  <c r="H18" i="47"/>
  <c r="U80" i="47" l="1"/>
  <c r="U79" i="47"/>
  <c r="C168" i="4"/>
  <c r="D168" i="4"/>
  <c r="C169" i="4"/>
  <c r="D169" i="4"/>
  <c r="J28" i="6"/>
  <c r="J18" i="6" l="1"/>
  <c r="J17" i="6"/>
  <c r="J16" i="6"/>
  <c r="J15" i="6"/>
  <c r="J14" i="6"/>
  <c r="J13" i="6"/>
  <c r="J12" i="6"/>
  <c r="J11" i="6"/>
  <c r="J10" i="6"/>
  <c r="E14" i="6"/>
  <c r="F51" i="59" s="1"/>
  <c r="G51" i="59" s="1"/>
  <c r="C14" i="6"/>
  <c r="F36" i="59" s="1"/>
  <c r="G36" i="59" s="1"/>
  <c r="J20" i="6" l="1"/>
  <c r="X14" i="6"/>
  <c r="J35" i="6" l="1"/>
  <c r="J34" i="6"/>
  <c r="AI37" i="29"/>
  <c r="AI38" i="29"/>
  <c r="J47" i="4" l="1"/>
  <c r="U47" i="4" s="1"/>
  <c r="J12" i="4"/>
  <c r="J13" i="4"/>
  <c r="U13" i="4" s="1"/>
  <c r="J14" i="4"/>
  <c r="U14" i="4" s="1"/>
  <c r="J15" i="4"/>
  <c r="U15" i="4" s="1"/>
  <c r="J16" i="4"/>
  <c r="U16" i="4" s="1"/>
  <c r="J17" i="4"/>
  <c r="U17" i="4" s="1"/>
  <c r="J18" i="4"/>
  <c r="U18" i="4" s="1"/>
  <c r="J19" i="4"/>
  <c r="U19" i="4" s="1"/>
  <c r="J20" i="4"/>
  <c r="U20" i="4" s="1"/>
  <c r="J21" i="4"/>
  <c r="U21" i="4" s="1"/>
  <c r="J22" i="4"/>
  <c r="U22" i="4" s="1"/>
  <c r="J23" i="4"/>
  <c r="U23" i="4" s="1"/>
  <c r="J24" i="4"/>
  <c r="U24" i="4" s="1"/>
  <c r="J25" i="4"/>
  <c r="U25" i="4" s="1"/>
  <c r="J26" i="4"/>
  <c r="U26" i="4" s="1"/>
  <c r="J27" i="4"/>
  <c r="U27" i="4" s="1"/>
  <c r="J28" i="4"/>
  <c r="U28" i="4" s="1"/>
  <c r="J29" i="4"/>
  <c r="U29" i="4" s="1"/>
  <c r="J30" i="4"/>
  <c r="U30" i="4" s="1"/>
  <c r="J31" i="4"/>
  <c r="U31" i="4" s="1"/>
  <c r="J32" i="4"/>
  <c r="U32" i="4" s="1"/>
  <c r="J33" i="4"/>
  <c r="U33" i="4" s="1"/>
  <c r="J34" i="4"/>
  <c r="U34" i="4" s="1"/>
  <c r="J35" i="4"/>
  <c r="U35" i="4" s="1"/>
  <c r="J36" i="4"/>
  <c r="U36" i="4" s="1"/>
  <c r="J37" i="4"/>
  <c r="U37" i="4" s="1"/>
  <c r="J38" i="4"/>
  <c r="U38" i="4" s="1"/>
  <c r="J39" i="4"/>
  <c r="U39" i="4" s="1"/>
  <c r="J40" i="4"/>
  <c r="U40" i="4" s="1"/>
  <c r="J41" i="4"/>
  <c r="U41" i="4" s="1"/>
  <c r="J42" i="4"/>
  <c r="U42" i="4" s="1"/>
  <c r="J43" i="4"/>
  <c r="U43" i="4" s="1"/>
  <c r="J44" i="4"/>
  <c r="U44" i="4" s="1"/>
  <c r="J45" i="4"/>
  <c r="U45" i="4" s="1"/>
  <c r="J46" i="4"/>
  <c r="U46" i="4" s="1"/>
  <c r="B122" i="52"/>
  <c r="B120" i="52"/>
  <c r="B117" i="52"/>
  <c r="B116" i="52"/>
  <c r="B30" i="52"/>
  <c r="B54" i="52" s="1"/>
  <c r="B69" i="52" s="1"/>
  <c r="B83" i="52" s="1"/>
  <c r="B97" i="52" s="1"/>
  <c r="B111" i="52" s="1"/>
  <c r="B14" i="52"/>
  <c r="B38" i="52" s="1"/>
  <c r="B12" i="52"/>
  <c r="B36" i="52" s="1"/>
  <c r="B19" i="52"/>
  <c r="B43" i="52" s="1"/>
  <c r="B17" i="52"/>
  <c r="B41" i="52" s="1"/>
  <c r="B16" i="52"/>
  <c r="B40" i="52" s="1"/>
  <c r="B13" i="52"/>
  <c r="B37" i="52" s="1"/>
  <c r="B15" i="52"/>
  <c r="B39" i="52" s="1"/>
  <c r="B18" i="52"/>
  <c r="B42" i="52" s="1"/>
  <c r="B20" i="52"/>
  <c r="B44" i="52" s="1"/>
  <c r="B26" i="52"/>
  <c r="B50" i="52" s="1"/>
  <c r="B65" i="52" s="1"/>
  <c r="B79" i="52" s="1"/>
  <c r="B93" i="52" s="1"/>
  <c r="B107" i="52" s="1"/>
  <c r="B28" i="52"/>
  <c r="B52" i="52" s="1"/>
  <c r="B67" i="52" s="1"/>
  <c r="B81" i="52" s="1"/>
  <c r="B95" i="52" s="1"/>
  <c r="B109" i="52" s="1"/>
  <c r="B27" i="52"/>
  <c r="B51" i="52" s="1"/>
  <c r="B66" i="52" s="1"/>
  <c r="B80" i="52" s="1"/>
  <c r="B94" i="52" s="1"/>
  <c r="B108" i="52" s="1"/>
  <c r="B29" i="52"/>
  <c r="B53" i="52" s="1"/>
  <c r="B68" i="52" s="1"/>
  <c r="B82" i="52" s="1"/>
  <c r="B96" i="52" s="1"/>
  <c r="B110" i="52" s="1"/>
  <c r="B25" i="52"/>
  <c r="B49" i="52" s="1"/>
  <c r="B64" i="52" s="1"/>
  <c r="B78" i="52" s="1"/>
  <c r="B92" i="52" s="1"/>
  <c r="B106" i="52" s="1"/>
  <c r="B24" i="52"/>
  <c r="B48" i="52" s="1"/>
  <c r="B63" i="52" s="1"/>
  <c r="B77" i="52" s="1"/>
  <c r="B91" i="52" s="1"/>
  <c r="B105" i="52" s="1"/>
  <c r="B23" i="52"/>
  <c r="B47" i="52" s="1"/>
  <c r="B62" i="52" s="1"/>
  <c r="B76" i="52" s="1"/>
  <c r="B90" i="52" s="1"/>
  <c r="B104" i="52" s="1"/>
  <c r="B22" i="52"/>
  <c r="B46" i="52" s="1"/>
  <c r="B61" i="52" s="1"/>
  <c r="B75" i="52" s="1"/>
  <c r="B89" i="52" s="1"/>
  <c r="B103" i="52" s="1"/>
  <c r="B21" i="52"/>
  <c r="B45" i="52" s="1"/>
  <c r="B60" i="52" s="1"/>
  <c r="B74" i="52" s="1"/>
  <c r="Z21" i="52"/>
  <c r="Z22" i="52"/>
  <c r="Z23" i="52"/>
  <c r="Z24" i="52"/>
  <c r="Z25" i="52"/>
  <c r="U12" i="4" l="1"/>
  <c r="V22" i="4" s="1"/>
  <c r="Z65" i="4"/>
  <c r="Z64" i="4"/>
  <c r="J48" i="4"/>
  <c r="U48" i="4" s="1"/>
  <c r="H50" i="46"/>
  <c r="H51" i="46"/>
  <c r="B88" i="52"/>
  <c r="B102" i="52" s="1"/>
  <c r="D16" i="29"/>
  <c r="F16" i="29" s="1"/>
  <c r="E16" i="29" l="1"/>
  <c r="G16" i="29" s="1"/>
  <c r="AD63" i="4"/>
  <c r="AE63" i="4" s="1"/>
  <c r="AA65" i="4"/>
  <c r="Z77" i="4"/>
  <c r="Z76" i="4"/>
  <c r="J49" i="4"/>
  <c r="U49" i="4" s="1"/>
  <c r="L16" i="29"/>
  <c r="B43" i="32"/>
  <c r="B47" i="32"/>
  <c r="B51" i="32"/>
  <c r="B35" i="29"/>
  <c r="J35" i="29"/>
  <c r="R35" i="29"/>
  <c r="C7" i="6"/>
  <c r="E7" i="6"/>
  <c r="G7" i="6"/>
  <c r="I7" i="6"/>
  <c r="K7" i="6"/>
  <c r="Q7" i="6"/>
  <c r="S7" i="6"/>
  <c r="U7" i="6"/>
  <c r="B9" i="6"/>
  <c r="B31" i="59" s="1"/>
  <c r="C9" i="6"/>
  <c r="E9" i="6"/>
  <c r="Q9" i="6"/>
  <c r="S9" i="6"/>
  <c r="U9" i="6"/>
  <c r="B10" i="6"/>
  <c r="B32" i="59" s="1"/>
  <c r="C10" i="6"/>
  <c r="E10" i="6"/>
  <c r="H10" i="6"/>
  <c r="Q10" i="6"/>
  <c r="S10" i="6"/>
  <c r="U10" i="6"/>
  <c r="B11" i="6"/>
  <c r="B33" i="59" s="1"/>
  <c r="C11" i="6"/>
  <c r="F33" i="59" s="1"/>
  <c r="G33" i="59" s="1"/>
  <c r="E11" i="6"/>
  <c r="F48" i="59" s="1"/>
  <c r="G48" i="59" s="1"/>
  <c r="P11" i="6"/>
  <c r="Q11" i="6"/>
  <c r="S11" i="6"/>
  <c r="U11" i="6"/>
  <c r="B12" i="6"/>
  <c r="B34" i="59" s="1"/>
  <c r="C12" i="6"/>
  <c r="F34" i="59" s="1"/>
  <c r="G34" i="59" s="1"/>
  <c r="E12" i="6"/>
  <c r="F49" i="59" s="1"/>
  <c r="G49" i="59" s="1"/>
  <c r="Q12" i="6"/>
  <c r="S12" i="6"/>
  <c r="U12" i="6"/>
  <c r="B13" i="6"/>
  <c r="B35" i="59" s="1"/>
  <c r="C13" i="6"/>
  <c r="F35" i="59" s="1"/>
  <c r="G35" i="59" s="1"/>
  <c r="E13" i="6"/>
  <c r="F50" i="59" s="1"/>
  <c r="G50" i="59" s="1"/>
  <c r="L14" i="6"/>
  <c r="Q13" i="6"/>
  <c r="S13" i="6"/>
  <c r="U13" i="6"/>
  <c r="B14" i="6"/>
  <c r="B36" i="59" s="1"/>
  <c r="Q14" i="6"/>
  <c r="S14" i="6"/>
  <c r="U14" i="6"/>
  <c r="B15" i="6"/>
  <c r="B37" i="59" s="1"/>
  <c r="C15" i="6"/>
  <c r="F37" i="59" s="1"/>
  <c r="G37" i="59" s="1"/>
  <c r="H37" i="59" s="1"/>
  <c r="E15" i="6"/>
  <c r="F52" i="59" s="1"/>
  <c r="G52" i="59" s="1"/>
  <c r="H52" i="59" s="1"/>
  <c r="Q15" i="6"/>
  <c r="S15" i="6"/>
  <c r="U15" i="6"/>
  <c r="B16" i="6"/>
  <c r="B38" i="59" s="1"/>
  <c r="C16" i="6"/>
  <c r="F38" i="59" s="1"/>
  <c r="G38" i="59" s="1"/>
  <c r="E16" i="6"/>
  <c r="F53" i="59" s="1"/>
  <c r="G53" i="59" s="1"/>
  <c r="Q16" i="6"/>
  <c r="S16" i="6"/>
  <c r="U16" i="6"/>
  <c r="B17" i="6"/>
  <c r="B39" i="59" s="1"/>
  <c r="C17" i="6"/>
  <c r="F39" i="59" s="1"/>
  <c r="G39" i="59" s="1"/>
  <c r="E17" i="6"/>
  <c r="F54" i="59" s="1"/>
  <c r="G54" i="59" s="1"/>
  <c r="Q17" i="6"/>
  <c r="S17" i="6"/>
  <c r="U17" i="6"/>
  <c r="B18" i="6"/>
  <c r="B40" i="59" s="1"/>
  <c r="F40" i="59"/>
  <c r="G40" i="59" s="1"/>
  <c r="E18" i="6"/>
  <c r="X18" i="6" s="1"/>
  <c r="Q18" i="6"/>
  <c r="R28" i="6" s="1"/>
  <c r="S18" i="6"/>
  <c r="U18" i="6"/>
  <c r="V28" i="6" s="1"/>
  <c r="B22" i="6"/>
  <c r="B23" i="6"/>
  <c r="B28" i="6"/>
  <c r="B34" i="6" s="1"/>
  <c r="B29" i="6"/>
  <c r="B35" i="6" s="1"/>
  <c r="R29" i="6"/>
  <c r="T29" i="6"/>
  <c r="V29" i="6"/>
  <c r="D11" i="30"/>
  <c r="F11" i="30"/>
  <c r="U11" i="30"/>
  <c r="W11" i="30"/>
  <c r="Y11" i="30"/>
  <c r="AA11"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5" i="30"/>
  <c r="B136" i="30"/>
  <c r="B137" i="30"/>
  <c r="B138" i="30"/>
  <c r="B139" i="30"/>
  <c r="B140" i="30"/>
  <c r="B141" i="30"/>
  <c r="B142" i="30"/>
  <c r="B143" i="30"/>
  <c r="B144" i="30"/>
  <c r="B145" i="30"/>
  <c r="B146" i="30"/>
  <c r="B147" i="30"/>
  <c r="B148" i="30"/>
  <c r="B149" i="30"/>
  <c r="B150" i="30"/>
  <c r="B151" i="30"/>
  <c r="B152" i="30"/>
  <c r="B153" i="30"/>
  <c r="B154" i="30"/>
  <c r="B155" i="30"/>
  <c r="B156" i="30"/>
  <c r="B157" i="30"/>
  <c r="B158" i="30"/>
  <c r="B159" i="30"/>
  <c r="E11" i="32" l="1"/>
  <c r="E12" i="32" s="1"/>
  <c r="K39" i="59"/>
  <c r="K54" i="59" s="1"/>
  <c r="K70" i="59" s="1"/>
  <c r="B54" i="59"/>
  <c r="B70" i="59" s="1"/>
  <c r="B51" i="59"/>
  <c r="B67" i="59" s="1"/>
  <c r="K36" i="59"/>
  <c r="K51" i="59" s="1"/>
  <c r="K67" i="59" s="1"/>
  <c r="B46" i="59"/>
  <c r="B62" i="59" s="1"/>
  <c r="K31" i="59"/>
  <c r="K46" i="59" s="1"/>
  <c r="K62" i="59" s="1"/>
  <c r="K40" i="59"/>
  <c r="K55" i="59" s="1"/>
  <c r="K71" i="59" s="1"/>
  <c r="B55" i="59"/>
  <c r="B71" i="59" s="1"/>
  <c r="B47" i="59"/>
  <c r="B63" i="59" s="1"/>
  <c r="K32" i="59"/>
  <c r="K47" i="59" s="1"/>
  <c r="K63" i="59" s="1"/>
  <c r="B52" i="59"/>
  <c r="B68" i="59" s="1"/>
  <c r="K37" i="59"/>
  <c r="K52" i="59" s="1"/>
  <c r="K68" i="59" s="1"/>
  <c r="B48" i="59"/>
  <c r="B64" i="59" s="1"/>
  <c r="K33" i="59"/>
  <c r="K48" i="59" s="1"/>
  <c r="K64" i="59" s="1"/>
  <c r="B49" i="59"/>
  <c r="B65" i="59" s="1"/>
  <c r="K34" i="59"/>
  <c r="K49" i="59" s="1"/>
  <c r="K65" i="59" s="1"/>
  <c r="K38" i="59"/>
  <c r="K53" i="59" s="1"/>
  <c r="K69" i="59" s="1"/>
  <c r="B53" i="59"/>
  <c r="B69" i="59" s="1"/>
  <c r="B50" i="59"/>
  <c r="B66" i="59" s="1"/>
  <c r="K35" i="59"/>
  <c r="K50" i="59" s="1"/>
  <c r="K66" i="59" s="1"/>
  <c r="B16" i="29"/>
  <c r="R16" i="29" s="1"/>
  <c r="AH16" i="29" s="1"/>
  <c r="Q36" i="57"/>
  <c r="Q48" i="57" s="1"/>
  <c r="Q45" i="57"/>
  <c r="Q57" i="57" s="1"/>
  <c r="Q37" i="57"/>
  <c r="Q49" i="57" s="1"/>
  <c r="Q42" i="57"/>
  <c r="Q54" i="57" s="1"/>
  <c r="Q38" i="57"/>
  <c r="Q50" i="57" s="1"/>
  <c r="Q43" i="57"/>
  <c r="Q55" i="57" s="1"/>
  <c r="B20" i="29"/>
  <c r="J20" i="29" s="1"/>
  <c r="Z20" i="29" s="1"/>
  <c r="Q40" i="57"/>
  <c r="Q52" i="57" s="1"/>
  <c r="Y78" i="4"/>
  <c r="Y66" i="4" s="1"/>
  <c r="Q39" i="57"/>
  <c r="Q51" i="57" s="1"/>
  <c r="B20" i="46"/>
  <c r="AG20" i="46" s="1"/>
  <c r="Q44" i="57"/>
  <c r="Q56" i="57" s="1"/>
  <c r="Q41" i="57"/>
  <c r="Q53" i="57" s="1"/>
  <c r="B144" i="4"/>
  <c r="B143" i="57"/>
  <c r="B104" i="4"/>
  <c r="B103" i="57"/>
  <c r="B72" i="4"/>
  <c r="B71" i="57"/>
  <c r="B40" i="4"/>
  <c r="B39" i="57"/>
  <c r="B24" i="4"/>
  <c r="B23" i="57"/>
  <c r="B151" i="4"/>
  <c r="B150" i="57"/>
  <c r="B119" i="4"/>
  <c r="B118" i="57"/>
  <c r="B87" i="4"/>
  <c r="B86" i="57"/>
  <c r="B55" i="4"/>
  <c r="B54" i="57"/>
  <c r="B23" i="4"/>
  <c r="B22" i="57"/>
  <c r="B154" i="4"/>
  <c r="B153" i="57"/>
  <c r="B146" i="4"/>
  <c r="B145" i="57"/>
  <c r="B138" i="4"/>
  <c r="B137" i="57"/>
  <c r="B130" i="4"/>
  <c r="B129" i="57"/>
  <c r="B122" i="4"/>
  <c r="B121" i="57"/>
  <c r="B114" i="4"/>
  <c r="B113" i="57"/>
  <c r="B106" i="4"/>
  <c r="B105" i="57"/>
  <c r="B98" i="4"/>
  <c r="B97" i="57"/>
  <c r="B90" i="4"/>
  <c r="B89" i="57"/>
  <c r="B82" i="4"/>
  <c r="B81" i="57"/>
  <c r="B74" i="4"/>
  <c r="B73" i="57"/>
  <c r="B66" i="4"/>
  <c r="B65" i="57"/>
  <c r="B58" i="4"/>
  <c r="B57" i="57"/>
  <c r="B50" i="4"/>
  <c r="B49" i="57"/>
  <c r="B42" i="4"/>
  <c r="B41" i="57"/>
  <c r="B34" i="4"/>
  <c r="B33" i="57"/>
  <c r="B26" i="4"/>
  <c r="B25" i="57"/>
  <c r="B18" i="4"/>
  <c r="B17" i="57"/>
  <c r="B153" i="4"/>
  <c r="B152" i="57"/>
  <c r="B145" i="4"/>
  <c r="B144" i="57"/>
  <c r="B137" i="4"/>
  <c r="B136" i="57"/>
  <c r="B129" i="4"/>
  <c r="B128" i="57"/>
  <c r="B121" i="4"/>
  <c r="B120" i="57"/>
  <c r="B113" i="4"/>
  <c r="B112" i="57"/>
  <c r="B105" i="4"/>
  <c r="B104" i="57"/>
  <c r="B97" i="4"/>
  <c r="B96" i="57"/>
  <c r="B89" i="4"/>
  <c r="B88" i="57"/>
  <c r="B81" i="4"/>
  <c r="B80" i="57"/>
  <c r="B73" i="4"/>
  <c r="B72" i="57"/>
  <c r="B65" i="4"/>
  <c r="B64" i="57"/>
  <c r="B57" i="4"/>
  <c r="B56" i="57"/>
  <c r="B49" i="4"/>
  <c r="B48" i="57"/>
  <c r="B41" i="4"/>
  <c r="B40" i="57"/>
  <c r="B33" i="4"/>
  <c r="B32" i="57"/>
  <c r="B25" i="4"/>
  <c r="B24" i="57"/>
  <c r="B17" i="4"/>
  <c r="B16" i="57"/>
  <c r="B128" i="4"/>
  <c r="B127" i="57"/>
  <c r="B96" i="4"/>
  <c r="B95" i="57"/>
  <c r="B64" i="4"/>
  <c r="B63" i="57"/>
  <c r="B32" i="4"/>
  <c r="B31" i="57"/>
  <c r="B127" i="4"/>
  <c r="B126" i="57"/>
  <c r="B95" i="4"/>
  <c r="B94" i="57"/>
  <c r="B63" i="4"/>
  <c r="B62" i="57"/>
  <c r="B31" i="4"/>
  <c r="B30" i="57"/>
  <c r="B142" i="4"/>
  <c r="B141" i="57"/>
  <c r="B110" i="4"/>
  <c r="B109" i="57"/>
  <c r="B86" i="4"/>
  <c r="B85" i="57"/>
  <c r="B62" i="4"/>
  <c r="B61" i="57"/>
  <c r="B38" i="4"/>
  <c r="B37" i="57"/>
  <c r="B133" i="4"/>
  <c r="B132" i="57"/>
  <c r="B125" i="4"/>
  <c r="B124" i="57"/>
  <c r="B117" i="4"/>
  <c r="B116" i="57"/>
  <c r="B109" i="4"/>
  <c r="B108" i="57"/>
  <c r="B101" i="4"/>
  <c r="B100" i="57"/>
  <c r="B93" i="4"/>
  <c r="B92" i="57"/>
  <c r="B85" i="4"/>
  <c r="B84" i="57"/>
  <c r="B77" i="4"/>
  <c r="B76" i="57"/>
  <c r="B69" i="4"/>
  <c r="B68" i="57"/>
  <c r="B61" i="4"/>
  <c r="B60" i="57"/>
  <c r="B53" i="4"/>
  <c r="B52" i="57"/>
  <c r="B45" i="4"/>
  <c r="B44" i="57"/>
  <c r="B37" i="4"/>
  <c r="B36" i="57"/>
  <c r="B29" i="4"/>
  <c r="B28" i="57"/>
  <c r="B21" i="4"/>
  <c r="B20" i="57"/>
  <c r="B13" i="4"/>
  <c r="B12" i="57"/>
  <c r="B152" i="4"/>
  <c r="B151" i="57"/>
  <c r="B112" i="4"/>
  <c r="B111" i="57"/>
  <c r="B80" i="4"/>
  <c r="B79" i="57"/>
  <c r="B56" i="4"/>
  <c r="B55" i="57"/>
  <c r="B16" i="4"/>
  <c r="B15" i="57"/>
  <c r="B135" i="4"/>
  <c r="B134" i="57"/>
  <c r="B103" i="4"/>
  <c r="B102" i="57"/>
  <c r="B71" i="4"/>
  <c r="B70" i="57"/>
  <c r="B47" i="4"/>
  <c r="B46" i="57"/>
  <c r="B15" i="4"/>
  <c r="B14" i="57"/>
  <c r="B150" i="4"/>
  <c r="B149" i="57"/>
  <c r="B126" i="4"/>
  <c r="B125" i="57"/>
  <c r="B102" i="4"/>
  <c r="B101" i="57"/>
  <c r="B78" i="4"/>
  <c r="B77" i="57"/>
  <c r="B54" i="4"/>
  <c r="B53" i="57"/>
  <c r="B30" i="4"/>
  <c r="B29" i="57"/>
  <c r="B22" i="4"/>
  <c r="B21" i="57"/>
  <c r="B141" i="4"/>
  <c r="B140" i="57"/>
  <c r="B148" i="4"/>
  <c r="B147" i="57"/>
  <c r="B140" i="4"/>
  <c r="B139" i="57"/>
  <c r="B132" i="4"/>
  <c r="B131" i="57"/>
  <c r="B124" i="4"/>
  <c r="B123" i="57"/>
  <c r="B116" i="4"/>
  <c r="B115" i="57"/>
  <c r="B108" i="4"/>
  <c r="B107" i="57"/>
  <c r="B100" i="4"/>
  <c r="B99" i="57"/>
  <c r="B92" i="4"/>
  <c r="B91" i="57"/>
  <c r="B84" i="4"/>
  <c r="B83" i="57"/>
  <c r="B76" i="4"/>
  <c r="B75" i="57"/>
  <c r="B68" i="4"/>
  <c r="B67" i="57"/>
  <c r="B60" i="4"/>
  <c r="B59" i="57"/>
  <c r="B52" i="4"/>
  <c r="B51" i="57"/>
  <c r="B44" i="4"/>
  <c r="B43" i="57"/>
  <c r="B36" i="4"/>
  <c r="B35" i="57"/>
  <c r="B28" i="4"/>
  <c r="B27" i="57"/>
  <c r="B20" i="4"/>
  <c r="B19" i="57"/>
  <c r="B12" i="4"/>
  <c r="B11" i="57"/>
  <c r="B136" i="4"/>
  <c r="B135" i="57"/>
  <c r="B120" i="4"/>
  <c r="B119" i="57"/>
  <c r="B88" i="4"/>
  <c r="B87" i="57"/>
  <c r="B48" i="4"/>
  <c r="B47" i="57"/>
  <c r="B143" i="4"/>
  <c r="B142" i="57"/>
  <c r="B111" i="4"/>
  <c r="B110" i="57"/>
  <c r="B79" i="4"/>
  <c r="B78" i="57"/>
  <c r="B39" i="4"/>
  <c r="B38" i="57"/>
  <c r="B134" i="4"/>
  <c r="B133" i="57"/>
  <c r="B118" i="4"/>
  <c r="B117" i="57"/>
  <c r="B94" i="4"/>
  <c r="B93" i="57"/>
  <c r="B70" i="4"/>
  <c r="B69" i="57"/>
  <c r="B46" i="4"/>
  <c r="B45" i="57"/>
  <c r="B14" i="4"/>
  <c r="B13" i="57"/>
  <c r="B149" i="4"/>
  <c r="B148" i="57"/>
  <c r="B147" i="4"/>
  <c r="B146" i="57"/>
  <c r="B139" i="4"/>
  <c r="B138" i="57"/>
  <c r="B131" i="4"/>
  <c r="B130" i="57"/>
  <c r="B123" i="4"/>
  <c r="B122" i="57"/>
  <c r="B115" i="4"/>
  <c r="B114" i="57"/>
  <c r="B107" i="4"/>
  <c r="B106" i="57"/>
  <c r="B99" i="4"/>
  <c r="B98" i="57"/>
  <c r="B91" i="4"/>
  <c r="B90" i="57"/>
  <c r="B83" i="4"/>
  <c r="B82" i="57"/>
  <c r="B75" i="4"/>
  <c r="B74" i="57"/>
  <c r="B67" i="4"/>
  <c r="B66" i="57"/>
  <c r="B59" i="4"/>
  <c r="B58" i="57"/>
  <c r="B51" i="4"/>
  <c r="B50" i="57"/>
  <c r="B43" i="4"/>
  <c r="B42" i="57"/>
  <c r="B35" i="4"/>
  <c r="B34" i="57"/>
  <c r="B27" i="4"/>
  <c r="B26" i="57"/>
  <c r="B19" i="4"/>
  <c r="B18" i="57"/>
  <c r="B11" i="4"/>
  <c r="B10" i="57"/>
  <c r="H38" i="59"/>
  <c r="H34" i="59"/>
  <c r="V13" i="6"/>
  <c r="H54" i="59"/>
  <c r="H39" i="59"/>
  <c r="H40" i="59"/>
  <c r="F46" i="59"/>
  <c r="G46" i="59" s="1"/>
  <c r="E19" i="32"/>
  <c r="C23" i="47" s="1"/>
  <c r="L21" i="47" s="1"/>
  <c r="D101" i="38" s="1"/>
  <c r="D116" i="38" s="1"/>
  <c r="F55" i="59"/>
  <c r="G55" i="59" s="1"/>
  <c r="H55" i="59" s="1"/>
  <c r="X9" i="6"/>
  <c r="G31" i="59"/>
  <c r="E15" i="32"/>
  <c r="C7" i="47" s="1"/>
  <c r="K21" i="47" s="1"/>
  <c r="C101" i="38" s="1"/>
  <c r="C116" i="38" s="1"/>
  <c r="H35" i="59"/>
  <c r="H36" i="59"/>
  <c r="F32" i="59"/>
  <c r="F15" i="32"/>
  <c r="C8" i="47" s="1"/>
  <c r="K22" i="47" s="1"/>
  <c r="C102" i="38" s="1"/>
  <c r="H49" i="59"/>
  <c r="F47" i="59"/>
  <c r="G47" i="59" s="1"/>
  <c r="H48" i="59" s="1"/>
  <c r="F19" i="32"/>
  <c r="C24" i="47" s="1"/>
  <c r="L22" i="47" s="1"/>
  <c r="D102" i="38" s="1"/>
  <c r="H53" i="59"/>
  <c r="H50" i="59"/>
  <c r="H51" i="59"/>
  <c r="K39" i="32"/>
  <c r="E31" i="32"/>
  <c r="C71" i="47" s="1"/>
  <c r="O21" i="47" s="1"/>
  <c r="G101" i="38" s="1"/>
  <c r="G116" i="38" s="1"/>
  <c r="N39" i="32"/>
  <c r="J39" i="32"/>
  <c r="E39" i="32"/>
  <c r="M39" i="32"/>
  <c r="L39" i="32"/>
  <c r="F31" i="32"/>
  <c r="C72" i="47" s="1"/>
  <c r="O22" i="47" s="1"/>
  <c r="G102" i="38" s="1"/>
  <c r="H39" i="32"/>
  <c r="G39" i="32"/>
  <c r="O39" i="32"/>
  <c r="I39" i="32"/>
  <c r="F39" i="32"/>
  <c r="J50" i="4"/>
  <c r="U50" i="4" s="1"/>
  <c r="F23" i="32"/>
  <c r="C40" i="47" s="1"/>
  <c r="M22" i="47" s="1"/>
  <c r="E102" i="38" s="1"/>
  <c r="F27" i="32"/>
  <c r="N22" i="47" s="1"/>
  <c r="F102" i="38" s="1"/>
  <c r="E27" i="32"/>
  <c r="N21" i="47" s="1"/>
  <c r="F101" i="38" s="1"/>
  <c r="F116" i="38" s="1"/>
  <c r="E23" i="32"/>
  <c r="C39" i="47" s="1"/>
  <c r="M21" i="47" s="1"/>
  <c r="E101" i="38" s="1"/>
  <c r="E116" i="38" s="1"/>
  <c r="E35" i="32"/>
  <c r="C87" i="47" s="1"/>
  <c r="P21" i="47" s="1"/>
  <c r="H101" i="38" s="1"/>
  <c r="H116" i="38" s="1"/>
  <c r="F35" i="32"/>
  <c r="C88" i="47" s="1"/>
  <c r="P22" i="47" s="1"/>
  <c r="H102" i="38" s="1"/>
  <c r="X17" i="6"/>
  <c r="H49" i="46"/>
  <c r="D167" i="4"/>
  <c r="X11" i="6"/>
  <c r="X12" i="6"/>
  <c r="X10" i="6"/>
  <c r="X15" i="6"/>
  <c r="Y15" i="6" s="1"/>
  <c r="X16" i="6"/>
  <c r="X13" i="6"/>
  <c r="Y82" i="4"/>
  <c r="Y70" i="4" s="1"/>
  <c r="L9" i="32"/>
  <c r="L7" i="58" s="1"/>
  <c r="L4" i="58" s="1"/>
  <c r="L15" i="32"/>
  <c r="C14" i="47" s="1"/>
  <c r="K28" i="47" s="1"/>
  <c r="C108" i="38" s="1"/>
  <c r="M15" i="32"/>
  <c r="C15" i="47" s="1"/>
  <c r="K29" i="47" s="1"/>
  <c r="C109" i="38" s="1"/>
  <c r="H15" i="32"/>
  <c r="C10" i="47" s="1"/>
  <c r="K24" i="47" s="1"/>
  <c r="C104" i="38" s="1"/>
  <c r="I15" i="32"/>
  <c r="C11" i="47" s="1"/>
  <c r="K25" i="47" s="1"/>
  <c r="C105" i="38" s="1"/>
  <c r="G15" i="32"/>
  <c r="C9" i="47" s="1"/>
  <c r="K23" i="47" s="1"/>
  <c r="C103" i="38" s="1"/>
  <c r="J15" i="32"/>
  <c r="C12" i="47" s="1"/>
  <c r="K26" i="47" s="1"/>
  <c r="C106" i="38" s="1"/>
  <c r="K15" i="32"/>
  <c r="C13" i="47" s="1"/>
  <c r="K27" i="47" s="1"/>
  <c r="C107" i="38" s="1"/>
  <c r="N15" i="32"/>
  <c r="C16" i="47" s="1"/>
  <c r="K30" i="47" s="1"/>
  <c r="C110" i="38" s="1"/>
  <c r="H27" i="32"/>
  <c r="N24" i="47" s="1"/>
  <c r="F104" i="38" s="1"/>
  <c r="I31" i="32"/>
  <c r="C75" i="47" s="1"/>
  <c r="O25" i="47" s="1"/>
  <c r="G105" i="38" s="1"/>
  <c r="H35" i="32"/>
  <c r="C90" i="47" s="1"/>
  <c r="P24" i="47" s="1"/>
  <c r="H104" i="38" s="1"/>
  <c r="K19" i="32"/>
  <c r="C29" i="47" s="1"/>
  <c r="L27" i="47" s="1"/>
  <c r="D107" i="38" s="1"/>
  <c r="L23" i="32"/>
  <c r="C46" i="47" s="1"/>
  <c r="M28" i="47" s="1"/>
  <c r="E108" i="38" s="1"/>
  <c r="G35" i="32"/>
  <c r="C89" i="47" s="1"/>
  <c r="P23" i="47" s="1"/>
  <c r="H103" i="38" s="1"/>
  <c r="M35" i="32"/>
  <c r="C95" i="47" s="1"/>
  <c r="P29" i="47" s="1"/>
  <c r="H109" i="38" s="1"/>
  <c r="K27" i="32"/>
  <c r="C61" i="47" s="1"/>
  <c r="N27" i="47" s="1"/>
  <c r="F107" i="38" s="1"/>
  <c r="K31" i="32"/>
  <c r="C77" i="47" s="1"/>
  <c r="O27" i="47" s="1"/>
  <c r="G107" i="38" s="1"/>
  <c r="J35" i="32"/>
  <c r="C92" i="47" s="1"/>
  <c r="P26" i="47" s="1"/>
  <c r="H106" i="38" s="1"/>
  <c r="I35" i="32"/>
  <c r="C91" i="47" s="1"/>
  <c r="P25" i="47" s="1"/>
  <c r="H105" i="38" s="1"/>
  <c r="J19" i="32"/>
  <c r="C28" i="47" s="1"/>
  <c r="L26" i="47" s="1"/>
  <c r="D106" i="38" s="1"/>
  <c r="I23" i="32"/>
  <c r="C43" i="47" s="1"/>
  <c r="M25" i="47" s="1"/>
  <c r="E105" i="38" s="1"/>
  <c r="K23" i="32"/>
  <c r="C45" i="47" s="1"/>
  <c r="M27" i="47" s="1"/>
  <c r="E107" i="38" s="1"/>
  <c r="J23" i="32"/>
  <c r="C44" i="47" s="1"/>
  <c r="M26" i="47" s="1"/>
  <c r="E106" i="38" s="1"/>
  <c r="N19" i="32"/>
  <c r="C32" i="47" s="1"/>
  <c r="L30" i="47" s="1"/>
  <c r="D110" i="38" s="1"/>
  <c r="L19" i="32"/>
  <c r="C30" i="47" s="1"/>
  <c r="L28" i="47" s="1"/>
  <c r="D108" i="38" s="1"/>
  <c r="G27" i="32"/>
  <c r="N23" i="47" s="1"/>
  <c r="F103" i="38" s="1"/>
  <c r="M23" i="32"/>
  <c r="C47" i="47" s="1"/>
  <c r="M29" i="47" s="1"/>
  <c r="E109" i="38" s="1"/>
  <c r="G31" i="32"/>
  <c r="C73" i="47" s="1"/>
  <c r="O23" i="47" s="1"/>
  <c r="G103" i="38" s="1"/>
  <c r="N35" i="32"/>
  <c r="C96" i="47" s="1"/>
  <c r="P30" i="47" s="1"/>
  <c r="H110" i="38" s="1"/>
  <c r="H23" i="32"/>
  <c r="C42" i="47" s="1"/>
  <c r="M24" i="47" s="1"/>
  <c r="E104" i="38" s="1"/>
  <c r="I19" i="32"/>
  <c r="C27" i="47" s="1"/>
  <c r="L25" i="47" s="1"/>
  <c r="D105" i="38" s="1"/>
  <c r="N23" i="32"/>
  <c r="C48" i="47" s="1"/>
  <c r="M30" i="47" s="1"/>
  <c r="E110" i="38" s="1"/>
  <c r="M27" i="32"/>
  <c r="C63" i="47" s="1"/>
  <c r="N29" i="47" s="1"/>
  <c r="F109" i="38" s="1"/>
  <c r="M31" i="32"/>
  <c r="C79" i="47" s="1"/>
  <c r="O29" i="47" s="1"/>
  <c r="G109" i="38" s="1"/>
  <c r="G19" i="32"/>
  <c r="C25" i="47" s="1"/>
  <c r="L23" i="47" s="1"/>
  <c r="D103" i="38" s="1"/>
  <c r="J31" i="32"/>
  <c r="C76" i="47" s="1"/>
  <c r="O26" i="47" s="1"/>
  <c r="G106" i="38" s="1"/>
  <c r="L31" i="32"/>
  <c r="C78" i="47" s="1"/>
  <c r="O28" i="47" s="1"/>
  <c r="G108" i="38" s="1"/>
  <c r="L35" i="32"/>
  <c r="C94" i="47" s="1"/>
  <c r="P28" i="47" s="1"/>
  <c r="H108" i="38" s="1"/>
  <c r="I27" i="32"/>
  <c r="N25" i="47" s="1"/>
  <c r="F105" i="38" s="1"/>
  <c r="J27" i="32"/>
  <c r="C60" i="47" s="1"/>
  <c r="N26" i="47" s="1"/>
  <c r="F106" i="38" s="1"/>
  <c r="G23" i="32"/>
  <c r="C41" i="47" s="1"/>
  <c r="M23" i="47" s="1"/>
  <c r="E103" i="38" s="1"/>
  <c r="N31" i="32"/>
  <c r="C80" i="47" s="1"/>
  <c r="O30" i="47" s="1"/>
  <c r="G110" i="38" s="1"/>
  <c r="K35" i="32"/>
  <c r="C93" i="47" s="1"/>
  <c r="P27" i="47" s="1"/>
  <c r="H107" i="38" s="1"/>
  <c r="M19" i="32"/>
  <c r="C31" i="47" s="1"/>
  <c r="L29" i="47" s="1"/>
  <c r="D109" i="38" s="1"/>
  <c r="L27" i="32"/>
  <c r="C62" i="47" s="1"/>
  <c r="N28" i="47" s="1"/>
  <c r="F108" i="38" s="1"/>
  <c r="N27" i="32"/>
  <c r="C64" i="47" s="1"/>
  <c r="N30" i="47" s="1"/>
  <c r="F110" i="38" s="1"/>
  <c r="H19" i="32"/>
  <c r="C26" i="47" s="1"/>
  <c r="L24" i="47" s="1"/>
  <c r="D104" i="38" s="1"/>
  <c r="H31" i="32"/>
  <c r="C74" i="47" s="1"/>
  <c r="O24" i="47" s="1"/>
  <c r="G104" i="38" s="1"/>
  <c r="T10" i="6"/>
  <c r="T20" i="6" s="1"/>
  <c r="S22" i="6" s="1"/>
  <c r="S23" i="6" s="1"/>
  <c r="D14" i="6"/>
  <c r="T17" i="6"/>
  <c r="T12" i="6"/>
  <c r="L18" i="6"/>
  <c r="P16" i="6"/>
  <c r="R17" i="6"/>
  <c r="V17" i="6"/>
  <c r="D17" i="6"/>
  <c r="P10" i="6"/>
  <c r="F12" i="6"/>
  <c r="V14" i="6"/>
  <c r="V18" i="6"/>
  <c r="R15" i="6"/>
  <c r="R14" i="6"/>
  <c r="D12" i="6"/>
  <c r="H16" i="6"/>
  <c r="R12" i="6"/>
  <c r="D18" i="6"/>
  <c r="C22" i="6" s="1"/>
  <c r="R18" i="6"/>
  <c r="V16" i="6"/>
  <c r="H12" i="6"/>
  <c r="F10" i="6"/>
  <c r="P12" i="6"/>
  <c r="T11" i="6"/>
  <c r="T15" i="6"/>
  <c r="T13" i="6"/>
  <c r="V12" i="6"/>
  <c r="R10" i="6"/>
  <c r="R20" i="6" s="1"/>
  <c r="Q22" i="6" s="1"/>
  <c r="Q23" i="6" s="1"/>
  <c r="H14" i="6"/>
  <c r="V11" i="6"/>
  <c r="V10" i="6"/>
  <c r="V20" i="6" s="1"/>
  <c r="U22" i="6" s="1"/>
  <c r="U23" i="6" s="1"/>
  <c r="H18" i="6"/>
  <c r="R16" i="6"/>
  <c r="V15" i="6"/>
  <c r="F15" i="6"/>
  <c r="P14" i="6"/>
  <c r="T14" i="6"/>
  <c r="T16" i="6"/>
  <c r="T28" i="6"/>
  <c r="D16" i="6"/>
  <c r="R11" i="6"/>
  <c r="I22" i="6"/>
  <c r="I34" i="6" s="1"/>
  <c r="D13" i="6"/>
  <c r="L12" i="6"/>
  <c r="H13" i="6"/>
  <c r="F16" i="6"/>
  <c r="L16" i="6"/>
  <c r="F14" i="6"/>
  <c r="P18" i="6"/>
  <c r="F18" i="6"/>
  <c r="E22" i="6" s="1"/>
  <c r="L17" i="6"/>
  <c r="P15" i="6"/>
  <c r="D15" i="6"/>
  <c r="B60" i="38"/>
  <c r="J9" i="32"/>
  <c r="J7" i="58" s="1"/>
  <c r="J4" i="58" s="1"/>
  <c r="B17" i="46"/>
  <c r="B21" i="29"/>
  <c r="Y80" i="4"/>
  <c r="Y68" i="4" s="1"/>
  <c r="R13" i="6"/>
  <c r="F13" i="6"/>
  <c r="H11" i="6"/>
  <c r="B57" i="38"/>
  <c r="B14" i="46"/>
  <c r="G9" i="32"/>
  <c r="G7" i="58" s="1"/>
  <c r="G4" i="58" s="1"/>
  <c r="Y77" i="4"/>
  <c r="Y65" i="4" s="1"/>
  <c r="B18" i="29"/>
  <c r="B56" i="38"/>
  <c r="F9" i="32"/>
  <c r="F7" i="58" s="1"/>
  <c r="B13" i="46"/>
  <c r="B17" i="29"/>
  <c r="Y76" i="4"/>
  <c r="Y64" i="4" s="1"/>
  <c r="T18" i="6"/>
  <c r="B64" i="38"/>
  <c r="N9" i="32"/>
  <c r="N7" i="58" s="1"/>
  <c r="N4" i="58" s="1"/>
  <c r="B25" i="29"/>
  <c r="B21" i="46"/>
  <c r="Y84" i="4"/>
  <c r="Y72" i="4" s="1"/>
  <c r="F17" i="6"/>
  <c r="H15" i="6"/>
  <c r="B61" i="38"/>
  <c r="B18" i="46"/>
  <c r="K9" i="32"/>
  <c r="K7" i="58" s="1"/>
  <c r="K4" i="58" s="1"/>
  <c r="Y81" i="4"/>
  <c r="Y69" i="4" s="1"/>
  <c r="B22" i="29"/>
  <c r="L11" i="6"/>
  <c r="F11" i="6"/>
  <c r="L10" i="6"/>
  <c r="D10" i="6"/>
  <c r="B66" i="38"/>
  <c r="P9" i="32"/>
  <c r="B23" i="46"/>
  <c r="B27" i="29"/>
  <c r="L15" i="6"/>
  <c r="P13" i="6"/>
  <c r="B65" i="38"/>
  <c r="B22" i="46"/>
  <c r="O9" i="32"/>
  <c r="B26" i="29"/>
  <c r="P17" i="6"/>
  <c r="H17" i="6"/>
  <c r="L13" i="6"/>
  <c r="R20" i="29"/>
  <c r="AH20" i="29" s="1"/>
  <c r="D11" i="6"/>
  <c r="B24" i="29"/>
  <c r="B62" i="38"/>
  <c r="B19" i="46"/>
  <c r="B58" i="38"/>
  <c r="H9" i="32"/>
  <c r="H7" i="58" s="1"/>
  <c r="H4" i="58" s="1"/>
  <c r="B15" i="46"/>
  <c r="B55" i="38"/>
  <c r="B12" i="46"/>
  <c r="E9" i="32"/>
  <c r="E7" i="58" s="1"/>
  <c r="B23" i="29"/>
  <c r="B63" i="38"/>
  <c r="M9" i="32"/>
  <c r="M7" i="58" s="1"/>
  <c r="M4" i="58" s="1"/>
  <c r="B59" i="38"/>
  <c r="I9" i="32"/>
  <c r="I7" i="58" s="1"/>
  <c r="I4" i="58" s="1"/>
  <c r="Y83" i="4"/>
  <c r="Y71" i="4" s="1"/>
  <c r="Y79" i="4"/>
  <c r="Y67" i="4" s="1"/>
  <c r="Y75" i="4"/>
  <c r="Y63" i="4" s="1"/>
  <c r="D18" i="29"/>
  <c r="D17" i="29"/>
  <c r="F17" i="29" s="1"/>
  <c r="T16" i="29"/>
  <c r="V16" i="29" s="1"/>
  <c r="B19" i="29"/>
  <c r="B16" i="46"/>
  <c r="G140" i="38" l="1"/>
  <c r="H140" i="38"/>
  <c r="D121" i="38"/>
  <c r="D136" i="38"/>
  <c r="C122" i="38"/>
  <c r="C137" i="38"/>
  <c r="E119" i="38"/>
  <c r="E134" i="38"/>
  <c r="H121" i="38"/>
  <c r="H136" i="38"/>
  <c r="C121" i="38"/>
  <c r="C136" i="38"/>
  <c r="E117" i="38"/>
  <c r="E132" i="38"/>
  <c r="E118" i="38"/>
  <c r="E133" i="38"/>
  <c r="G122" i="38"/>
  <c r="G137" i="38"/>
  <c r="C118" i="38"/>
  <c r="C133" i="38"/>
  <c r="D124" i="38"/>
  <c r="D139" i="38"/>
  <c r="F121" i="38"/>
  <c r="F136" i="38"/>
  <c r="G118" i="38"/>
  <c r="G133" i="38"/>
  <c r="F122" i="38"/>
  <c r="F137" i="38"/>
  <c r="C120" i="38"/>
  <c r="C135" i="38"/>
  <c r="F120" i="38"/>
  <c r="F135" i="38"/>
  <c r="E124" i="38"/>
  <c r="E139" i="38"/>
  <c r="H124" i="38"/>
  <c r="H139" i="38"/>
  <c r="C119" i="38"/>
  <c r="C134" i="38"/>
  <c r="H120" i="38"/>
  <c r="H135" i="38"/>
  <c r="H123" i="38"/>
  <c r="H138" i="38"/>
  <c r="F118" i="38"/>
  <c r="F133" i="38"/>
  <c r="H118" i="38"/>
  <c r="H133" i="38"/>
  <c r="C124" i="38"/>
  <c r="C139" i="38"/>
  <c r="D117" i="38"/>
  <c r="D132" i="38"/>
  <c r="G123" i="38"/>
  <c r="G138" i="38"/>
  <c r="D123" i="38"/>
  <c r="D138" i="38"/>
  <c r="E123" i="38"/>
  <c r="E138" i="38"/>
  <c r="C123" i="38"/>
  <c r="C138" i="38"/>
  <c r="H117" i="38"/>
  <c r="H132" i="38"/>
  <c r="G117" i="38"/>
  <c r="G132" i="38"/>
  <c r="C125" i="38"/>
  <c r="C140" i="38"/>
  <c r="H122" i="38"/>
  <c r="H137" i="38"/>
  <c r="G119" i="38"/>
  <c r="G134" i="38"/>
  <c r="G121" i="38"/>
  <c r="G136" i="38"/>
  <c r="D125" i="38"/>
  <c r="D140" i="38"/>
  <c r="D122" i="38"/>
  <c r="D137" i="38"/>
  <c r="C117" i="38"/>
  <c r="D120" i="38"/>
  <c r="D135" i="38"/>
  <c r="E125" i="38"/>
  <c r="E140" i="38"/>
  <c r="D119" i="38"/>
  <c r="D134" i="38"/>
  <c r="D118" i="38"/>
  <c r="D133" i="38"/>
  <c r="E121" i="38"/>
  <c r="E136" i="38"/>
  <c r="H119" i="38"/>
  <c r="H134" i="38"/>
  <c r="F125" i="38"/>
  <c r="F140" i="38"/>
  <c r="G124" i="38"/>
  <c r="G139" i="38"/>
  <c r="E122" i="38"/>
  <c r="E137" i="38"/>
  <c r="G120" i="38"/>
  <c r="G135" i="38"/>
  <c r="F123" i="38"/>
  <c r="F138" i="38"/>
  <c r="F139" i="38"/>
  <c r="E120" i="38"/>
  <c r="E135" i="38"/>
  <c r="F119" i="38"/>
  <c r="F134" i="38"/>
  <c r="F117" i="38"/>
  <c r="F132" i="38"/>
  <c r="Q9" i="58"/>
  <c r="I109" i="38"/>
  <c r="I107" i="38"/>
  <c r="I101" i="38"/>
  <c r="I116" i="38" s="1"/>
  <c r="I106" i="38"/>
  <c r="I103" i="38"/>
  <c r="I105" i="38"/>
  <c r="I104" i="38"/>
  <c r="I108" i="38"/>
  <c r="I110" i="38"/>
  <c r="I102" i="38"/>
  <c r="C23" i="6"/>
  <c r="G22" i="6"/>
  <c r="G23" i="6" s="1"/>
  <c r="E23" i="6"/>
  <c r="E4" i="58"/>
  <c r="R9" i="58"/>
  <c r="J16" i="29"/>
  <c r="Z16" i="29" s="1"/>
  <c r="AQ20" i="46"/>
  <c r="K22" i="6"/>
  <c r="K23" i="6" s="1"/>
  <c r="B75" i="38"/>
  <c r="B90" i="38" s="1"/>
  <c r="B105" i="38" s="1"/>
  <c r="B120" i="38" s="1"/>
  <c r="B135" i="38" s="1"/>
  <c r="B11" i="47"/>
  <c r="B76" i="38"/>
  <c r="B91" i="38" s="1"/>
  <c r="B106" i="38" s="1"/>
  <c r="B121" i="38" s="1"/>
  <c r="B136" i="38" s="1"/>
  <c r="B12" i="47"/>
  <c r="B79" i="38"/>
  <c r="B94" i="38" s="1"/>
  <c r="B109" i="38" s="1"/>
  <c r="B124" i="38" s="1"/>
  <c r="B139" i="38" s="1"/>
  <c r="B15" i="47"/>
  <c r="B78" i="38"/>
  <c r="B93" i="38" s="1"/>
  <c r="B108" i="38" s="1"/>
  <c r="B123" i="38" s="1"/>
  <c r="B138" i="38" s="1"/>
  <c r="B14" i="47"/>
  <c r="Q23" i="47"/>
  <c r="F8" i="38" s="1"/>
  <c r="Q25" i="47"/>
  <c r="F10" i="38" s="1"/>
  <c r="Q30" i="47"/>
  <c r="F15" i="38" s="1"/>
  <c r="F4" i="58"/>
  <c r="Q26" i="47"/>
  <c r="F11" i="38" s="1"/>
  <c r="B82" i="38"/>
  <c r="B97" i="38" s="1"/>
  <c r="B112" i="38" s="1"/>
  <c r="B127" i="38" s="1"/>
  <c r="B142" i="38" s="1"/>
  <c r="B18" i="47"/>
  <c r="B80" i="38"/>
  <c r="B95" i="38" s="1"/>
  <c r="B110" i="38" s="1"/>
  <c r="B125" i="38" s="1"/>
  <c r="B140" i="38" s="1"/>
  <c r="B16" i="47"/>
  <c r="Q24" i="47"/>
  <c r="F9" i="38" s="1"/>
  <c r="B73" i="38"/>
  <c r="B88" i="38" s="1"/>
  <c r="B103" i="38" s="1"/>
  <c r="B118" i="38" s="1"/>
  <c r="B133" i="38" s="1"/>
  <c r="B9" i="47"/>
  <c r="B72" i="38"/>
  <c r="B87" i="38" s="1"/>
  <c r="B102" i="38" s="1"/>
  <c r="B117" i="38" s="1"/>
  <c r="B132" i="38" s="1"/>
  <c r="B8" i="47"/>
  <c r="B81" i="38"/>
  <c r="B96" i="38" s="1"/>
  <c r="B111" i="38" s="1"/>
  <c r="B126" i="38" s="1"/>
  <c r="B141" i="38" s="1"/>
  <c r="B17" i="47"/>
  <c r="C34" i="6"/>
  <c r="B71" i="38"/>
  <c r="B86" i="38" s="1"/>
  <c r="B101" i="38" s="1"/>
  <c r="B116" i="38" s="1"/>
  <c r="B131" i="38" s="1"/>
  <c r="B7" i="47"/>
  <c r="B77" i="38"/>
  <c r="B92" i="38" s="1"/>
  <c r="B107" i="38" s="1"/>
  <c r="B122" i="38" s="1"/>
  <c r="B137" i="38" s="1"/>
  <c r="B13" i="47"/>
  <c r="Q29" i="47"/>
  <c r="F14" i="38" s="1"/>
  <c r="B74" i="38"/>
  <c r="B89" i="38" s="1"/>
  <c r="B104" i="38" s="1"/>
  <c r="B119" i="38" s="1"/>
  <c r="B134" i="38" s="1"/>
  <c r="B10" i="47"/>
  <c r="Q27" i="47"/>
  <c r="F12" i="38" s="1"/>
  <c r="Q28" i="47"/>
  <c r="F13" i="38" s="1"/>
  <c r="Q22" i="47"/>
  <c r="F7" i="38" s="1"/>
  <c r="G32" i="59"/>
  <c r="H33" i="59" s="1"/>
  <c r="P131" i="4"/>
  <c r="P132" i="4"/>
  <c r="P133" i="4" s="1"/>
  <c r="P134" i="4" s="1"/>
  <c r="P135" i="4" s="1"/>
  <c r="P136" i="4" s="1"/>
  <c r="P137" i="4" s="1"/>
  <c r="P138" i="4" s="1"/>
  <c r="P139" i="4" s="1"/>
  <c r="P140" i="4" s="1"/>
  <c r="P141" i="4" s="1"/>
  <c r="P142" i="4" s="1"/>
  <c r="P143" i="4" s="1"/>
  <c r="P144" i="4" s="1"/>
  <c r="P146" i="4" s="1"/>
  <c r="P147" i="4" s="1"/>
  <c r="P148" i="4" s="1"/>
  <c r="P149" i="4" s="1"/>
  <c r="P150" i="4" s="1"/>
  <c r="P151" i="4" s="1"/>
  <c r="P152" i="4" s="1"/>
  <c r="P153" i="4" s="1"/>
  <c r="P154" i="4" s="1"/>
  <c r="B19" i="59"/>
  <c r="B23" i="59"/>
  <c r="F57" i="46"/>
  <c r="W20" i="46"/>
  <c r="M20" i="46"/>
  <c r="H47" i="59"/>
  <c r="H56" i="59" s="1"/>
  <c r="J51" i="4"/>
  <c r="U51" i="4" s="1"/>
  <c r="E55" i="32"/>
  <c r="F71" i="38" s="1"/>
  <c r="L18" i="29"/>
  <c r="T18" i="29" s="1"/>
  <c r="AB18" i="29" s="1"/>
  <c r="F18" i="29"/>
  <c r="L17" i="29"/>
  <c r="T17" i="29" s="1"/>
  <c r="AB17" i="29" s="1"/>
  <c r="AL22" i="46"/>
  <c r="AJ40" i="46" s="1"/>
  <c r="I51" i="46"/>
  <c r="F53" i="46"/>
  <c r="AQ16" i="46"/>
  <c r="AG16" i="46"/>
  <c r="F55" i="46"/>
  <c r="AQ18" i="46"/>
  <c r="AG18" i="46"/>
  <c r="F50" i="46"/>
  <c r="AQ13" i="46"/>
  <c r="AG13" i="46"/>
  <c r="F51" i="46"/>
  <c r="AQ14" i="46"/>
  <c r="AG14" i="46"/>
  <c r="F52" i="46"/>
  <c r="AQ15" i="46"/>
  <c r="AG15" i="46"/>
  <c r="F56" i="46"/>
  <c r="AQ19" i="46"/>
  <c r="AG19" i="46"/>
  <c r="B40" i="46"/>
  <c r="AQ22" i="46"/>
  <c r="AQ40" i="46" s="1"/>
  <c r="AG22" i="46"/>
  <c r="AG40" i="46" s="1"/>
  <c r="F54" i="46"/>
  <c r="AQ17" i="46"/>
  <c r="AG17" i="46"/>
  <c r="F58" i="46"/>
  <c r="AQ21" i="46"/>
  <c r="AG21" i="46"/>
  <c r="F49" i="46"/>
  <c r="AQ12" i="46"/>
  <c r="AG12" i="46"/>
  <c r="B41" i="46"/>
  <c r="AQ23" i="46"/>
  <c r="AQ41" i="46" s="1"/>
  <c r="AG23" i="46"/>
  <c r="AG41" i="46" s="1"/>
  <c r="Y17" i="6"/>
  <c r="AB16" i="29"/>
  <c r="Y10" i="6"/>
  <c r="Y12" i="6"/>
  <c r="Y11" i="6"/>
  <c r="Y18" i="6"/>
  <c r="Y16" i="6"/>
  <c r="Y13" i="6"/>
  <c r="Y14" i="6"/>
  <c r="N55" i="32"/>
  <c r="F80" i="38" s="1"/>
  <c r="F55" i="32"/>
  <c r="F72" i="38" s="1"/>
  <c r="I55" i="32"/>
  <c r="F75" i="38" s="1"/>
  <c r="R23" i="29"/>
  <c r="AH23" i="29" s="1"/>
  <c r="J23" i="29"/>
  <c r="Z23" i="29" s="1"/>
  <c r="M19" i="46"/>
  <c r="W19" i="46"/>
  <c r="M55" i="32"/>
  <c r="F79" i="38" s="1"/>
  <c r="W22" i="46"/>
  <c r="W40" i="46" s="1"/>
  <c r="M22" i="46"/>
  <c r="M40" i="46" s="1"/>
  <c r="I23" i="6"/>
  <c r="I35" i="6" s="1"/>
  <c r="M13" i="46"/>
  <c r="W13" i="46"/>
  <c r="J18" i="29"/>
  <c r="Z18" i="29" s="1"/>
  <c r="R18" i="29"/>
  <c r="AH18" i="29" s="1"/>
  <c r="M14" i="46"/>
  <c r="W14" i="46"/>
  <c r="K55" i="32"/>
  <c r="F77" i="38" s="1"/>
  <c r="N16" i="29"/>
  <c r="M15" i="46"/>
  <c r="W15" i="46"/>
  <c r="G55" i="32"/>
  <c r="F73" i="38" s="1"/>
  <c r="L55" i="32"/>
  <c r="F78" i="38" s="1"/>
  <c r="J27" i="29"/>
  <c r="Z27" i="29" s="1"/>
  <c r="R27" i="29"/>
  <c r="AH27" i="29" s="1"/>
  <c r="B38" i="29"/>
  <c r="J22" i="29"/>
  <c r="Z22" i="29" s="1"/>
  <c r="R22" i="29"/>
  <c r="AH22" i="29" s="1"/>
  <c r="M18" i="46"/>
  <c r="W18" i="46"/>
  <c r="R19" i="29"/>
  <c r="AH19" i="29" s="1"/>
  <c r="J19" i="29"/>
  <c r="Z19" i="29" s="1"/>
  <c r="J26" i="29"/>
  <c r="Z26" i="29" s="1"/>
  <c r="R26" i="29"/>
  <c r="AH26" i="29" s="1"/>
  <c r="B37" i="29"/>
  <c r="W23" i="46"/>
  <c r="W41" i="46" s="1"/>
  <c r="M23" i="46"/>
  <c r="M41" i="46" s="1"/>
  <c r="M21" i="46"/>
  <c r="W21" i="46"/>
  <c r="R21" i="29"/>
  <c r="AH21" i="29" s="1"/>
  <c r="J21" i="29"/>
  <c r="Z21" i="29" s="1"/>
  <c r="M16" i="46"/>
  <c r="W16" i="46"/>
  <c r="J55" i="32"/>
  <c r="F76" i="38" s="1"/>
  <c r="W12" i="46"/>
  <c r="M12" i="46"/>
  <c r="R24" i="29"/>
  <c r="AH24" i="29" s="1"/>
  <c r="J24" i="29"/>
  <c r="Z24" i="29" s="1"/>
  <c r="H55" i="32"/>
  <c r="F74" i="38" s="1"/>
  <c r="R25" i="29"/>
  <c r="AH25" i="29" s="1"/>
  <c r="J25" i="29"/>
  <c r="Z25" i="29" s="1"/>
  <c r="R17" i="29"/>
  <c r="AH17" i="29" s="1"/>
  <c r="J17" i="29"/>
  <c r="Z17" i="29" s="1"/>
  <c r="M17" i="46"/>
  <c r="W17" i="46"/>
  <c r="E18" i="29"/>
  <c r="V46" i="4"/>
  <c r="G11" i="38" l="1"/>
  <c r="H11" i="38" s="1"/>
  <c r="G12" i="38"/>
  <c r="H12" i="38" s="1"/>
  <c r="G10" i="38"/>
  <c r="H10" i="38" s="1"/>
  <c r="G14" i="38"/>
  <c r="H14" i="38" s="1"/>
  <c r="G15" i="38"/>
  <c r="H15" i="38" s="1"/>
  <c r="G8" i="38"/>
  <c r="H8" i="38" s="1"/>
  <c r="G9" i="38"/>
  <c r="H9" i="38" s="1"/>
  <c r="G13" i="38"/>
  <c r="H13" i="38" s="1"/>
  <c r="I140" i="38"/>
  <c r="I122" i="38"/>
  <c r="I137" i="38"/>
  <c r="I139" i="38"/>
  <c r="I117" i="38"/>
  <c r="I132" i="38"/>
  <c r="I123" i="38"/>
  <c r="I138" i="38"/>
  <c r="I119" i="38"/>
  <c r="I134" i="38"/>
  <c r="I120" i="38"/>
  <c r="I135" i="38"/>
  <c r="I118" i="38"/>
  <c r="I133" i="38"/>
  <c r="I121" i="38"/>
  <c r="I136" i="38"/>
  <c r="K34" i="6"/>
  <c r="G11" i="59" s="1"/>
  <c r="G19" i="59" s="1"/>
  <c r="E34" i="6"/>
  <c r="O22" i="6"/>
  <c r="O23" i="6" s="1"/>
  <c r="H32" i="59"/>
  <c r="H41" i="59" s="1"/>
  <c r="G41" i="59" s="1"/>
  <c r="J7" i="47"/>
  <c r="B24" i="47"/>
  <c r="J13" i="47"/>
  <c r="B30" i="47"/>
  <c r="G56" i="59"/>
  <c r="G57" i="59" s="1"/>
  <c r="G34" i="6"/>
  <c r="F11" i="59" s="1"/>
  <c r="F19" i="59" s="1"/>
  <c r="J12" i="47"/>
  <c r="B29" i="47"/>
  <c r="J6" i="47"/>
  <c r="B23" i="47"/>
  <c r="J8" i="47"/>
  <c r="B25" i="47"/>
  <c r="B31" i="47"/>
  <c r="J14" i="47"/>
  <c r="J11" i="47"/>
  <c r="B28" i="47"/>
  <c r="J15" i="47"/>
  <c r="B32" i="47"/>
  <c r="J9" i="47"/>
  <c r="B26" i="47"/>
  <c r="J16" i="47"/>
  <c r="B33" i="47"/>
  <c r="J10" i="47"/>
  <c r="B27" i="47"/>
  <c r="J17" i="47"/>
  <c r="B34" i="47"/>
  <c r="D31" i="47"/>
  <c r="D32" i="47"/>
  <c r="D30" i="47"/>
  <c r="D28" i="47"/>
  <c r="G78" i="38"/>
  <c r="H78" i="38" s="1"/>
  <c r="D26" i="47"/>
  <c r="D25" i="47"/>
  <c r="D27" i="47"/>
  <c r="D88" i="47"/>
  <c r="G80" i="38"/>
  <c r="H80" i="38" s="1"/>
  <c r="D29" i="47"/>
  <c r="D24" i="47"/>
  <c r="AD65" i="4"/>
  <c r="G74" i="38"/>
  <c r="H74" i="38" s="1"/>
  <c r="G76" i="38"/>
  <c r="H76" i="38" s="1"/>
  <c r="G77" i="38"/>
  <c r="H77" i="38" s="1"/>
  <c r="G79" i="38"/>
  <c r="H79" i="38" s="1"/>
  <c r="G73" i="38"/>
  <c r="H73" i="38" s="1"/>
  <c r="G72" i="38"/>
  <c r="H72" i="38" s="1"/>
  <c r="G75" i="38"/>
  <c r="H75" i="38" s="1"/>
  <c r="V18" i="29"/>
  <c r="J52" i="4"/>
  <c r="U52" i="4" s="1"/>
  <c r="N18" i="29"/>
  <c r="N17" i="29"/>
  <c r="V17" i="29"/>
  <c r="F28" i="6"/>
  <c r="F34" i="6" s="1"/>
  <c r="D28" i="6"/>
  <c r="AL23" i="46"/>
  <c r="AJ41" i="46" s="1"/>
  <c r="P39" i="32"/>
  <c r="D75" i="47"/>
  <c r="D48" i="47"/>
  <c r="D41" i="47"/>
  <c r="D12" i="47"/>
  <c r="D44" i="47"/>
  <c r="D63" i="47"/>
  <c r="D78" i="47"/>
  <c r="D45" i="47"/>
  <c r="D40" i="47"/>
  <c r="D94" i="47"/>
  <c r="D14" i="47"/>
  <c r="D10" i="47"/>
  <c r="D46" i="47"/>
  <c r="D8" i="47"/>
  <c r="D16" i="47"/>
  <c r="D11" i="47"/>
  <c r="D15" i="47"/>
  <c r="D91" i="47"/>
  <c r="D93" i="47"/>
  <c r="D13" i="47"/>
  <c r="D9" i="47"/>
  <c r="D74" i="47"/>
  <c r="D60" i="47"/>
  <c r="D72" i="47"/>
  <c r="D61" i="47"/>
  <c r="D42" i="47"/>
  <c r="D76" i="47"/>
  <c r="D80" i="47"/>
  <c r="D62" i="47"/>
  <c r="D43" i="47"/>
  <c r="D47" i="47"/>
  <c r="D64" i="47"/>
  <c r="D79" i="47"/>
  <c r="D95" i="47"/>
  <c r="D96" i="47"/>
  <c r="D90" i="47"/>
  <c r="D73" i="47"/>
  <c r="D89" i="47"/>
  <c r="D77" i="47"/>
  <c r="D92" i="47"/>
  <c r="AD17" i="29"/>
  <c r="AJ17" i="29"/>
  <c r="AD16" i="29"/>
  <c r="AJ16" i="29"/>
  <c r="AD18" i="29"/>
  <c r="AJ18" i="29"/>
  <c r="O35" i="6"/>
  <c r="E35" i="6"/>
  <c r="G18" i="29"/>
  <c r="H18" i="29" s="1"/>
  <c r="C35" i="6"/>
  <c r="K35" i="6"/>
  <c r="G12" i="59" s="1"/>
  <c r="R37" i="29"/>
  <c r="AH37" i="29" s="1"/>
  <c r="J37" i="29"/>
  <c r="Z37" i="29" s="1"/>
  <c r="J38" i="29"/>
  <c r="Z38" i="29" s="1"/>
  <c r="R38" i="29"/>
  <c r="AH38" i="29" s="1"/>
  <c r="M18" i="29"/>
  <c r="U18" i="29" s="1"/>
  <c r="X22" i="6" l="1"/>
  <c r="O34" i="6"/>
  <c r="I11" i="59" s="1"/>
  <c r="I19" i="59" s="1"/>
  <c r="I12" i="59"/>
  <c r="P31" i="32"/>
  <c r="C82" i="47" s="1"/>
  <c r="O32" i="47" s="1"/>
  <c r="G112" i="38" s="1"/>
  <c r="E11" i="59"/>
  <c r="E19" i="59" s="1"/>
  <c r="J32" i="47"/>
  <c r="B50" i="47"/>
  <c r="B48" i="47"/>
  <c r="J30" i="47"/>
  <c r="X34" i="6"/>
  <c r="Y34" i="6" s="1"/>
  <c r="K131" i="4" s="1"/>
  <c r="B43" i="47"/>
  <c r="J25" i="47"/>
  <c r="J26" i="47"/>
  <c r="B44" i="47"/>
  <c r="J21" i="47"/>
  <c r="B39" i="47"/>
  <c r="J28" i="47"/>
  <c r="B46" i="47"/>
  <c r="G35" i="6"/>
  <c r="F12" i="59" s="1"/>
  <c r="F20" i="59" s="1"/>
  <c r="B49" i="47"/>
  <c r="J31" i="47"/>
  <c r="J27" i="47"/>
  <c r="B45" i="47"/>
  <c r="B40" i="47"/>
  <c r="J22" i="47"/>
  <c r="J24" i="47"/>
  <c r="B42" i="47"/>
  <c r="J29" i="47"/>
  <c r="B47" i="47"/>
  <c r="D11" i="59"/>
  <c r="B41" i="47"/>
  <c r="J23" i="47"/>
  <c r="L28" i="6"/>
  <c r="L34" i="6" s="1"/>
  <c r="G20" i="59"/>
  <c r="L29" i="6"/>
  <c r="L35" i="6" s="1"/>
  <c r="D34" i="6"/>
  <c r="Q21" i="47"/>
  <c r="F6" i="38" s="1"/>
  <c r="G7" i="38" s="1"/>
  <c r="H7" i="38" s="1"/>
  <c r="AE65" i="4"/>
  <c r="J53" i="4"/>
  <c r="U53" i="4" s="1"/>
  <c r="G22" i="46"/>
  <c r="E40" i="46" s="1"/>
  <c r="O23" i="32"/>
  <c r="C49" i="47" s="1"/>
  <c r="M31" i="47" s="1"/>
  <c r="E111" i="38" s="1"/>
  <c r="E141" i="38" s="1"/>
  <c r="F29" i="6"/>
  <c r="F35" i="6" s="1"/>
  <c r="O19" i="32"/>
  <c r="C33" i="47" s="1"/>
  <c r="L31" i="47" s="1"/>
  <c r="D111" i="38" s="1"/>
  <c r="D141" i="38" s="1"/>
  <c r="K37" i="29"/>
  <c r="H28" i="6"/>
  <c r="H34" i="6" s="1"/>
  <c r="H29" i="6"/>
  <c r="H35" i="6" s="1"/>
  <c r="D29" i="6"/>
  <c r="D35" i="6" s="1"/>
  <c r="O15" i="32"/>
  <c r="C17" i="47" s="1"/>
  <c r="K31" i="47" s="1"/>
  <c r="C111" i="38" s="1"/>
  <c r="C141" i="38" s="1"/>
  <c r="C37" i="29"/>
  <c r="X23" i="6"/>
  <c r="AL18" i="29"/>
  <c r="AL16" i="29"/>
  <c r="AL17" i="29"/>
  <c r="W18" i="29"/>
  <c r="AC18" i="29"/>
  <c r="O18" i="29"/>
  <c r="B64" i="47" l="1"/>
  <c r="B80" i="47" s="1"/>
  <c r="B96" i="47" s="1"/>
  <c r="J47" i="47"/>
  <c r="B66" i="47"/>
  <c r="B82" i="47" s="1"/>
  <c r="B98" i="47" s="1"/>
  <c r="J49" i="47"/>
  <c r="J39" i="47"/>
  <c r="B56" i="47"/>
  <c r="B72" i="47" s="1"/>
  <c r="B88" i="47" s="1"/>
  <c r="B65" i="47"/>
  <c r="B81" i="47" s="1"/>
  <c r="B97" i="47" s="1"/>
  <c r="J48" i="47"/>
  <c r="J42" i="47"/>
  <c r="B59" i="47"/>
  <c r="B75" i="47" s="1"/>
  <c r="B91" i="47" s="1"/>
  <c r="B57" i="47"/>
  <c r="B73" i="47" s="1"/>
  <c r="B89" i="47" s="1"/>
  <c r="J40" i="47"/>
  <c r="B62" i="47"/>
  <c r="B78" i="47" s="1"/>
  <c r="B94" i="47" s="1"/>
  <c r="J45" i="47"/>
  <c r="B63" i="47"/>
  <c r="B79" i="47" s="1"/>
  <c r="B95" i="47" s="1"/>
  <c r="J46" i="47"/>
  <c r="B61" i="47"/>
  <c r="B77" i="47" s="1"/>
  <c r="B93" i="47" s="1"/>
  <c r="J44" i="47"/>
  <c r="J38" i="47"/>
  <c r="B55" i="47"/>
  <c r="B71" i="47" s="1"/>
  <c r="B87" i="47" s="1"/>
  <c r="J41" i="47"/>
  <c r="B58" i="47"/>
  <c r="B74" i="47" s="1"/>
  <c r="B90" i="47" s="1"/>
  <c r="B60" i="47"/>
  <c r="B76" i="47" s="1"/>
  <c r="B92" i="47" s="1"/>
  <c r="J43" i="47"/>
  <c r="AB77" i="4"/>
  <c r="G11" i="32"/>
  <c r="G12" i="32" s="1"/>
  <c r="G42" i="59"/>
  <c r="D19" i="59"/>
  <c r="X35" i="6"/>
  <c r="Y35" i="6" s="1"/>
  <c r="E12" i="59"/>
  <c r="E20" i="59" s="1"/>
  <c r="P23" i="32"/>
  <c r="C50" i="47" s="1"/>
  <c r="M32" i="47" s="1"/>
  <c r="E112" i="38" s="1"/>
  <c r="E142" i="38" s="1"/>
  <c r="P28" i="6"/>
  <c r="P34" i="6" s="1"/>
  <c r="D49" i="47"/>
  <c r="D33" i="47"/>
  <c r="P29" i="6"/>
  <c r="P35" i="6" s="1"/>
  <c r="I20" i="59"/>
  <c r="AV23" i="46"/>
  <c r="AT41" i="46" s="1"/>
  <c r="P35" i="32"/>
  <c r="C98" i="47" s="1"/>
  <c r="P32" i="47" s="1"/>
  <c r="H112" i="38" s="1"/>
  <c r="S37" i="29"/>
  <c r="O35" i="32"/>
  <c r="C97" i="47" s="1"/>
  <c r="P31" i="47" s="1"/>
  <c r="H111" i="38" s="1"/>
  <c r="H141" i="38" s="1"/>
  <c r="J54" i="4"/>
  <c r="U54" i="4" s="1"/>
  <c r="X18" i="29"/>
  <c r="S38" i="29"/>
  <c r="P19" i="32"/>
  <c r="C34" i="47" s="1"/>
  <c r="L32" i="47" s="1"/>
  <c r="D112" i="38" s="1"/>
  <c r="D142" i="38" s="1"/>
  <c r="K38" i="29"/>
  <c r="R22" i="46"/>
  <c r="P40" i="46" s="1"/>
  <c r="O27" i="32"/>
  <c r="C65" i="47" s="1"/>
  <c r="N31" i="47" s="1"/>
  <c r="F111" i="38" s="1"/>
  <c r="F141" i="38" s="1"/>
  <c r="AV22" i="46"/>
  <c r="AT40" i="46" s="1"/>
  <c r="AB22" i="46"/>
  <c r="Z40" i="46" s="1"/>
  <c r="O31" i="32"/>
  <c r="C81" i="47" s="1"/>
  <c r="O31" i="47" s="1"/>
  <c r="G111" i="38" s="1"/>
  <c r="G141" i="38" s="1"/>
  <c r="D17" i="47"/>
  <c r="P15" i="32"/>
  <c r="C18" i="47" s="1"/>
  <c r="K32" i="47" s="1"/>
  <c r="C112" i="38" s="1"/>
  <c r="C142" i="38" s="1"/>
  <c r="C38" i="29"/>
  <c r="P18" i="29"/>
  <c r="AE18" i="29"/>
  <c r="AF18" i="29" s="1"/>
  <c r="AK18" i="29"/>
  <c r="H142" i="38" l="1"/>
  <c r="G142" i="38"/>
  <c r="I111" i="38"/>
  <c r="I141" i="38" s="1"/>
  <c r="D12" i="59"/>
  <c r="D20" i="59" s="1"/>
  <c r="Q31" i="47"/>
  <c r="F16" i="38" s="1"/>
  <c r="G16" i="38" s="1"/>
  <c r="H16" i="38" s="1"/>
  <c r="G23" i="46"/>
  <c r="E41" i="46" s="1"/>
  <c r="D97" i="47"/>
  <c r="T8" i="47"/>
  <c r="D34" i="47"/>
  <c r="F24" i="47"/>
  <c r="T6" i="47"/>
  <c r="D65" i="47"/>
  <c r="D81" i="47"/>
  <c r="D50" i="47"/>
  <c r="AB23" i="46"/>
  <c r="Z41" i="46" s="1"/>
  <c r="J55" i="4"/>
  <c r="U55" i="4" s="1"/>
  <c r="K130" i="57"/>
  <c r="K131" i="57" s="1"/>
  <c r="F9" i="47"/>
  <c r="P27" i="32"/>
  <c r="C66" i="47" s="1"/>
  <c r="N32" i="47" s="1"/>
  <c r="R23" i="46"/>
  <c r="P41" i="46" s="1"/>
  <c r="O55" i="32"/>
  <c r="F81" i="38" s="1"/>
  <c r="G81" i="38" s="1"/>
  <c r="H81" i="38" s="1"/>
  <c r="D18" i="47"/>
  <c r="E56" i="32"/>
  <c r="F8" i="47"/>
  <c r="AM18" i="29"/>
  <c r="AN18" i="29" s="1"/>
  <c r="G56" i="32"/>
  <c r="T55" i="47" l="1"/>
  <c r="C6" i="38"/>
  <c r="T57" i="47"/>
  <c r="C8" i="38"/>
  <c r="Q32" i="47"/>
  <c r="F17" i="38" s="1"/>
  <c r="G17" i="38" s="1"/>
  <c r="H17" i="38" s="1"/>
  <c r="F112" i="38"/>
  <c r="E12" i="58"/>
  <c r="E14" i="58" s="1"/>
  <c r="C71" i="38"/>
  <c r="G12" i="58"/>
  <c r="G14" i="58" s="1"/>
  <c r="G16" i="58" s="1"/>
  <c r="G20" i="58" s="1"/>
  <c r="C73" i="38"/>
  <c r="K132" i="4"/>
  <c r="F25" i="47"/>
  <c r="D82" i="47"/>
  <c r="D98" i="47"/>
  <c r="T7" i="47"/>
  <c r="C7" i="38" s="1"/>
  <c r="D66" i="47"/>
  <c r="J56" i="4"/>
  <c r="U56" i="4" s="1"/>
  <c r="N130" i="57"/>
  <c r="K132" i="57"/>
  <c r="N131" i="57"/>
  <c r="F56" i="32"/>
  <c r="P55" i="32"/>
  <c r="F82" i="38" s="1"/>
  <c r="G82" i="38" s="1"/>
  <c r="H82" i="38" s="1"/>
  <c r="D7" i="38" l="1"/>
  <c r="E7" i="38" s="1"/>
  <c r="D8" i="38"/>
  <c r="E8" i="38" s="1"/>
  <c r="T39" i="47"/>
  <c r="T56" i="47"/>
  <c r="T40" i="47"/>
  <c r="I112" i="38"/>
  <c r="I142" i="38" s="1"/>
  <c r="F142" i="38"/>
  <c r="E16" i="58"/>
  <c r="E20" i="58" s="1"/>
  <c r="F12" i="58"/>
  <c r="F14" i="58" s="1"/>
  <c r="F16" i="58" s="1"/>
  <c r="F20" i="58" s="1"/>
  <c r="C72" i="38"/>
  <c r="D72" i="38" s="1"/>
  <c r="E72" i="38" s="1"/>
  <c r="K133" i="4"/>
  <c r="J57" i="4"/>
  <c r="U57" i="4" s="1"/>
  <c r="K133" i="57"/>
  <c r="N132" i="57"/>
  <c r="F73" i="47"/>
  <c r="F72" i="47"/>
  <c r="T73" i="47" l="1"/>
  <c r="T74" i="47"/>
  <c r="K134" i="4"/>
  <c r="D73" i="38"/>
  <c r="E73" i="38" s="1"/>
  <c r="J58" i="4"/>
  <c r="U58" i="4" s="1"/>
  <c r="K134" i="57"/>
  <c r="N133" i="57"/>
  <c r="I52" i="46" l="1"/>
  <c r="E19" i="29"/>
  <c r="M19" i="29" s="1"/>
  <c r="U19" i="29" s="1"/>
  <c r="AC19" i="29" s="1"/>
  <c r="AK19" i="29" s="1"/>
  <c r="V58" i="4"/>
  <c r="AD66" i="4" s="1"/>
  <c r="K135" i="4"/>
  <c r="Z66" i="4"/>
  <c r="H52" i="46"/>
  <c r="D19" i="29"/>
  <c r="L19" i="29" s="1"/>
  <c r="J59" i="4"/>
  <c r="U59" i="4" s="1"/>
  <c r="K135" i="57"/>
  <c r="N134" i="57"/>
  <c r="H11" i="32" l="1"/>
  <c r="H12" i="32" s="1"/>
  <c r="K136" i="4"/>
  <c r="AA66" i="4"/>
  <c r="Z78" i="4"/>
  <c r="AE66" i="4"/>
  <c r="F19" i="29"/>
  <c r="G19" i="29" s="1"/>
  <c r="H19" i="29" s="1"/>
  <c r="J60" i="4"/>
  <c r="U60" i="4" s="1"/>
  <c r="K136" i="57"/>
  <c r="N135" i="57"/>
  <c r="T19" i="29"/>
  <c r="N19" i="29"/>
  <c r="O19" i="29" s="1"/>
  <c r="AB78" i="4" l="1"/>
  <c r="K137" i="4"/>
  <c r="J61" i="4"/>
  <c r="U61" i="4" s="1"/>
  <c r="K137" i="57"/>
  <c r="N136" i="57"/>
  <c r="P19" i="29"/>
  <c r="V19" i="29"/>
  <c r="W19" i="29" s="1"/>
  <c r="AB19" i="29"/>
  <c r="K138" i="4" l="1"/>
  <c r="F26" i="47"/>
  <c r="J62" i="4"/>
  <c r="U62" i="4" s="1"/>
  <c r="K138" i="57"/>
  <c r="N137" i="57"/>
  <c r="AD19" i="29"/>
  <c r="AE19" i="29" s="1"/>
  <c r="AF19" i="29" s="1"/>
  <c r="AJ19" i="29"/>
  <c r="AL19" i="29" s="1"/>
  <c r="AM19" i="29" s="1"/>
  <c r="AN19" i="29" s="1"/>
  <c r="X19" i="29"/>
  <c r="O37" i="32"/>
  <c r="N65" i="38" s="1"/>
  <c r="G97" i="47" s="1"/>
  <c r="H98" i="47" s="1"/>
  <c r="N37" i="29"/>
  <c r="V37" i="29"/>
  <c r="K139" i="4" l="1"/>
  <c r="J63" i="4"/>
  <c r="U63" i="4" s="1"/>
  <c r="K139" i="57"/>
  <c r="N138" i="57"/>
  <c r="F10" i="47"/>
  <c r="T9" i="47"/>
  <c r="C9" i="38" s="1"/>
  <c r="D9" i="38" s="1"/>
  <c r="E9" i="38" s="1"/>
  <c r="H56" i="32"/>
  <c r="T41" i="47" l="1"/>
  <c r="T58" i="47"/>
  <c r="T75" i="47" s="1"/>
  <c r="H12" i="58"/>
  <c r="C74" i="38"/>
  <c r="K140" i="4"/>
  <c r="J64" i="4"/>
  <c r="U64" i="4" s="1"/>
  <c r="K140" i="57"/>
  <c r="N139" i="57"/>
  <c r="K141" i="4" l="1"/>
  <c r="H14" i="58"/>
  <c r="D74" i="38"/>
  <c r="E74" i="38" s="1"/>
  <c r="J65" i="4"/>
  <c r="U65" i="4" s="1"/>
  <c r="K141" i="57"/>
  <c r="N140" i="57"/>
  <c r="F74" i="47"/>
  <c r="H16" i="58" l="1"/>
  <c r="H20" i="58" s="1"/>
  <c r="K142" i="4"/>
  <c r="J66" i="4"/>
  <c r="U66" i="4" s="1"/>
  <c r="K142" i="57"/>
  <c r="N141" i="57"/>
  <c r="O141" i="57" s="1"/>
  <c r="K143" i="4" l="1"/>
  <c r="J67" i="4"/>
  <c r="U67" i="4" s="1"/>
  <c r="K143" i="57"/>
  <c r="N142" i="57"/>
  <c r="K144" i="4" l="1"/>
  <c r="J68" i="4"/>
  <c r="U68" i="4" s="1"/>
  <c r="K144" i="57"/>
  <c r="N143" i="57"/>
  <c r="K145" i="4" l="1"/>
  <c r="J69" i="4"/>
  <c r="U69" i="4" s="1"/>
  <c r="K145" i="57"/>
  <c r="N144" i="57"/>
  <c r="K146" i="4" l="1"/>
  <c r="J70" i="4"/>
  <c r="U70" i="4" s="1"/>
  <c r="K146" i="57"/>
  <c r="N145" i="57"/>
  <c r="V70" i="4" l="1"/>
  <c r="AD67" i="4" s="1"/>
  <c r="I53" i="46"/>
  <c r="E20" i="29"/>
  <c r="M20" i="29" s="1"/>
  <c r="U20" i="29" s="1"/>
  <c r="AC20" i="29" s="1"/>
  <c r="AK20" i="29" s="1"/>
  <c r="K147" i="4"/>
  <c r="Z67" i="4"/>
  <c r="H53" i="46"/>
  <c r="D20" i="29"/>
  <c r="F20" i="29" s="1"/>
  <c r="J71" i="4"/>
  <c r="U71" i="4" s="1"/>
  <c r="K147" i="57"/>
  <c r="N146" i="57"/>
  <c r="G20" i="29" l="1"/>
  <c r="H20" i="29" s="1"/>
  <c r="I11" i="32"/>
  <c r="I12" i="32" s="1"/>
  <c r="K148" i="4"/>
  <c r="AA67" i="4"/>
  <c r="Z79" i="4"/>
  <c r="AE67" i="4"/>
  <c r="L20" i="29"/>
  <c r="T20" i="29" s="1"/>
  <c r="J72" i="4"/>
  <c r="U72" i="4" s="1"/>
  <c r="K148" i="57"/>
  <c r="N147" i="57"/>
  <c r="P37" i="32"/>
  <c r="N66" i="38" s="1"/>
  <c r="G98" i="47" s="1"/>
  <c r="AB79" i="4" l="1"/>
  <c r="K149" i="4"/>
  <c r="N20" i="29"/>
  <c r="O20" i="29" s="1"/>
  <c r="P20" i="29" s="1"/>
  <c r="J73" i="4"/>
  <c r="U73" i="4" s="1"/>
  <c r="K149" i="57"/>
  <c r="N148" i="57"/>
  <c r="AB20" i="29"/>
  <c r="V20" i="29"/>
  <c r="W20" i="29" s="1"/>
  <c r="K150" i="4" l="1"/>
  <c r="F27" i="47"/>
  <c r="J74" i="4"/>
  <c r="U74" i="4" s="1"/>
  <c r="K150" i="57"/>
  <c r="N149" i="57"/>
  <c r="F11" i="47"/>
  <c r="X20" i="29"/>
  <c r="AD20" i="29"/>
  <c r="AE20" i="29" s="1"/>
  <c r="AF20" i="29" s="1"/>
  <c r="AJ20" i="29"/>
  <c r="AL20" i="29" s="1"/>
  <c r="AM20" i="29" s="1"/>
  <c r="AN20" i="29" s="1"/>
  <c r="K151" i="4" l="1"/>
  <c r="K152" i="4" s="1"/>
  <c r="T10" i="47"/>
  <c r="J75" i="4"/>
  <c r="U75" i="4" s="1"/>
  <c r="K151" i="57"/>
  <c r="N150" i="57"/>
  <c r="I56" i="32"/>
  <c r="T59" i="47" l="1"/>
  <c r="T76" i="47" s="1"/>
  <c r="C10" i="38"/>
  <c r="D10" i="38" s="1"/>
  <c r="E10" i="38" s="1"/>
  <c r="T42" i="47"/>
  <c r="I12" i="58"/>
  <c r="I14" i="58" s="1"/>
  <c r="C75" i="38"/>
  <c r="D75" i="38" s="1"/>
  <c r="E75" i="38" s="1"/>
  <c r="J76" i="4"/>
  <c r="U76" i="4" s="1"/>
  <c r="K152" i="57"/>
  <c r="N151" i="57"/>
  <c r="F76" i="47"/>
  <c r="F75" i="47"/>
  <c r="I16" i="58" l="1"/>
  <c r="I20" i="58" s="1"/>
  <c r="K153" i="4"/>
  <c r="J77" i="4"/>
  <c r="U77" i="4" s="1"/>
  <c r="K153" i="57"/>
  <c r="N153" i="57" s="1"/>
  <c r="N152" i="57"/>
  <c r="K154" i="4" l="1"/>
  <c r="J78" i="4"/>
  <c r="U78" i="4" s="1"/>
  <c r="O153" i="57"/>
  <c r="Q153" i="57" s="1"/>
  <c r="J79" i="4" l="1"/>
  <c r="U79" i="4" s="1"/>
  <c r="J80" i="4" l="1"/>
  <c r="U80" i="4" s="1"/>
  <c r="J81" i="4" l="1"/>
  <c r="U81" i="4" s="1"/>
  <c r="J82" i="4" l="1"/>
  <c r="U82" i="4" s="1"/>
  <c r="I54" i="46" l="1"/>
  <c r="V82" i="4"/>
  <c r="AD68" i="4" s="1"/>
  <c r="E21" i="29"/>
  <c r="M21" i="29" s="1"/>
  <c r="U21" i="29" s="1"/>
  <c r="AC21" i="29" s="1"/>
  <c r="AK21" i="29" s="1"/>
  <c r="Z68" i="4"/>
  <c r="D21" i="29"/>
  <c r="L21" i="29" s="1"/>
  <c r="H54" i="46"/>
  <c r="J83" i="4"/>
  <c r="U83" i="4" s="1"/>
  <c r="J11" i="32" l="1"/>
  <c r="J12" i="32" s="1"/>
  <c r="Z80" i="4"/>
  <c r="AA68" i="4"/>
  <c r="AE68" i="4"/>
  <c r="F21" i="29"/>
  <c r="G21" i="29" s="1"/>
  <c r="H21" i="29" s="1"/>
  <c r="J84" i="4"/>
  <c r="U84" i="4" s="1"/>
  <c r="T21" i="29"/>
  <c r="N21" i="29"/>
  <c r="O21" i="29" s="1"/>
  <c r="AB80" i="4" l="1"/>
  <c r="J85" i="4"/>
  <c r="U85" i="4" s="1"/>
  <c r="P21" i="29"/>
  <c r="AB21" i="29"/>
  <c r="V21" i="29"/>
  <c r="W21" i="29" s="1"/>
  <c r="X21" i="29" s="1"/>
  <c r="P20" i="46"/>
  <c r="U20" i="46" l="1"/>
  <c r="F28" i="47"/>
  <c r="T11" i="47"/>
  <c r="J86" i="4"/>
  <c r="U86" i="4" s="1"/>
  <c r="S20" i="46"/>
  <c r="L54" i="59"/>
  <c r="M28" i="32"/>
  <c r="I63" i="38" s="1"/>
  <c r="AD21" i="29"/>
  <c r="AE21" i="29" s="1"/>
  <c r="AF21" i="29" s="1"/>
  <c r="AJ21" i="29"/>
  <c r="AL21" i="29" s="1"/>
  <c r="AM21" i="29" s="1"/>
  <c r="AN21" i="29" s="1"/>
  <c r="F12" i="47"/>
  <c r="U21" i="46"/>
  <c r="U25" i="46" s="1"/>
  <c r="T60" i="47" l="1"/>
  <c r="T77" i="47" s="1"/>
  <c r="C11" i="38"/>
  <c r="D11" i="38" s="1"/>
  <c r="E11" i="38" s="1"/>
  <c r="T43" i="47"/>
  <c r="E63" i="47"/>
  <c r="O14" i="47" s="1"/>
  <c r="F94" i="38"/>
  <c r="N54" i="59"/>
  <c r="P54" i="59" s="1"/>
  <c r="Q54" i="59" s="1"/>
  <c r="J14" i="58"/>
  <c r="D76" i="38"/>
  <c r="E76" i="38" s="1"/>
  <c r="J87" i="4"/>
  <c r="U87" i="4" s="1"/>
  <c r="S25" i="46"/>
  <c r="Q40" i="46" s="1"/>
  <c r="L55" i="59"/>
  <c r="N55" i="59" s="1"/>
  <c r="O63" i="47" l="1"/>
  <c r="O46" i="47"/>
  <c r="O47" i="47"/>
  <c r="I94" i="38"/>
  <c r="I124" i="38" s="1"/>
  <c r="F124" i="38"/>
  <c r="J16" i="58"/>
  <c r="J20" i="58" s="1"/>
  <c r="P55" i="59"/>
  <c r="J88" i="4"/>
  <c r="U88" i="4" s="1"/>
  <c r="Q41" i="46"/>
  <c r="O80" i="47" l="1"/>
  <c r="O81" i="47"/>
  <c r="Q55" i="59"/>
  <c r="P56" i="59"/>
  <c r="P57" i="59" s="1"/>
  <c r="J89" i="4"/>
  <c r="U89" i="4" s="1"/>
  <c r="F63" i="47"/>
  <c r="F64" i="47"/>
  <c r="H11" i="59" l="1"/>
  <c r="H19" i="59" s="1"/>
  <c r="J19" i="59" s="1"/>
  <c r="H12" i="59"/>
  <c r="J90" i="4"/>
  <c r="U90" i="4" s="1"/>
  <c r="C11" i="59" l="1"/>
  <c r="J11" i="59"/>
  <c r="H20" i="59"/>
  <c r="J20" i="59" s="1"/>
  <c r="C12" i="59"/>
  <c r="J12" i="59"/>
  <c r="J91" i="4"/>
  <c r="U91" i="4" s="1"/>
  <c r="J92" i="4" l="1"/>
  <c r="U92" i="4" s="1"/>
  <c r="J93" i="4" l="1"/>
  <c r="U93" i="4" s="1"/>
  <c r="J94" i="4" l="1"/>
  <c r="U94" i="4" s="1"/>
  <c r="V94" i="4" l="1"/>
  <c r="AD69" i="4" s="1"/>
  <c r="I55" i="46"/>
  <c r="E22" i="29"/>
  <c r="M22" i="29" s="1"/>
  <c r="U22" i="29" s="1"/>
  <c r="AC22" i="29" s="1"/>
  <c r="AK22" i="29" s="1"/>
  <c r="Z69" i="4"/>
  <c r="H55" i="46"/>
  <c r="D22" i="29"/>
  <c r="L22" i="29" s="1"/>
  <c r="J95" i="4"/>
  <c r="U95" i="4" s="1"/>
  <c r="K11" i="32" l="1"/>
  <c r="K12" i="32" s="1"/>
  <c r="Z81" i="4"/>
  <c r="AA69" i="4"/>
  <c r="AE69" i="4"/>
  <c r="J96" i="4"/>
  <c r="U96" i="4" s="1"/>
  <c r="F22" i="29"/>
  <c r="G22" i="29" s="1"/>
  <c r="H22" i="29" s="1"/>
  <c r="T22" i="29"/>
  <c r="N22" i="29"/>
  <c r="O22" i="29" s="1"/>
  <c r="AB81" i="4" l="1"/>
  <c r="J97" i="4"/>
  <c r="U97" i="4" s="1"/>
  <c r="V22" i="29"/>
  <c r="W22" i="29" s="1"/>
  <c r="AB22" i="29"/>
  <c r="P22" i="29"/>
  <c r="F29" i="47" l="1"/>
  <c r="J98" i="4"/>
  <c r="U98" i="4" s="1"/>
  <c r="AD22" i="29"/>
  <c r="AE22" i="29" s="1"/>
  <c r="AF22" i="29" s="1"/>
  <c r="AJ22" i="29"/>
  <c r="AL22" i="29" s="1"/>
  <c r="AM22" i="29" s="1"/>
  <c r="AN22" i="29" s="1"/>
  <c r="K56" i="32"/>
  <c r="X22" i="29"/>
  <c r="K12" i="58" l="1"/>
  <c r="C77" i="38"/>
  <c r="T12" i="47"/>
  <c r="C12" i="38" s="1"/>
  <c r="D12" i="38" s="1"/>
  <c r="E12" i="38" s="1"/>
  <c r="J99" i="4"/>
  <c r="U99" i="4" s="1"/>
  <c r="F13" i="47"/>
  <c r="T61" i="47" l="1"/>
  <c r="T44" i="47"/>
  <c r="K14" i="58"/>
  <c r="D77" i="38"/>
  <c r="E77" i="38" s="1"/>
  <c r="J100" i="4"/>
  <c r="U100" i="4" s="1"/>
  <c r="F77" i="47"/>
  <c r="K16" i="58" l="1"/>
  <c r="K20" i="58" s="1"/>
  <c r="T78" i="47"/>
  <c r="J101" i="4"/>
  <c r="U101" i="4" s="1"/>
  <c r="J102" i="4" l="1"/>
  <c r="U102" i="4" s="1"/>
  <c r="J103" i="4" l="1"/>
  <c r="U103" i="4" s="1"/>
  <c r="J104" i="4" l="1"/>
  <c r="U104" i="4" s="1"/>
  <c r="J105" i="4" l="1"/>
  <c r="U105" i="4" s="1"/>
  <c r="J106" i="4" l="1"/>
  <c r="U106" i="4" s="1"/>
  <c r="V106" i="4" l="1"/>
  <c r="AD70" i="4" s="1"/>
  <c r="I56" i="46"/>
  <c r="E23" i="29"/>
  <c r="M23" i="29" s="1"/>
  <c r="U23" i="29" s="1"/>
  <c r="AC23" i="29" s="1"/>
  <c r="AK23" i="29" s="1"/>
  <c r="Z70" i="4"/>
  <c r="H56" i="46"/>
  <c r="D23" i="29"/>
  <c r="F23" i="29" s="1"/>
  <c r="J107" i="4"/>
  <c r="U107" i="4" s="1"/>
  <c r="G23" i="29" l="1"/>
  <c r="H23" i="29" s="1"/>
  <c r="L11" i="32"/>
  <c r="L12" i="32" s="1"/>
  <c r="AA70" i="4"/>
  <c r="Z82" i="4"/>
  <c r="AE70" i="4"/>
  <c r="J108" i="4"/>
  <c r="U108" i="4" s="1"/>
  <c r="I57" i="46" s="1"/>
  <c r="L23" i="29"/>
  <c r="N23" i="29" s="1"/>
  <c r="O23" i="29" s="1"/>
  <c r="AB82" i="4" l="1"/>
  <c r="T23" i="29"/>
  <c r="AB23" i="29" s="1"/>
  <c r="J109" i="4"/>
  <c r="U109" i="4" s="1"/>
  <c r="P23" i="29"/>
  <c r="V23" i="29" l="1"/>
  <c r="W23" i="29" s="1"/>
  <c r="X23" i="29" s="1"/>
  <c r="J110" i="4"/>
  <c r="U110" i="4" s="1"/>
  <c r="AD23" i="29"/>
  <c r="AE23" i="29" s="1"/>
  <c r="AF23" i="29" s="1"/>
  <c r="AJ23" i="29"/>
  <c r="AL23" i="29" s="1"/>
  <c r="AM23" i="29" s="1"/>
  <c r="AN23" i="29" s="1"/>
  <c r="F30" i="47" l="1"/>
  <c r="J111" i="4"/>
  <c r="U111" i="4" s="1"/>
  <c r="F14" i="47"/>
  <c r="L56" i="32"/>
  <c r="L12" i="58" l="1"/>
  <c r="C78" i="38"/>
  <c r="T13" i="47"/>
  <c r="C13" i="38" s="1"/>
  <c r="D13" i="38" s="1"/>
  <c r="E13" i="38" s="1"/>
  <c r="J112" i="4"/>
  <c r="U112" i="4" s="1"/>
  <c r="T62" i="47" l="1"/>
  <c r="T45" i="47"/>
  <c r="L14" i="58"/>
  <c r="D78" i="38"/>
  <c r="E78" i="38" s="1"/>
  <c r="J113" i="4"/>
  <c r="U113" i="4" s="1"/>
  <c r="F78" i="47"/>
  <c r="T79" i="47" l="1"/>
  <c r="L16" i="58"/>
  <c r="L20" i="58" s="1"/>
  <c r="J114" i="4"/>
  <c r="U114" i="4" s="1"/>
  <c r="J115" i="4" l="1"/>
  <c r="U115" i="4" s="1"/>
  <c r="J116" i="4" l="1"/>
  <c r="U116" i="4" s="1"/>
  <c r="J117" i="4" l="1"/>
  <c r="U117" i="4" s="1"/>
  <c r="AD71" i="4" l="1"/>
  <c r="E24" i="29"/>
  <c r="M24" i="29" s="1"/>
  <c r="U24" i="29" s="1"/>
  <c r="AC24" i="29" s="1"/>
  <c r="AK24" i="29" s="1"/>
  <c r="Z71" i="4"/>
  <c r="H57" i="46"/>
  <c r="D24" i="29"/>
  <c r="J119" i="4"/>
  <c r="U119" i="4" s="1"/>
  <c r="L24" i="29" l="1"/>
  <c r="T24" i="29" s="1"/>
  <c r="F24" i="29"/>
  <c r="G24" i="29" s="1"/>
  <c r="H24" i="29" s="1"/>
  <c r="M11" i="32"/>
  <c r="M12" i="32" s="1"/>
  <c r="Z83" i="4"/>
  <c r="AE71" i="4"/>
  <c r="AA71" i="4"/>
  <c r="J120" i="4"/>
  <c r="U120" i="4" s="1"/>
  <c r="J121" i="4"/>
  <c r="U121" i="4" s="1"/>
  <c r="N24" i="29" l="1"/>
  <c r="O24" i="29" s="1"/>
  <c r="P24" i="29" s="1"/>
  <c r="AB83" i="4"/>
  <c r="J122" i="4"/>
  <c r="U122" i="4" s="1"/>
  <c r="V24" i="29"/>
  <c r="W24" i="29" s="1"/>
  <c r="AB24" i="29"/>
  <c r="J123" i="4" l="1"/>
  <c r="U123" i="4" s="1"/>
  <c r="X24" i="29"/>
  <c r="F15" i="47"/>
  <c r="AD24" i="29"/>
  <c r="AE24" i="29" s="1"/>
  <c r="AF24" i="29" s="1"/>
  <c r="AJ24" i="29"/>
  <c r="AL24" i="29" s="1"/>
  <c r="AM24" i="29" s="1"/>
  <c r="AN24" i="29" s="1"/>
  <c r="F31" i="47" l="1"/>
  <c r="J124" i="4"/>
  <c r="U124" i="4" s="1"/>
  <c r="M56" i="32"/>
  <c r="M12" i="58" l="1"/>
  <c r="C79" i="38"/>
  <c r="T14" i="47"/>
  <c r="C14" i="38" s="1"/>
  <c r="D14" i="38" s="1"/>
  <c r="E14" i="38" s="1"/>
  <c r="J125" i="4"/>
  <c r="U125" i="4" s="1"/>
  <c r="F79" i="47"/>
  <c r="T63" i="47" l="1"/>
  <c r="T80" i="47" s="1"/>
  <c r="T46" i="47"/>
  <c r="M14" i="58"/>
  <c r="D79" i="38"/>
  <c r="E79" i="38" s="1"/>
  <c r="J126" i="4"/>
  <c r="U126" i="4" s="1"/>
  <c r="M16" i="58" l="1"/>
  <c r="M20" i="58" s="1"/>
  <c r="J127" i="4"/>
  <c r="U127" i="4" s="1"/>
  <c r="J128" i="4" l="1"/>
  <c r="U128" i="4" s="1"/>
  <c r="J129" i="4" l="1"/>
  <c r="U129" i="4" s="1"/>
  <c r="J130" i="4" l="1"/>
  <c r="E25" i="29" l="1"/>
  <c r="V130" i="4"/>
  <c r="AD72" i="4" s="1"/>
  <c r="I58" i="46"/>
  <c r="D25" i="29"/>
  <c r="F25" i="29" s="1"/>
  <c r="AA72" i="4"/>
  <c r="H58" i="46"/>
  <c r="M25" i="29" l="1"/>
  <c r="U25" i="29" s="1"/>
  <c r="AC25" i="29" s="1"/>
  <c r="AK25" i="29" s="1"/>
  <c r="G25" i="29"/>
  <c r="H25" i="29" s="1"/>
  <c r="N11" i="32"/>
  <c r="N12" i="32" s="1"/>
  <c r="L25" i="29"/>
  <c r="N25" i="29" s="1"/>
  <c r="O25" i="29" s="1"/>
  <c r="AE72" i="4"/>
  <c r="T25" i="29" l="1"/>
  <c r="AB25" i="29" s="1"/>
  <c r="V25" i="29" l="1"/>
  <c r="W25" i="29" s="1"/>
  <c r="N36" i="32" s="1"/>
  <c r="M64" i="38" s="1"/>
  <c r="F37" i="29"/>
  <c r="P25" i="29"/>
  <c r="AJ25" i="29"/>
  <c r="AL25" i="29" s="1"/>
  <c r="AD25" i="29"/>
  <c r="F38" i="29"/>
  <c r="E96" i="47" l="1"/>
  <c r="S15" i="47" s="1"/>
  <c r="H95" i="38"/>
  <c r="H125" i="38" s="1"/>
  <c r="N32" i="32"/>
  <c r="K64" i="38" s="1"/>
  <c r="AM25" i="29"/>
  <c r="AN25" i="29" s="1"/>
  <c r="AL26" i="29"/>
  <c r="X25" i="29"/>
  <c r="AE25" i="29"/>
  <c r="AF25" i="29" s="1"/>
  <c r="AD26" i="29"/>
  <c r="N38" i="29"/>
  <c r="S47" i="47" l="1"/>
  <c r="S64" i="47"/>
  <c r="S81" i="47" s="1"/>
  <c r="E80" i="47"/>
  <c r="Q15" i="47" s="1"/>
  <c r="G95" i="38"/>
  <c r="F32" i="47"/>
  <c r="N56" i="32"/>
  <c r="F16" i="47"/>
  <c r="AD27" i="29"/>
  <c r="AL27" i="29"/>
  <c r="Q47" i="47" l="1"/>
  <c r="Q64" i="47"/>
  <c r="Q81" i="47" s="1"/>
  <c r="I95" i="38"/>
  <c r="I125" i="38" s="1"/>
  <c r="G125" i="38"/>
  <c r="N12" i="58"/>
  <c r="C80" i="38"/>
  <c r="T15" i="47"/>
  <c r="C15" i="38" s="1"/>
  <c r="D15" i="38" s="1"/>
  <c r="E15" i="38" s="1"/>
  <c r="F96" i="47"/>
  <c r="AB37" i="29"/>
  <c r="AD37" i="29" s="1"/>
  <c r="AJ38" i="29"/>
  <c r="AL38" i="29" s="1"/>
  <c r="AB38" i="29"/>
  <c r="AD38" i="29" s="1"/>
  <c r="AJ37" i="29"/>
  <c r="AL37" i="29" s="1"/>
  <c r="T47" i="47" l="1"/>
  <c r="T64" i="47"/>
  <c r="T81" i="47" s="1"/>
  <c r="D80" i="38"/>
  <c r="E80" i="38" s="1"/>
  <c r="F80" i="47"/>
  <c r="V38" i="29" l="1"/>
  <c r="AN16" i="29"/>
  <c r="AF16" i="29"/>
  <c r="AN17" i="29"/>
  <c r="AF17" i="29"/>
  <c r="E17" i="29" l="1"/>
  <c r="G17" i="29" s="1"/>
  <c r="H17" i="29" s="1"/>
  <c r="I50" i="46"/>
  <c r="V34" i="4"/>
  <c r="AD64" i="4" s="1"/>
  <c r="M17" i="29" l="1"/>
  <c r="O17" i="29" s="1"/>
  <c r="P17" i="29" s="1"/>
  <c r="U17" i="29" l="1"/>
  <c r="AC17" i="29" s="1"/>
  <c r="AE64" i="4"/>
  <c r="AB76" i="4" l="1"/>
  <c r="F11" i="32"/>
  <c r="F12" i="32" s="1"/>
  <c r="W17" i="29"/>
  <c r="X17" i="29" s="1"/>
  <c r="AE17" i="29"/>
  <c r="AK17" i="29"/>
  <c r="AM17" i="29" s="1"/>
  <c r="I49" i="46"/>
  <c r="C171" i="4"/>
  <c r="D171" i="4"/>
  <c r="U131" i="4" l="1"/>
  <c r="S131" i="4"/>
  <c r="H16" i="29"/>
  <c r="O132" i="4"/>
  <c r="U132" i="4" l="1"/>
  <c r="S132" i="4"/>
  <c r="M16" i="29"/>
  <c r="O16" i="29" s="1"/>
  <c r="P16" i="29" s="1"/>
  <c r="O133" i="4"/>
  <c r="U133" i="4" l="1"/>
  <c r="S133" i="4"/>
  <c r="U16" i="29"/>
  <c r="W16" i="29" s="1"/>
  <c r="X16" i="29" s="1"/>
  <c r="O134" i="4"/>
  <c r="U134" i="4" l="1"/>
  <c r="S134" i="4"/>
  <c r="AC16" i="29"/>
  <c r="AE16" i="29" s="1"/>
  <c r="AB85" i="4"/>
  <c r="AB86" i="4"/>
  <c r="O135" i="4"/>
  <c r="S135" i="4" l="1"/>
  <c r="U135" i="4"/>
  <c r="AK16" i="29"/>
  <c r="AM16" i="29" s="1"/>
  <c r="O136" i="4"/>
  <c r="U136" i="4" l="1"/>
  <c r="S136" i="4"/>
  <c r="O137" i="4"/>
  <c r="U137" i="4" l="1"/>
  <c r="S137" i="4"/>
  <c r="O138" i="4"/>
  <c r="S138" i="4" l="1"/>
  <c r="U138" i="4"/>
  <c r="O139" i="4"/>
  <c r="U139" i="4" l="1"/>
  <c r="S139" i="4"/>
  <c r="O140" i="4"/>
  <c r="S140" i="4" l="1"/>
  <c r="U140" i="4"/>
  <c r="U141" i="4" l="1"/>
  <c r="S141" i="4"/>
  <c r="O142" i="4"/>
  <c r="S142" i="4" l="1"/>
  <c r="U142" i="4"/>
  <c r="V142" i="4" s="1"/>
  <c r="O143" i="4"/>
  <c r="O11" i="32" l="1"/>
  <c r="E26" i="29"/>
  <c r="U143" i="4"/>
  <c r="S143" i="4"/>
  <c r="O144" i="4"/>
  <c r="M26" i="29" l="1"/>
  <c r="U26" i="29" s="1"/>
  <c r="AC26" i="29" s="1"/>
  <c r="AK26" i="29" s="1"/>
  <c r="AM26" i="29" s="1"/>
  <c r="AN37" i="29" s="1"/>
  <c r="U144" i="4"/>
  <c r="S144" i="4"/>
  <c r="AH22" i="46"/>
  <c r="AJ22" i="46" s="1"/>
  <c r="AR22" i="46"/>
  <c r="AT22" i="46" s="1"/>
  <c r="AE26" i="29" l="1"/>
  <c r="AF37" i="29" s="1"/>
  <c r="S145" i="4"/>
  <c r="U145" i="4"/>
  <c r="AN40" i="46"/>
  <c r="O40" i="32" s="1"/>
  <c r="O65" i="38" s="1"/>
  <c r="AK22" i="46"/>
  <c r="AU22" i="46"/>
  <c r="AX40" i="46"/>
  <c r="O146" i="4"/>
  <c r="U146" i="4" l="1"/>
  <c r="S146" i="4"/>
  <c r="O147" i="4"/>
  <c r="AW22" i="46"/>
  <c r="AX22" i="46"/>
  <c r="AO40" i="46"/>
  <c r="O41" i="32" s="1"/>
  <c r="P65" i="38" s="1"/>
  <c r="AN22" i="46"/>
  <c r="AM22" i="46"/>
  <c r="AY40" i="46"/>
  <c r="U147" i="4" l="1"/>
  <c r="S147" i="4"/>
  <c r="O148" i="4"/>
  <c r="S148" i="4" l="1"/>
  <c r="U148" i="4"/>
  <c r="O149" i="4"/>
  <c r="S149" i="4" l="1"/>
  <c r="U149" i="4"/>
  <c r="O150" i="4"/>
  <c r="U150" i="4" l="1"/>
  <c r="S150" i="4"/>
  <c r="O151" i="4"/>
  <c r="U151" i="4" l="1"/>
  <c r="S151" i="4"/>
  <c r="O152" i="4"/>
  <c r="S152" i="4" l="1"/>
  <c r="U152" i="4"/>
  <c r="O153" i="4"/>
  <c r="U153" i="4" l="1"/>
  <c r="S153" i="4"/>
  <c r="O154" i="4"/>
  <c r="U154" i="4" l="1"/>
  <c r="E27" i="29" s="1"/>
  <c r="M27" i="29" s="1"/>
  <c r="U27" i="29" s="1"/>
  <c r="AC27" i="29" s="1"/>
  <c r="S154" i="4"/>
  <c r="V154" i="4" l="1"/>
  <c r="AK27" i="29"/>
  <c r="AM27" i="29" s="1"/>
  <c r="AN38" i="29" s="1"/>
  <c r="AE27" i="29"/>
  <c r="AF38" i="29" s="1"/>
  <c r="AR23" i="46" l="1"/>
  <c r="AT23" i="46" s="1"/>
  <c r="AU23" i="46" s="1"/>
  <c r="P11" i="32"/>
  <c r="AH23" i="46"/>
  <c r="AJ23" i="46" s="1"/>
  <c r="AK23" i="46" s="1"/>
  <c r="AX41" i="46" l="1"/>
  <c r="AN41" i="46"/>
  <c r="P40" i="32" s="1"/>
  <c r="O66" i="38" s="1"/>
  <c r="AY41" i="46"/>
  <c r="AN23" i="46"/>
  <c r="AM23" i="46"/>
  <c r="AO41" i="46"/>
  <c r="P41" i="32" s="1"/>
  <c r="P66" i="38" s="1"/>
  <c r="AW23" i="46"/>
  <c r="AX23" i="46"/>
  <c r="N14" i="58" l="1"/>
  <c r="O14" i="58" s="1"/>
  <c r="N16" i="58" l="1"/>
  <c r="N20" i="58" s="1"/>
  <c r="O16" i="58"/>
  <c r="O20" i="58" s="1"/>
  <c r="C15" i="59" s="1"/>
  <c r="C19" i="59" s="1"/>
  <c r="C16" i="59" l="1"/>
  <c r="C20" i="59" s="1"/>
  <c r="F24" i="59" s="1"/>
  <c r="F16" i="59" s="1"/>
  <c r="W27" i="29" s="1"/>
  <c r="C26" i="58"/>
  <c r="C30" i="58" s="1"/>
  <c r="G23" i="59"/>
  <c r="I23" i="59"/>
  <c r="I15" i="59" s="1"/>
  <c r="X22" i="46" s="1"/>
  <c r="Z22" i="46" s="1"/>
  <c r="F23" i="59"/>
  <c r="F15" i="59" s="1"/>
  <c r="W26" i="29" s="1"/>
  <c r="E23" i="59"/>
  <c r="E15" i="59" s="1"/>
  <c r="O26" i="29" s="1"/>
  <c r="D23" i="59"/>
  <c r="H23" i="59"/>
  <c r="H15" i="59" s="1"/>
  <c r="N22" i="46" s="1"/>
  <c r="P22" i="46" s="1"/>
  <c r="G15" i="59" l="1"/>
  <c r="C22" i="46" s="1"/>
  <c r="E22" i="46" s="1"/>
  <c r="G24" i="59"/>
  <c r="G16" i="59" s="1"/>
  <c r="C23" i="46" s="1"/>
  <c r="E23" i="46" s="1"/>
  <c r="F23" i="46" s="1"/>
  <c r="D24" i="59"/>
  <c r="D16" i="59" s="1"/>
  <c r="E24" i="59"/>
  <c r="E16" i="59" s="1"/>
  <c r="O27" i="29" s="1"/>
  <c r="P38" i="29" s="1"/>
  <c r="H24" i="59"/>
  <c r="H16" i="59" s="1"/>
  <c r="N23" i="46" s="1"/>
  <c r="P23" i="46" s="1"/>
  <c r="T41" i="46" s="1"/>
  <c r="P28" i="32" s="1"/>
  <c r="I24" i="59"/>
  <c r="I16" i="59" s="1"/>
  <c r="X23" i="46" s="1"/>
  <c r="Z23" i="46" s="1"/>
  <c r="AD41" i="46" s="1"/>
  <c r="P32" i="32" s="1"/>
  <c r="K66" i="38" s="1"/>
  <c r="P37" i="29"/>
  <c r="P26" i="29"/>
  <c r="L37" i="29" s="1"/>
  <c r="X38" i="29"/>
  <c r="P36" i="32" s="1"/>
  <c r="M66" i="38" s="1"/>
  <c r="X27" i="29"/>
  <c r="T38" i="29" s="1"/>
  <c r="X37" i="29"/>
  <c r="O36" i="32" s="1"/>
  <c r="M65" i="38" s="1"/>
  <c r="X26" i="29"/>
  <c r="T37" i="29" s="1"/>
  <c r="D15" i="59"/>
  <c r="G26" i="29" s="1"/>
  <c r="J23" i="59"/>
  <c r="AA22" i="46"/>
  <c r="AD40" i="46"/>
  <c r="O32" i="32" s="1"/>
  <c r="K65" i="38" s="1"/>
  <c r="T40" i="46"/>
  <c r="O28" i="32" s="1"/>
  <c r="Q22" i="46"/>
  <c r="P27" i="29" l="1"/>
  <c r="L38" i="29" s="1"/>
  <c r="F22" i="46"/>
  <c r="I22" i="46" s="1"/>
  <c r="I40" i="46"/>
  <c r="O24" i="32" s="1"/>
  <c r="G65" i="38" s="1"/>
  <c r="E49" i="47" s="1"/>
  <c r="F49" i="47" s="1"/>
  <c r="Q23" i="46"/>
  <c r="S23" i="46" s="1"/>
  <c r="I41" i="46"/>
  <c r="P24" i="32" s="1"/>
  <c r="G66" i="38" s="1"/>
  <c r="E50" i="47" s="1"/>
  <c r="M17" i="47" s="1"/>
  <c r="M66" i="47" s="1"/>
  <c r="AA23" i="46"/>
  <c r="AC23" i="46" s="1"/>
  <c r="J24" i="59"/>
  <c r="E97" i="47"/>
  <c r="S16" i="47" s="1"/>
  <c r="H96" i="38"/>
  <c r="H126" i="38" s="1"/>
  <c r="E82" i="47"/>
  <c r="Q17" i="47" s="1"/>
  <c r="Q66" i="47" s="1"/>
  <c r="G97" i="38"/>
  <c r="G127" i="38" s="1"/>
  <c r="E81" i="47"/>
  <c r="Q16" i="47" s="1"/>
  <c r="G96" i="38"/>
  <c r="G126" i="38" s="1"/>
  <c r="E98" i="47"/>
  <c r="S17" i="47" s="1"/>
  <c r="S66" i="47" s="1"/>
  <c r="H97" i="38"/>
  <c r="H127" i="38" s="1"/>
  <c r="J41" i="46"/>
  <c r="P25" i="32" s="1"/>
  <c r="I23" i="46"/>
  <c r="H23" i="46"/>
  <c r="Q13" i="58"/>
  <c r="Q5" i="58" s="1"/>
  <c r="Q8" i="58" s="1"/>
  <c r="Q10" i="58" s="1"/>
  <c r="I65" i="38"/>
  <c r="AD22" i="46"/>
  <c r="AC22" i="46"/>
  <c r="AE40" i="46"/>
  <c r="O33" i="32" s="1"/>
  <c r="L65" i="38" s="1"/>
  <c r="G81" i="47" s="1"/>
  <c r="J16" i="59"/>
  <c r="G27" i="29"/>
  <c r="J15" i="59"/>
  <c r="S22" i="46"/>
  <c r="U40" i="46"/>
  <c r="O29" i="32" s="1"/>
  <c r="J65" i="38" s="1"/>
  <c r="G65" i="47" s="1"/>
  <c r="T22" i="46"/>
  <c r="R13" i="58"/>
  <c r="R5" i="58" s="1"/>
  <c r="I66" i="38"/>
  <c r="Q48" i="47" l="1"/>
  <c r="Q65" i="47"/>
  <c r="Q82" i="47" s="1"/>
  <c r="S48" i="47"/>
  <c r="S65" i="47"/>
  <c r="S82" i="47" s="1"/>
  <c r="S49" i="47"/>
  <c r="Q49" i="47"/>
  <c r="U41" i="46"/>
  <c r="P29" i="32" s="1"/>
  <c r="J66" i="38" s="1"/>
  <c r="G66" i="47" s="1"/>
  <c r="P17" i="47" s="1"/>
  <c r="P66" i="47" s="1"/>
  <c r="J40" i="46"/>
  <c r="O25" i="32" s="1"/>
  <c r="O57" i="32" s="1"/>
  <c r="H22" i="46"/>
  <c r="T23" i="46"/>
  <c r="E96" i="38"/>
  <c r="E126" i="38" s="1"/>
  <c r="E97" i="38"/>
  <c r="E127" i="38" s="1"/>
  <c r="AE41" i="46"/>
  <c r="P33" i="32" s="1"/>
  <c r="L66" i="38" s="1"/>
  <c r="G82" i="47" s="1"/>
  <c r="R17" i="47" s="1"/>
  <c r="R66" i="47" s="1"/>
  <c r="AD23" i="46"/>
  <c r="F81" i="47"/>
  <c r="F97" i="47"/>
  <c r="F98" i="47"/>
  <c r="F82" i="47"/>
  <c r="E65" i="47"/>
  <c r="F65" i="47" s="1"/>
  <c r="F96" i="38"/>
  <c r="F126" i="38" s="1"/>
  <c r="M16" i="47"/>
  <c r="F50" i="47"/>
  <c r="E66" i="47"/>
  <c r="O17" i="47" s="1"/>
  <c r="O66" i="47" s="1"/>
  <c r="F97" i="38"/>
  <c r="F127" i="38" s="1"/>
  <c r="H27" i="29"/>
  <c r="D38" i="29" s="1"/>
  <c r="H38" i="29"/>
  <c r="R16" i="47"/>
  <c r="H81" i="47"/>
  <c r="R8" i="58"/>
  <c r="R10" i="58" s="1"/>
  <c r="H37" i="29"/>
  <c r="H26" i="29"/>
  <c r="D37" i="29" s="1"/>
  <c r="H66" i="38"/>
  <c r="G50" i="47" s="1"/>
  <c r="N17" i="47" s="1"/>
  <c r="N66" i="47" s="1"/>
  <c r="H65" i="47"/>
  <c r="P16" i="47"/>
  <c r="Q83" i="47" l="1"/>
  <c r="S83" i="47"/>
  <c r="M48" i="47"/>
  <c r="M65" i="47"/>
  <c r="R48" i="47"/>
  <c r="R65" i="47"/>
  <c r="R82" i="47" s="1"/>
  <c r="P48" i="47"/>
  <c r="P65" i="47"/>
  <c r="P82" i="47" s="1"/>
  <c r="R49" i="47"/>
  <c r="P49" i="47"/>
  <c r="M49" i="47"/>
  <c r="P16" i="32"/>
  <c r="P20" i="32"/>
  <c r="E66" i="38" s="1"/>
  <c r="O16" i="32"/>
  <c r="O20" i="32"/>
  <c r="E65" i="38" s="1"/>
  <c r="H66" i="47"/>
  <c r="H65" i="38"/>
  <c r="G49" i="47" s="1"/>
  <c r="N16" i="47" s="1"/>
  <c r="H82" i="47"/>
  <c r="P57" i="32"/>
  <c r="U17" i="47"/>
  <c r="U66" i="47" s="1"/>
  <c r="O16" i="47"/>
  <c r="F66" i="47"/>
  <c r="R18" i="58"/>
  <c r="Q18" i="58"/>
  <c r="O48" i="47" l="1"/>
  <c r="O65" i="47"/>
  <c r="R83" i="47"/>
  <c r="N49" i="47"/>
  <c r="N65" i="47"/>
  <c r="M82" i="47"/>
  <c r="M83" i="47"/>
  <c r="P83" i="47"/>
  <c r="U16" i="47"/>
  <c r="U49" i="47" s="1"/>
  <c r="N48" i="47"/>
  <c r="O49" i="47"/>
  <c r="P56" i="32"/>
  <c r="C82" i="38" s="1"/>
  <c r="C66" i="38"/>
  <c r="C97" i="38" s="1"/>
  <c r="O56" i="32"/>
  <c r="C81" i="38" s="1"/>
  <c r="D81" i="38" s="1"/>
  <c r="E81" i="38" s="1"/>
  <c r="C65" i="38"/>
  <c r="C96" i="38" s="1"/>
  <c r="D96" i="38"/>
  <c r="D126" i="38" s="1"/>
  <c r="E33" i="47"/>
  <c r="E34" i="47"/>
  <c r="L17" i="47" s="1"/>
  <c r="L66" i="47" s="1"/>
  <c r="D97" i="38"/>
  <c r="D127" i="38" s="1"/>
  <c r="H50" i="47"/>
  <c r="H49" i="47"/>
  <c r="U48" i="47" l="1"/>
  <c r="U65" i="47"/>
  <c r="N82" i="47"/>
  <c r="N83" i="47"/>
  <c r="O82" i="47"/>
  <c r="O83" i="47"/>
  <c r="E18" i="47"/>
  <c r="K17" i="47" s="1"/>
  <c r="R12" i="58"/>
  <c r="R14" i="58" s="1"/>
  <c r="R16" i="58" s="1"/>
  <c r="R20" i="58" s="1"/>
  <c r="I97" i="38"/>
  <c r="I127" i="38" s="1"/>
  <c r="I96" i="38"/>
  <c r="I126" i="38" s="1"/>
  <c r="Q12" i="58"/>
  <c r="Q14" i="58" s="1"/>
  <c r="Q22" i="58" s="1"/>
  <c r="E17" i="47"/>
  <c r="K16" i="47" s="1"/>
  <c r="L16" i="47"/>
  <c r="F34" i="47"/>
  <c r="F33" i="47"/>
  <c r="D82" i="38"/>
  <c r="E82" i="38" s="1"/>
  <c r="T17" i="47" l="1"/>
  <c r="K66" i="47"/>
  <c r="L48" i="47"/>
  <c r="L65" i="47"/>
  <c r="K48" i="47"/>
  <c r="K65" i="47"/>
  <c r="K82" i="47" s="1"/>
  <c r="U82" i="47"/>
  <c r="U83" i="47"/>
  <c r="F18" i="47"/>
  <c r="K49" i="47"/>
  <c r="F17" i="47"/>
  <c r="L49" i="47"/>
  <c r="Q16" i="58"/>
  <c r="Q20" i="58" s="1"/>
  <c r="R22" i="58"/>
  <c r="T16" i="47"/>
  <c r="C16" i="38" s="1"/>
  <c r="D16" i="38" s="1"/>
  <c r="E16" i="38" s="1"/>
  <c r="T66" i="47" l="1"/>
  <c r="C17" i="38"/>
  <c r="D17" i="38" s="1"/>
  <c r="E17" i="38" s="1"/>
  <c r="L82" i="47"/>
  <c r="L83" i="47"/>
  <c r="K83" i="47"/>
  <c r="T48" i="47"/>
  <c r="T65" i="47"/>
  <c r="T82" i="47" s="1"/>
  <c r="T49" i="47"/>
  <c r="T83"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9" authorId="0" shapeId="0" xr:uid="{00000000-0006-0000-0500-000001000000}">
      <text>
        <r>
          <rPr>
            <b/>
            <sz val="9"/>
            <color indexed="81"/>
            <rFont val="Tahoma"/>
            <family val="2"/>
          </rPr>
          <t xml:space="preserve">Data Extrated from Actual Bills from WMP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8" authorId="0" shapeId="0" xr:uid="{00000000-0006-0000-0700-000001000000}">
      <text>
        <r>
          <rPr>
            <b/>
            <sz val="9"/>
            <color indexed="81"/>
            <rFont val="Tahoma"/>
            <family val="2"/>
          </rPr>
          <t xml:space="preserve">Entered from Hydro One Run 1 
</t>
        </r>
      </text>
    </comment>
    <comment ref="I18" authorId="0" shapeId="0" xr:uid="{00000000-0006-0000-0700-000002000000}">
      <text>
        <r>
          <rPr>
            <b/>
            <sz val="9"/>
            <color indexed="81"/>
            <rFont val="Tahoma"/>
            <family val="2"/>
          </rPr>
          <t xml:space="preserve">Entered from Hydro One Run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U3" authorId="0" shapeId="0" xr:uid="{00000000-0006-0000-0E00-000001000000}">
      <text>
        <r>
          <rPr>
            <b/>
            <sz val="9"/>
            <color indexed="81"/>
            <rFont val="Tahoma"/>
            <family val="2"/>
          </rPr>
          <t>Extracted from Utilismart TSL - Settlement Report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<sst xmlns="http://schemas.openxmlformats.org/spreadsheetml/2006/main" count="1517" uniqueCount="468">
  <si>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</si>
  <si>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</si>
  <si>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</si>
  <si>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</si>
  <si>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</si>
  <si>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</si>
  <si>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</si>
  <si>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</si>
  <si>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</si>
  <si>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</si>
  <si>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</si>
  <si>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</si>
  <si>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</si>
  <si>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</si>
  <si>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</si>
  <si>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</si>
  <si>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</si>
  <si>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</si>
  <si>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</si>
  <si>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</si>
  <si>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</si>
  <si>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</si>
  <si>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</si>
  <si>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</si>
  <si>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</si>
  <si>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</si>
  <si>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</si>
  <si>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</si>
  <si>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</si>
  <si>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</si>
  <si>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</si>
  <si>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</si>
  <si>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</si>
  <si>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</si>
  <si>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Customer</t>
  </si>
  <si>
    <t>kWh</t>
  </si>
  <si>
    <t>kW</t>
  </si>
  <si>
    <t>Per customer</t>
  </si>
  <si>
    <t>Added Load</t>
  </si>
  <si>
    <t>New Customer</t>
  </si>
  <si>
    <t>KW/kWh Ratio</t>
  </si>
  <si>
    <t>kWh Purchased</t>
  </si>
  <si>
    <t>year over year</t>
  </si>
  <si>
    <t>Purch. VS Adj.</t>
  </si>
  <si>
    <t>Mean Average Percentage Error (Mape) :</t>
  </si>
  <si>
    <t>CDM Adjustment</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</si>
  <si>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</si>
  <si>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</si>
  <si>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</si>
  <si>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</si>
  <si>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</si>
  <si>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</si>
  <si>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</si>
  <si>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</si>
  <si>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</si>
  <si>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</si>
  <si>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</si>
  <si>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</si>
  <si>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</si>
  <si>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</si>
  <si>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</si>
  <si>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</si>
  <si>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</si>
  <si>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</si>
  <si>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</si>
  <si>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</si>
  <si>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</si>
  <si>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Consumption by Rate Class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</si>
  <si>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</si>
  <si>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</si>
  <si>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</si>
  <si>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</si>
  <si>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</si>
  <si>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</si>
  <si>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</si>
  <si>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</si>
  <si>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</si>
  <si>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</si>
  <si>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</si>
  <si>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</si>
  <si>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</si>
  <si>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</si>
  <si>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</si>
  <si>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</si>
  <si>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</si>
  <si>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</si>
  <si>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</si>
  <si>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</si>
  <si>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</si>
  <si>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</si>
  <si>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</si>
  <si>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</si>
  <si>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n/a</t>
  </si>
  <si>
    <t>Note: The model computes an average customer count. Utility may chose to overwrite the customer/connection count if a year end count is more appropriate.</t>
  </si>
  <si>
    <t>Cust/Conn</t>
  </si>
  <si>
    <t>Customer Count</t>
  </si>
  <si>
    <t>Spring Fall Flag</t>
  </si>
  <si>
    <t>Summary of Variables</t>
  </si>
  <si>
    <t>Adj 5</t>
  </si>
  <si>
    <t>Adj 6</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</si>
  <si>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</si>
  <si>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</si>
  <si>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</si>
  <si>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</si>
  <si>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</si>
  <si>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</si>
  <si>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</si>
  <si>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</si>
  <si>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</si>
  <si>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</si>
  <si>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</si>
  <si>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</si>
  <si>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</si>
  <si>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</si>
  <si>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</si>
  <si>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</si>
  <si>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</si>
  <si>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 the model uses metered per class to determine the wholesale per class</t>
  </si>
  <si>
    <t>Wasaga Distribution Inc.</t>
  </si>
  <si>
    <t>705-429-2517</t>
  </si>
  <si>
    <t>Days in Month</t>
  </si>
  <si>
    <t>SUMMARY OUTPUT</t>
  </si>
  <si>
    <t>FINAL ADJUSTED NUMBERS</t>
  </si>
  <si>
    <t>Per Customer Weather Normalized (based on 2014 cust count)</t>
  </si>
  <si>
    <t>Wholesale Adjustment</t>
  </si>
  <si>
    <t>MicroFit/Fit Generation</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</si>
  <si>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</si>
  <si>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</si>
  <si>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</si>
  <si>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</si>
  <si>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</si>
  <si>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</si>
  <si>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</si>
  <si>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</si>
  <si>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</si>
  <si>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</si>
  <si>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t>Customers &amp; Connections</t>
  </si>
  <si>
    <t xml:space="preserve"> Input Cell</t>
  </si>
  <si>
    <t>Regression Scenarios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</si>
  <si>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</si>
  <si>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</si>
  <si>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</si>
  <si>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</si>
  <si>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</si>
  <si>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 xml:space="preserve"> Drop Down Selection</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</si>
  <si>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</si>
  <si>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</si>
  <si>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</si>
  <si>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</si>
  <si>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</si>
  <si>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</si>
  <si>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</si>
  <si>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</si>
  <si>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</si>
  <si>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</si>
  <si>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</si>
  <si>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</si>
  <si>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</si>
  <si>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</si>
  <si>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</si>
  <si>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</si>
  <si>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Adjusted kWh</t>
  </si>
  <si>
    <t xml:space="preserve"> Input Cell/Drop Down Selection</t>
  </si>
  <si>
    <t>Linear Trending</t>
  </si>
  <si>
    <t>Linear Trending Calculation ( y=mx+b)</t>
  </si>
  <si>
    <t>Slope (m)</t>
  </si>
  <si>
    <t>Intercept (b)</t>
  </si>
  <si>
    <t>Non-WN/kW</t>
  </si>
  <si>
    <t>Streetlighting-Non-WN/kW</t>
  </si>
  <si>
    <t>N/A</t>
  </si>
  <si>
    <t>2016</t>
  </si>
  <si>
    <t>Blank</t>
  </si>
  <si>
    <t>(With Losses)</t>
  </si>
  <si>
    <t>N/A-Non-WN/kW</t>
  </si>
  <si>
    <t>(5 year)</t>
  </si>
  <si>
    <t>Normalized Data</t>
  </si>
  <si>
    <t>Normalized Purchases</t>
  </si>
  <si>
    <t>Normalized Consumption</t>
  </si>
  <si>
    <t>Unmetered Scattered Load-WN</t>
  </si>
  <si>
    <t xml:space="preserve"> Metered kWh</t>
  </si>
  <si>
    <t>Normalized Load Forecast Results</t>
  </si>
  <si>
    <t>(5 years)</t>
  </si>
  <si>
    <t>Wholesale Metered kWh</t>
  </si>
  <si>
    <t>Regression Analysis - Wholesale Metered Customer</t>
  </si>
  <si>
    <t>Adj Billing</t>
  </si>
  <si>
    <t>CDM Adj.</t>
  </si>
  <si>
    <t>Without Losses</t>
  </si>
  <si>
    <t>Note: A significant portion of the decrease is likely related to unverified conservation initiatives (efficiency upgrades) not captured through IESO reports.  Since, there is no variable that captures this decreasing trend, the regression might be reporting lower then expected results.  Furthermore, this might be explained by the 15% R-squared variation.</t>
  </si>
  <si>
    <t xml:space="preserve">Demand (kW) </t>
  </si>
  <si>
    <t>CDM</t>
  </si>
  <si>
    <t>Wholesale Purchases with Losses</t>
  </si>
  <si>
    <t>Wholesale Purchases without Losses</t>
  </si>
  <si>
    <t>2013 Total</t>
  </si>
  <si>
    <t>2014 Total</t>
  </si>
  <si>
    <t>Supply Loss Factor</t>
  </si>
  <si>
    <t>A</t>
  </si>
  <si>
    <t>B</t>
  </si>
  <si>
    <t>C</t>
  </si>
  <si>
    <t>Net "Wholesale" kWh (A)-(B)</t>
  </si>
  <si>
    <t>D</t>
  </si>
  <si>
    <t>E</t>
  </si>
  <si>
    <t>G</t>
  </si>
  <si>
    <t>Distribution Loss Factor [(C)/(F)]</t>
  </si>
  <si>
    <t>H</t>
  </si>
  <si>
    <t>Supply Facility Loss Factor</t>
  </si>
  <si>
    <t>Total Utility Loss Adjustment Factor</t>
  </si>
  <si>
    <t>Total Loss Factor</t>
  </si>
  <si>
    <t>Secondary Metered Customer</t>
  </si>
  <si>
    <t xml:space="preserve">Total Loss Factor - Secondary Metered Customer &lt; 5,000kW     </t>
  </si>
  <si>
    <t xml:space="preserve">Total Loss Factor - Secondary Metered Customer &gt; 5,000kW    </t>
  </si>
  <si>
    <t>Primary Metered Customer</t>
  </si>
  <si>
    <t xml:space="preserve">Total Loss Factor - Primary Metered Customer &lt; 5,000kW    </t>
  </si>
  <si>
    <t xml:space="preserve">Total Loss Factor - Primary Metered Customer &gt; 5,000kW    </t>
  </si>
  <si>
    <r>
      <t xml:space="preserve">“Wholesale" kWh (IESO) </t>
    </r>
    <r>
      <rPr>
        <b/>
        <sz val="11"/>
        <rFont val="Arial"/>
        <family val="2"/>
      </rPr>
      <t>Qty at the Meter</t>
    </r>
  </si>
  <si>
    <t>Enter Data</t>
  </si>
  <si>
    <t>“Wholesale" kWh (GEN)</t>
  </si>
  <si>
    <t>"Wholesale" kWh (IESO) with Losses</t>
  </si>
  <si>
    <t>LAF</t>
  </si>
  <si>
    <r>
      <t xml:space="preserve">Final Load Forecast (Distributor) </t>
    </r>
    <r>
      <rPr>
        <b/>
        <sz val="11"/>
        <rFont val="Arial"/>
        <family val="2"/>
      </rPr>
      <t>Qty at the Meter</t>
    </r>
  </si>
  <si>
    <t>Less: Wholesale Market Participants</t>
  </si>
  <si>
    <r>
      <t xml:space="preserve">Net Retail kWh (Distributor) </t>
    </r>
    <r>
      <rPr>
        <b/>
        <sz val="11"/>
        <rFont val="Arial"/>
        <family val="2"/>
      </rPr>
      <t>Qty at the Meter [(D)-(E)]</t>
    </r>
  </si>
  <si>
    <t>RESIDUAL OUTPUT</t>
  </si>
  <si>
    <t>Non-Weather</t>
  </si>
  <si>
    <t>%Weather Sensitive</t>
  </si>
  <si>
    <t>Allocation of Weather Sensitive Data</t>
  </si>
  <si>
    <t>Weather Corrected</t>
  </si>
  <si>
    <t>Metered kWh</t>
  </si>
  <si>
    <t>Total Adjusted Consumed kWh</t>
  </si>
  <si>
    <t>Average kWh/Customer</t>
  </si>
  <si>
    <t>Average Customer</t>
  </si>
  <si>
    <t>% of Change</t>
  </si>
  <si>
    <t>Weather Sensitive Allocation</t>
  </si>
  <si>
    <t>GEOMEAN AVERAGE YEARS</t>
  </si>
  <si>
    <t>GEOMEAN YEARS</t>
  </si>
  <si>
    <t>Predicted kWh</t>
  </si>
  <si>
    <t>Purchased kWh</t>
  </si>
  <si>
    <t>% Change</t>
  </si>
  <si>
    <t>Billed (kWh)</t>
  </si>
  <si>
    <t>Percentage Change %</t>
  </si>
  <si>
    <t>Customer/ Connection Count</t>
  </si>
  <si>
    <t>General Service &gt; 50 kW - 4999 kW - Excluding Wholesale Market Participant</t>
  </si>
  <si>
    <t>General Service &gt; 50 kW - 4999 kW - Wholesale Market Participant</t>
  </si>
  <si>
    <t>General Service &gt; 50 kW - 4999 kW - Excluding Wholesale Market Participant-Non-WN/kW</t>
  </si>
  <si>
    <t>General Service &gt; 50 kW - 4999 kW - Wholesale Market Participant-Non-WN/kW</t>
  </si>
  <si>
    <t>Customer Counts</t>
  </si>
  <si>
    <t>Customer Usage</t>
  </si>
  <si>
    <t>Purchases Versus Adjusted</t>
  </si>
  <si>
    <t xml:space="preserve">Average Growth </t>
  </si>
  <si>
    <t>(POWER FACTOR ADJUSTED)</t>
  </si>
  <si>
    <t>http://climate.weather.gc.ca/prods_servs/cdn_climate_summary_e.html</t>
  </si>
  <si>
    <t>http://climate.weather.gc.ca/climate_data/generate_chart_e.html?StationID=10955&amp;Month=12&amp;Day=7&amp;Year=2017&amp;timeframe=2&amp;StartYear=1840&amp;EndYear=2017&amp;type=bar&amp;MeasTypeID=heatingdegreedays</t>
  </si>
  <si>
    <t>- Collingwood</t>
  </si>
  <si>
    <t>2015 Total</t>
  </si>
  <si>
    <t>2016 Total</t>
  </si>
  <si>
    <t>2017 Total</t>
  </si>
  <si>
    <t>2018 Total</t>
  </si>
  <si>
    <t>CPI Index Ontario</t>
  </si>
  <si>
    <t>(Without Losses)</t>
  </si>
  <si>
    <t>Normalized</t>
  </si>
  <si>
    <t>HDD  - Normalized</t>
  </si>
  <si>
    <t>CDD - Normalized</t>
  </si>
  <si>
    <t xml:space="preserve">                    FORECAST METHODOLOGY</t>
  </si>
  <si>
    <t>Revised Wholesale Purchases          (A)</t>
  </si>
  <si>
    <t xml:space="preserve">Weather Normalized Data  (A)*(D) </t>
  </si>
  <si>
    <t>Weather Normalized Consumption</t>
  </si>
  <si>
    <t>Weather Normalized Purchases</t>
  </si>
  <si>
    <t>Regression - Dependant Variables (Actual HDD &amp; CDD)                              (C)</t>
  </si>
  <si>
    <t>Weather Normalized Ratio                               (D) = (B)/(C)</t>
  </si>
  <si>
    <r>
      <t xml:space="preserve">Enter </t>
    </r>
    <r>
      <rPr>
        <b/>
        <sz val="12"/>
        <rFont val="Arial"/>
        <family val="2"/>
      </rPr>
      <t>Only</t>
    </r>
    <r>
      <rPr>
        <sz val="12"/>
        <rFont val="Arial"/>
        <family val="2"/>
      </rPr>
      <t xml:space="preserve"> Customer Clasess in which Distribution Volumetric is billed in </t>
    </r>
    <r>
      <rPr>
        <b/>
        <u/>
        <sz val="12"/>
        <rFont val="Arial"/>
        <family val="2"/>
      </rPr>
      <t>kWh</t>
    </r>
  </si>
  <si>
    <r>
      <t xml:space="preserve">Enter </t>
    </r>
    <r>
      <rPr>
        <b/>
        <sz val="12"/>
        <rFont val="Arial"/>
        <family val="2"/>
      </rPr>
      <t>Only</t>
    </r>
    <r>
      <rPr>
        <sz val="12"/>
        <rFont val="Arial"/>
        <family val="2"/>
      </rPr>
      <t xml:space="preserve"> Customer Clasess in which Distribution Volumetric is billed in </t>
    </r>
    <r>
      <rPr>
        <b/>
        <u/>
        <sz val="12"/>
        <rFont val="Arial"/>
        <family val="2"/>
      </rPr>
      <t>kW</t>
    </r>
  </si>
  <si>
    <t>Annual Weather Normalized Data</t>
  </si>
  <si>
    <t>Weather Normalized kWh</t>
  </si>
  <si>
    <t>Change (kWh)</t>
  </si>
  <si>
    <t xml:space="preserve">Average Consumption per customer </t>
  </si>
  <si>
    <t>FORECASTED GROWTH</t>
  </si>
  <si>
    <t>Load Forecast Results</t>
  </si>
  <si>
    <t>Weather Normalized - Billed kWh's</t>
  </si>
  <si>
    <t>Weather Normalized - Billed kW's</t>
  </si>
  <si>
    <t>FORECAST</t>
  </si>
  <si>
    <t>Difference</t>
  </si>
  <si>
    <t>2019 Total</t>
  </si>
  <si>
    <t>2023</t>
  </si>
  <si>
    <t>Adj 4</t>
  </si>
  <si>
    <t>2020 Total</t>
  </si>
  <si>
    <t>2021 Total</t>
  </si>
  <si>
    <t>2024</t>
  </si>
  <si>
    <t>2022 Total</t>
  </si>
  <si>
    <t xml:space="preserve">May </t>
  </si>
  <si>
    <t xml:space="preserve">a.karamatic@wasagadist.ca </t>
  </si>
  <si>
    <t>(5year)</t>
  </si>
  <si>
    <t>General Service &lt;50 kW</t>
  </si>
  <si>
    <t xml:space="preserve">General Service &gt; 50 kW </t>
  </si>
  <si>
    <t xml:space="preserve">Total </t>
  </si>
  <si>
    <t>General Service    &gt; 50 kW - WMP</t>
  </si>
  <si>
    <t>Customer Count/Customer Connections</t>
  </si>
  <si>
    <t>LDC Info:</t>
  </si>
  <si>
    <t>Actual kWh Purchases</t>
  </si>
  <si>
    <t>Predicted kWh Purchases</t>
  </si>
  <si>
    <t>% Difference</t>
  </si>
  <si>
    <t>By Class:</t>
  </si>
  <si>
    <t>Weather Normalized (HDD and CDD Normalized Variables)                          (B)</t>
  </si>
  <si>
    <t>SUMMARY OUTPUT - NORMALIZED DATA</t>
  </si>
  <si>
    <t xml:space="preserve">10 Years </t>
  </si>
  <si>
    <t xml:space="preserve">Ashly Karamatic, Manager of Finance and Regulatory </t>
  </si>
  <si>
    <t>2013-January</t>
  </si>
  <si>
    <t>2013-February</t>
  </si>
  <si>
    <t>2013-March</t>
  </si>
  <si>
    <t>2013-April</t>
  </si>
  <si>
    <t>2013-May</t>
  </si>
  <si>
    <t>2013-June</t>
  </si>
  <si>
    <t>2013-July</t>
  </si>
  <si>
    <t>2013-August</t>
  </si>
  <si>
    <t>2013-September</t>
  </si>
  <si>
    <t>2013-October</t>
  </si>
  <si>
    <t>2013-November</t>
  </si>
  <si>
    <t>2013-December</t>
  </si>
  <si>
    <t>2014-January</t>
  </si>
  <si>
    <t>2014-February</t>
  </si>
  <si>
    <t>2014-March</t>
  </si>
  <si>
    <t>2014-April</t>
  </si>
  <si>
    <t>2014-May</t>
  </si>
  <si>
    <t>2014-June</t>
  </si>
  <si>
    <t>2014-July</t>
  </si>
  <si>
    <t>2014-August</t>
  </si>
  <si>
    <t>2014-September</t>
  </si>
  <si>
    <t>2014-October</t>
  </si>
  <si>
    <t>2014-November</t>
  </si>
  <si>
    <t>2014-December</t>
  </si>
  <si>
    <t>2015-January</t>
  </si>
  <si>
    <t>2015-February</t>
  </si>
  <si>
    <t>2015-March</t>
  </si>
  <si>
    <t>2015-April</t>
  </si>
  <si>
    <t>2015-May</t>
  </si>
  <si>
    <t>2015-June</t>
  </si>
  <si>
    <t>2015-July</t>
  </si>
  <si>
    <t>2015-August</t>
  </si>
  <si>
    <t>2015-September</t>
  </si>
  <si>
    <t>2015-October</t>
  </si>
  <si>
    <t>2015-November</t>
  </si>
  <si>
    <t>2015-December</t>
  </si>
  <si>
    <t>2016-January</t>
  </si>
  <si>
    <t>2016-February</t>
  </si>
  <si>
    <t>2016-March</t>
  </si>
  <si>
    <t>2016-April</t>
  </si>
  <si>
    <t>2016-May</t>
  </si>
  <si>
    <t>2016-June</t>
  </si>
  <si>
    <t>2016-July</t>
  </si>
  <si>
    <t>2016-August</t>
  </si>
  <si>
    <t>2016-September</t>
  </si>
  <si>
    <t>2016-October</t>
  </si>
  <si>
    <t>2016-November</t>
  </si>
  <si>
    <t>2016-December</t>
  </si>
  <si>
    <t>2017-January</t>
  </si>
  <si>
    <t>2017-February</t>
  </si>
  <si>
    <t>2017-March</t>
  </si>
  <si>
    <t>2017-April</t>
  </si>
  <si>
    <t>2017-May</t>
  </si>
  <si>
    <t>2017-June</t>
  </si>
  <si>
    <t>2017-July</t>
  </si>
  <si>
    <t>2017-August</t>
  </si>
  <si>
    <t>2017-September</t>
  </si>
  <si>
    <t>2017-October</t>
  </si>
  <si>
    <t>2017-November</t>
  </si>
  <si>
    <t>2017-December</t>
  </si>
  <si>
    <t>2018-January</t>
  </si>
  <si>
    <t>2018-February</t>
  </si>
  <si>
    <t>2018-March</t>
  </si>
  <si>
    <t>2018-April</t>
  </si>
  <si>
    <t>2018-May</t>
  </si>
  <si>
    <t>2018-June</t>
  </si>
  <si>
    <t>2018-July</t>
  </si>
  <si>
    <t>2018-August</t>
  </si>
  <si>
    <t>2018-September</t>
  </si>
  <si>
    <t>2018-October</t>
  </si>
  <si>
    <t>2018-November</t>
  </si>
  <si>
    <t>2018-December</t>
  </si>
  <si>
    <t>2019-January</t>
  </si>
  <si>
    <t>2019-February</t>
  </si>
  <si>
    <t>2019-March</t>
  </si>
  <si>
    <t>2019-April</t>
  </si>
  <si>
    <t>2019-May</t>
  </si>
  <si>
    <t>2019-June</t>
  </si>
  <si>
    <t>2019-July</t>
  </si>
  <si>
    <t>2019-August</t>
  </si>
  <si>
    <t>2019-September</t>
  </si>
  <si>
    <t>2019-October</t>
  </si>
  <si>
    <t>2019-November</t>
  </si>
  <si>
    <t>2019-December</t>
  </si>
  <si>
    <t>2020-January</t>
  </si>
  <si>
    <t>2020-February</t>
  </si>
  <si>
    <t>2020-March</t>
  </si>
  <si>
    <t>2020-April</t>
  </si>
  <si>
    <t>2020-May</t>
  </si>
  <si>
    <t>2020-June</t>
  </si>
  <si>
    <t>2020-July</t>
  </si>
  <si>
    <t>2020-August</t>
  </si>
  <si>
    <t>2020-September</t>
  </si>
  <si>
    <t>2020-October</t>
  </si>
  <si>
    <t>2020-November</t>
  </si>
  <si>
    <t>2020-December</t>
  </si>
  <si>
    <t>2021-January</t>
  </si>
  <si>
    <t>2021-February</t>
  </si>
  <si>
    <t>2021-March</t>
  </si>
  <si>
    <t>2021-April</t>
  </si>
  <si>
    <t>2021-May</t>
  </si>
  <si>
    <t>2021-June</t>
  </si>
  <si>
    <t>2021-July</t>
  </si>
  <si>
    <t>2021-August</t>
  </si>
  <si>
    <t>2021-September</t>
  </si>
  <si>
    <t>2021-October</t>
  </si>
  <si>
    <t>2021-November</t>
  </si>
  <si>
    <t>2021-December</t>
  </si>
  <si>
    <t>2022-January</t>
  </si>
  <si>
    <t>2022-February</t>
  </si>
  <si>
    <t>2022-March</t>
  </si>
  <si>
    <t>2022-April</t>
  </si>
  <si>
    <t>2022-May</t>
  </si>
  <si>
    <t>2022-June</t>
  </si>
  <si>
    <t>2022-July</t>
  </si>
  <si>
    <t>2022-August</t>
  </si>
  <si>
    <t>2022-September</t>
  </si>
  <si>
    <t>2022-October</t>
  </si>
  <si>
    <t>2022-November</t>
  </si>
  <si>
    <t>2022-December</t>
  </si>
  <si>
    <t>2023-January</t>
  </si>
  <si>
    <t>2023-February</t>
  </si>
  <si>
    <t>2023-March</t>
  </si>
  <si>
    <t>2023-April</t>
  </si>
  <si>
    <t>2023-May</t>
  </si>
  <si>
    <t>2023-June</t>
  </si>
  <si>
    <t>2023-July</t>
  </si>
  <si>
    <t>2023-August</t>
  </si>
  <si>
    <t>2023-September</t>
  </si>
  <si>
    <t>2023-October</t>
  </si>
  <si>
    <t>2023-November</t>
  </si>
  <si>
    <t>2023-December</t>
  </si>
  <si>
    <t>2024-January</t>
  </si>
  <si>
    <t>2024-February</t>
  </si>
  <si>
    <t>2024-March</t>
  </si>
  <si>
    <t>2024-April</t>
  </si>
  <si>
    <t>2024-May</t>
  </si>
  <si>
    <t>2024-June</t>
  </si>
  <si>
    <t>2024-July</t>
  </si>
  <si>
    <t>2024-August</t>
  </si>
  <si>
    <t>2024-September</t>
  </si>
  <si>
    <t>2024-October</t>
  </si>
  <si>
    <t>2024-November</t>
  </si>
  <si>
    <t>2024-December</t>
  </si>
  <si>
    <t>Forecast Methodology -&gt;</t>
  </si>
  <si>
    <t>\</t>
  </si>
  <si>
    <t>Customer Usage - Weather Normalized</t>
  </si>
  <si>
    <t>Weather Normalized  Conversion</t>
  </si>
  <si>
    <t>Customer Usage - Weather Normalized Variance</t>
  </si>
  <si>
    <t>5-Year Average</t>
  </si>
  <si>
    <t xml:space="preserve">Weather Normalized (HDD and CDD Normalized Variables)                          (B) </t>
  </si>
  <si>
    <t>(COPY AND PASTE)</t>
  </si>
  <si>
    <t>Summary of Load and Customer/Connection Forecat</t>
  </si>
  <si>
    <t xml:space="preserve">Billed Energy (kWh) and Customer Count/Connections </t>
  </si>
  <si>
    <t>2016 Board Approved</t>
  </si>
  <si>
    <t>2023 Bridge</t>
  </si>
  <si>
    <t>2024 Test</t>
  </si>
  <si>
    <t>Month</t>
  </si>
  <si>
    <t>Growth in Customer Count/Customer Connections</t>
  </si>
  <si>
    <t>Actual Usage Per Customer/Connection</t>
  </si>
  <si>
    <t>Growth in Actual Usage Per Customer/Connection</t>
  </si>
  <si>
    <t>Growth in Customer Usage - Variance</t>
  </si>
  <si>
    <t>Town of Wasaga Beach</t>
  </si>
  <si>
    <t>EB-2023-0055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</si>
</sst>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0.0%"/>
    <numFmt numFmtId="168" formatCode="#,##0.00000"/>
    <numFmt numFmtId="169" formatCode="_-* #,##0_-;\-* #,##0_-;_-* &quot;-&quot;??_-;_-@_-"/>
    <numFmt numFmtId="170" formatCode="#,##0_ ;\-#,##0\ "/>
    <numFmt numFmtId="171" formatCode="_-&quot;$&quot;* #,##0_-;\-&quot;$&quot;* #,##0_-;_-&quot;$&quot;* &quot;-&quot;??_-;_-@_-"/>
    <numFmt numFmtId="172" formatCode="_-* #,##0.00000_-;\-* #,##0.00000_-;_-* &quot;-&quot;??_-;_-@_-"/>
    <numFmt numFmtId="173" formatCode="_-* #,##0.000_-;\-* #,##0.000_-;_-* &quot;-&quot;??_-;_-@_-"/>
    <numFmt numFmtId="174" formatCode="_-* #,##0.0000_-;\-* #,##0.0000_-;_-* &quot;-&quot;??_-;_-@_-"/>
    <numFmt numFmtId="175" formatCode="#,##0.0000"/>
    <numFmt numFmtId="176" formatCode="_(* #,##0.0_);_(* \(#,##0.0\);_(* &quot;-&quot;??_);_(@_)"/>
    <numFmt numFmtId="177" formatCode="#,##0.0"/>
    <numFmt numFmtId="178" formatCode="mm/dd/yyyy"/>
    <numFmt numFmtId="179" formatCode="0\-0"/>
    <numFmt numFmtId="180" formatCode="&quot;$&quot;#,##0_);\(&quot;$&quot;#,##0\)"/>
    <numFmt numFmtId="181" formatCode="##\-#"/>
    <numFmt numFmtId="182" formatCode="_(* #,##0_);_(* \(#,##0\);_(* &quot;-&quot;??_);_(@_)"/>
    <numFmt numFmtId="183" formatCode="&quot;£ &quot;#,##0.00;[Red]\-&quot;£ &quot;#,##0.00"/>
    <numFmt numFmtId="184" formatCode="_-* #,##0.0000000_-;\-* #,##0.0000000_-;_-* &quot;-&quot;??_-;_-@_-"/>
    <numFmt numFmtId="185" formatCode="0.000%"/>
    <numFmt numFmtId="186" formatCode="_(* #,##0.0000_);_(* \(#,##0.0000\);_(* &quot;-&quot;??_);_(@_)"/>
    <numFmt numFmtId="187" formatCode="_(* #,##0.0000_);_(* \(#,##0.0000\);_(* &quot;-&quot;????_);_(@_)"/>
    <numFmt numFmtId="188" formatCode="[$-409]mmmm\ d\,\ yyyy;@"/>
    <numFmt numFmtId="189" formatCode="_(* #,##0.0_);_(* \(#,##0.0\);_(* \-??_);_(@_)"/>
    <numFmt numFmtId="190" formatCode="_-* #,##0.00_-;\-* #,##0.00_-;_-* \-??_-;_-@_-"/>
    <numFmt numFmtId="191" formatCode="_(* #,##0.00_);_(* \(#,##0.00\);_(* \-??_);_(@_)"/>
    <numFmt numFmtId="192" formatCode="_-\$* #,##0.00_-;&quot;-$&quot;* #,##0.00_-;_-\$* \-??_-;_-@_-"/>
    <numFmt numFmtId="193" formatCode="_(\$* #,##0.00_);_(\$* \(#,##0.00\);_(\$* \-??_);_(@_)"/>
    <numFmt numFmtId="194" formatCode="\$#,##0_);&quot;($&quot;#,##0\)"/>
    <numFmt numFmtId="195" formatCode="_(* #,##0_);_(* \(#,##0\);_(* \-??_);_(@_)"/>
    <numFmt numFmtId="196" formatCode="&quot;£ &quot;#,##0.00;[Red]&quot;-£ &quot;#,##0.00"/>
    <numFmt numFmtId="197" formatCode="_-* #,##0.0_-;\-* #,##0.0_-;_-* &quot;-&quot;??_-;_-@_-"/>
    <numFmt numFmtId="198" formatCode="0.000"/>
  </numFmts>
  <fonts count="203"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b/>
      <sz val="12"/>
      <name val="Arial"/>
      <family val="2"/>
    </font>
    <font>
      <sz val="6"/>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u/>
      <sz val="10"/>
      <color theme="10"/>
      <name val="Times New Roman"/>
      <family val="1"/>
    </font>
    <font>
      <sz val="10"/>
      <name val="Arial"/>
      <family val="2"/>
    </font>
    <font>
      <i/>
      <sz val="10"/>
      <name val="Times New Roman"/>
      <family val="1"/>
    </font>
    <font>
      <sz val="10"/>
      <name val="Times New Roman"/>
      <family val="1"/>
    </font>
    <font>
      <sz val="9"/>
      <name val="Arial"/>
      <family val="2"/>
    </font>
    <font>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Arial"/>
      <family val="2"/>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0"/>
      <name val="Times New Roman"/>
      <family val="1"/>
    </font>
    <font>
      <sz val="11"/>
      <color theme="0" tint="-0.499984740745262"/>
      <name val="Arial"/>
      <family val="2"/>
    </font>
    <font>
      <b/>
      <sz val="9"/>
      <color indexed="81"/>
      <name val="Tahoma"/>
      <family val="2"/>
    </font>
    <font>
      <sz val="10"/>
      <color theme="0" tint="-0.249977111117893"/>
      <name val="Arial"/>
      <family val="2"/>
    </font>
    <font>
      <sz val="12"/>
      <name val="Arial"/>
      <family val="2"/>
    </font>
    <font>
      <sz val="11"/>
      <color theme="0"/>
      <name val="Arial"/>
      <family val="2"/>
    </font>
    <font>
      <b/>
      <sz val="11"/>
      <color indexed="9"/>
      <name val="Arial"/>
      <family val="2"/>
    </font>
    <font>
      <b/>
      <sz val="16"/>
      <color theme="0"/>
      <name val="Arial"/>
      <family val="2"/>
    </font>
    <font>
      <b/>
      <sz val="18"/>
      <color theme="0"/>
      <name val="Arial"/>
      <family val="2"/>
    </font>
    <font>
      <sz val="11"/>
      <color theme="0" tint="-0.14999847407452621"/>
      <name val="Arial"/>
      <family val="2"/>
    </font>
    <font>
      <sz val="10"/>
      <name val="Arial"/>
      <family val="2"/>
    </font>
    <font>
      <sz val="10"/>
      <color indexed="9"/>
      <name val="Arial"/>
      <family val="2"/>
    </font>
    <font>
      <sz val="10"/>
      <color indexed="10"/>
      <name val="Arial"/>
      <family val="2"/>
    </font>
    <font>
      <b/>
      <sz val="10"/>
      <color indexed="8"/>
      <name val="Arial"/>
      <family val="2"/>
    </font>
    <font>
      <b/>
      <sz val="10"/>
      <color indexed="9"/>
      <name val="Arial"/>
      <family val="2"/>
    </font>
    <font>
      <sz val="10"/>
      <name val="Arial"/>
      <family val="2"/>
      <charset val="1"/>
    </font>
    <font>
      <sz val="10"/>
      <color indexed="52"/>
      <name val="Arial"/>
      <family val="2"/>
    </font>
    <font>
      <sz val="11"/>
      <color indexed="8"/>
      <name val="Calibri"/>
      <family val="2"/>
      <charset val="1"/>
    </font>
    <font>
      <sz val="10"/>
      <color indexed="8"/>
      <name val="Arial"/>
      <family val="2"/>
      <charset val="1"/>
    </font>
    <font>
      <sz val="11"/>
      <color indexed="9"/>
      <name val="Calibri"/>
      <family val="2"/>
      <charset val="1"/>
    </font>
    <font>
      <sz val="10"/>
      <color indexed="9"/>
      <name val="Arial"/>
      <family val="2"/>
      <charset val="1"/>
    </font>
    <font>
      <sz val="11"/>
      <color indexed="16"/>
      <name val="Calibri"/>
      <family val="2"/>
      <charset val="1"/>
    </font>
    <font>
      <sz val="11"/>
      <color indexed="34"/>
      <name val="Calibri"/>
      <family val="2"/>
      <charset val="1"/>
    </font>
    <font>
      <sz val="10"/>
      <color indexed="34"/>
      <name val="Arial"/>
      <family val="2"/>
      <charset val="1"/>
    </font>
    <font>
      <b/>
      <sz val="11"/>
      <color indexed="59"/>
      <name val="Calibri"/>
      <family val="2"/>
      <charset val="1"/>
    </font>
    <font>
      <b/>
      <sz val="11"/>
      <color indexed="52"/>
      <name val="Calibri"/>
      <family val="2"/>
      <charset val="1"/>
    </font>
    <font>
      <b/>
      <sz val="10"/>
      <color indexed="52"/>
      <name val="Arial"/>
      <family val="2"/>
      <charset val="1"/>
    </font>
    <font>
      <b/>
      <sz val="11"/>
      <color indexed="9"/>
      <name val="Calibri"/>
      <family val="2"/>
      <charset val="1"/>
    </font>
    <font>
      <b/>
      <sz val="10"/>
      <color indexed="9"/>
      <name val="Arial"/>
      <family val="2"/>
      <charset val="1"/>
    </font>
    <font>
      <sz val="10"/>
      <name val="Mangal"/>
      <family val="2"/>
      <charset val="1"/>
    </font>
    <font>
      <sz val="10"/>
      <name val="Mangal"/>
      <family val="2"/>
    </font>
    <font>
      <i/>
      <sz val="11"/>
      <color indexed="19"/>
      <name val="Calibri"/>
      <family val="2"/>
      <charset val="1"/>
    </font>
    <font>
      <i/>
      <sz val="11"/>
      <color indexed="23"/>
      <name val="Calibri"/>
      <family val="2"/>
      <charset val="1"/>
    </font>
    <font>
      <i/>
      <sz val="10"/>
      <color indexed="23"/>
      <name val="Arial"/>
      <family val="2"/>
      <charset val="1"/>
    </font>
    <font>
      <sz val="11"/>
      <color indexed="56"/>
      <name val="Calibri"/>
      <family val="2"/>
      <charset val="1"/>
    </font>
    <font>
      <sz val="10"/>
      <color indexed="56"/>
      <name val="Arial"/>
      <family val="2"/>
      <charset val="1"/>
    </font>
    <font>
      <sz val="8"/>
      <name val="Arial"/>
      <family val="2"/>
      <charset val="1"/>
    </font>
    <font>
      <b/>
      <sz val="15"/>
      <color indexed="62"/>
      <name val="Calibri"/>
      <family val="2"/>
      <charset val="1"/>
    </font>
    <font>
      <b/>
      <sz val="15"/>
      <color indexed="11"/>
      <name val="Calibri"/>
      <family val="2"/>
      <charset val="1"/>
    </font>
    <font>
      <b/>
      <sz val="13"/>
      <color indexed="62"/>
      <name val="Calibri"/>
      <family val="2"/>
      <charset val="1"/>
    </font>
    <font>
      <b/>
      <sz val="13"/>
      <color indexed="11"/>
      <name val="Calibri"/>
      <family val="2"/>
      <charset val="1"/>
    </font>
    <font>
      <b/>
      <sz val="11"/>
      <color indexed="62"/>
      <name val="Calibri"/>
      <family val="2"/>
      <charset val="1"/>
    </font>
    <font>
      <b/>
      <sz val="11"/>
      <color indexed="11"/>
      <name val="Calibri"/>
      <family val="2"/>
      <charset val="1"/>
    </font>
    <font>
      <b/>
      <sz val="11"/>
      <color indexed="11"/>
      <name val="Arial"/>
      <family val="2"/>
      <charset val="1"/>
    </font>
    <font>
      <u/>
      <sz val="7.5"/>
      <color indexed="12"/>
      <name val="Arial"/>
      <family val="2"/>
      <charset val="1"/>
    </font>
    <font>
      <u/>
      <sz val="10"/>
      <color indexed="12"/>
      <name val="Arial"/>
      <family val="2"/>
      <charset val="1"/>
    </font>
    <font>
      <sz val="11"/>
      <color indexed="62"/>
      <name val="Calibri"/>
      <family val="2"/>
      <charset val="1"/>
    </font>
    <font>
      <sz val="11"/>
      <color indexed="63"/>
      <name val="Calibri"/>
      <family val="2"/>
      <charset val="1"/>
    </font>
    <font>
      <sz val="10"/>
      <color indexed="62"/>
      <name val="Arial"/>
      <family val="2"/>
      <charset val="1"/>
    </font>
    <font>
      <sz val="11"/>
      <color indexed="59"/>
      <name val="Calibri"/>
      <family val="2"/>
      <charset val="1"/>
    </font>
    <font>
      <sz val="11"/>
      <color indexed="52"/>
      <name val="Calibri"/>
      <family val="2"/>
      <charset val="1"/>
    </font>
    <font>
      <sz val="10"/>
      <color indexed="52"/>
      <name val="Arial"/>
      <family val="2"/>
      <charset val="1"/>
    </font>
    <font>
      <sz val="11"/>
      <color indexed="60"/>
      <name val="Calibri"/>
      <family val="2"/>
      <charset val="1"/>
    </font>
    <font>
      <sz val="11"/>
      <color indexed="23"/>
      <name val="Calibri"/>
      <family val="2"/>
      <charset val="1"/>
    </font>
    <font>
      <sz val="10"/>
      <color indexed="23"/>
      <name val="Arial"/>
      <family val="2"/>
      <charset val="1"/>
    </font>
    <font>
      <sz val="10"/>
      <color indexed="8"/>
      <name val="Courier New"/>
      <family val="2"/>
      <charset val="1"/>
    </font>
    <font>
      <b/>
      <sz val="11"/>
      <color indexed="63"/>
      <name val="Calibri"/>
      <family val="2"/>
      <charset val="1"/>
    </font>
    <font>
      <b/>
      <sz val="10"/>
      <color indexed="63"/>
      <name val="Arial"/>
      <family val="2"/>
      <charset val="1"/>
    </font>
    <font>
      <b/>
      <sz val="18"/>
      <color indexed="62"/>
      <name val="Cambria"/>
      <family val="2"/>
      <charset val="1"/>
    </font>
    <font>
      <b/>
      <sz val="18"/>
      <color indexed="11"/>
      <name val="Cambria"/>
      <family val="2"/>
      <charset val="1"/>
    </font>
    <font>
      <b/>
      <sz val="11"/>
      <color indexed="8"/>
      <name val="Calibri"/>
      <family val="2"/>
      <charset val="1"/>
    </font>
    <font>
      <sz val="11"/>
      <color indexed="10"/>
      <name val="Calibri"/>
      <family val="2"/>
      <charset val="1"/>
    </font>
    <font>
      <sz val="10"/>
      <color indexed="10"/>
      <name val="Arial"/>
      <family val="2"/>
      <charset val="1"/>
    </font>
    <font>
      <sz val="11"/>
      <color rgb="FF000000"/>
      <name val="Calibri"/>
      <family val="2"/>
      <scheme val="minor"/>
    </font>
    <font>
      <b/>
      <sz val="12"/>
      <color rgb="FF000000"/>
      <name val="Arial"/>
      <family val="2"/>
    </font>
    <font>
      <u/>
      <sz val="7.5"/>
      <color indexed="12"/>
      <name val="Arial"/>
      <family val="2"/>
    </font>
    <font>
      <sz val="10"/>
      <name val="MS Sans Serif"/>
      <family val="2"/>
    </font>
    <font>
      <sz val="10"/>
      <color theme="1"/>
      <name val="Courier"/>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60"/>
      <name val="Arial"/>
      <family val="2"/>
    </font>
    <font>
      <b/>
      <sz val="10"/>
      <color indexed="63"/>
      <name val="Arial"/>
      <family val="2"/>
    </font>
    <font>
      <sz val="9"/>
      <color theme="1"/>
      <name val="Calibri"/>
      <family val="2"/>
      <scheme val="minor"/>
    </font>
    <font>
      <b/>
      <sz val="8"/>
      <color theme="1"/>
      <name val="Calibri"/>
      <family val="2"/>
      <scheme val="minor"/>
    </font>
    <font>
      <b/>
      <sz val="11"/>
      <color indexed="53"/>
      <name val="Calibri"/>
      <family val="2"/>
      <charset val="1"/>
    </font>
    <font>
      <i/>
      <sz val="11"/>
      <color indexed="21"/>
      <name val="Calibri"/>
      <family val="2"/>
      <charset val="1"/>
    </font>
    <font>
      <sz val="11"/>
      <color indexed="17"/>
      <name val="Calibri"/>
      <family val="2"/>
      <charset val="1"/>
    </font>
    <font>
      <sz val="11"/>
      <color indexed="53"/>
      <name val="Calibri"/>
      <family val="2"/>
      <charset val="1"/>
    </font>
    <font>
      <sz val="11"/>
      <color indexed="19"/>
      <name val="Calibri"/>
      <family val="2"/>
      <charset val="1"/>
    </font>
    <font>
      <b/>
      <u/>
      <sz val="12"/>
      <name val="Arial"/>
      <family val="2"/>
    </font>
    <font>
      <b/>
      <sz val="22"/>
      <color rgb="FF000000"/>
      <name val="Arial"/>
      <family val="2"/>
    </font>
    <font>
      <u/>
      <sz val="12"/>
      <color theme="10"/>
      <name val="Arial"/>
      <family val="2"/>
    </font>
    <font>
      <b/>
      <sz val="12"/>
      <color theme="1"/>
      <name val="Arial"/>
      <family val="2"/>
    </font>
    <font>
      <sz val="10"/>
      <color rgb="FFFFFFFF"/>
      <name val="Arial"/>
      <family val="2"/>
    </font>
  </fonts>
  <fills count="1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indexed="26"/>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indexed="41"/>
        <bgColor indexed="27"/>
      </patternFill>
    </fill>
    <fill>
      <patternFill patternType="solid">
        <fgColor indexed="31"/>
        <bgColor indexed="15"/>
      </patternFill>
    </fill>
    <fill>
      <patternFill patternType="solid">
        <fgColor indexed="36"/>
        <bgColor indexed="28"/>
      </patternFill>
    </fill>
    <fill>
      <patternFill patternType="solid">
        <fgColor indexed="45"/>
        <bgColor indexed="51"/>
      </patternFill>
    </fill>
    <fill>
      <patternFill patternType="solid">
        <fgColor indexed="39"/>
        <bgColor indexed="58"/>
      </patternFill>
    </fill>
    <fill>
      <patternFill patternType="solid">
        <fgColor indexed="42"/>
        <bgColor indexed="27"/>
      </patternFill>
    </fill>
    <fill>
      <patternFill patternType="solid">
        <fgColor indexed="28"/>
        <bgColor indexed="41"/>
      </patternFill>
    </fill>
    <fill>
      <patternFill patternType="solid">
        <fgColor indexed="46"/>
        <bgColor indexed="50"/>
      </patternFill>
    </fill>
    <fill>
      <patternFill patternType="solid">
        <fgColor indexed="27"/>
        <bgColor indexed="41"/>
      </patternFill>
    </fill>
    <fill>
      <patternFill patternType="solid">
        <fgColor indexed="18"/>
        <bgColor indexed="58"/>
      </patternFill>
    </fill>
    <fill>
      <patternFill patternType="solid">
        <fgColor indexed="47"/>
        <bgColor indexed="51"/>
      </patternFill>
    </fill>
    <fill>
      <patternFill patternType="solid">
        <fgColor indexed="44"/>
        <bgColor indexed="24"/>
      </patternFill>
    </fill>
    <fill>
      <patternFill patternType="solid">
        <fgColor indexed="29"/>
        <bgColor indexed="46"/>
      </patternFill>
    </fill>
    <fill>
      <patternFill patternType="solid">
        <fgColor indexed="11"/>
        <bgColor indexed="20"/>
      </patternFill>
    </fill>
    <fill>
      <patternFill patternType="solid">
        <fgColor indexed="17"/>
        <bgColor indexed="35"/>
      </patternFill>
    </fill>
    <fill>
      <patternFill patternType="solid">
        <fgColor indexed="14"/>
        <bgColor indexed="22"/>
      </patternFill>
    </fill>
    <fill>
      <patternFill patternType="solid">
        <fgColor indexed="15"/>
        <bgColor indexed="31"/>
      </patternFill>
    </fill>
    <fill>
      <patternFill patternType="solid">
        <fgColor indexed="34"/>
        <bgColor indexed="47"/>
      </patternFill>
    </fill>
    <fill>
      <patternFill patternType="solid">
        <fgColor indexed="51"/>
        <bgColor indexed="47"/>
      </patternFill>
    </fill>
    <fill>
      <patternFill patternType="solid">
        <fgColor indexed="24"/>
        <bgColor indexed="44"/>
      </patternFill>
    </fill>
    <fill>
      <patternFill patternType="darkGray">
        <fgColor indexed="50"/>
        <bgColor indexed="46"/>
      </patternFill>
    </fill>
    <fill>
      <patternFill patternType="mediumGray">
        <fgColor indexed="11"/>
        <bgColor indexed="22"/>
      </patternFill>
    </fill>
    <fill>
      <patternFill patternType="solid">
        <fgColor indexed="49"/>
        <bgColor indexed="48"/>
      </patternFill>
    </fill>
    <fill>
      <patternFill patternType="darkGray">
        <fgColor indexed="52"/>
        <bgColor indexed="59"/>
      </patternFill>
    </fill>
    <fill>
      <patternFill patternType="darkGray">
        <fgColor indexed="48"/>
        <bgColor indexed="19"/>
      </patternFill>
    </fill>
    <fill>
      <patternFill patternType="solid">
        <fgColor indexed="62"/>
        <bgColor indexed="21"/>
      </patternFill>
    </fill>
    <fill>
      <patternFill patternType="solid">
        <fgColor indexed="48"/>
        <bgColor indexed="21"/>
      </patternFill>
    </fill>
    <fill>
      <patternFill patternType="solid">
        <fgColor indexed="60"/>
        <bgColor indexed="53"/>
      </patternFill>
    </fill>
    <fill>
      <patternFill patternType="solid">
        <fgColor indexed="10"/>
        <bgColor indexed="37"/>
      </patternFill>
    </fill>
    <fill>
      <patternFill patternType="solid">
        <fgColor indexed="50"/>
        <bgColor indexed="55"/>
      </patternFill>
    </fill>
    <fill>
      <patternFill patternType="solid">
        <fgColor indexed="54"/>
        <bgColor indexed="19"/>
      </patternFill>
    </fill>
    <fill>
      <patternFill patternType="darkGray">
        <fgColor indexed="54"/>
        <bgColor indexed="19"/>
      </patternFill>
    </fill>
    <fill>
      <patternFill patternType="solid">
        <fgColor indexed="59"/>
        <bgColor indexed="53"/>
      </patternFill>
    </fill>
    <fill>
      <patternFill patternType="solid">
        <fgColor indexed="33"/>
        <bgColor indexed="34"/>
      </patternFill>
    </fill>
    <fill>
      <patternFill patternType="solid">
        <fgColor indexed="32"/>
        <bgColor indexed="58"/>
      </patternFill>
    </fill>
    <fill>
      <patternFill patternType="solid">
        <fgColor indexed="22"/>
        <bgColor indexed="35"/>
      </patternFill>
    </fill>
    <fill>
      <patternFill patternType="solid">
        <fgColor indexed="55"/>
        <bgColor indexed="38"/>
      </patternFill>
    </fill>
    <fill>
      <patternFill patternType="mediumGray">
        <fgColor indexed="42"/>
        <bgColor indexed="11"/>
      </patternFill>
    </fill>
    <fill>
      <patternFill patternType="solid">
        <fgColor indexed="26"/>
        <bgColor indexed="39"/>
      </patternFill>
    </fill>
    <fill>
      <patternFill patternType="mediumGray">
        <fgColor indexed="43"/>
        <bgColor indexed="34"/>
      </patternFill>
    </fill>
    <fill>
      <patternFill patternType="solid">
        <fgColor indexed="43"/>
        <bgColor indexed="26"/>
      </patternFill>
    </fill>
    <fill>
      <patternFill patternType="solid">
        <fgColor theme="4" tint="0.39997558519241921"/>
        <bgColor indexed="64"/>
      </patternFill>
    </fill>
    <fill>
      <patternFill patternType="solid">
        <fgColor indexed="58"/>
        <bgColor indexed="27"/>
      </patternFill>
    </fill>
    <fill>
      <patternFill patternType="solid">
        <fgColor indexed="39"/>
        <bgColor indexed="32"/>
      </patternFill>
    </fill>
    <fill>
      <patternFill patternType="solid">
        <fgColor indexed="28"/>
        <bgColor indexed="58"/>
      </patternFill>
    </fill>
    <fill>
      <patternFill patternType="solid">
        <fgColor indexed="27"/>
        <bgColor indexed="58"/>
      </patternFill>
    </fill>
    <fill>
      <patternFill patternType="solid">
        <fgColor indexed="18"/>
        <bgColor indexed="39"/>
      </patternFill>
    </fill>
    <fill>
      <patternFill patternType="solid">
        <fgColor indexed="56"/>
        <bgColor indexed="41"/>
      </patternFill>
    </fill>
    <fill>
      <patternFill patternType="solid">
        <fgColor indexed="20"/>
        <bgColor indexed="47"/>
      </patternFill>
    </fill>
    <fill>
      <patternFill patternType="solid">
        <fgColor indexed="35"/>
        <bgColor indexed="56"/>
      </patternFill>
    </fill>
    <fill>
      <patternFill patternType="solid">
        <fgColor indexed="46"/>
        <bgColor indexed="30"/>
      </patternFill>
    </fill>
    <fill>
      <patternFill patternType="darkGray">
        <fgColor indexed="48"/>
        <bgColor indexed="61"/>
      </patternFill>
    </fill>
    <fill>
      <patternFill patternType="solid">
        <fgColor indexed="25"/>
        <bgColor indexed="19"/>
      </patternFill>
    </fill>
    <fill>
      <patternFill patternType="solid">
        <fgColor indexed="50"/>
        <bgColor indexed="30"/>
      </patternFill>
    </fill>
    <fill>
      <patternFill patternType="solid">
        <fgColor indexed="54"/>
        <bgColor indexed="57"/>
      </patternFill>
    </fill>
    <fill>
      <patternFill patternType="solid">
        <fgColor indexed="52"/>
        <bgColor indexed="53"/>
      </patternFill>
    </fill>
    <fill>
      <patternFill patternType="solid">
        <fgColor indexed="33"/>
        <bgColor indexed="20"/>
      </patternFill>
    </fill>
    <fill>
      <patternFill patternType="solid">
        <fgColor indexed="32"/>
        <bgColor indexed="39"/>
      </patternFill>
    </fill>
    <fill>
      <patternFill patternType="solid">
        <fgColor indexed="40"/>
        <bgColor indexed="30"/>
      </patternFill>
    </fill>
    <fill>
      <patternFill patternType="solid">
        <fgColor indexed="41"/>
        <bgColor indexed="42"/>
      </patternFill>
    </fill>
    <fill>
      <patternFill patternType="solid">
        <fgColor indexed="22"/>
        <bgColor indexed="59"/>
      </patternFill>
    </fill>
    <fill>
      <patternFill patternType="solid">
        <fgColor indexed="34"/>
        <bgColor indexed="43"/>
      </patternFill>
    </fill>
    <fill>
      <patternFill patternType="solid">
        <fgColor indexed="42"/>
        <bgColor indexed="41"/>
      </patternFill>
    </fill>
    <fill>
      <patternFill patternType="solid">
        <fgColor theme="6" tint="0.59999389629810485"/>
        <bgColor indexed="64"/>
      </patternFill>
    </fill>
    <fill>
      <patternFill patternType="solid">
        <fgColor rgb="FFC77C0E"/>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8"/>
      </left>
      <right style="thin">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ck">
        <color indexed="64"/>
      </bottom>
      <diagonal/>
    </border>
    <border>
      <left style="medium">
        <color indexed="64"/>
      </left>
      <right style="thin">
        <color indexed="8"/>
      </right>
      <top/>
      <bottom/>
      <diagonal/>
    </border>
    <border>
      <left style="thin">
        <color indexed="8"/>
      </left>
      <right style="thin">
        <color indexed="8"/>
      </right>
      <top style="thick">
        <color indexed="64"/>
      </top>
      <bottom style="thin">
        <color indexed="8"/>
      </bottom>
      <diagonal/>
    </border>
    <border>
      <left style="thin">
        <color indexed="8"/>
      </left>
      <right style="medium">
        <color indexed="64"/>
      </right>
      <top style="thick">
        <color indexed="64"/>
      </top>
      <bottom style="thin">
        <color indexed="8"/>
      </bottom>
      <diagonal/>
    </border>
    <border>
      <left style="thin">
        <color indexed="8"/>
      </left>
      <right style="medium">
        <color indexed="64"/>
      </right>
      <top style="thin">
        <color indexed="8"/>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ck">
        <color indexed="64"/>
      </top>
      <bottom style="thin">
        <color indexed="64"/>
      </bottom>
      <diagonal/>
    </border>
    <border>
      <left style="thin">
        <color indexed="19"/>
      </left>
      <right style="thin">
        <color indexed="19"/>
      </right>
      <top style="thin">
        <color indexed="19"/>
      </top>
      <bottom style="thin">
        <color indexed="19"/>
      </bottom>
      <diagonal/>
    </border>
    <border>
      <left/>
      <right/>
      <top/>
      <bottom style="thick">
        <color indexed="48"/>
      </bottom>
      <diagonal/>
    </border>
    <border>
      <left/>
      <right/>
      <top/>
      <bottom style="thick">
        <color indexed="24"/>
      </bottom>
      <diagonal/>
    </border>
    <border>
      <left/>
      <right/>
      <top/>
      <bottom style="medium">
        <color indexed="24"/>
      </bottom>
      <diagonal/>
    </border>
    <border>
      <left/>
      <right/>
      <top/>
      <bottom style="medium">
        <color indexed="50"/>
      </bottom>
      <diagonal/>
    </border>
    <border>
      <left/>
      <right/>
      <top/>
      <bottom style="double">
        <color indexed="59"/>
      </bottom>
      <diagonal/>
    </border>
    <border>
      <left style="thin">
        <color indexed="50"/>
      </left>
      <right style="thin">
        <color indexed="50"/>
      </right>
      <top style="thin">
        <color indexed="50"/>
      </top>
      <bottom style="thin">
        <color indexed="50"/>
      </bottom>
      <diagonal/>
    </border>
    <border>
      <left/>
      <right/>
      <top style="thin">
        <color indexed="48"/>
      </top>
      <bottom style="double">
        <color indexed="48"/>
      </bottom>
      <diagonal/>
    </border>
    <border>
      <left/>
      <right/>
      <top style="double">
        <color indexed="0"/>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21"/>
      </left>
      <right style="thin">
        <color indexed="21"/>
      </right>
      <top style="thin">
        <color indexed="21"/>
      </top>
      <bottom style="thin">
        <color indexed="21"/>
      </bottom>
      <diagonal/>
    </border>
    <border>
      <left/>
      <right/>
      <top/>
      <bottom style="double">
        <color indexed="53"/>
      </bottom>
      <diagonal/>
    </border>
    <border>
      <left style="thin">
        <color indexed="30"/>
      </left>
      <right style="thin">
        <color indexed="30"/>
      </right>
      <top style="thin">
        <color indexed="30"/>
      </top>
      <bottom style="thin">
        <color indexed="30"/>
      </bottom>
      <diagonal/>
    </border>
    <border>
      <left style="medium">
        <color indexed="64"/>
      </left>
      <right/>
      <top/>
      <bottom style="medium">
        <color indexed="64"/>
      </bottom>
      <diagonal/>
    </border>
  </borders>
  <cellStyleXfs count="41093">
    <xf numFmtId="0" fontId="0"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43" fontId="26" fillId="0" borderId="0" applyFont="0" applyFill="0" applyBorder="0" applyAlignment="0" applyProtection="0"/>
    <xf numFmtId="165" fontId="35" fillId="0" borderId="0" applyFont="0" applyFill="0" applyBorder="0" applyAlignment="0" applyProtection="0"/>
    <xf numFmtId="44" fontId="23" fillId="0" borderId="0" applyFont="0" applyFill="0" applyBorder="0" applyAlignment="0" applyProtection="0"/>
    <xf numFmtId="164" fontId="23" fillId="0" borderId="0" applyFont="0" applyFill="0" applyBorder="0" applyAlignment="0" applyProtection="0"/>
    <xf numFmtId="44" fontId="2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51" fillId="0" borderId="0"/>
    <xf numFmtId="0" fontId="51" fillId="0" borderId="0"/>
    <xf numFmtId="0" fontId="22" fillId="0" borderId="0"/>
    <xf numFmtId="0" fontId="25" fillId="0" borderId="0"/>
    <xf numFmtId="0" fontId="38" fillId="0" borderId="0"/>
    <xf numFmtId="0" fontId="2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9" fontId="27" fillId="0" borderId="0" applyFont="0" applyFill="0" applyBorder="0" applyAlignment="0" applyProtection="0"/>
    <xf numFmtId="9" fontId="26" fillId="0" borderId="0" applyFont="0" applyFill="0" applyBorder="0" applyAlignment="0" applyProtection="0"/>
    <xf numFmtId="9" fontId="35" fillId="0" borderId="0" applyFont="0" applyFill="0" applyBorder="0" applyAlignment="0" applyProtection="0"/>
    <xf numFmtId="0" fontId="53" fillId="0" borderId="0" applyNumberFormat="0" applyFill="0" applyBorder="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44" fontId="22" fillId="0" borderId="0" applyFont="0" applyFill="0" applyBorder="0" applyAlignment="0" applyProtection="0"/>
    <xf numFmtId="164" fontId="22" fillId="0" borderId="0" applyFont="0" applyFill="0" applyBorder="0" applyAlignment="0" applyProtection="0"/>
    <xf numFmtId="0" fontId="21" fillId="0" borderId="0"/>
    <xf numFmtId="0" fontId="21" fillId="0" borderId="0"/>
    <xf numFmtId="0" fontId="22" fillId="0" borderId="0"/>
    <xf numFmtId="165" fontId="22" fillId="0" borderId="0" applyFont="0" applyFill="0" applyBorder="0" applyAlignment="0" applyProtection="0"/>
    <xf numFmtId="165" fontId="22" fillId="0" borderId="0" applyFont="0" applyFill="0" applyBorder="0" applyAlignment="0" applyProtection="0"/>
    <xf numFmtId="165" fontId="67" fillId="0" borderId="0" applyFont="0" applyFill="0" applyBorder="0" applyAlignment="0" applyProtection="0"/>
    <xf numFmtId="165" fontId="22" fillId="0" borderId="0" applyFont="0" applyFill="0" applyBorder="0" applyAlignment="0" applyProtection="0"/>
    <xf numFmtId="43" fontId="21" fillId="0" borderId="0" applyFont="0" applyFill="0" applyBorder="0" applyAlignment="0" applyProtection="0"/>
    <xf numFmtId="44" fontId="22" fillId="0" borderId="0" applyFont="0" applyFill="0" applyBorder="0" applyAlignment="0" applyProtection="0"/>
    <xf numFmtId="164" fontId="22" fillId="0" borderId="0" applyFont="0" applyFill="0" applyBorder="0" applyAlignment="0" applyProtection="0"/>
    <xf numFmtId="0" fontId="22" fillId="0" borderId="0"/>
    <xf numFmtId="0" fontId="21" fillId="0" borderId="0"/>
    <xf numFmtId="0" fontId="21" fillId="0" borderId="0"/>
    <xf numFmtId="0" fontId="22" fillId="0" borderId="0"/>
    <xf numFmtId="0" fontId="21" fillId="0" borderId="0"/>
    <xf numFmtId="0" fontId="22" fillId="0" borderId="0"/>
    <xf numFmtId="0" fontId="22" fillId="0" borderId="0"/>
    <xf numFmtId="0" fontId="67" fillId="0" borderId="0"/>
    <xf numFmtId="0" fontId="22" fillId="0" borderId="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67" fillId="37" borderId="1" applyNumberFormat="0" applyProtection="0">
      <alignment horizontal="left" vertical="center"/>
    </xf>
    <xf numFmtId="0" fontId="22" fillId="37" borderId="1" applyNumberFormat="0" applyProtection="0">
      <alignment horizontal="left" vertical="center"/>
    </xf>
    <xf numFmtId="9" fontId="21"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8" fillId="0" borderId="0"/>
    <xf numFmtId="0" fontId="69" fillId="0" borderId="0"/>
    <xf numFmtId="165" fontId="26" fillId="0" borderId="0" applyFont="0" applyFill="0" applyBorder="0" applyAlignment="0" applyProtection="0"/>
    <xf numFmtId="9" fontId="26" fillId="0" borderId="0" applyFont="0" applyFill="0" applyBorder="0" applyAlignment="0" applyProtection="0"/>
    <xf numFmtId="0" fontId="26"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26" fillId="0" borderId="0"/>
    <xf numFmtId="43" fontId="26" fillId="0" borderId="0" applyFont="0" applyFill="0" applyBorder="0" applyAlignment="0" applyProtection="0"/>
    <xf numFmtId="0" fontId="17" fillId="0" borderId="0"/>
    <xf numFmtId="0" fontId="17" fillId="0" borderId="0"/>
    <xf numFmtId="9" fontId="26"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9" fillId="56" borderId="91" applyNumberFormat="0" applyAlignment="0" applyProtection="0"/>
    <xf numFmtId="0" fontId="95" fillId="0" borderId="0" applyNumberFormat="0" applyFill="0" applyBorder="0" applyAlignment="0" applyProtection="0">
      <alignment vertical="top"/>
      <protection locked="0"/>
    </xf>
    <xf numFmtId="0" fontId="108" fillId="58" borderId="0" applyNumberFormat="0" applyBorder="0" applyAlignment="0" applyProtection="0"/>
    <xf numFmtId="0" fontId="110" fillId="0" borderId="0" applyNumberFormat="0" applyFill="0" applyBorder="0" applyAlignment="0" applyProtection="0"/>
    <xf numFmtId="0" fontId="111" fillId="0" borderId="99" applyNumberFormat="0" applyFill="0" applyAlignment="0" applyProtection="0"/>
    <xf numFmtId="0" fontId="112" fillId="0" borderId="0" applyNumberFormat="0" applyFill="0" applyBorder="0" applyAlignment="0" applyProtection="0"/>
    <xf numFmtId="0" fontId="22" fillId="0" borderId="0"/>
    <xf numFmtId="0" fontId="53" fillId="0" borderId="0" applyNumberFormat="0" applyFill="0" applyBorder="0" applyAlignment="0" applyProtection="0"/>
    <xf numFmtId="0" fontId="75" fillId="0" borderId="58" applyNumberFormat="0" applyFill="0" applyAlignment="0" applyProtection="0"/>
    <xf numFmtId="0" fontId="74" fillId="0" borderId="57" applyNumberFormat="0" applyFill="0" applyAlignment="0" applyProtection="0"/>
    <xf numFmtId="0" fontId="16" fillId="0" borderId="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16" fillId="32" borderId="61" applyNumberFormat="0" applyFont="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88" fillId="19" borderId="0" applyNumberFormat="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176" fontId="22" fillId="0" borderId="0"/>
    <xf numFmtId="177" fontId="22" fillId="0" borderId="0"/>
    <xf numFmtId="176" fontId="22" fillId="0" borderId="0"/>
    <xf numFmtId="176" fontId="22" fillId="0" borderId="0"/>
    <xf numFmtId="176" fontId="22" fillId="0" borderId="0"/>
    <xf numFmtId="176" fontId="22" fillId="0" borderId="0"/>
    <xf numFmtId="178" fontId="22" fillId="0" borderId="0"/>
    <xf numFmtId="179" fontId="22" fillId="0" borderId="0"/>
    <xf numFmtId="178" fontId="22" fillId="0" borderId="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38" fontId="96" fillId="60" borderId="0" applyNumberFormat="0" applyBorder="0" applyAlignment="0" applyProtection="0"/>
    <xf numFmtId="10" fontId="96" fillId="62" borderId="1" applyNumberFormat="0" applyBorder="0" applyAlignment="0" applyProtection="0"/>
    <xf numFmtId="181" fontId="22" fillId="0" borderId="0"/>
    <xf numFmtId="181" fontId="22" fillId="0" borderId="0"/>
    <xf numFmtId="181" fontId="22" fillId="0" borderId="0"/>
    <xf numFmtId="181" fontId="22" fillId="0" borderId="0"/>
    <xf numFmtId="181" fontId="22" fillId="0" borderId="0"/>
    <xf numFmtId="183" fontId="22" fillId="0" borderId="0"/>
    <xf numFmtId="10" fontId="22"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4" fontId="22" fillId="0" borderId="0" applyFont="0" applyFill="0" applyBorder="0" applyAlignment="0" applyProtection="0"/>
    <xf numFmtId="0" fontId="16" fillId="0" borderId="0"/>
    <xf numFmtId="0" fontId="16" fillId="0" borderId="0"/>
    <xf numFmtId="182" fontId="22" fillId="0" borderId="0"/>
    <xf numFmtId="0" fontId="109" fillId="56" borderId="98" applyNumberFormat="0" applyAlignment="0" applyProtection="0"/>
    <xf numFmtId="0" fontId="100" fillId="57" borderId="92" applyNumberFormat="0" applyAlignment="0" applyProtection="0"/>
    <xf numFmtId="0" fontId="106" fillId="43" borderId="91" applyNumberFormat="0" applyAlignment="0" applyProtection="0"/>
    <xf numFmtId="0" fontId="22" fillId="59" borderId="97" applyNumberFormat="0" applyFont="0" applyAlignment="0" applyProtection="0"/>
    <xf numFmtId="0" fontId="102" fillId="40" borderId="0" applyNumberFormat="0" applyBorder="0" applyAlignment="0" applyProtection="0"/>
    <xf numFmtId="0" fontId="98" fillId="39" borderId="0" applyNumberFormat="0" applyBorder="0" applyAlignment="0" applyProtection="0"/>
    <xf numFmtId="0" fontId="105" fillId="0" borderId="95" applyNumberFormat="0" applyFill="0" applyAlignment="0" applyProtection="0"/>
    <xf numFmtId="0" fontId="104" fillId="0" borderId="94" applyNumberFormat="0" applyFill="0" applyAlignment="0" applyProtection="0"/>
    <xf numFmtId="0" fontId="101" fillId="0" borderId="0" applyNumberFormat="0" applyFill="0" applyBorder="0" applyAlignment="0" applyProtection="0"/>
    <xf numFmtId="0" fontId="103" fillId="0" borderId="93" applyNumberFormat="0" applyFill="0" applyAlignment="0" applyProtection="0"/>
    <xf numFmtId="0" fontId="91" fillId="0" borderId="0" applyNumberFormat="0" applyFill="0" applyBorder="0" applyAlignment="0" applyProtection="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97" fillId="50" borderId="0" applyNumberFormat="0" applyBorder="0" applyAlignment="0" applyProtection="0"/>
    <xf numFmtId="0" fontId="16" fillId="0" borderId="0"/>
    <xf numFmtId="0" fontId="16" fillId="0" borderId="0"/>
    <xf numFmtId="0" fontId="16" fillId="0" borderId="0"/>
    <xf numFmtId="0" fontId="97" fillId="55" borderId="0" applyNumberFormat="0" applyBorder="0" applyAlignment="0" applyProtection="0"/>
    <xf numFmtId="0" fontId="97" fillId="49" borderId="0" applyNumberFormat="0" applyBorder="0" applyAlignment="0" applyProtection="0"/>
    <xf numFmtId="43" fontId="2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26" fillId="0" borderId="0"/>
    <xf numFmtId="0" fontId="107" fillId="0" borderId="96" applyNumberFormat="0" applyFill="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05" fillId="0" borderId="0" applyNumberForma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22" fillId="0" borderId="0"/>
    <xf numFmtId="0" fontId="22" fillId="0" borderId="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22" fillId="0" borderId="0"/>
    <xf numFmtId="0" fontId="26" fillId="0" borderId="0"/>
    <xf numFmtId="0" fontId="15" fillId="0" borderId="0"/>
    <xf numFmtId="0" fontId="15" fillId="0" borderId="0"/>
    <xf numFmtId="9" fontId="26"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67" fillId="0" borderId="0"/>
    <xf numFmtId="0" fontId="67" fillId="37" borderId="1" applyNumberFormat="0" applyProtection="0">
      <alignment horizontal="left" vertical="center"/>
    </xf>
    <xf numFmtId="0" fontId="74" fillId="0" borderId="57" applyNumberFormat="0" applyFill="0" applyAlignment="0" applyProtection="0"/>
    <xf numFmtId="0" fontId="75" fillId="0" borderId="58" applyNumberFormat="0" applyFill="0" applyAlignment="0" applyProtection="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88" fillId="19" borderId="0" applyNumberFormat="0" applyBorder="0" applyAlignment="0" applyProtection="0"/>
    <xf numFmtId="0" fontId="13" fillId="0" borderId="0"/>
    <xf numFmtId="0" fontId="13" fillId="32" borderId="61" applyNumberFormat="0" applyFont="0" applyAlignment="0" applyProtection="0"/>
    <xf numFmtId="0" fontId="12" fillId="0" borderId="0"/>
    <xf numFmtId="43" fontId="12" fillId="0" borderId="0" applyFont="0" applyFill="0" applyBorder="0" applyAlignment="0" applyProtection="0"/>
    <xf numFmtId="0" fontId="22" fillId="0" borderId="0"/>
    <xf numFmtId="0" fontId="22" fillId="0" borderId="0"/>
    <xf numFmtId="0" fontId="12" fillId="0" borderId="0"/>
    <xf numFmtId="43"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22" fillId="0" borderId="0"/>
    <xf numFmtId="9" fontId="22" fillId="0" borderId="0" applyFont="0" applyFill="0" applyBorder="0" applyAlignment="0" applyProtection="0"/>
    <xf numFmtId="9" fontId="10"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2" fillId="0" borderId="0"/>
    <xf numFmtId="9" fontId="22" fillId="0" borderId="0" applyFont="0" applyFill="0" applyBorder="0" applyAlignment="0" applyProtection="0"/>
    <xf numFmtId="0" fontId="8" fillId="0" borderId="0"/>
    <xf numFmtId="0" fontId="8" fillId="0" borderId="0"/>
    <xf numFmtId="0" fontId="8" fillId="32" borderId="61"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61" applyNumberFormat="0" applyFont="0" applyAlignment="0" applyProtection="0"/>
    <xf numFmtId="0" fontId="7" fillId="0" borderId="0"/>
    <xf numFmtId="9" fontId="7" fillId="0" borderId="0" applyFont="0" applyFill="0" applyBorder="0" applyAlignment="0" applyProtection="0"/>
    <xf numFmtId="0" fontId="7" fillId="2" borderId="0" applyNumberFormat="0" applyBorder="0" applyAlignment="0" applyProtection="0"/>
    <xf numFmtId="0" fontId="7" fillId="8"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3" borderId="0" applyNumberFormat="0" applyBorder="0" applyAlignment="0" applyProtection="0"/>
    <xf numFmtId="0" fontId="7" fillId="9" borderId="0" applyNumberFormat="0" applyBorder="0" applyAlignment="0" applyProtection="0"/>
    <xf numFmtId="9" fontId="7" fillId="0" borderId="0" applyFont="0" applyFill="0" applyBorder="0" applyAlignment="0" applyProtection="0"/>
    <xf numFmtId="0" fontId="7" fillId="4" borderId="0" applyNumberFormat="0" applyBorder="0" applyAlignment="0" applyProtection="0"/>
    <xf numFmtId="0" fontId="7" fillId="10" borderId="0" applyNumberFormat="0" applyBorder="0" applyAlignment="0" applyProtection="0"/>
    <xf numFmtId="9" fontId="7" fillId="0" borderId="0" applyFont="0" applyFill="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0" borderId="0"/>
    <xf numFmtId="0" fontId="7" fillId="6" borderId="0" applyNumberFormat="0" applyBorder="0" applyAlignment="0" applyProtection="0"/>
    <xf numFmtId="0" fontId="7" fillId="12" borderId="0" applyNumberFormat="0" applyBorder="0" applyAlignment="0" applyProtection="0"/>
    <xf numFmtId="9" fontId="7" fillId="0" borderId="0" applyFont="0" applyFill="0" applyBorder="0" applyAlignment="0" applyProtection="0"/>
    <xf numFmtId="0" fontId="7" fillId="0" borderId="0"/>
    <xf numFmtId="0" fontId="7" fillId="7" borderId="0" applyNumberFormat="0" applyBorder="0" applyAlignment="0" applyProtection="0"/>
    <xf numFmtId="0" fontId="7" fillId="13"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32" borderId="61"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165" fontId="5" fillId="0" borderId="0" applyFont="0" applyFill="0" applyBorder="0" applyAlignment="0" applyProtection="0"/>
    <xf numFmtId="0" fontId="5" fillId="32" borderId="61"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22" fillId="0" borderId="0"/>
    <xf numFmtId="9" fontId="22"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0" fontId="5" fillId="0" borderId="0"/>
    <xf numFmtId="0" fontId="22" fillId="0" borderId="0"/>
    <xf numFmtId="0" fontId="5" fillId="32" borderId="61" applyNumberFormat="0" applyFont="0" applyAlignment="0" applyProtection="0"/>
    <xf numFmtId="0" fontId="106" fillId="43" borderId="91" applyNumberForma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23" fillId="0" borderId="0"/>
    <xf numFmtId="0" fontId="106" fillId="43" borderId="91" applyNumberFormat="0" applyAlignment="0" applyProtection="0"/>
    <xf numFmtId="9" fontId="22" fillId="0" borderId="0" applyFont="0" applyFill="0" applyBorder="0" applyAlignment="0" applyProtection="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2" fillId="0" borderId="0"/>
    <xf numFmtId="44" fontId="22" fillId="0" borderId="0" applyFont="0" applyFill="0" applyBorder="0" applyAlignment="0" applyProtection="0"/>
    <xf numFmtId="44" fontId="22" fillId="0" borderId="0" applyFont="0" applyFill="0" applyBorder="0" applyAlignment="0" applyProtection="0"/>
    <xf numFmtId="0" fontId="22" fillId="0" borderId="0"/>
    <xf numFmtId="0" fontId="131" fillId="72" borderId="0" applyNumberFormat="0" applyBorder="0" applyAlignment="0" applyProtection="0"/>
    <xf numFmtId="0" fontId="35" fillId="38" borderId="0" applyNumberFormat="0" applyBorder="0" applyAlignment="0" applyProtection="0"/>
    <xf numFmtId="0" fontId="130" fillId="73" borderId="0" applyNumberFormat="0" applyBorder="0" applyAlignment="0" applyProtection="0"/>
    <xf numFmtId="0" fontId="35" fillId="39" borderId="0" applyNumberFormat="0" applyBorder="0" applyAlignment="0" applyProtection="0"/>
    <xf numFmtId="0" fontId="130" fillId="74" borderId="0" applyNumberFormat="0" applyBorder="0" applyAlignment="0" applyProtection="0"/>
    <xf numFmtId="0" fontId="35" fillId="40" borderId="0" applyNumberFormat="0" applyBorder="0" applyAlignment="0" applyProtection="0"/>
    <xf numFmtId="0" fontId="130" fillId="73" borderId="0" applyNumberFormat="0" applyBorder="0" applyAlignment="0" applyProtection="0"/>
    <xf numFmtId="0" fontId="35" fillId="41" borderId="0" applyNumberFormat="0" applyBorder="0" applyAlignment="0" applyProtection="0"/>
    <xf numFmtId="0" fontId="130" fillId="73" borderId="0" applyNumberFormat="0" applyBorder="0" applyAlignment="0" applyProtection="0"/>
    <xf numFmtId="0" fontId="35" fillId="42" borderId="0" applyNumberFormat="0" applyBorder="0" applyAlignment="0" applyProtection="0"/>
    <xf numFmtId="0" fontId="130" fillId="73" borderId="0" applyNumberFormat="0" applyBorder="0" applyAlignment="0" applyProtection="0"/>
    <xf numFmtId="0" fontId="35" fillId="43" borderId="0" applyNumberFormat="0" applyBorder="0" applyAlignment="0" applyProtection="0"/>
    <xf numFmtId="0" fontId="130" fillId="73" borderId="0" applyNumberFormat="0" applyBorder="0" applyAlignment="0" applyProtection="0"/>
    <xf numFmtId="0" fontId="35" fillId="44" borderId="0" applyNumberFormat="0" applyBorder="0" applyAlignment="0" applyProtection="0"/>
    <xf numFmtId="0" fontId="130" fillId="74" borderId="0" applyNumberFormat="0" applyBorder="0" applyAlignment="0" applyProtection="0"/>
    <xf numFmtId="0" fontId="35" fillId="45" borderId="0" applyNumberFormat="0" applyBorder="0" applyAlignment="0" applyProtection="0"/>
    <xf numFmtId="0" fontId="131" fillId="74" borderId="0" applyNumberFormat="0" applyBorder="0" applyAlignment="0" applyProtection="0"/>
    <xf numFmtId="0" fontId="35" fillId="46" borderId="0" applyNumberFormat="0" applyBorder="0" applyAlignment="0" applyProtection="0"/>
    <xf numFmtId="0" fontId="130" fillId="75" borderId="0" applyNumberFormat="0" applyBorder="0" applyAlignment="0" applyProtection="0"/>
    <xf numFmtId="0" fontId="35" fillId="41" borderId="0" applyNumberFormat="0" applyBorder="0" applyAlignment="0" applyProtection="0"/>
    <xf numFmtId="0" fontId="130" fillId="75" borderId="0" applyNumberFormat="0" applyBorder="0" applyAlignment="0" applyProtection="0"/>
    <xf numFmtId="0" fontId="35" fillId="44" borderId="0" applyNumberFormat="0" applyBorder="0" applyAlignment="0" applyProtection="0"/>
    <xf numFmtId="0" fontId="130" fillId="75" borderId="0" applyNumberFormat="0" applyBorder="0" applyAlignment="0" applyProtection="0"/>
    <xf numFmtId="0" fontId="35" fillId="47" borderId="0" applyNumberFormat="0" applyBorder="0" applyAlignment="0" applyProtection="0"/>
    <xf numFmtId="0" fontId="130" fillId="75" borderId="0" applyNumberFormat="0" applyBorder="0" applyAlignment="0" applyProtection="0"/>
    <xf numFmtId="0" fontId="97" fillId="48" borderId="0" applyNumberFormat="0" applyBorder="0" applyAlignment="0" applyProtection="0"/>
    <xf numFmtId="0" fontId="130" fillId="75" borderId="0" applyNumberFormat="0" applyBorder="0" applyAlignment="0" applyProtection="0"/>
    <xf numFmtId="0" fontId="97" fillId="45" borderId="0" applyNumberFormat="0" applyBorder="0" applyAlignment="0" applyProtection="0"/>
    <xf numFmtId="0" fontId="130" fillId="75" borderId="0" applyNumberFormat="0" applyBorder="0" applyAlignment="0" applyProtection="0"/>
    <xf numFmtId="0" fontId="97" fillId="46" borderId="0" applyNumberFormat="0" applyBorder="0" applyAlignment="0" applyProtection="0"/>
    <xf numFmtId="0" fontId="130" fillId="75" borderId="0" applyNumberFormat="0" applyBorder="0" applyAlignment="0" applyProtection="0"/>
    <xf numFmtId="0" fontId="97" fillId="49" borderId="0" applyNumberFormat="0" applyBorder="0" applyAlignment="0" applyProtection="0"/>
    <xf numFmtId="0" fontId="131" fillId="75" borderId="0" applyNumberFormat="0" applyBorder="0" applyAlignment="0" applyProtection="0"/>
    <xf numFmtId="0" fontId="97" fillId="50" borderId="0" applyNumberFormat="0" applyBorder="0" applyAlignment="0" applyProtection="0"/>
    <xf numFmtId="0" fontId="130" fillId="76" borderId="0" applyNumberFormat="0" applyBorder="0" applyAlignment="0" applyProtection="0"/>
    <xf numFmtId="0" fontId="97" fillId="51" borderId="0" applyNumberFormat="0" applyBorder="0" applyAlignment="0" applyProtection="0"/>
    <xf numFmtId="0" fontId="130" fillId="77" borderId="0" applyNumberFormat="0" applyBorder="0" applyAlignment="0" applyProtection="0"/>
    <xf numFmtId="0" fontId="97" fillId="52" borderId="0" applyNumberFormat="0" applyBorder="0" applyAlignment="0" applyProtection="0"/>
    <xf numFmtId="0" fontId="130" fillId="76" borderId="0" applyNumberFormat="0" applyBorder="0" applyAlignment="0" applyProtection="0"/>
    <xf numFmtId="0" fontId="97" fillId="53" borderId="0" applyNumberFormat="0" applyBorder="0" applyAlignment="0" applyProtection="0"/>
    <xf numFmtId="0" fontId="130" fillId="76" borderId="0" applyNumberFormat="0" applyBorder="0" applyAlignment="0" applyProtection="0"/>
    <xf numFmtId="0" fontId="97" fillId="54" borderId="0" applyNumberFormat="0" applyBorder="0" applyAlignment="0" applyProtection="0"/>
    <xf numFmtId="0" fontId="130" fillId="76" borderId="0" applyNumberFormat="0" applyBorder="0" applyAlignment="0" applyProtection="0"/>
    <xf numFmtId="0" fontId="97" fillId="49" borderId="0" applyNumberFormat="0" applyBorder="0" applyAlignment="0" applyProtection="0"/>
    <xf numFmtId="0" fontId="130" fillId="76" borderId="0" applyNumberFormat="0" applyBorder="0" applyAlignment="0" applyProtection="0"/>
    <xf numFmtId="0" fontId="97" fillId="50" borderId="0" applyNumberFormat="0" applyBorder="0" applyAlignment="0" applyProtection="0"/>
    <xf numFmtId="0" fontId="130" fillId="77" borderId="0" applyNumberFormat="0" applyBorder="0" applyAlignment="0" applyProtection="0"/>
    <xf numFmtId="0" fontId="97" fillId="55" borderId="0" applyNumberFormat="0" applyBorder="0" applyAlignment="0" applyProtection="0"/>
    <xf numFmtId="0" fontId="131" fillId="77" borderId="0" applyNumberFormat="0" applyBorder="0" applyAlignment="0" applyProtection="0"/>
    <xf numFmtId="0" fontId="98" fillId="39" borderId="0" applyNumberFormat="0" applyBorder="0" applyAlignment="0" applyProtection="0"/>
    <xf numFmtId="0" fontId="130" fillId="68" borderId="0" applyNumberFormat="0" applyBorder="0" applyAlignment="0" applyProtection="0"/>
    <xf numFmtId="0" fontId="99" fillId="56" borderId="91" applyNumberFormat="0" applyAlignment="0" applyProtection="0"/>
    <xf numFmtId="0" fontId="130" fillId="78" borderId="0" applyNumberFormat="0" applyBorder="0" applyAlignment="0" applyProtection="0"/>
    <xf numFmtId="0" fontId="100" fillId="57" borderId="92" applyNumberFormat="0" applyAlignment="0" applyProtection="0"/>
    <xf numFmtId="0" fontId="130" fillId="68" borderId="0" applyNumberFormat="0" applyBorder="0" applyAlignment="0" applyProtection="0"/>
    <xf numFmtId="43" fontId="22" fillId="0" borderId="0" applyFont="0" applyFill="0" applyBorder="0" applyAlignment="0" applyProtection="0"/>
    <xf numFmtId="0" fontId="130" fillId="68" borderId="0" applyNumberFormat="0" applyBorder="0" applyAlignment="0" applyProtection="0"/>
    <xf numFmtId="0" fontId="130" fillId="68" borderId="0" applyNumberFormat="0" applyBorder="0" applyAlignment="0" applyProtection="0"/>
    <xf numFmtId="0" fontId="130" fillId="68" borderId="0" applyNumberFormat="0" applyBorder="0" applyAlignment="0" applyProtection="0"/>
    <xf numFmtId="0" fontId="101" fillId="0" borderId="0" applyNumberFormat="0" applyFill="0" applyBorder="0" applyAlignment="0" applyProtection="0"/>
    <xf numFmtId="0" fontId="130" fillId="78" borderId="0" applyNumberFormat="0" applyBorder="0" applyAlignment="0" applyProtection="0"/>
    <xf numFmtId="0" fontId="102" fillId="40" borderId="0" applyNumberFormat="0" applyBorder="0" applyAlignment="0" applyProtection="0"/>
    <xf numFmtId="0" fontId="131" fillId="78" borderId="0" applyNumberFormat="0" applyBorder="0" applyAlignment="0" applyProtection="0"/>
    <xf numFmtId="0" fontId="103" fillId="0" borderId="93" applyNumberFormat="0" applyFill="0" applyAlignment="0" applyProtection="0"/>
    <xf numFmtId="0" fontId="130" fillId="70" borderId="0" applyNumberFormat="0" applyBorder="0" applyAlignment="0" applyProtection="0"/>
    <xf numFmtId="0" fontId="104" fillId="0" borderId="94" applyNumberFormat="0" applyFill="0" applyAlignment="0" applyProtection="0"/>
    <xf numFmtId="0" fontId="130" fillId="79" borderId="0" applyNumberFormat="0" applyBorder="0" applyAlignment="0" applyProtection="0"/>
    <xf numFmtId="0" fontId="105" fillId="0" borderId="95" applyNumberFormat="0" applyFill="0" applyAlignment="0" applyProtection="0"/>
    <xf numFmtId="0" fontId="130" fillId="70" borderId="0" applyNumberFormat="0" applyBorder="0" applyAlignment="0" applyProtection="0"/>
    <xf numFmtId="0" fontId="105" fillId="0" borderId="0" applyNumberFormat="0" applyFill="0" applyBorder="0" applyAlignment="0" applyProtection="0"/>
    <xf numFmtId="0" fontId="130" fillId="70" borderId="0" applyNumberFormat="0" applyBorder="0" applyAlignment="0" applyProtection="0"/>
    <xf numFmtId="0" fontId="130" fillId="70" borderId="0" applyNumberFormat="0" applyBorder="0" applyAlignment="0" applyProtection="0"/>
    <xf numFmtId="0" fontId="106" fillId="43" borderId="91" applyNumberFormat="0" applyAlignment="0" applyProtection="0"/>
    <xf numFmtId="0" fontId="130" fillId="70" borderId="0" applyNumberFormat="0" applyBorder="0" applyAlignment="0" applyProtection="0"/>
    <xf numFmtId="0" fontId="107" fillId="0" borderId="96" applyNumberFormat="0" applyFill="0" applyAlignment="0" applyProtection="0"/>
    <xf numFmtId="0" fontId="130" fillId="79" borderId="0" applyNumberFormat="0" applyBorder="0" applyAlignment="0" applyProtection="0"/>
    <xf numFmtId="0" fontId="108" fillId="58" borderId="0" applyNumberFormat="0" applyBorder="0" applyAlignment="0" applyProtection="0"/>
    <xf numFmtId="0" fontId="131" fillId="79" borderId="0" applyNumberFormat="0" applyBorder="0" applyAlignment="0" applyProtection="0"/>
    <xf numFmtId="0" fontId="4" fillId="0" borderId="0"/>
    <xf numFmtId="0" fontId="22" fillId="59" borderId="97" applyNumberFormat="0" applyFont="0" applyAlignment="0" applyProtection="0"/>
    <xf numFmtId="0" fontId="22" fillId="59" borderId="97" applyNumberFormat="0" applyFont="0" applyAlignment="0" applyProtection="0"/>
    <xf numFmtId="0" fontId="130" fillId="80" borderId="0" applyNumberFormat="0" applyBorder="0" applyAlignment="0" applyProtection="0"/>
    <xf numFmtId="0" fontId="109" fillId="56" borderId="98" applyNumberFormat="0" applyAlignment="0" applyProtection="0"/>
    <xf numFmtId="0" fontId="130" fillId="81" borderId="0" applyNumberFormat="0" applyBorder="0" applyAlignment="0" applyProtection="0"/>
    <xf numFmtId="9" fontId="22" fillId="0" borderId="0" applyFont="0" applyFill="0" applyBorder="0" applyAlignment="0" applyProtection="0"/>
    <xf numFmtId="0" fontId="130" fillId="80" borderId="0" applyNumberFormat="0" applyBorder="0" applyAlignment="0" applyProtection="0"/>
    <xf numFmtId="0" fontId="110" fillId="0" borderId="0" applyNumberFormat="0" applyFill="0" applyBorder="0" applyAlignment="0" applyProtection="0"/>
    <xf numFmtId="0" fontId="130" fillId="80" borderId="0" applyNumberFormat="0" applyBorder="0" applyAlignment="0" applyProtection="0"/>
    <xf numFmtId="0" fontId="111" fillId="0" borderId="99" applyNumberFormat="0" applyFill="0" applyAlignment="0" applyProtection="0"/>
    <xf numFmtId="0" fontId="22" fillId="0" borderId="0"/>
    <xf numFmtId="0" fontId="112" fillId="0" borderId="0" applyNumberFormat="0" applyFill="0" applyBorder="0" applyAlignment="0" applyProtection="0"/>
    <xf numFmtId="0" fontId="130" fillId="72" borderId="0" applyNumberFormat="0" applyBorder="0" applyAlignment="0" applyProtection="0"/>
    <xf numFmtId="0" fontId="130" fillId="71" borderId="0" applyNumberFormat="0" applyBorder="0" applyAlignment="0" applyProtection="0"/>
    <xf numFmtId="0" fontId="130" fillId="71" borderId="0" applyNumberFormat="0" applyBorder="0" applyAlignment="0" applyProtection="0"/>
    <xf numFmtId="0" fontId="130" fillId="71" borderId="0" applyNumberFormat="0" applyBorder="0" applyAlignment="0" applyProtection="0"/>
    <xf numFmtId="0" fontId="130" fillId="71" borderId="0" applyNumberFormat="0" applyBorder="0" applyAlignment="0" applyProtection="0"/>
    <xf numFmtId="0" fontId="130" fillId="72" borderId="0" applyNumberFormat="0" applyBorder="0" applyAlignment="0" applyProtection="0"/>
    <xf numFmtId="0" fontId="130" fillId="71" borderId="0" applyNumberFormat="0" applyBorder="0" applyAlignment="0" applyProtection="0"/>
    <xf numFmtId="0" fontId="131" fillId="70" borderId="0" applyNumberFormat="0" applyBorder="0" applyAlignment="0" applyProtection="0"/>
    <xf numFmtId="0" fontId="130" fillId="70" borderId="0" applyNumberFormat="0" applyBorder="0" applyAlignment="0" applyProtection="0"/>
    <xf numFmtId="0" fontId="130" fillId="69" borderId="0" applyNumberFormat="0" applyBorder="0" applyAlignment="0" applyProtection="0"/>
    <xf numFmtId="0" fontId="130" fillId="69" borderId="0" applyNumberFormat="0" applyBorder="0" applyAlignment="0" applyProtection="0"/>
    <xf numFmtId="0" fontId="130" fillId="69" borderId="0" applyNumberFormat="0" applyBorder="0" applyAlignment="0" applyProtection="0"/>
    <xf numFmtId="0" fontId="130" fillId="69" borderId="0" applyNumberFormat="0" applyBorder="0" applyAlignment="0" applyProtection="0"/>
    <xf numFmtId="0" fontId="130" fillId="70" borderId="0" applyNumberFormat="0" applyBorder="0" applyAlignment="0" applyProtection="0"/>
    <xf numFmtId="0" fontId="130" fillId="69" borderId="0" applyNumberFormat="0" applyBorder="0" applyAlignment="0" applyProtection="0"/>
    <xf numFmtId="0" fontId="131" fillId="68" borderId="0" applyNumberFormat="0" applyBorder="0" applyAlignment="0" applyProtection="0"/>
    <xf numFmtId="0" fontId="130" fillId="68" borderId="0" applyNumberFormat="0" applyBorder="0" applyAlignment="0" applyProtection="0"/>
    <xf numFmtId="0" fontId="130" fillId="67" borderId="0" applyNumberFormat="0" applyBorder="0" applyAlignment="0" applyProtection="0"/>
    <xf numFmtId="0" fontId="130" fillId="67" borderId="0" applyNumberFormat="0" applyBorder="0" applyAlignment="0" applyProtection="0"/>
    <xf numFmtId="0" fontId="130" fillId="67" borderId="0" applyNumberFormat="0" applyBorder="0" applyAlignment="0" applyProtection="0"/>
    <xf numFmtId="0" fontId="130" fillId="67" borderId="0" applyNumberFormat="0" applyBorder="0" applyAlignment="0" applyProtection="0"/>
    <xf numFmtId="0" fontId="130" fillId="68" borderId="0" applyNumberFormat="0" applyBorder="0" applyAlignment="0" applyProtection="0"/>
    <xf numFmtId="0" fontId="130" fillId="67" borderId="0" applyNumberFormat="0" applyBorder="0" applyAlignment="0" applyProtection="0"/>
    <xf numFmtId="179" fontId="128" fillId="0" borderId="0"/>
    <xf numFmtId="179" fontId="128" fillId="0" borderId="0"/>
    <xf numFmtId="178" fontId="128" fillId="0" borderId="0"/>
    <xf numFmtId="178" fontId="128" fillId="0" borderId="0"/>
    <xf numFmtId="189" fontId="128" fillId="0" borderId="0"/>
    <xf numFmtId="189" fontId="128" fillId="0" borderId="0"/>
    <xf numFmtId="189" fontId="128" fillId="0" borderId="0"/>
    <xf numFmtId="189" fontId="128" fillId="0" borderId="0"/>
    <xf numFmtId="189" fontId="128" fillId="0" borderId="0"/>
    <xf numFmtId="189" fontId="128" fillId="0" borderId="0"/>
    <xf numFmtId="189" fontId="128" fillId="0" borderId="0"/>
    <xf numFmtId="189" fontId="128" fillId="0" borderId="0"/>
    <xf numFmtId="177" fontId="128" fillId="0" borderId="0"/>
    <xf numFmtId="177" fontId="128" fillId="0" borderId="0"/>
    <xf numFmtId="189" fontId="128" fillId="0" borderId="0"/>
    <xf numFmtId="189" fontId="128" fillId="0" borderId="0"/>
    <xf numFmtId="0" fontId="22" fillId="0" borderId="0"/>
    <xf numFmtId="0" fontId="130" fillId="80" borderId="0" applyNumberFormat="0" applyBorder="0" applyAlignment="0" applyProtection="0"/>
    <xf numFmtId="0" fontId="130" fillId="80" borderId="0" applyNumberFormat="0" applyBorder="0" applyAlignment="0" applyProtection="0"/>
    <xf numFmtId="0" fontId="130" fillId="81" borderId="0" applyNumberFormat="0" applyBorder="0" applyAlignment="0" applyProtection="0"/>
    <xf numFmtId="0" fontId="131" fillId="81" borderId="0" applyNumberFormat="0" applyBorder="0" applyAlignment="0" applyProtection="0"/>
    <xf numFmtId="0" fontId="130" fillId="82" borderId="0" applyNumberFormat="0" applyBorder="0" applyAlignment="0" applyProtection="0"/>
    <xf numFmtId="0" fontId="130" fillId="74" borderId="0" applyNumberForma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30" fillId="74" borderId="0" applyNumberFormat="0" applyBorder="0" applyAlignment="0" applyProtection="0"/>
    <xf numFmtId="0" fontId="131" fillId="74" borderId="0" applyNumberFormat="0" applyBorder="0" applyAlignment="0" applyProtection="0"/>
    <xf numFmtId="0" fontId="130" fillId="83" borderId="0" applyNumberFormat="0" applyBorder="0" applyAlignment="0" applyProtection="0"/>
    <xf numFmtId="0" fontId="130" fillId="78"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0" fillId="78" borderId="0" applyNumberFormat="0" applyBorder="0" applyAlignment="0" applyProtection="0"/>
    <xf numFmtId="0" fontId="131" fillId="78" borderId="0" applyNumberFormat="0" applyBorder="0" applyAlignment="0" applyProtection="0"/>
    <xf numFmtId="0" fontId="130" fillId="84" borderId="0" applyNumberFormat="0" applyBorder="0" applyAlignment="0" applyProtection="0"/>
    <xf numFmtId="0" fontId="130" fillId="85"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5" borderId="0" applyNumberFormat="0" applyBorder="0" applyAlignment="0" applyProtection="0"/>
    <xf numFmtId="0" fontId="131" fillId="85" borderId="0" applyNumberFormat="0" applyBorder="0" applyAlignment="0" applyProtection="0"/>
    <xf numFmtId="0" fontId="132" fillId="86" borderId="0" applyNumberFormat="0" applyBorder="0" applyAlignment="0" applyProtection="0"/>
    <xf numFmtId="0" fontId="132" fillId="87" borderId="0" applyNumberFormat="0" applyBorder="0" applyAlignment="0" applyProtection="0"/>
    <xf numFmtId="0" fontId="132" fillId="86" borderId="0" applyNumberFormat="0" applyBorder="0" applyAlignment="0" applyProtection="0"/>
    <xf numFmtId="0" fontId="132" fillId="87" borderId="0" applyNumberFormat="0" applyBorder="0" applyAlignment="0" applyProtection="0"/>
    <xf numFmtId="0" fontId="133" fillId="87" borderId="0" applyNumberFormat="0" applyBorder="0" applyAlignment="0" applyProtection="0"/>
    <xf numFmtId="0" fontId="132" fillId="79" borderId="0" applyNumberFormat="0" applyBorder="0" applyAlignment="0" applyProtection="0"/>
    <xf numFmtId="0" fontId="132" fillId="79" borderId="0" applyNumberFormat="0" applyBorder="0" applyAlignment="0" applyProtection="0"/>
    <xf numFmtId="0" fontId="132" fillId="79" borderId="0" applyNumberFormat="0" applyBorder="0" applyAlignment="0" applyProtection="0"/>
    <xf numFmtId="0" fontId="132" fillId="79" borderId="0" applyNumberFormat="0" applyBorder="0" applyAlignment="0" applyProtection="0"/>
    <xf numFmtId="0" fontId="133" fillId="79" borderId="0" applyNumberFormat="0" applyBorder="0" applyAlignment="0" applyProtection="0"/>
    <xf numFmtId="0" fontId="132" fillId="88" borderId="0" applyNumberFormat="0" applyBorder="0" applyAlignment="0" applyProtection="0"/>
    <xf numFmtId="0" fontId="132" fillId="81" borderId="0" applyNumberFormat="0" applyBorder="0" applyAlignment="0" applyProtection="0"/>
    <xf numFmtId="0" fontId="132" fillId="88" borderId="0" applyNumberFormat="0" applyBorder="0" applyAlignment="0" applyProtection="0"/>
    <xf numFmtId="0" fontId="132" fillId="81" borderId="0" applyNumberFormat="0" applyBorder="0" applyAlignment="0" applyProtection="0"/>
    <xf numFmtId="0" fontId="133" fillId="81" borderId="0" applyNumberFormat="0" applyBorder="0" applyAlignment="0" applyProtection="0"/>
    <xf numFmtId="0" fontId="132" fillId="74" borderId="0" applyNumberFormat="0" applyBorder="0" applyAlignment="0" applyProtection="0"/>
    <xf numFmtId="0" fontId="132" fillId="69" borderId="0" applyNumberFormat="0" applyBorder="0" applyAlignment="0" applyProtection="0"/>
    <xf numFmtId="0" fontId="132" fillId="74" borderId="0" applyNumberFormat="0" applyBorder="0" applyAlignment="0" applyProtection="0"/>
    <xf numFmtId="0" fontId="132" fillId="69" borderId="0" applyNumberFormat="0" applyBorder="0" applyAlignment="0" applyProtection="0"/>
    <xf numFmtId="0" fontId="133" fillId="69" borderId="0" applyNumberFormat="0" applyBorder="0" applyAlignment="0" applyProtection="0"/>
    <xf numFmtId="0" fontId="132" fillId="78" borderId="0" applyNumberFormat="0" applyBorder="0" applyAlignment="0" applyProtection="0"/>
    <xf numFmtId="0" fontId="132" fillId="89" borderId="0" applyNumberFormat="0" applyBorder="0" applyAlignment="0" applyProtection="0"/>
    <xf numFmtId="0" fontId="132" fillId="78" borderId="0" applyNumberFormat="0" applyBorder="0" applyAlignment="0" applyProtection="0"/>
    <xf numFmtId="0" fontId="132" fillId="89" borderId="0" applyNumberFormat="0" applyBorder="0" applyAlignment="0" applyProtection="0"/>
    <xf numFmtId="0" fontId="133" fillId="89" borderId="0" applyNumberFormat="0" applyBorder="0" applyAlignment="0" applyProtection="0"/>
    <xf numFmtId="0" fontId="132" fillId="85" borderId="0" applyNumberFormat="0" applyBorder="0" applyAlignment="0" applyProtection="0"/>
    <xf numFmtId="0" fontId="132" fillId="90" borderId="0" applyNumberFormat="0" applyBorder="0" applyAlignment="0" applyProtection="0"/>
    <xf numFmtId="0" fontId="132" fillId="85" borderId="0" applyNumberFormat="0" applyBorder="0" applyAlignment="0" applyProtection="0"/>
    <xf numFmtId="0" fontId="132" fillId="90" borderId="0" applyNumberFormat="0" applyBorder="0" applyAlignment="0" applyProtection="0"/>
    <xf numFmtId="0" fontId="133" fillId="90" borderId="0" applyNumberFormat="0" applyBorder="0" applyAlignment="0" applyProtection="0"/>
    <xf numFmtId="0" fontId="132" fillId="91" borderId="0" applyNumberFormat="0" applyBorder="0" applyAlignment="0" applyProtection="0"/>
    <xf numFmtId="0" fontId="132" fillId="92" borderId="0" applyNumberFormat="0" applyBorder="0" applyAlignment="0" applyProtection="0"/>
    <xf numFmtId="0" fontId="132" fillId="93" borderId="0" applyNumberFormat="0" applyBorder="0" applyAlignment="0" applyProtection="0"/>
    <xf numFmtId="0" fontId="132" fillId="92" borderId="0" applyNumberFormat="0" applyBorder="0" applyAlignment="0" applyProtection="0"/>
    <xf numFmtId="0" fontId="133" fillId="92" borderId="0" applyNumberFormat="0" applyBorder="0" applyAlignment="0" applyProtection="0"/>
    <xf numFmtId="0" fontId="132" fillId="94" borderId="0" applyNumberFormat="0" applyBorder="0" applyAlignment="0" applyProtection="0"/>
    <xf numFmtId="0" fontId="132" fillId="95" borderId="0" applyNumberFormat="0" applyBorder="0" applyAlignment="0" applyProtection="0"/>
    <xf numFmtId="0" fontId="132" fillId="94" borderId="0" applyNumberFormat="0" applyBorder="0" applyAlignment="0" applyProtection="0"/>
    <xf numFmtId="0" fontId="132" fillId="95" borderId="0" applyNumberFormat="0" applyBorder="0" applyAlignment="0" applyProtection="0"/>
    <xf numFmtId="0" fontId="133" fillId="95" borderId="0" applyNumberFormat="0" applyBorder="0" applyAlignment="0" applyProtection="0"/>
    <xf numFmtId="0" fontId="132" fillId="96" borderId="0" applyNumberFormat="0" applyBorder="0" applyAlignment="0" applyProtection="0"/>
    <xf numFmtId="0" fontId="132" fillId="97" borderId="0" applyNumberFormat="0" applyBorder="0" applyAlignment="0" applyProtection="0"/>
    <xf numFmtId="0" fontId="132" fillId="96" borderId="0" applyNumberFormat="0" applyBorder="0" applyAlignment="0" applyProtection="0"/>
    <xf numFmtId="0" fontId="132" fillId="97" borderId="0" applyNumberFormat="0" applyBorder="0" applyAlignment="0" applyProtection="0"/>
    <xf numFmtId="0" fontId="133" fillId="97" borderId="0" applyNumberFormat="0" applyBorder="0" applyAlignment="0" applyProtection="0"/>
    <xf numFmtId="0" fontId="132" fillId="98" borderId="0" applyNumberFormat="0" applyBorder="0" applyAlignment="0" applyProtection="0"/>
    <xf numFmtId="0" fontId="132" fillId="69" borderId="0" applyNumberFormat="0" applyBorder="0" applyAlignment="0" applyProtection="0"/>
    <xf numFmtId="0" fontId="132" fillId="98" borderId="0" applyNumberFormat="0" applyBorder="0" applyAlignment="0" applyProtection="0"/>
    <xf numFmtId="0" fontId="132" fillId="69" borderId="0" applyNumberFormat="0" applyBorder="0" applyAlignment="0" applyProtection="0"/>
    <xf numFmtId="0" fontId="133" fillId="69" borderId="0" applyNumberFormat="0" applyBorder="0" applyAlignment="0" applyProtection="0"/>
    <xf numFmtId="0" fontId="132" fillId="89" borderId="0" applyNumberFormat="0" applyBorder="0" applyAlignment="0" applyProtection="0"/>
    <xf numFmtId="0" fontId="132" fillId="89" borderId="0" applyNumberFormat="0" applyBorder="0" applyAlignment="0" applyProtection="0"/>
    <xf numFmtId="0" fontId="132" fillId="89" borderId="0" applyNumberFormat="0" applyBorder="0" applyAlignment="0" applyProtection="0"/>
    <xf numFmtId="0" fontId="132" fillId="89" borderId="0" applyNumberFormat="0" applyBorder="0" applyAlignment="0" applyProtection="0"/>
    <xf numFmtId="0" fontId="133" fillId="89" borderId="0" applyNumberFormat="0" applyBorder="0" applyAlignment="0" applyProtection="0"/>
    <xf numFmtId="0" fontId="132" fillId="90" borderId="0" applyNumberFormat="0" applyBorder="0" applyAlignment="0" applyProtection="0"/>
    <xf numFmtId="0" fontId="132" fillId="99" borderId="0" applyNumberFormat="0" applyBorder="0" applyAlignment="0" applyProtection="0"/>
    <xf numFmtId="0" fontId="132" fillId="90" borderId="0" applyNumberFormat="0" applyBorder="0" applyAlignment="0" applyProtection="0"/>
    <xf numFmtId="0" fontId="132" fillId="99" borderId="0" applyNumberFormat="0" applyBorder="0" applyAlignment="0" applyProtection="0"/>
    <xf numFmtId="0" fontId="133" fillId="99" borderId="0" applyNumberFormat="0" applyBorder="0" applyAlignment="0" applyProtection="0"/>
    <xf numFmtId="0" fontId="134" fillId="100" borderId="0" applyNumberFormat="0" applyBorder="0" applyAlignment="0" applyProtection="0"/>
    <xf numFmtId="0" fontId="135" fillId="70" borderId="0" applyNumberFormat="0" applyBorder="0" applyAlignment="0" applyProtection="0"/>
    <xf numFmtId="0" fontId="134" fillId="100" borderId="0" applyNumberFormat="0" applyBorder="0" applyAlignment="0" applyProtection="0"/>
    <xf numFmtId="0" fontId="135" fillId="70" borderId="0" applyNumberFormat="0" applyBorder="0" applyAlignment="0" applyProtection="0"/>
    <xf numFmtId="0" fontId="136" fillId="70" borderId="0" applyNumberFormat="0" applyBorder="0" applyAlignment="0" applyProtection="0"/>
    <xf numFmtId="0" fontId="137" fillId="101" borderId="108" applyNumberFormat="0" applyAlignment="0" applyProtection="0"/>
    <xf numFmtId="0" fontId="138" fillId="102" borderId="91" applyNumberFormat="0" applyAlignment="0" applyProtection="0"/>
    <xf numFmtId="0" fontId="137" fillId="101" borderId="108" applyNumberFormat="0" applyAlignment="0" applyProtection="0"/>
    <xf numFmtId="0" fontId="138" fillId="102" borderId="91" applyNumberFormat="0" applyAlignment="0" applyProtection="0"/>
    <xf numFmtId="0" fontId="139" fillId="102" borderId="91" applyNumberFormat="0" applyAlignment="0" applyProtection="0"/>
    <xf numFmtId="0" fontId="140" fillId="87" borderId="92" applyNumberFormat="0" applyAlignment="0" applyProtection="0"/>
    <xf numFmtId="0" fontId="140" fillId="103" borderId="92" applyNumberFormat="0" applyAlignment="0" applyProtection="0"/>
    <xf numFmtId="0" fontId="140" fillId="87" borderId="92" applyNumberFormat="0" applyAlignment="0" applyProtection="0"/>
    <xf numFmtId="0" fontId="140" fillId="103" borderId="92" applyNumberFormat="0" applyAlignment="0" applyProtection="0"/>
    <xf numFmtId="0" fontId="141" fillId="103" borderId="92" applyNumberFormat="0" applyAlignment="0" applyProtection="0"/>
    <xf numFmtId="190" fontId="142" fillId="0" borderId="0" applyFill="0" applyBorder="0" applyAlignment="0" applyProtection="0"/>
    <xf numFmtId="190" fontId="142" fillId="0" borderId="0" applyFill="0" applyBorder="0" applyAlignment="0" applyProtection="0"/>
    <xf numFmtId="191"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0" fontId="142" fillId="0" borderId="0" applyFill="0" applyBorder="0" applyAlignment="0" applyProtection="0"/>
    <xf numFmtId="191"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0" fontId="142"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1"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0" fontId="143" fillId="0" borderId="0" applyFill="0" applyBorder="0" applyAlignment="0" applyProtection="0"/>
    <xf numFmtId="190" fontId="143" fillId="0" borderId="0" applyFill="0" applyBorder="0" applyAlignment="0" applyProtection="0"/>
    <xf numFmtId="190" fontId="143" fillId="0" borderId="0" applyFill="0" applyBorder="0" applyAlignment="0" applyProtection="0"/>
    <xf numFmtId="3" fontId="142" fillId="0" borderId="0" applyFill="0" applyBorder="0" applyAlignment="0" applyProtection="0"/>
    <xf numFmtId="3" fontId="143" fillId="0" borderId="0" applyFill="0" applyBorder="0" applyAlignment="0" applyProtection="0"/>
    <xf numFmtId="3" fontId="143" fillId="0" borderId="0" applyFill="0" applyBorder="0" applyAlignment="0" applyProtection="0"/>
    <xf numFmtId="192" fontId="142" fillId="0" borderId="0" applyFill="0" applyBorder="0" applyAlignment="0" applyProtection="0"/>
    <xf numFmtId="192" fontId="142" fillId="0" borderId="0" applyFill="0" applyBorder="0" applyAlignment="0" applyProtection="0"/>
    <xf numFmtId="193" fontId="143" fillId="0" borderId="0" applyFill="0" applyBorder="0" applyAlignment="0" applyProtection="0"/>
    <xf numFmtId="193" fontId="143" fillId="0" borderId="0" applyFill="0" applyBorder="0" applyAlignment="0" applyProtection="0"/>
    <xf numFmtId="192" fontId="143" fillId="0" borderId="0" applyFill="0" applyBorder="0" applyAlignment="0" applyProtection="0"/>
    <xf numFmtId="193" fontId="143" fillId="0" borderId="0" applyFill="0" applyBorder="0" applyAlignment="0" applyProtection="0"/>
    <xf numFmtId="192" fontId="143" fillId="0" borderId="0" applyFill="0" applyBorder="0" applyAlignment="0" applyProtection="0"/>
    <xf numFmtId="193" fontId="143" fillId="0" borderId="0" applyFill="0" applyBorder="0" applyAlignment="0" applyProtection="0"/>
    <xf numFmtId="193" fontId="143" fillId="0" borderId="0" applyFill="0" applyBorder="0" applyAlignment="0" applyProtection="0"/>
    <xf numFmtId="192" fontId="143" fillId="0" borderId="0" applyFill="0" applyBorder="0" applyAlignment="0" applyProtection="0"/>
    <xf numFmtId="194" fontId="142" fillId="0" borderId="0" applyFill="0" applyBorder="0" applyAlignment="0" applyProtection="0"/>
    <xf numFmtId="194" fontId="143" fillId="0" borderId="0" applyFill="0" applyBorder="0" applyAlignment="0" applyProtection="0"/>
    <xf numFmtId="194" fontId="143" fillId="0" borderId="0" applyFill="0" applyBorder="0" applyAlignment="0" applyProtection="0"/>
    <xf numFmtId="14" fontId="142" fillId="0" borderId="0" applyFill="0" applyBorder="0" applyAlignment="0" applyProtection="0"/>
    <xf numFmtId="14" fontId="143" fillId="0" borderId="0" applyFill="0" applyBorder="0" applyAlignment="0" applyProtection="0"/>
    <xf numFmtId="14" fontId="143" fillId="0" borderId="0" applyFill="0" applyBorder="0" applyAlignment="0" applyProtection="0"/>
    <xf numFmtId="0" fontId="147" fillId="72" borderId="0" applyNumberFormat="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2" fontId="142" fillId="0" borderId="0" applyFill="0" applyBorder="0" applyAlignment="0" applyProtection="0"/>
    <xf numFmtId="2" fontId="143" fillId="0" borderId="0" applyFill="0" applyBorder="0" applyAlignment="0" applyProtection="0"/>
    <xf numFmtId="2" fontId="143" fillId="0" borderId="0" applyFill="0" applyBorder="0" applyAlignment="0" applyProtection="0"/>
    <xf numFmtId="0" fontId="147" fillId="104" borderId="0" applyNumberFormat="0" applyBorder="0" applyAlignment="0" applyProtection="0"/>
    <xf numFmtId="0" fontId="147" fillId="72" borderId="0" applyNumberFormat="0" applyBorder="0" applyAlignment="0" applyProtection="0"/>
    <xf numFmtId="0" fontId="147" fillId="104" borderId="0" applyNumberFormat="0" applyBorder="0" applyAlignment="0" applyProtection="0"/>
    <xf numFmtId="0" fontId="147" fillId="72" borderId="0" applyNumberFormat="0" applyBorder="0" applyAlignment="0" applyProtection="0"/>
    <xf numFmtId="0" fontId="148" fillId="72" borderId="0" applyNumberFormat="0" applyBorder="0" applyAlignment="0" applyProtection="0"/>
    <xf numFmtId="0" fontId="149" fillId="102" borderId="0" applyNumberFormat="0" applyBorder="0" applyAlignment="0" applyProtection="0"/>
    <xf numFmtId="0" fontId="149" fillId="102" borderId="0" applyNumberFormat="0" applyBorder="0" applyAlignment="0" applyProtection="0"/>
    <xf numFmtId="0" fontId="150" fillId="0" borderId="109" applyNumberFormat="0" applyFill="0" applyAlignment="0" applyProtection="0"/>
    <xf numFmtId="0" fontId="150" fillId="0" borderId="109" applyNumberFormat="0" applyFill="0" applyAlignment="0" applyProtection="0"/>
    <xf numFmtId="0" fontId="151" fillId="0" borderId="93" applyNumberFormat="0" applyFill="0" applyAlignment="0" applyProtection="0"/>
    <xf numFmtId="0" fontId="143" fillId="0" borderId="0" applyNumberFormat="0" applyFill="0" applyAlignment="0" applyProtection="0"/>
    <xf numFmtId="0" fontId="151" fillId="0" borderId="93" applyNumberFormat="0" applyFill="0" applyAlignment="0" applyProtection="0"/>
    <xf numFmtId="0" fontId="152" fillId="0" borderId="110" applyNumberFormat="0" applyFill="0" applyAlignment="0" applyProtection="0"/>
    <xf numFmtId="0" fontId="152" fillId="0" borderId="110" applyNumberFormat="0" applyFill="0" applyAlignment="0" applyProtection="0"/>
    <xf numFmtId="0" fontId="153" fillId="0" borderId="94" applyNumberFormat="0" applyFill="0" applyAlignment="0" applyProtection="0"/>
    <xf numFmtId="0" fontId="143" fillId="0" borderId="0" applyNumberFormat="0" applyFill="0" applyAlignment="0" applyProtection="0"/>
    <xf numFmtId="0" fontId="153" fillId="0" borderId="94" applyNumberFormat="0" applyFill="0" applyAlignment="0" applyProtection="0"/>
    <xf numFmtId="0" fontId="154" fillId="0" borderId="111" applyNumberFormat="0" applyFill="0" applyAlignment="0" applyProtection="0"/>
    <xf numFmtId="0" fontId="155" fillId="0" borderId="112" applyNumberFormat="0" applyFill="0" applyAlignment="0" applyProtection="0"/>
    <xf numFmtId="0" fontId="154" fillId="0" borderId="111" applyNumberFormat="0" applyFill="0" applyAlignment="0" applyProtection="0"/>
    <xf numFmtId="0" fontId="155" fillId="0" borderId="112" applyNumberFormat="0" applyFill="0" applyAlignment="0" applyProtection="0"/>
    <xf numFmtId="0" fontId="156" fillId="0" borderId="112" applyNumberFormat="0" applyFill="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49" fillId="105" borderId="0" applyNumberFormat="0" applyBorder="0" applyAlignment="0" applyProtection="0"/>
    <xf numFmtId="0" fontId="149" fillId="105" borderId="0" applyNumberFormat="0" applyBorder="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60" fillId="77" borderId="108" applyNumberFormat="0" applyAlignment="0" applyProtection="0"/>
    <xf numFmtId="0" fontId="159" fillId="77" borderId="91" applyNumberFormat="0" applyAlignment="0" applyProtection="0"/>
    <xf numFmtId="0" fontId="160" fillId="77" borderId="108"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61"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62" fillId="0" borderId="113" applyNumberFormat="0" applyFill="0" applyAlignment="0" applyProtection="0"/>
    <xf numFmtId="0" fontId="163" fillId="0" borderId="96" applyNumberFormat="0" applyFill="0" applyAlignment="0" applyProtection="0"/>
    <xf numFmtId="0" fontId="162" fillId="0" borderId="113" applyNumberFormat="0" applyFill="0" applyAlignment="0" applyProtection="0"/>
    <xf numFmtId="0" fontId="163" fillId="0" borderId="96" applyNumberFormat="0" applyFill="0" applyAlignment="0" applyProtection="0"/>
    <xf numFmtId="0" fontId="164" fillId="0" borderId="96" applyNumberFormat="0" applyFill="0" applyAlignment="0" applyProtection="0"/>
    <xf numFmtId="181" fontId="128" fillId="0" borderId="0"/>
    <xf numFmtId="181" fontId="128" fillId="0" borderId="0"/>
    <xf numFmtId="195" fontId="128" fillId="0" borderId="0"/>
    <xf numFmtId="195"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65" fillId="106" borderId="0" applyNumberFormat="0" applyBorder="0" applyAlignment="0" applyProtection="0"/>
    <xf numFmtId="0" fontId="166" fillId="107" borderId="0" applyNumberFormat="0" applyBorder="0" applyAlignment="0" applyProtection="0"/>
    <xf numFmtId="0" fontId="165" fillId="106" borderId="0" applyNumberFormat="0" applyBorder="0" applyAlignment="0" applyProtection="0"/>
    <xf numFmtId="0" fontId="166" fillId="107" borderId="0" applyNumberFormat="0" applyBorder="0" applyAlignment="0" applyProtection="0"/>
    <xf numFmtId="0" fontId="167" fillId="107" borderId="0" applyNumberFormat="0" applyBorder="0" applyAlignment="0" applyProtection="0"/>
    <xf numFmtId="196" fontId="128" fillId="0" borderId="0"/>
    <xf numFmtId="196" fontId="128" fillId="0" borderId="0"/>
    <xf numFmtId="0" fontId="128" fillId="0" borderId="0"/>
    <xf numFmtId="0" fontId="130" fillId="0" borderId="0"/>
    <xf numFmtId="0" fontId="128" fillId="0" borderId="0"/>
    <xf numFmtId="0" fontId="128" fillId="0" borderId="0"/>
    <xf numFmtId="0" fontId="130" fillId="0" borderId="0"/>
    <xf numFmtId="0" fontId="128" fillId="0" borderId="0"/>
    <xf numFmtId="0" fontId="130" fillId="0" borderId="0"/>
    <xf numFmtId="0" fontId="130" fillId="0" borderId="0"/>
    <xf numFmtId="0" fontId="168" fillId="0" borderId="0"/>
    <xf numFmtId="0" fontId="128" fillId="0" borderId="0"/>
    <xf numFmtId="0" fontId="130" fillId="0" borderId="0"/>
    <xf numFmtId="0" fontId="130" fillId="0" borderId="0"/>
    <xf numFmtId="0" fontId="130" fillId="0" borderId="0"/>
    <xf numFmtId="0" fontId="130" fillId="0" borderId="0"/>
    <xf numFmtId="0" fontId="130" fillId="0" borderId="0"/>
    <xf numFmtId="0" fontId="128"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28" fillId="0" borderId="0"/>
    <xf numFmtId="0" fontId="130" fillId="0" borderId="0"/>
    <xf numFmtId="0" fontId="130" fillId="0" borderId="0"/>
    <xf numFmtId="0" fontId="128" fillId="0" borderId="0"/>
    <xf numFmtId="0" fontId="128" fillId="0" borderId="0"/>
    <xf numFmtId="0" fontId="130" fillId="0" borderId="0"/>
    <xf numFmtId="0" fontId="128" fillId="0" borderId="0"/>
    <xf numFmtId="0" fontId="130" fillId="0" borderId="0"/>
    <xf numFmtId="0" fontId="142" fillId="105" borderId="114" applyNumberFormat="0" applyAlignment="0" applyProtection="0"/>
    <xf numFmtId="0" fontId="143" fillId="105" borderId="97" applyNumberFormat="0" applyAlignment="0" applyProtection="0"/>
    <xf numFmtId="0" fontId="143" fillId="105" borderId="114" applyNumberFormat="0" applyAlignment="0" applyProtection="0"/>
    <xf numFmtId="0" fontId="143" fillId="105" borderId="114" applyNumberFormat="0" applyAlignment="0" applyProtection="0"/>
    <xf numFmtId="0" fontId="143" fillId="105" borderId="114" applyNumberFormat="0" applyAlignment="0" applyProtection="0"/>
    <xf numFmtId="0" fontId="143" fillId="105" borderId="114" applyNumberFormat="0" applyAlignment="0" applyProtection="0"/>
    <xf numFmtId="0" fontId="143" fillId="105" borderId="97" applyNumberFormat="0" applyAlignment="0" applyProtection="0"/>
    <xf numFmtId="0" fontId="169" fillId="101" borderId="98" applyNumberFormat="0" applyAlignment="0" applyProtection="0"/>
    <xf numFmtId="0" fontId="169" fillId="102" borderId="98" applyNumberFormat="0" applyAlignment="0" applyProtection="0"/>
    <xf numFmtId="0" fontId="169" fillId="101" borderId="98" applyNumberFormat="0" applyAlignment="0" applyProtection="0"/>
    <xf numFmtId="0" fontId="169" fillId="102" borderId="98" applyNumberFormat="0" applyAlignment="0" applyProtection="0"/>
    <xf numFmtId="0" fontId="170" fillId="102" borderId="98" applyNumberFormat="0" applyAlignment="0" applyProtection="0"/>
    <xf numFmtId="9" fontId="142" fillId="0" borderId="0" applyFill="0" applyBorder="0" applyAlignment="0" applyProtection="0"/>
    <xf numFmtId="10" fontId="142" fillId="0" borderId="0" applyFill="0" applyBorder="0" applyAlignment="0" applyProtection="0"/>
    <xf numFmtId="10"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2"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2"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2"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0" fontId="143"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73" fillId="0" borderId="115" applyNumberFormat="0" applyFill="0" applyAlignment="0" applyProtection="0"/>
    <xf numFmtId="0" fontId="143" fillId="0" borderId="0" applyNumberFormat="0" applyBorder="0" applyAlignment="0" applyProtection="0"/>
    <xf numFmtId="0" fontId="173" fillId="0" borderId="115" applyNumberFormat="0" applyFill="0" applyAlignment="0" applyProtection="0"/>
    <xf numFmtId="0" fontId="173" fillId="0" borderId="99" applyNumberFormat="0" applyFill="0" applyAlignment="0" applyProtection="0"/>
    <xf numFmtId="0" fontId="143" fillId="0" borderId="0" applyNumberFormat="0" applyBorder="0" applyAlignment="0" applyProtection="0"/>
    <xf numFmtId="0" fontId="173" fillId="0" borderId="99"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43" fontId="22" fillId="0" borderId="0" applyFont="0" applyFill="0" applyBorder="0" applyAlignment="0" applyProtection="0"/>
    <xf numFmtId="0" fontId="95" fillId="0" borderId="0" applyNumberFormat="0" applyFill="0" applyBorder="0" applyAlignment="0" applyProtection="0">
      <alignment vertical="top"/>
      <protection locked="0"/>
    </xf>
    <xf numFmtId="9" fontId="22" fillId="0" borderId="0" applyFont="0" applyFill="0" applyBorder="0" applyAlignment="0" applyProtection="0"/>
    <xf numFmtId="0" fontId="128" fillId="0" borderId="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65" fontId="4" fillId="0" borderId="0" applyFont="0" applyFill="0" applyBorder="0" applyAlignment="0" applyProtection="0"/>
    <xf numFmtId="0" fontId="4" fillId="0" borderId="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37" fillId="0" borderId="0" applyNumberFormat="0" applyFont="0" applyFill="0" applyAlignment="0" applyProtection="0"/>
    <xf numFmtId="0" fontId="30" fillId="0" borderId="0" applyNumberFormat="0" applyFont="0" applyFill="0" applyAlignment="0" applyProtection="0"/>
    <xf numFmtId="0" fontId="22" fillId="0" borderId="0"/>
    <xf numFmtId="9" fontId="22" fillId="0" borderId="0" applyFont="0" applyFill="0" applyBorder="0" applyAlignment="0" applyProtection="0"/>
    <xf numFmtId="0" fontId="176" fillId="0" borderId="0" applyNumberFormat="0" applyBorder="0" applyAlignment="0"/>
    <xf numFmtId="0" fontId="22" fillId="0" borderId="116" applyNumberFormat="0" applyFont="0" applyBorder="0" applyAlignment="0" applyProtection="0"/>
    <xf numFmtId="0" fontId="4" fillId="0" borderId="0"/>
    <xf numFmtId="0" fontId="4" fillId="0" borderId="0"/>
    <xf numFmtId="165" fontId="4" fillId="0" borderId="0" applyFont="0" applyFill="0" applyBorder="0" applyAlignment="0" applyProtection="0"/>
    <xf numFmtId="0" fontId="177" fillId="0" borderId="0" applyNumberFormat="0" applyBorder="0" applyAlignment="0"/>
    <xf numFmtId="0" fontId="57" fillId="0" borderId="0" applyNumberFormat="0" applyBorder="0" applyAlignment="0"/>
    <xf numFmtId="9" fontId="22" fillId="0" borderId="0" applyFont="0" applyFill="0" applyBorder="0" applyAlignment="0" applyProtection="0"/>
    <xf numFmtId="9" fontId="22" fillId="0" borderId="0" applyFont="0" applyFill="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5" borderId="0" applyNumberFormat="0" applyBorder="0" applyAlignment="0" applyProtection="0"/>
    <xf numFmtId="0" fontId="98" fillId="39" borderId="0" applyNumberFormat="0" applyBorder="0" applyAlignment="0" applyProtection="0"/>
    <xf numFmtId="0" fontId="99" fillId="56" borderId="91" applyNumberFormat="0" applyAlignment="0" applyProtection="0"/>
    <xf numFmtId="0" fontId="100" fillId="57" borderId="92" applyNumberFormat="0" applyAlignment="0" applyProtection="0"/>
    <xf numFmtId="0" fontId="101" fillId="0" borderId="0" applyNumberFormat="0" applyFill="0" applyBorder="0" applyAlignment="0" applyProtection="0"/>
    <xf numFmtId="0" fontId="102" fillId="40" borderId="0" applyNumberFormat="0" applyBorder="0" applyAlignment="0" applyProtection="0"/>
    <xf numFmtId="0" fontId="103" fillId="0" borderId="93" applyNumberFormat="0" applyFill="0" applyAlignment="0" applyProtection="0"/>
    <xf numFmtId="0" fontId="104" fillId="0" borderId="94" applyNumberFormat="0" applyFill="0" applyAlignment="0" applyProtection="0"/>
    <xf numFmtId="0" fontId="105" fillId="0" borderId="95" applyNumberFormat="0" applyFill="0" applyAlignment="0" applyProtection="0"/>
    <xf numFmtId="0" fontId="105" fillId="0" borderId="0" applyNumberFormat="0" applyFill="0" applyBorder="0" applyAlignment="0" applyProtection="0"/>
    <xf numFmtId="0" fontId="106" fillId="43" borderId="91" applyNumberFormat="0" applyAlignment="0" applyProtection="0"/>
    <xf numFmtId="0" fontId="107" fillId="0" borderId="96" applyNumberFormat="0" applyFill="0" applyAlignment="0" applyProtection="0"/>
    <xf numFmtId="0" fontId="108" fillId="58" borderId="0" applyNumberFormat="0" applyBorder="0" applyAlignment="0" applyProtection="0"/>
    <xf numFmtId="0" fontId="22" fillId="59" borderId="97" applyNumberFormat="0" applyFont="0" applyAlignment="0" applyProtection="0"/>
    <xf numFmtId="0" fontId="109" fillId="56" borderId="98" applyNumberFormat="0" applyAlignment="0" applyProtection="0"/>
    <xf numFmtId="0" fontId="110" fillId="0" borderId="0" applyNumberFormat="0" applyFill="0" applyBorder="0" applyAlignment="0" applyProtection="0"/>
    <xf numFmtId="0" fontId="111" fillId="0" borderId="99" applyNumberFormat="0" applyFill="0" applyAlignment="0" applyProtection="0"/>
    <xf numFmtId="0" fontId="112" fillId="0" borderId="0" applyNumberFormat="0" applyFill="0" applyBorder="0" applyAlignment="0" applyProtection="0"/>
    <xf numFmtId="0" fontId="53" fillId="0" borderId="0" applyNumberFormat="0" applyFill="0" applyBorder="0" applyAlignment="0" applyProtection="0"/>
    <xf numFmtId="0" fontId="75" fillId="0" borderId="58" applyNumberFormat="0" applyFill="0" applyAlignment="0" applyProtection="0"/>
    <xf numFmtId="0" fontId="74" fillId="0" borderId="57" applyNumberFormat="0" applyFill="0" applyAlignment="0" applyProtection="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4" fillId="32" borderId="61" applyNumberFormat="0" applyFont="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88" fillId="1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5" borderId="0" applyNumberFormat="0" applyBorder="0" applyAlignment="0" applyProtection="0"/>
    <xf numFmtId="0" fontId="98" fillId="39" borderId="0" applyNumberFormat="0" applyBorder="0" applyAlignment="0" applyProtection="0"/>
    <xf numFmtId="0" fontId="99" fillId="56" borderId="91" applyNumberFormat="0" applyAlignment="0" applyProtection="0"/>
    <xf numFmtId="0" fontId="100" fillId="57" borderId="92" applyNumberFormat="0" applyAlignment="0" applyProtection="0"/>
    <xf numFmtId="165" fontId="2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3"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0" fontId="101" fillId="0" borderId="0" applyNumberFormat="0" applyFill="0" applyBorder="0" applyAlignment="0" applyProtection="0"/>
    <xf numFmtId="2" fontId="22" fillId="0" borderId="0" applyFont="0" applyFill="0" applyBorder="0" applyAlignment="0" applyProtection="0"/>
    <xf numFmtId="0" fontId="102" fillId="40" borderId="0" applyNumberFormat="0" applyBorder="0" applyAlignment="0" applyProtection="0"/>
    <xf numFmtId="0" fontId="37" fillId="0" borderId="0" applyNumberFormat="0" applyFont="0" applyFill="0" applyAlignment="0" applyProtection="0"/>
    <xf numFmtId="0" fontId="30" fillId="0" borderId="0" applyNumberFormat="0" applyFont="0" applyFill="0" applyAlignment="0" applyProtection="0"/>
    <xf numFmtId="0" fontId="105" fillId="0" borderId="95" applyNumberFormat="0" applyFill="0" applyAlignment="0" applyProtection="0"/>
    <xf numFmtId="0" fontId="105" fillId="0" borderId="0" applyNumberFormat="0" applyFill="0" applyBorder="0" applyAlignment="0" applyProtection="0"/>
    <xf numFmtId="0" fontId="178" fillId="0" borderId="0" applyNumberFormat="0" applyFill="0" applyBorder="0" applyAlignment="0" applyProtection="0">
      <alignment vertical="top"/>
      <protection locked="0"/>
    </xf>
    <xf numFmtId="0" fontId="106" fillId="43" borderId="91" applyNumberFormat="0" applyAlignment="0" applyProtection="0"/>
    <xf numFmtId="0" fontId="107" fillId="0" borderId="96" applyNumberFormat="0" applyFill="0" applyAlignment="0" applyProtection="0"/>
    <xf numFmtId="0" fontId="108" fillId="58" borderId="0" applyNumberFormat="0" applyBorder="0" applyAlignment="0" applyProtection="0"/>
    <xf numFmtId="0" fontId="22" fillId="0" borderId="0"/>
    <xf numFmtId="0" fontId="180" fillId="0" borderId="0"/>
    <xf numFmtId="0" fontId="4" fillId="0" borderId="0"/>
    <xf numFmtId="0" fontId="22" fillId="0" borderId="0"/>
    <xf numFmtId="0" fontId="22" fillId="0" borderId="0"/>
    <xf numFmtId="0" fontId="22" fillId="59" borderId="97" applyNumberFormat="0" applyFont="0" applyAlignment="0" applyProtection="0"/>
    <xf numFmtId="0" fontId="109" fillId="56" borderId="98" applyNumberFormat="0" applyAlignment="0" applyProtection="0"/>
    <xf numFmtId="9" fontId="22"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79" fillId="0" borderId="0" applyNumberFormat="0" applyFont="0" applyFill="0" applyBorder="0" applyAlignment="0" applyProtection="0">
      <alignment horizontal="left"/>
    </xf>
    <xf numFmtId="0" fontId="110" fillId="0" borderId="0" applyNumberFormat="0" applyFill="0" applyBorder="0" applyAlignment="0" applyProtection="0"/>
    <xf numFmtId="0" fontId="22" fillId="0" borderId="116" applyNumberFormat="0" applyFont="0" applyBorder="0" applyAlignment="0" applyProtection="0"/>
    <xf numFmtId="0" fontId="22" fillId="0" borderId="116" applyNumberFormat="0" applyFont="0" applyBorder="0" applyAlignment="0" applyProtection="0"/>
    <xf numFmtId="0" fontId="112" fillId="0" borderId="0" applyNumberFormat="0" applyFill="0" applyBorder="0" applyAlignment="0" applyProtection="0"/>
    <xf numFmtId="0" fontId="4" fillId="0" borderId="0"/>
    <xf numFmtId="0" fontId="22" fillId="0" borderId="0"/>
    <xf numFmtId="188" fontId="22" fillId="0" borderId="0"/>
    <xf numFmtId="176" fontId="22" fillId="0" borderId="0"/>
    <xf numFmtId="177" fontId="22" fillId="0" borderId="0"/>
    <xf numFmtId="176" fontId="22" fillId="0" borderId="0"/>
    <xf numFmtId="176" fontId="22" fillId="0" borderId="0"/>
    <xf numFmtId="176" fontId="22" fillId="0" borderId="0"/>
    <xf numFmtId="176" fontId="22" fillId="0" borderId="0"/>
    <xf numFmtId="178" fontId="22" fillId="0" borderId="0"/>
    <xf numFmtId="179" fontId="22" fillId="0" borderId="0"/>
    <xf numFmtId="188" fontId="35" fillId="38" borderId="0" applyNumberFormat="0" applyBorder="0" applyAlignment="0" applyProtection="0"/>
    <xf numFmtId="188" fontId="4" fillId="2" borderId="0" applyNumberFormat="0" applyBorder="0" applyAlignment="0" applyProtection="0"/>
    <xf numFmtId="188" fontId="35" fillId="39" borderId="0" applyNumberFormat="0" applyBorder="0" applyAlignment="0" applyProtection="0"/>
    <xf numFmtId="188" fontId="4" fillId="3" borderId="0" applyNumberFormat="0" applyBorder="0" applyAlignment="0" applyProtection="0"/>
    <xf numFmtId="188" fontId="35" fillId="40" borderId="0" applyNumberFormat="0" applyBorder="0" applyAlignment="0" applyProtection="0"/>
    <xf numFmtId="188" fontId="4" fillId="4" borderId="0" applyNumberFormat="0" applyBorder="0" applyAlignment="0" applyProtection="0"/>
    <xf numFmtId="188" fontId="35" fillId="41" borderId="0" applyNumberFormat="0" applyBorder="0" applyAlignment="0" applyProtection="0"/>
    <xf numFmtId="188" fontId="4" fillId="5" borderId="0" applyNumberFormat="0" applyBorder="0" applyAlignment="0" applyProtection="0"/>
    <xf numFmtId="188" fontId="35" fillId="42" borderId="0" applyNumberFormat="0" applyBorder="0" applyAlignment="0" applyProtection="0"/>
    <xf numFmtId="188" fontId="4" fillId="6" borderId="0" applyNumberFormat="0" applyBorder="0" applyAlignment="0" applyProtection="0"/>
    <xf numFmtId="188" fontId="35" fillId="43" borderId="0" applyNumberFormat="0" applyBorder="0" applyAlignment="0" applyProtection="0"/>
    <xf numFmtId="188" fontId="4" fillId="7" borderId="0" applyNumberFormat="0" applyBorder="0" applyAlignment="0" applyProtection="0"/>
    <xf numFmtId="188" fontId="35" fillId="44" borderId="0" applyNumberFormat="0" applyBorder="0" applyAlignment="0" applyProtection="0"/>
    <xf numFmtId="188" fontId="4" fillId="8" borderId="0" applyNumberFormat="0" applyBorder="0" applyAlignment="0" applyProtection="0"/>
    <xf numFmtId="188" fontId="35" fillId="45" borderId="0" applyNumberFormat="0" applyBorder="0" applyAlignment="0" applyProtection="0"/>
    <xf numFmtId="188" fontId="4" fillId="9" borderId="0" applyNumberFormat="0" applyBorder="0" applyAlignment="0" applyProtection="0"/>
    <xf numFmtId="188" fontId="35" fillId="46" borderId="0" applyNumberFormat="0" applyBorder="0" applyAlignment="0" applyProtection="0"/>
    <xf numFmtId="188" fontId="4" fillId="10" borderId="0" applyNumberFormat="0" applyBorder="0" applyAlignment="0" applyProtection="0"/>
    <xf numFmtId="188" fontId="35" fillId="41" borderId="0" applyNumberFormat="0" applyBorder="0" applyAlignment="0" applyProtection="0"/>
    <xf numFmtId="188" fontId="4" fillId="11" borderId="0" applyNumberFormat="0" applyBorder="0" applyAlignment="0" applyProtection="0"/>
    <xf numFmtId="188" fontId="35" fillId="44" borderId="0" applyNumberFormat="0" applyBorder="0" applyAlignment="0" applyProtection="0"/>
    <xf numFmtId="188" fontId="4" fillId="12" borderId="0" applyNumberFormat="0" applyBorder="0" applyAlignment="0" applyProtection="0"/>
    <xf numFmtId="188" fontId="35" fillId="47" borderId="0" applyNumberFormat="0" applyBorder="0" applyAlignment="0" applyProtection="0"/>
    <xf numFmtId="188" fontId="4" fillId="13" borderId="0" applyNumberFormat="0" applyBorder="0" applyAlignment="0" applyProtection="0"/>
    <xf numFmtId="188" fontId="97" fillId="48" borderId="0" applyNumberFormat="0" applyBorder="0" applyAlignment="0" applyProtection="0"/>
    <xf numFmtId="188" fontId="88" fillId="14" borderId="0" applyNumberFormat="0" applyBorder="0" applyAlignment="0" applyProtection="0"/>
    <xf numFmtId="188" fontId="97" fillId="45" borderId="0" applyNumberFormat="0" applyBorder="0" applyAlignment="0" applyProtection="0"/>
    <xf numFmtId="188" fontId="88" fillId="15" borderId="0" applyNumberFormat="0" applyBorder="0" applyAlignment="0" applyProtection="0"/>
    <xf numFmtId="188" fontId="97" fillId="46" borderId="0" applyNumberFormat="0" applyBorder="0" applyAlignment="0" applyProtection="0"/>
    <xf numFmtId="188" fontId="88" fillId="16" borderId="0" applyNumberFormat="0" applyBorder="0" applyAlignment="0" applyProtection="0"/>
    <xf numFmtId="188" fontId="97" fillId="49" borderId="0" applyNumberFormat="0" applyBorder="0" applyAlignment="0" applyProtection="0"/>
    <xf numFmtId="188" fontId="88" fillId="17" borderId="0" applyNumberFormat="0" applyBorder="0" applyAlignment="0" applyProtection="0"/>
    <xf numFmtId="188" fontId="97" fillId="50" borderId="0" applyNumberFormat="0" applyBorder="0" applyAlignment="0" applyProtection="0"/>
    <xf numFmtId="188" fontId="88" fillId="18" borderId="0" applyNumberFormat="0" applyBorder="0" applyAlignment="0" applyProtection="0"/>
    <xf numFmtId="188" fontId="97" fillId="51" borderId="0" applyNumberFormat="0" applyBorder="0" applyAlignment="0" applyProtection="0"/>
    <xf numFmtId="188" fontId="88" fillId="19" borderId="0" applyNumberFormat="0" applyBorder="0" applyAlignment="0" applyProtection="0"/>
    <xf numFmtId="188" fontId="97" fillId="52" borderId="0" applyNumberFormat="0" applyBorder="0" applyAlignment="0" applyProtection="0"/>
    <xf numFmtId="188" fontId="88" fillId="20" borderId="0" applyNumberFormat="0" applyBorder="0" applyAlignment="0" applyProtection="0"/>
    <xf numFmtId="188" fontId="97" fillId="53" borderId="0" applyNumberFormat="0" applyBorder="0" applyAlignment="0" applyProtection="0"/>
    <xf numFmtId="188" fontId="88" fillId="21" borderId="0" applyNumberFormat="0" applyBorder="0" applyAlignment="0" applyProtection="0"/>
    <xf numFmtId="188" fontId="97" fillId="54" borderId="0" applyNumberFormat="0" applyBorder="0" applyAlignment="0" applyProtection="0"/>
    <xf numFmtId="188" fontId="88" fillId="22" borderId="0" applyNumberFormat="0" applyBorder="0" applyAlignment="0" applyProtection="0"/>
    <xf numFmtId="188" fontId="97" fillId="49" borderId="0" applyNumberFormat="0" applyBorder="0" applyAlignment="0" applyProtection="0"/>
    <xf numFmtId="188" fontId="88" fillId="23" borderId="0" applyNumberFormat="0" applyBorder="0" applyAlignment="0" applyProtection="0"/>
    <xf numFmtId="188" fontId="97" fillId="50" borderId="0" applyNumberFormat="0" applyBorder="0" applyAlignment="0" applyProtection="0"/>
    <xf numFmtId="188" fontId="88" fillId="24" borderId="0" applyNumberFormat="0" applyBorder="0" applyAlignment="0" applyProtection="0"/>
    <xf numFmtId="188" fontId="97" fillId="55" borderId="0" applyNumberFormat="0" applyBorder="0" applyAlignment="0" applyProtection="0"/>
    <xf numFmtId="188" fontId="88" fillId="25" borderId="0" applyNumberFormat="0" applyBorder="0" applyAlignment="0" applyProtection="0"/>
    <xf numFmtId="188" fontId="98" fillId="39" borderId="0" applyNumberFormat="0" applyBorder="0" applyAlignment="0" applyProtection="0"/>
    <xf numFmtId="188" fontId="78" fillId="26" borderId="0" applyNumberFormat="0" applyBorder="0" applyAlignment="0" applyProtection="0"/>
    <xf numFmtId="188" fontId="99" fillId="56" borderId="91" applyNumberFormat="0" applyAlignment="0" applyProtection="0"/>
    <xf numFmtId="188" fontId="82" fillId="27" borderId="55" applyNumberFormat="0" applyAlignment="0" applyProtection="0"/>
    <xf numFmtId="188" fontId="100" fillId="57" borderId="92" applyNumberFormat="0" applyAlignment="0" applyProtection="0"/>
    <xf numFmtId="188" fontId="84" fillId="28" borderId="5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101" fillId="0" borderId="0" applyNumberFormat="0" applyFill="0" applyBorder="0" applyAlignment="0" applyProtection="0"/>
    <xf numFmtId="188" fontId="86" fillId="0" borderId="0" applyNumberFormat="0" applyFill="0" applyBorder="0" applyAlignment="0" applyProtection="0"/>
    <xf numFmtId="188" fontId="102" fillId="40" borderId="0" applyNumberFormat="0" applyBorder="0" applyAlignment="0" applyProtection="0"/>
    <xf numFmtId="188" fontId="77" fillId="29" borderId="0" applyNumberFormat="0" applyBorder="0" applyAlignment="0" applyProtection="0"/>
    <xf numFmtId="38" fontId="96" fillId="60" borderId="0" applyNumberFormat="0" applyBorder="0" applyAlignment="0" applyProtection="0"/>
    <xf numFmtId="188" fontId="103" fillId="0" borderId="93" applyNumberFormat="0" applyFill="0" applyAlignment="0" applyProtection="0"/>
    <xf numFmtId="188" fontId="74" fillId="0" borderId="57" applyNumberFormat="0" applyFill="0" applyAlignment="0" applyProtection="0"/>
    <xf numFmtId="188" fontId="104" fillId="0" borderId="94" applyNumberFormat="0" applyFill="0" applyAlignment="0" applyProtection="0"/>
    <xf numFmtId="188" fontId="75" fillId="0" borderId="58" applyNumberFormat="0" applyFill="0" applyAlignment="0" applyProtection="0"/>
    <xf numFmtId="188" fontId="105" fillId="0" borderId="95" applyNumberFormat="0" applyFill="0" applyAlignment="0" applyProtection="0"/>
    <xf numFmtId="188" fontId="76" fillId="0" borderId="59" applyNumberFormat="0" applyFill="0" applyAlignment="0" applyProtection="0"/>
    <xf numFmtId="188" fontId="105" fillId="0" borderId="0" applyNumberFormat="0" applyFill="0" applyBorder="0" applyAlignment="0" applyProtection="0"/>
    <xf numFmtId="188" fontId="76" fillId="0" borderId="0" applyNumberFormat="0" applyFill="0" applyBorder="0" applyAlignment="0" applyProtection="0"/>
    <xf numFmtId="188" fontId="95" fillId="0" borderId="0" applyNumberFormat="0" applyFill="0" applyBorder="0" applyAlignment="0" applyProtection="0">
      <alignment vertical="top"/>
      <protection locked="0"/>
    </xf>
    <xf numFmtId="188" fontId="106" fillId="43" borderId="91" applyNumberFormat="0" applyAlignment="0" applyProtection="0"/>
    <xf numFmtId="10" fontId="96" fillId="62" borderId="1" applyNumberFormat="0" applyBorder="0" applyAlignment="0" applyProtection="0"/>
    <xf numFmtId="188" fontId="80" fillId="30" borderId="55" applyNumberFormat="0" applyAlignment="0" applyProtection="0"/>
    <xf numFmtId="188" fontId="107" fillId="0" borderId="96" applyNumberFormat="0" applyFill="0" applyAlignment="0" applyProtection="0"/>
    <xf numFmtId="188" fontId="83" fillId="0" borderId="60" applyNumberFormat="0" applyFill="0" applyAlignment="0" applyProtection="0"/>
    <xf numFmtId="181" fontId="22" fillId="0" borderId="0"/>
    <xf numFmtId="182" fontId="22" fillId="0" borderId="0"/>
    <xf numFmtId="181" fontId="22" fillId="0" borderId="0"/>
    <xf numFmtId="181" fontId="22" fillId="0" borderId="0"/>
    <xf numFmtId="181" fontId="22" fillId="0" borderId="0"/>
    <xf numFmtId="181" fontId="22" fillId="0" borderId="0"/>
    <xf numFmtId="188" fontId="108" fillId="58" borderId="0" applyNumberFormat="0" applyBorder="0" applyAlignment="0" applyProtection="0"/>
    <xf numFmtId="188" fontId="79" fillId="31" borderId="0" applyNumberFormat="0" applyBorder="0" applyAlignment="0" applyProtection="0"/>
    <xf numFmtId="183" fontId="22" fillId="0" borderId="0"/>
    <xf numFmtId="0" fontId="4" fillId="0" borderId="0"/>
    <xf numFmtId="0" fontId="4" fillId="0" borderId="0"/>
    <xf numFmtId="188" fontId="22"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22" fillId="59" borderId="97" applyNumberFormat="0" applyFont="0" applyAlignment="0" applyProtection="0"/>
    <xf numFmtId="188" fontId="4" fillId="32" borderId="61" applyNumberFormat="0" applyFont="0" applyAlignment="0" applyProtection="0"/>
    <xf numFmtId="188" fontId="109" fillId="56" borderId="98" applyNumberFormat="0" applyAlignment="0" applyProtection="0"/>
    <xf numFmtId="188" fontId="81" fillId="27" borderId="62" applyNumberFormat="0" applyAlignment="0" applyProtection="0"/>
    <xf numFmtId="10"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8" fontId="110" fillId="0" borderId="0" applyNumberFormat="0" applyFill="0" applyBorder="0" applyAlignment="0" applyProtection="0"/>
    <xf numFmtId="188" fontId="53" fillId="0" borderId="0" applyNumberFormat="0" applyFill="0" applyBorder="0" applyAlignment="0" applyProtection="0"/>
    <xf numFmtId="188" fontId="111" fillId="0" borderId="99" applyNumberFormat="0" applyFill="0" applyAlignment="0" applyProtection="0"/>
    <xf numFmtId="188" fontId="87" fillId="0" borderId="63" applyNumberFormat="0" applyFill="0" applyAlignment="0" applyProtection="0"/>
    <xf numFmtId="188" fontId="112" fillId="0" borderId="0" applyNumberFormat="0" applyFill="0" applyBorder="0" applyAlignment="0" applyProtection="0"/>
    <xf numFmtId="188" fontId="85" fillId="0" borderId="0" applyNumberForma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8" fillId="2" borderId="0" applyNumberFormat="0" applyBorder="0" applyAlignment="0" applyProtection="0"/>
    <xf numFmtId="0" fontId="24" fillId="3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8" fillId="3" borderId="0" applyNumberFormat="0" applyBorder="0" applyAlignment="0" applyProtection="0"/>
    <xf numFmtId="0" fontId="24" fillId="3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8" fillId="4" borderId="0" applyNumberFormat="0" applyBorder="0" applyAlignment="0" applyProtection="0"/>
    <xf numFmtId="0" fontId="24" fillId="4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8" fillId="5" borderId="0" applyNumberFormat="0" applyBorder="0" applyAlignment="0" applyProtection="0"/>
    <xf numFmtId="0" fontId="24" fillId="4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8" fillId="6" borderId="0" applyNumberFormat="0" applyBorder="0" applyAlignment="0" applyProtection="0"/>
    <xf numFmtId="0" fontId="24" fillId="4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8" fillId="7" borderId="0" applyNumberFormat="0" applyBorder="0" applyAlignment="0" applyProtection="0"/>
    <xf numFmtId="0" fontId="24" fillId="4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8" fillId="8" borderId="0" applyNumberFormat="0" applyBorder="0" applyAlignment="0" applyProtection="0"/>
    <xf numFmtId="0" fontId="24" fillId="4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8" fillId="9" borderId="0" applyNumberFormat="0" applyBorder="0" applyAlignment="0" applyProtection="0"/>
    <xf numFmtId="0" fontId="24" fillId="4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8" fillId="10" borderId="0" applyNumberFormat="0" applyBorder="0" applyAlignment="0" applyProtection="0"/>
    <xf numFmtId="0" fontId="24" fillId="4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8" fillId="11" borderId="0" applyNumberFormat="0" applyBorder="0" applyAlignment="0" applyProtection="0"/>
    <xf numFmtId="0" fontId="24" fillId="4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8" fillId="12" borderId="0" applyNumberFormat="0" applyBorder="0" applyAlignment="0" applyProtection="0"/>
    <xf numFmtId="0" fontId="24" fillId="4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8" fillId="13" borderId="0" applyNumberFormat="0" applyBorder="0" applyAlignment="0" applyProtection="0"/>
    <xf numFmtId="0" fontId="24" fillId="47" borderId="0" applyNumberFormat="0" applyBorder="0" applyAlignment="0" applyProtection="0"/>
    <xf numFmtId="0" fontId="124" fillId="48"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24" fillId="52" borderId="0" applyNumberFormat="0" applyBorder="0" applyAlignment="0" applyProtection="0"/>
    <xf numFmtId="0" fontId="124" fillId="53" borderId="0" applyNumberFormat="0" applyBorder="0" applyAlignment="0" applyProtection="0"/>
    <xf numFmtId="0" fontId="124" fillId="54"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5" borderId="0" applyNumberFormat="0" applyBorder="0" applyAlignment="0" applyProtection="0"/>
    <xf numFmtId="0" fontId="181" fillId="39" borderId="0" applyNumberFormat="0" applyBorder="0" applyAlignment="0" applyProtection="0"/>
    <xf numFmtId="0" fontId="182" fillId="56" borderId="91" applyNumberFormat="0" applyAlignment="0" applyProtection="0"/>
    <xf numFmtId="0" fontId="127" fillId="57" borderId="92" applyNumberFormat="0" applyAlignment="0" applyProtection="0"/>
    <xf numFmtId="165" fontId="2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3" fillId="0" borderId="0" applyNumberFormat="0" applyFill="0" applyBorder="0" applyAlignment="0" applyProtection="0"/>
    <xf numFmtId="0" fontId="184" fillId="40" borderId="0" applyNumberFormat="0" applyBorder="0" applyAlignment="0" applyProtection="0"/>
    <xf numFmtId="0" fontId="185" fillId="0" borderId="93" applyNumberFormat="0" applyFill="0" applyAlignment="0" applyProtection="0"/>
    <xf numFmtId="0" fontId="186" fillId="0" borderId="94" applyNumberFormat="0" applyFill="0" applyAlignment="0" applyProtection="0"/>
    <xf numFmtId="0" fontId="187" fillId="0" borderId="95" applyNumberFormat="0" applyFill="0" applyAlignment="0" applyProtection="0"/>
    <xf numFmtId="0" fontId="187" fillId="0" borderId="0" applyNumberFormat="0" applyFill="0" applyBorder="0" applyAlignment="0" applyProtection="0"/>
    <xf numFmtId="0" fontId="188" fillId="43" borderId="91" applyNumberFormat="0" applyAlignment="0" applyProtection="0"/>
    <xf numFmtId="0" fontId="129" fillId="0" borderId="96" applyNumberFormat="0" applyFill="0" applyAlignment="0" applyProtection="0"/>
    <xf numFmtId="0" fontId="189" fillId="5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24" fillId="32" borderId="61" applyNumberFormat="0" applyFont="0" applyAlignment="0" applyProtection="0"/>
    <xf numFmtId="0" fontId="38" fillId="32" borderId="61" applyNumberFormat="0" applyFont="0" applyAlignment="0" applyProtection="0"/>
    <xf numFmtId="0" fontId="117" fillId="59" borderId="97"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190" fillId="56" borderId="98" applyNumberFormat="0" applyAlignment="0" applyProtection="0"/>
    <xf numFmtId="9" fontId="35" fillId="0" borderId="0" applyFont="0" applyFill="0" applyBorder="0" applyAlignment="0" applyProtection="0"/>
    <xf numFmtId="0" fontId="126" fillId="0" borderId="99" applyNumberFormat="0" applyFill="0" applyAlignment="0" applyProtection="0"/>
    <xf numFmtId="0" fontId="125" fillId="0" borderId="0" applyNumberFormat="0" applyFill="0" applyBorder="0" applyAlignment="0" applyProtection="0"/>
    <xf numFmtId="0" fontId="191" fillId="2" borderId="117" applyNumberFormat="0" applyAlignment="0" applyProtection="0">
      <alignment horizontal="right" vertical="center"/>
    </xf>
    <xf numFmtId="0" fontId="192" fillId="108" borderId="117" applyNumberFormat="0">
      <alignment horizontal="center" vertical="center"/>
    </xf>
    <xf numFmtId="0" fontId="22" fillId="0" borderId="0"/>
    <xf numFmtId="0" fontId="106" fillId="43" borderId="91" applyNumberFormat="0" applyAlignment="0" applyProtection="0"/>
    <xf numFmtId="9" fontId="22" fillId="0" borderId="0" applyFont="0" applyFill="0" applyBorder="0" applyAlignment="0" applyProtection="0"/>
    <xf numFmtId="0" fontId="4" fillId="0" borderId="0"/>
    <xf numFmtId="0" fontId="4" fillId="0" borderId="0"/>
    <xf numFmtId="0" fontId="4" fillId="0" borderId="0"/>
    <xf numFmtId="0" fontId="4" fillId="0" borderId="0"/>
    <xf numFmtId="0" fontId="188" fillId="43" borderId="91" applyNumberFormat="0" applyAlignment="0" applyProtection="0"/>
    <xf numFmtId="0" fontId="22" fillId="0" borderId="0"/>
    <xf numFmtId="0" fontId="4" fillId="0" borderId="0"/>
    <xf numFmtId="0" fontId="22" fillId="0" borderId="0"/>
    <xf numFmtId="14"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9" fontId="4" fillId="0" borderId="0" applyFont="0" applyFill="0" applyBorder="0" applyAlignment="0" applyProtection="0"/>
    <xf numFmtId="9" fontId="4" fillId="0" borderId="0" applyFont="0" applyFill="0" applyBorder="0" applyAlignment="0" applyProtection="0"/>
    <xf numFmtId="14" fontId="22"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188" fillId="43" borderId="91" applyNumberFormat="0" applyAlignment="0" applyProtection="0"/>
    <xf numFmtId="9" fontId="143" fillId="0" borderId="0" applyFill="0" applyBorder="0" applyAlignment="0" applyProtection="0"/>
    <xf numFmtId="0" fontId="130" fillId="109" borderId="0" applyNumberFormat="0" applyBorder="0" applyAlignment="0" applyProtection="0"/>
    <xf numFmtId="0" fontId="130" fillId="110" borderId="0" applyNumberFormat="0" applyBorder="0" applyAlignment="0" applyProtection="0"/>
    <xf numFmtId="0" fontId="130" fillId="111" borderId="0" applyNumberFormat="0" applyBorder="0" applyAlignment="0" applyProtection="0"/>
    <xf numFmtId="0" fontId="130" fillId="112" borderId="0" applyNumberFormat="0" applyBorder="0" applyAlignment="0" applyProtection="0"/>
    <xf numFmtId="0" fontId="130" fillId="113" borderId="0" applyNumberFormat="0" applyBorder="0" applyAlignment="0" applyProtection="0"/>
    <xf numFmtId="0" fontId="130" fillId="114" borderId="0" applyNumberFormat="0" applyBorder="0" applyAlignment="0" applyProtection="0"/>
    <xf numFmtId="0" fontId="130" fillId="115" borderId="0" applyNumberFormat="0" applyBorder="0" applyAlignment="0" applyProtection="0"/>
    <xf numFmtId="0" fontId="132" fillId="116" borderId="0" applyNumberFormat="0" applyBorder="0" applyAlignment="0" applyProtection="0"/>
    <xf numFmtId="0" fontId="132" fillId="117" borderId="0" applyNumberFormat="0" applyBorder="0" applyAlignment="0" applyProtection="0"/>
    <xf numFmtId="0" fontId="132" fillId="118" borderId="0" applyNumberFormat="0" applyBorder="0" applyAlignment="0" applyProtection="0"/>
    <xf numFmtId="0" fontId="132" fillId="119" borderId="0" applyNumberFormat="0" applyBorder="0" applyAlignment="0" applyProtection="0"/>
    <xf numFmtId="0" fontId="132" fillId="120" borderId="0" applyNumberFormat="0" applyBorder="0" applyAlignment="0" applyProtection="0"/>
    <xf numFmtId="0" fontId="132" fillId="121" borderId="0" applyNumberFormat="0" applyBorder="0" applyAlignment="0" applyProtection="0"/>
    <xf numFmtId="0" fontId="132" fillId="122" borderId="0" applyNumberFormat="0" applyBorder="0" applyAlignment="0" applyProtection="0"/>
    <xf numFmtId="0" fontId="134" fillId="123" borderId="0" applyNumberFormat="0" applyBorder="0" applyAlignment="0" applyProtection="0"/>
    <xf numFmtId="0" fontId="193" fillId="124" borderId="118" applyNumberFormat="0" applyAlignment="0" applyProtection="0"/>
    <xf numFmtId="0" fontId="140" fillId="125" borderId="92" applyNumberFormat="0" applyAlignment="0" applyProtection="0"/>
    <xf numFmtId="0" fontId="194" fillId="0" borderId="0" applyNumberFormat="0" applyFill="0" applyBorder="0" applyAlignment="0" applyProtection="0"/>
    <xf numFmtId="0" fontId="195" fillId="126" borderId="0" applyNumberFormat="0" applyBorder="0" applyAlignment="0" applyProtection="0"/>
    <xf numFmtId="0" fontId="149" fillId="127" borderId="0" applyNumberFormat="0" applyBorder="0" applyAlignment="0" applyProtection="0"/>
    <xf numFmtId="0" fontId="160" fillId="77" borderId="118" applyNumberFormat="0" applyAlignment="0" applyProtection="0"/>
    <xf numFmtId="0" fontId="196" fillId="0" borderId="119" applyNumberFormat="0" applyFill="0" applyAlignment="0" applyProtection="0"/>
    <xf numFmtId="0" fontId="197" fillId="128" borderId="0" applyNumberFormat="0" applyBorder="0" applyAlignment="0" applyProtection="0"/>
    <xf numFmtId="9" fontId="143" fillId="0" borderId="0" applyFill="0" applyBorder="0" applyAlignment="0" applyProtection="0"/>
    <xf numFmtId="0" fontId="143" fillId="105" borderId="120" applyNumberFormat="0" applyAlignment="0" applyProtection="0"/>
    <xf numFmtId="0" fontId="169" fillId="124" borderId="98" applyNumberFormat="0" applyAlignment="0" applyProtection="0"/>
    <xf numFmtId="9" fontId="143" fillId="0" borderId="0" applyFill="0" applyBorder="0" applyAlignment="0" applyProtection="0"/>
    <xf numFmtId="0" fontId="195" fillId="12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5" borderId="0" applyNumberFormat="0" applyBorder="0" applyAlignment="0" applyProtection="0"/>
    <xf numFmtId="0" fontId="98" fillId="39" borderId="0" applyNumberFormat="0" applyBorder="0" applyAlignment="0" applyProtection="0"/>
    <xf numFmtId="0" fontId="99" fillId="56" borderId="91" applyNumberFormat="0" applyAlignment="0" applyProtection="0"/>
    <xf numFmtId="0" fontId="100" fillId="57" borderId="92"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0" fontId="101" fillId="0" borderId="0" applyNumberFormat="0" applyFill="0" applyBorder="0" applyAlignment="0" applyProtection="0"/>
    <xf numFmtId="0" fontId="102" fillId="40" borderId="0" applyNumberFormat="0" applyBorder="0" applyAlignment="0" applyProtection="0"/>
    <xf numFmtId="0" fontId="103" fillId="0" borderId="93" applyNumberFormat="0" applyFill="0" applyAlignment="0" applyProtection="0"/>
    <xf numFmtId="0" fontId="104" fillId="0" borderId="94" applyNumberFormat="0" applyFill="0" applyAlignment="0" applyProtection="0"/>
    <xf numFmtId="0" fontId="105" fillId="0" borderId="95" applyNumberFormat="0" applyFill="0" applyAlignment="0" applyProtection="0"/>
    <xf numFmtId="0" fontId="105" fillId="0" borderId="0" applyNumberFormat="0" applyFill="0" applyBorder="0" applyAlignment="0" applyProtection="0"/>
    <xf numFmtId="0" fontId="95" fillId="0" borderId="0" applyNumberFormat="0" applyFill="0" applyBorder="0" applyAlignment="0" applyProtection="0">
      <alignment vertical="top"/>
      <protection locked="0"/>
    </xf>
    <xf numFmtId="0" fontId="106" fillId="43" borderId="91" applyNumberFormat="0" applyAlignment="0" applyProtection="0"/>
    <xf numFmtId="0" fontId="107" fillId="0" borderId="96" applyNumberFormat="0" applyFill="0" applyAlignment="0" applyProtection="0"/>
    <xf numFmtId="0" fontId="108" fillId="58" borderId="0" applyNumberFormat="0" applyBorder="0" applyAlignment="0" applyProtection="0"/>
    <xf numFmtId="0" fontId="22" fillId="59" borderId="97" applyNumberFormat="0" applyFont="0" applyAlignment="0" applyProtection="0"/>
    <xf numFmtId="0" fontId="109" fillId="56" borderId="98" applyNumberFormat="0" applyAlignment="0" applyProtection="0"/>
    <xf numFmtId="9" fontId="22" fillId="0" borderId="0" applyFont="0" applyFill="0" applyBorder="0" applyAlignment="0" applyProtection="0"/>
    <xf numFmtId="0" fontId="110" fillId="0" borderId="0" applyNumberFormat="0" applyFill="0" applyBorder="0" applyAlignment="0" applyProtection="0"/>
    <xf numFmtId="0" fontId="111" fillId="0" borderId="99" applyNumberFormat="0" applyFill="0" applyAlignment="0" applyProtection="0"/>
    <xf numFmtId="0" fontId="112" fillId="0" borderId="0" applyNumberFormat="0" applyFill="0" applyBorder="0" applyAlignment="0" applyProtection="0"/>
    <xf numFmtId="0" fontId="22" fillId="0" borderId="0"/>
    <xf numFmtId="0" fontId="53" fillId="0" borderId="0" applyNumberFormat="0" applyFill="0" applyBorder="0" applyAlignment="0" applyProtection="0"/>
    <xf numFmtId="0" fontId="75" fillId="0" borderId="58" applyNumberFormat="0" applyFill="0" applyAlignment="0" applyProtection="0"/>
    <xf numFmtId="0" fontId="74" fillId="0" borderId="57" applyNumberFormat="0" applyFill="0" applyAlignment="0" applyProtection="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88" fillId="19" borderId="0" applyNumberFormat="0" applyBorder="0" applyAlignment="0" applyProtection="0"/>
    <xf numFmtId="9" fontId="143" fillId="0" borderId="0" applyFill="0" applyBorder="0" applyAlignment="0" applyProtection="0"/>
    <xf numFmtId="9" fontId="143" fillId="0" borderId="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2" fillId="0" borderId="0" applyFont="0" applyFill="0" applyBorder="0" applyAlignment="0" applyProtection="0"/>
    <xf numFmtId="3" fontId="22" fillId="0" borderId="0" applyFont="0" applyFill="0" applyBorder="0" applyAlignment="0" applyProtection="0"/>
    <xf numFmtId="164" fontId="35"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143" fillId="0" borderId="0" applyFill="0" applyBorder="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143" fillId="0" borderId="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76" fontId="22" fillId="0" borderId="0"/>
    <xf numFmtId="177" fontId="22" fillId="0" borderId="0"/>
    <xf numFmtId="176" fontId="22" fillId="0" borderId="0"/>
    <xf numFmtId="176" fontId="22" fillId="0" borderId="0"/>
    <xf numFmtId="176" fontId="22" fillId="0" borderId="0"/>
    <xf numFmtId="176" fontId="22" fillId="0" borderId="0"/>
    <xf numFmtId="178" fontId="22" fillId="0" borderId="0"/>
    <xf numFmtId="179" fontId="22" fillId="0" borderId="0"/>
    <xf numFmtId="38" fontId="96" fillId="60" borderId="0" applyNumberFormat="0" applyBorder="0" applyAlignment="0" applyProtection="0"/>
    <xf numFmtId="10" fontId="96" fillId="62" borderId="1" applyNumberFormat="0" applyBorder="0" applyAlignment="0" applyProtection="0"/>
    <xf numFmtId="181" fontId="22" fillId="0" borderId="0"/>
    <xf numFmtId="182" fontId="22" fillId="0" borderId="0"/>
    <xf numFmtId="181" fontId="22" fillId="0" borderId="0"/>
    <xf numFmtId="181" fontId="22" fillId="0" borderId="0"/>
    <xf numFmtId="181" fontId="22" fillId="0" borderId="0"/>
    <xf numFmtId="181" fontId="22" fillId="0" borderId="0"/>
    <xf numFmtId="183" fontId="22" fillId="0" borderId="0"/>
    <xf numFmtId="10"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9" fontId="143" fillId="0" borderId="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143" fillId="0" borderId="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03" fillId="0" borderId="93" applyNumberFormat="0" applyFill="0" applyAlignment="0" applyProtection="0"/>
    <xf numFmtId="0" fontId="104" fillId="0" borderId="94" applyNumberFormat="0" applyFill="0" applyAlignment="0" applyProtection="0"/>
    <xf numFmtId="0" fontId="111" fillId="0" borderId="99" applyNumberFormat="0" applyFill="0" applyAlignment="0" applyProtection="0"/>
    <xf numFmtId="9" fontId="22"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124" fillId="48"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24" fillId="52" borderId="0" applyNumberFormat="0" applyBorder="0" applyAlignment="0" applyProtection="0"/>
    <xf numFmtId="0" fontId="124" fillId="53" borderId="0" applyNumberFormat="0" applyBorder="0" applyAlignment="0" applyProtection="0"/>
    <xf numFmtId="0" fontId="124" fillId="54"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5" borderId="0" applyNumberFormat="0" applyBorder="0" applyAlignment="0" applyProtection="0"/>
    <xf numFmtId="0" fontId="181" fillId="39" borderId="0" applyNumberFormat="0" applyBorder="0" applyAlignment="0" applyProtection="0"/>
    <xf numFmtId="0" fontId="182" fillId="56" borderId="91" applyNumberFormat="0" applyAlignment="0" applyProtection="0"/>
    <xf numFmtId="0" fontId="127" fillId="57" borderId="92" applyNumberFormat="0" applyAlignment="0" applyProtection="0"/>
    <xf numFmtId="0" fontId="183" fillId="0" borderId="0" applyNumberFormat="0" applyFill="0" applyBorder="0" applyAlignment="0" applyProtection="0"/>
    <xf numFmtId="0" fontId="184" fillId="40" borderId="0" applyNumberFormat="0" applyBorder="0" applyAlignment="0" applyProtection="0"/>
    <xf numFmtId="0" fontId="187" fillId="0" borderId="95" applyNumberFormat="0" applyFill="0" applyAlignment="0" applyProtection="0"/>
    <xf numFmtId="0" fontId="187" fillId="0" borderId="0" applyNumberFormat="0" applyFill="0" applyBorder="0" applyAlignment="0" applyProtection="0"/>
    <xf numFmtId="0" fontId="188" fillId="43" borderId="91" applyNumberFormat="0" applyAlignment="0" applyProtection="0"/>
    <xf numFmtId="0" fontId="129" fillId="0" borderId="96" applyNumberFormat="0" applyFill="0" applyAlignment="0" applyProtection="0"/>
    <xf numFmtId="0" fontId="189" fillId="58" borderId="0" applyNumberFormat="0" applyBorder="0" applyAlignment="0" applyProtection="0"/>
    <xf numFmtId="0" fontId="190" fillId="56" borderId="98" applyNumberFormat="0" applyAlignment="0" applyProtection="0"/>
    <xf numFmtId="0" fontId="125" fillId="0" borderId="0" applyNumberFormat="0" applyFill="0" applyBorder="0" applyAlignment="0" applyProtection="0"/>
    <xf numFmtId="0" fontId="22" fillId="0" borderId="0"/>
    <xf numFmtId="0" fontId="22" fillId="0" borderId="0"/>
    <xf numFmtId="43" fontId="22" fillId="0" borderId="0" applyFont="0" applyFill="0" applyBorder="0" applyAlignment="0" applyProtection="0"/>
    <xf numFmtId="0" fontId="4" fillId="0" borderId="0"/>
    <xf numFmtId="0" fontId="22" fillId="0" borderId="0"/>
    <xf numFmtId="9" fontId="22" fillId="0" borderId="0" applyFont="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0" fontId="106" fillId="43" borderId="91" applyNumberFormat="0" applyAlignment="0" applyProtection="0"/>
    <xf numFmtId="9" fontId="143" fillId="0" borderId="0" applyFill="0" applyBorder="0" applyAlignment="0" applyProtection="0"/>
    <xf numFmtId="0" fontId="22" fillId="0" borderId="0"/>
    <xf numFmtId="9" fontId="22" fillId="0" borderId="0" applyFont="0" applyFill="0" applyBorder="0" applyAlignment="0" applyProtection="0"/>
    <xf numFmtId="9" fontId="143" fillId="0" borderId="0" applyFill="0" applyBorder="0" applyAlignment="0" applyProtection="0"/>
    <xf numFmtId="9" fontId="143"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43" fillId="0" borderId="0" applyFill="0" applyBorder="0" applyAlignment="0" applyProtection="0"/>
    <xf numFmtId="0" fontId="106" fillId="43" borderId="91" applyNumberFormat="0" applyAlignment="0" applyProtection="0"/>
    <xf numFmtId="0" fontId="106" fillId="43" borderId="91" applyNumberFormat="0" applyAlignment="0" applyProtection="0"/>
    <xf numFmtId="0" fontId="22" fillId="0" borderId="0"/>
    <xf numFmtId="0" fontId="22" fillId="0" borderId="0"/>
    <xf numFmtId="9" fontId="143" fillId="0" borderId="0" applyFill="0" applyBorder="0" applyAlignment="0" applyProtection="0"/>
    <xf numFmtId="9" fontId="143" fillId="0" borderId="0" applyFill="0" applyBorder="0" applyAlignment="0" applyProtection="0"/>
    <xf numFmtId="0" fontId="106" fillId="43" borderId="91" applyNumberFormat="0" applyAlignment="0" applyProtection="0"/>
    <xf numFmtId="9" fontId="143" fillId="0" borderId="0" applyFill="0" applyBorder="0" applyAlignment="0" applyProtection="0"/>
    <xf numFmtId="0" fontId="22" fillId="0" borderId="0"/>
    <xf numFmtId="9" fontId="143" fillId="0" borderId="0" applyFill="0" applyBorder="0" applyAlignment="0" applyProtection="0"/>
    <xf numFmtId="9" fontId="143" fillId="0" borderId="0" applyFill="0" applyBorder="0" applyAlignment="0" applyProtection="0"/>
    <xf numFmtId="0" fontId="22" fillId="0" borderId="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88" fillId="43" borderId="91" applyNumberFormat="0" applyAlignment="0" applyProtection="0"/>
    <xf numFmtId="9" fontId="22" fillId="0" borderId="0" applyFont="0" applyFill="0" applyBorder="0" applyAlignment="0" applyProtection="0"/>
    <xf numFmtId="0" fontId="124" fillId="48"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24" fillId="52" borderId="0" applyNumberFormat="0" applyBorder="0" applyAlignment="0" applyProtection="0"/>
    <xf numFmtId="0" fontId="124" fillId="53" borderId="0" applyNumberFormat="0" applyBorder="0" applyAlignment="0" applyProtection="0"/>
    <xf numFmtId="0" fontId="124" fillId="54"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5" borderId="0" applyNumberFormat="0" applyBorder="0" applyAlignment="0" applyProtection="0"/>
    <xf numFmtId="9" fontId="143" fillId="0" borderId="0" applyFill="0" applyBorder="0" applyAlignment="0" applyProtection="0"/>
    <xf numFmtId="9" fontId="22" fillId="0" borderId="0" applyFont="0" applyFill="0" applyBorder="0" applyAlignment="0" applyProtection="0"/>
    <xf numFmtId="0" fontId="4" fillId="0" borderId="0"/>
    <xf numFmtId="0" fontId="137" fillId="101" borderId="108" applyNumberFormat="0" applyAlignment="0" applyProtection="0"/>
    <xf numFmtId="0" fontId="147" fillId="104" borderId="0" applyNumberFormat="0" applyBorder="0" applyAlignment="0" applyProtection="0"/>
    <xf numFmtId="0" fontId="160" fillId="77" borderId="108" applyNumberFormat="0" applyAlignment="0" applyProtection="0"/>
    <xf numFmtId="0" fontId="162" fillId="0" borderId="113" applyNumberFormat="0" applyFill="0" applyAlignment="0" applyProtection="0"/>
    <xf numFmtId="0" fontId="169" fillId="101" borderId="98" applyNumberFormat="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22"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37" fillId="0" borderId="0" applyNumberFormat="0" applyFont="0" applyFill="0" applyAlignment="0" applyProtection="0"/>
    <xf numFmtId="0" fontId="30" fillId="0" borderId="0" applyNumberFormat="0" applyFont="0" applyFill="0" applyAlignment="0" applyProtection="0"/>
    <xf numFmtId="0" fontId="4" fillId="0" borderId="0"/>
    <xf numFmtId="0" fontId="22" fillId="0" borderId="116" applyNumberFormat="0" applyFont="0" applyBorder="0" applyAlignment="0" applyProtection="0"/>
    <xf numFmtId="0" fontId="22" fillId="0" borderId="116" applyNumberFormat="0" applyFont="0" applyBorder="0" applyAlignment="0" applyProtection="0"/>
    <xf numFmtId="0" fontId="22" fillId="0" borderId="0"/>
    <xf numFmtId="165"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0" fontId="137" fillId="101" borderId="108" applyNumberFormat="0" applyAlignment="0" applyProtection="0"/>
    <xf numFmtId="0" fontId="147" fillId="104" borderId="0" applyNumberFormat="0" applyBorder="0" applyAlignment="0" applyProtection="0"/>
    <xf numFmtId="0" fontId="160" fillId="77" borderId="108" applyNumberFormat="0" applyAlignment="0" applyProtection="0"/>
    <xf numFmtId="0" fontId="162" fillId="0" borderId="113" applyNumberFormat="0" applyFill="0" applyAlignment="0" applyProtection="0"/>
    <xf numFmtId="0" fontId="169" fillId="101" borderId="98" applyNumberFormat="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22"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4" fillId="0" borderId="0"/>
    <xf numFmtId="0" fontId="22" fillId="0" borderId="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4" fillId="0" borderId="0"/>
    <xf numFmtId="0" fontId="22" fillId="0" borderId="116" applyNumberFormat="0" applyFont="0" applyBorder="0" applyAlignment="0" applyProtection="0"/>
    <xf numFmtId="0" fontId="22"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2" fillId="0" borderId="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4" fillId="0" borderId="0"/>
    <xf numFmtId="9" fontId="22" fillId="0" borderId="0" applyFont="0" applyFill="0" applyBorder="0" applyAlignment="0" applyProtection="0"/>
    <xf numFmtId="0" fontId="22" fillId="0" borderId="116" applyNumberFormat="0" applyFont="0" applyBorder="0" applyAlignment="0" applyProtection="0"/>
    <xf numFmtId="0" fontId="22"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2" fillId="0" borderId="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4" fillId="0" borderId="0"/>
    <xf numFmtId="9" fontId="22" fillId="0" borderId="0" applyFont="0" applyFill="0" applyBorder="0" applyAlignment="0" applyProtection="0"/>
    <xf numFmtId="0" fontId="22" fillId="0" borderId="116" applyNumberFormat="0" applyFont="0" applyBorder="0" applyAlignment="0" applyProtection="0"/>
    <xf numFmtId="9" fontId="22"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0" fontId="4" fillId="0" borderId="0"/>
    <xf numFmtId="0" fontId="22"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106" fillId="43" borderId="91" applyNumberForma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142" fillId="0" borderId="0" applyFill="0" applyBorder="0" applyAlignment="0" applyProtection="0"/>
    <xf numFmtId="9" fontId="142" fillId="0" borderId="0" applyFill="0" applyBorder="0" applyAlignment="0" applyProtection="0"/>
    <xf numFmtId="0" fontId="22" fillId="0" borderId="0"/>
    <xf numFmtId="9" fontId="142" fillId="0" borderId="0" applyFill="0" applyBorder="0" applyAlignment="0" applyProtection="0"/>
    <xf numFmtId="0" fontId="22" fillId="0" borderId="0"/>
    <xf numFmtId="9" fontId="142" fillId="0" borderId="0" applyFill="0" applyBorder="0" applyAlignment="0" applyProtection="0"/>
    <xf numFmtId="0" fontId="22" fillId="0" borderId="0"/>
    <xf numFmtId="0" fontId="22" fillId="0" borderId="0"/>
    <xf numFmtId="0" fontId="26"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43" fontId="2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8" fillId="0" borderId="0"/>
    <xf numFmtId="0" fontId="26" fillId="0" borderId="0"/>
    <xf numFmtId="0" fontId="38" fillId="0" borderId="0"/>
    <xf numFmtId="0" fontId="38" fillId="0" borderId="0"/>
    <xf numFmtId="0" fontId="38" fillId="0" borderId="0"/>
    <xf numFmtId="0" fontId="38" fillId="0" borderId="0"/>
    <xf numFmtId="0" fontId="38" fillId="0" borderId="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44" fontId="22" fillId="0" borderId="0" applyFont="0" applyFill="0" applyBorder="0" applyAlignment="0" applyProtection="0"/>
    <xf numFmtId="0" fontId="4" fillId="0" borderId="0"/>
    <xf numFmtId="0" fontId="4"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4" fillId="0" borderId="0" applyFont="0" applyFill="0" applyBorder="0" applyAlignment="0" applyProtection="0"/>
    <xf numFmtId="44" fontId="22" fillId="0" borderId="0" applyFont="0" applyFill="0" applyBorder="0" applyAlignment="0" applyProtection="0"/>
    <xf numFmtId="0" fontId="4" fillId="0" borderId="0"/>
    <xf numFmtId="0" fontId="4" fillId="0" borderId="0"/>
    <xf numFmtId="0" fontId="4" fillId="0" borderId="0"/>
    <xf numFmtId="0" fontId="22" fillId="0" borderId="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165" fontId="26" fillId="0" borderId="0" applyFont="0" applyFill="0" applyBorder="0" applyAlignment="0" applyProtection="0"/>
    <xf numFmtId="9" fontId="26" fillId="0" borderId="0" applyFont="0" applyFill="0" applyBorder="0" applyAlignment="0" applyProtection="0"/>
    <xf numFmtId="0" fontId="26"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43" fontId="26" fillId="0" borderId="0" applyFont="0" applyFill="0" applyBorder="0" applyAlignment="0" applyProtection="0"/>
    <xf numFmtId="0" fontId="4" fillId="0" borderId="0"/>
    <xf numFmtId="0" fontId="4" fillId="0" borderId="0"/>
    <xf numFmtId="9" fontId="2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11" fillId="0" borderId="99" applyNumberFormat="0" applyFill="0" applyAlignment="0" applyProtection="0"/>
    <xf numFmtId="0" fontId="22" fillId="0" borderId="0"/>
    <xf numFmtId="0" fontId="4" fillId="0" borderId="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4" fillId="32" borderId="61" applyNumberFormat="0" applyFont="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88" fillId="19"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22" fillId="0" borderId="0" applyFont="0" applyFill="0" applyBorder="0" applyAlignment="0" applyProtection="0"/>
    <xf numFmtId="0" fontId="4" fillId="0" borderId="0"/>
    <xf numFmtId="0" fontId="4" fillId="0" borderId="0"/>
    <xf numFmtId="0" fontId="66"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22" fillId="0" borderId="0"/>
    <xf numFmtId="0" fontId="22" fillId="37" borderId="1" applyNumberFormat="0" applyProtection="0">
      <alignment horizontal="left" vertical="center"/>
    </xf>
    <xf numFmtId="0" fontId="80" fillId="30" borderId="55" applyNumberForma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2" borderId="61"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0" borderId="0"/>
    <xf numFmtId="9" fontId="4" fillId="0" borderId="0" applyFont="0" applyFill="0" applyBorder="0" applyAlignment="0" applyProtection="0"/>
    <xf numFmtId="0" fontId="4" fillId="2" borderId="0" applyNumberFormat="0" applyBorder="0" applyAlignment="0" applyProtection="0"/>
    <xf numFmtId="0" fontId="4" fillId="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3" borderId="0" applyNumberFormat="0" applyBorder="0" applyAlignment="0" applyProtection="0"/>
    <xf numFmtId="0" fontId="4" fillId="9" borderId="0" applyNumberFormat="0" applyBorder="0" applyAlignment="0" applyProtection="0"/>
    <xf numFmtId="9" fontId="4" fillId="0" borderId="0" applyFont="0" applyFill="0" applyBorder="0" applyAlignment="0" applyProtection="0"/>
    <xf numFmtId="0" fontId="4" fillId="4" borderId="0" applyNumberFormat="0" applyBorder="0" applyAlignment="0" applyProtection="0"/>
    <xf numFmtId="0" fontId="4" fillId="10" borderId="0" applyNumberFormat="0" applyBorder="0" applyAlignment="0" applyProtection="0"/>
    <xf numFmtId="9" fontId="4" fillId="0" borderId="0" applyFont="0" applyFill="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0" borderId="0"/>
    <xf numFmtId="0" fontId="4" fillId="6" borderId="0" applyNumberFormat="0" applyBorder="0" applyAlignment="0" applyProtection="0"/>
    <xf numFmtId="0" fontId="4" fillId="12" borderId="0" applyNumberFormat="0" applyBorder="0" applyAlignment="0" applyProtection="0"/>
    <xf numFmtId="9" fontId="4" fillId="0" borderId="0" applyFont="0" applyFill="0" applyBorder="0" applyAlignment="0" applyProtection="0"/>
    <xf numFmtId="0" fontId="4" fillId="0" borderId="0"/>
    <xf numFmtId="0" fontId="4" fillId="7" borderId="0" applyNumberFormat="0" applyBorder="0" applyAlignment="0" applyProtection="0"/>
    <xf numFmtId="0" fontId="4" fillId="13"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3" fillId="0" borderId="0"/>
    <xf numFmtId="0" fontId="3" fillId="0" borderId="0"/>
    <xf numFmtId="9" fontId="26" fillId="0" borderId="0" applyFont="0" applyFill="0" applyBorder="0" applyAlignment="0" applyProtection="0"/>
    <xf numFmtId="0" fontId="26"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0" borderId="0"/>
    <xf numFmtId="9" fontId="3" fillId="0" borderId="0" applyFont="0" applyFill="0" applyBorder="0" applyAlignment="0" applyProtection="0"/>
    <xf numFmtId="0" fontId="3" fillId="2" borderId="0" applyNumberFormat="0" applyBorder="0" applyAlignment="0" applyProtection="0"/>
    <xf numFmtId="0" fontId="3"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9" borderId="0" applyNumberFormat="0" applyBorder="0" applyAlignment="0" applyProtection="0"/>
    <xf numFmtId="9" fontId="3" fillId="0" borderId="0" applyFont="0" applyFill="0" applyBorder="0" applyAlignment="0" applyProtection="0"/>
    <xf numFmtId="0" fontId="3" fillId="4" borderId="0" applyNumberFormat="0" applyBorder="0" applyAlignment="0" applyProtection="0"/>
    <xf numFmtId="0" fontId="3" fillId="10" borderId="0" applyNumberFormat="0" applyBorder="0" applyAlignment="0" applyProtection="0"/>
    <xf numFmtId="9" fontId="3" fillId="0" borderId="0" applyFont="0" applyFill="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0" borderId="0"/>
    <xf numFmtId="0" fontId="3" fillId="6" borderId="0" applyNumberFormat="0" applyBorder="0" applyAlignment="0" applyProtection="0"/>
    <xf numFmtId="0" fontId="3" fillId="12" borderId="0" applyNumberFormat="0" applyBorder="0" applyAlignment="0" applyProtection="0"/>
    <xf numFmtId="9" fontId="3" fillId="0" borderId="0" applyFont="0" applyFill="0" applyBorder="0" applyAlignment="0" applyProtection="0"/>
    <xf numFmtId="0" fontId="3" fillId="0" borderId="0"/>
    <xf numFmtId="0" fontId="3" fillId="7" borderId="0" applyNumberFormat="0" applyBorder="0" applyAlignment="0" applyProtection="0"/>
    <xf numFmtId="0" fontId="3" fillId="13"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2"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26"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0" borderId="0"/>
    <xf numFmtId="9" fontId="3" fillId="0" borderId="0" applyFont="0" applyFill="0" applyBorder="0" applyAlignment="0" applyProtection="0"/>
    <xf numFmtId="0" fontId="3" fillId="2" borderId="0" applyNumberFormat="0" applyBorder="0" applyAlignment="0" applyProtection="0"/>
    <xf numFmtId="0" fontId="3"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9" borderId="0" applyNumberFormat="0" applyBorder="0" applyAlignment="0" applyProtection="0"/>
    <xf numFmtId="9" fontId="3" fillId="0" borderId="0" applyFont="0" applyFill="0" applyBorder="0" applyAlignment="0" applyProtection="0"/>
    <xf numFmtId="0" fontId="3" fillId="4" borderId="0" applyNumberFormat="0" applyBorder="0" applyAlignment="0" applyProtection="0"/>
    <xf numFmtId="0" fontId="3" fillId="10" borderId="0" applyNumberFormat="0" applyBorder="0" applyAlignment="0" applyProtection="0"/>
    <xf numFmtId="9" fontId="3" fillId="0" borderId="0" applyFont="0" applyFill="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0" borderId="0"/>
    <xf numFmtId="0" fontId="3" fillId="6" borderId="0" applyNumberFormat="0" applyBorder="0" applyAlignment="0" applyProtection="0"/>
    <xf numFmtId="0" fontId="3" fillId="12" borderId="0" applyNumberFormat="0" applyBorder="0" applyAlignment="0" applyProtection="0"/>
    <xf numFmtId="9" fontId="3" fillId="0" borderId="0" applyFont="0" applyFill="0" applyBorder="0" applyAlignment="0" applyProtection="0"/>
    <xf numFmtId="0" fontId="3" fillId="0" borderId="0"/>
    <xf numFmtId="0" fontId="3" fillId="7" borderId="0" applyNumberFormat="0" applyBorder="0" applyAlignment="0" applyProtection="0"/>
    <xf numFmtId="0" fontId="3" fillId="13"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 fillId="0" borderId="0"/>
    <xf numFmtId="0" fontId="2" fillId="0" borderId="0"/>
    <xf numFmtId="9" fontId="2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82">
    <xf numFmtId="0" fontId="0" fillId="0" borderId="0" xfId="0"/>
    <xf numFmtId="0" fontId="22" fillId="0" borderId="0" xfId="0" applyFont="1"/>
    <xf numFmtId="0" fontId="56" fillId="0" borderId="0" xfId="0" applyFont="1" applyAlignment="1">
      <alignment horizontal="left" vertic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49" fontId="22" fillId="0" borderId="7" xfId="0" applyNumberFormat="1" applyFont="1" applyBorder="1" applyAlignment="1">
      <alignment horizontal="center"/>
    </xf>
    <xf numFmtId="49" fontId="22" fillId="0" borderId="2" xfId="0" applyNumberFormat="1" applyFont="1" applyBorder="1" applyAlignment="1">
      <alignment horizontal="center"/>
    </xf>
    <xf numFmtId="166" fontId="22" fillId="0" borderId="1" xfId="0" applyNumberFormat="1" applyFont="1" applyBorder="1" applyAlignment="1">
      <alignment horizontal="center"/>
    </xf>
    <xf numFmtId="166" fontId="22" fillId="0" borderId="8" xfId="0" applyNumberFormat="1" applyFont="1" applyBorder="1" applyAlignment="1">
      <alignment horizontal="center"/>
    </xf>
    <xf numFmtId="14" fontId="22" fillId="0" borderId="2" xfId="0" applyNumberFormat="1" applyFont="1" applyBorder="1" applyAlignment="1">
      <alignment horizontal="center"/>
    </xf>
    <xf numFmtId="0" fontId="22" fillId="0" borderId="1" xfId="0" applyFont="1" applyBorder="1" applyAlignment="1">
      <alignment horizontal="center"/>
    </xf>
    <xf numFmtId="14" fontId="28" fillId="0" borderId="2" xfId="0" applyNumberFormat="1" applyFont="1" applyBorder="1" applyAlignment="1">
      <alignment horizontal="center"/>
    </xf>
    <xf numFmtId="166" fontId="28" fillId="0" borderId="1" xfId="0" applyNumberFormat="1" applyFont="1" applyBorder="1" applyAlignment="1">
      <alignment horizontal="center"/>
    </xf>
    <xf numFmtId="0" fontId="28" fillId="0" borderId="1" xfId="0" applyFont="1" applyBorder="1" applyAlignment="1">
      <alignment horizontal="center"/>
    </xf>
    <xf numFmtId="166" fontId="28" fillId="0" borderId="8" xfId="0" applyNumberFormat="1" applyFont="1" applyBorder="1" applyAlignment="1">
      <alignment horizontal="center"/>
    </xf>
    <xf numFmtId="1" fontId="22" fillId="0" borderId="1" xfId="0" applyNumberFormat="1" applyFont="1" applyBorder="1" applyAlignment="1">
      <alignment horizontal="center"/>
    </xf>
    <xf numFmtId="0" fontId="22" fillId="0" borderId="8" xfId="0" applyFont="1" applyBorder="1" applyAlignment="1">
      <alignment horizontal="center"/>
    </xf>
    <xf numFmtId="49" fontId="22" fillId="0" borderId="9" xfId="0" applyNumberFormat="1" applyFont="1" applyBorder="1" applyAlignment="1">
      <alignment horizontal="center"/>
    </xf>
    <xf numFmtId="1" fontId="22" fillId="0" borderId="10" xfId="0" applyNumberFormat="1" applyFont="1" applyBorder="1" applyAlignment="1">
      <alignment horizontal="center"/>
    </xf>
    <xf numFmtId="166" fontId="22" fillId="0" borderId="10" xfId="0" applyNumberFormat="1"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xf numFmtId="0" fontId="22" fillId="0" borderId="13" xfId="0" applyFont="1" applyBorder="1"/>
    <xf numFmtId="1" fontId="22" fillId="33" borderId="1" xfId="0" applyNumberFormat="1" applyFont="1" applyFill="1" applyBorder="1" applyAlignment="1">
      <alignment horizontal="center"/>
    </xf>
    <xf numFmtId="1" fontId="22" fillId="33" borderId="10" xfId="0" applyNumberFormat="1" applyFont="1" applyFill="1" applyBorder="1" applyAlignment="1">
      <alignment horizontal="center"/>
    </xf>
    <xf numFmtId="166" fontId="22" fillId="0" borderId="11" xfId="0" applyNumberFormat="1" applyFont="1" applyBorder="1" applyAlignment="1">
      <alignment horizontal="center"/>
    </xf>
    <xf numFmtId="2" fontId="55" fillId="0" borderId="0" xfId="0" applyNumberFormat="1" applyFont="1" applyAlignment="1">
      <alignment horizontal="center"/>
    </xf>
    <xf numFmtId="0" fontId="22" fillId="0" borderId="0" xfId="0" applyFont="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2" xfId="0" applyFont="1" applyBorder="1" applyAlignment="1">
      <alignment horizontal="center"/>
    </xf>
    <xf numFmtId="2" fontId="55" fillId="0" borderId="8" xfId="0" applyNumberFormat="1" applyFont="1" applyBorder="1" applyAlignment="1">
      <alignment horizontal="center"/>
    </xf>
    <xf numFmtId="0" fontId="22" fillId="0" borderId="16" xfId="0" applyFont="1" applyBorder="1" applyAlignment="1">
      <alignment horizontal="center"/>
    </xf>
    <xf numFmtId="0" fontId="22" fillId="0" borderId="9" xfId="0" applyFont="1" applyBorder="1" applyAlignment="1">
      <alignment horizontal="center"/>
    </xf>
    <xf numFmtId="2" fontId="55" fillId="0" borderId="11" xfId="0" applyNumberFormat="1" applyFont="1" applyBorder="1" applyAlignment="1">
      <alignment horizontal="center"/>
    </xf>
    <xf numFmtId="0" fontId="22" fillId="0" borderId="17" xfId="0" applyFont="1" applyBorder="1" applyAlignment="1">
      <alignment horizontal="center"/>
    </xf>
    <xf numFmtId="2" fontId="55" fillId="0" borderId="18" xfId="0" applyNumberFormat="1" applyFont="1" applyBorder="1" applyAlignment="1">
      <alignment horizontal="center"/>
    </xf>
    <xf numFmtId="2" fontId="55" fillId="0" borderId="13" xfId="0" applyNumberFormat="1" applyFont="1" applyBorder="1" applyAlignment="1">
      <alignment horizontal="center"/>
    </xf>
    <xf numFmtId="0" fontId="22" fillId="0" borderId="20" xfId="0" applyFont="1" applyBorder="1" applyAlignment="1">
      <alignment horizontal="left"/>
    </xf>
    <xf numFmtId="1" fontId="55" fillId="33" borderId="8" xfId="0" applyNumberFormat="1" applyFont="1" applyFill="1" applyBorder="1" applyAlignment="1">
      <alignment horizontal="center"/>
    </xf>
    <xf numFmtId="1" fontId="22" fillId="33" borderId="21" xfId="0" applyNumberFormat="1" applyFont="1" applyFill="1" applyBorder="1" applyAlignment="1">
      <alignment horizontal="center"/>
    </xf>
    <xf numFmtId="1" fontId="22" fillId="33" borderId="21" xfId="379" applyNumberFormat="1" applyFont="1" applyFill="1" applyBorder="1" applyAlignment="1">
      <alignment horizontal="center"/>
    </xf>
    <xf numFmtId="1" fontId="55" fillId="33" borderId="11" xfId="0" applyNumberFormat="1" applyFont="1" applyFill="1" applyBorder="1" applyAlignment="1">
      <alignment horizontal="center"/>
    </xf>
    <xf numFmtId="1" fontId="22" fillId="33" borderId="22" xfId="0" applyNumberFormat="1" applyFont="1" applyFill="1" applyBorder="1" applyAlignment="1">
      <alignment horizontal="center"/>
    </xf>
    <xf numFmtId="3" fontId="22" fillId="0" borderId="0" xfId="0" applyNumberFormat="1" applyFont="1" applyAlignment="1">
      <alignment horizontal="center"/>
    </xf>
    <xf numFmtId="0" fontId="22" fillId="0" borderId="1" xfId="0" applyFont="1" applyBorder="1"/>
    <xf numFmtId="0" fontId="30" fillId="0" borderId="0" xfId="0" applyFont="1"/>
    <xf numFmtId="17" fontId="22" fillId="0" borderId="0" xfId="0" applyNumberFormat="1" applyFont="1"/>
    <xf numFmtId="0" fontId="22" fillId="0" borderId="0" xfId="0" applyFont="1" applyAlignment="1">
      <alignment horizontal="left"/>
    </xf>
    <xf numFmtId="0" fontId="58" fillId="0" borderId="0" xfId="0" applyFont="1" applyAlignment="1">
      <alignment horizontal="left" vertical="center"/>
    </xf>
    <xf numFmtId="0" fontId="57" fillId="0" borderId="27" xfId="0" applyFont="1" applyBorder="1" applyAlignment="1">
      <alignment horizontal="center" vertical="center" wrapText="1"/>
    </xf>
    <xf numFmtId="0" fontId="57" fillId="0" borderId="28" xfId="0" applyFont="1" applyBorder="1" applyAlignment="1">
      <alignment horizontal="center" vertical="center" wrapText="1"/>
    </xf>
    <xf numFmtId="0" fontId="59" fillId="0" borderId="28"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7" xfId="0" applyFont="1" applyBorder="1" applyAlignment="1">
      <alignment horizontal="center" vertical="center" wrapText="1"/>
    </xf>
    <xf numFmtId="3" fontId="57" fillId="0" borderId="23" xfId="0" applyNumberFormat="1" applyFont="1" applyBorder="1" applyAlignment="1">
      <alignment horizontal="center" vertical="center" wrapText="1"/>
    </xf>
    <xf numFmtId="10" fontId="57" fillId="0" borderId="23" xfId="0" applyNumberFormat="1" applyFont="1" applyBorder="1" applyAlignment="1">
      <alignment horizontal="center" vertical="center" wrapText="1"/>
    </xf>
    <xf numFmtId="3" fontId="57" fillId="0" borderId="1" xfId="0" applyNumberFormat="1" applyFont="1" applyBorder="1" applyAlignment="1">
      <alignment horizontal="center" vertical="center" wrapText="1"/>
    </xf>
    <xf numFmtId="10" fontId="57" fillId="0" borderId="1" xfId="0" applyNumberFormat="1" applyFont="1" applyBorder="1" applyAlignment="1">
      <alignment horizontal="center" vertical="center" wrapText="1"/>
    </xf>
    <xf numFmtId="0" fontId="55" fillId="0" borderId="2" xfId="0" applyFont="1" applyBorder="1" applyAlignment="1">
      <alignment horizontal="center" vertical="center" wrapText="1"/>
    </xf>
    <xf numFmtId="0" fontId="55" fillId="0" borderId="1" xfId="0" applyFont="1" applyBorder="1" applyAlignment="1">
      <alignment horizontal="center" vertical="center" wrapText="1"/>
    </xf>
    <xf numFmtId="10" fontId="55" fillId="0" borderId="1" xfId="0" applyNumberFormat="1" applyFont="1" applyBorder="1" applyAlignment="1">
      <alignment horizontal="center" vertical="center" wrapText="1"/>
    </xf>
    <xf numFmtId="0" fontId="55" fillId="0" borderId="10" xfId="0" applyFont="1" applyBorder="1" applyAlignment="1">
      <alignment horizontal="center" vertical="center" wrapText="1"/>
    </xf>
    <xf numFmtId="10" fontId="55" fillId="0" borderId="10" xfId="0" applyNumberFormat="1" applyFont="1" applyBorder="1" applyAlignment="1">
      <alignment horizontal="center" vertical="center" wrapText="1"/>
    </xf>
    <xf numFmtId="0" fontId="55" fillId="0" borderId="0" xfId="0" applyFont="1" applyAlignment="1">
      <alignment horizontal="center" vertical="center" wrapText="1"/>
    </xf>
    <xf numFmtId="3" fontId="55" fillId="0" borderId="0" xfId="0" applyNumberFormat="1" applyFont="1" applyAlignment="1">
      <alignment horizontal="center" vertical="center" wrapText="1"/>
    </xf>
    <xf numFmtId="0" fontId="57" fillId="0" borderId="30" xfId="0" applyFont="1" applyBorder="1" applyAlignment="1">
      <alignment horizontal="center" vertical="center" wrapText="1"/>
    </xf>
    <xf numFmtId="3" fontId="57" fillId="0" borderId="0" xfId="0" applyNumberFormat="1" applyFont="1" applyAlignment="1">
      <alignment horizontal="center" vertical="center" wrapText="1"/>
    </xf>
    <xf numFmtId="3" fontId="60" fillId="0" borderId="8" xfId="0" applyNumberFormat="1" applyFont="1" applyBorder="1" applyAlignment="1">
      <alignment horizontal="center" vertical="center" wrapText="1"/>
    </xf>
    <xf numFmtId="3" fontId="60" fillId="0" borderId="11" xfId="0" applyNumberFormat="1" applyFont="1" applyBorder="1" applyAlignment="1">
      <alignment horizontal="center" vertical="center" wrapText="1"/>
    </xf>
    <xf numFmtId="168" fontId="57" fillId="0" borderId="8" xfId="0" applyNumberFormat="1" applyFont="1" applyBorder="1" applyAlignment="1">
      <alignment horizontal="center" vertical="center" wrapText="1"/>
    </xf>
    <xf numFmtId="3" fontId="55" fillId="0" borderId="8" xfId="0" applyNumberFormat="1" applyFont="1" applyBorder="1" applyAlignment="1">
      <alignment horizontal="center" vertical="center" wrapText="1"/>
    </xf>
    <xf numFmtId="0" fontId="57" fillId="0" borderId="31" xfId="0" applyFont="1" applyBorder="1" applyAlignment="1">
      <alignment horizontal="center" vertical="center" wrapText="1"/>
    </xf>
    <xf numFmtId="0" fontId="22" fillId="0" borderId="23" xfId="0" applyFont="1" applyBorder="1"/>
    <xf numFmtId="0" fontId="22" fillId="0" borderId="9" xfId="0" applyFont="1" applyBorder="1"/>
    <xf numFmtId="0" fontId="22" fillId="0" borderId="10" xfId="0" applyFont="1" applyBorder="1"/>
    <xf numFmtId="0" fontId="57" fillId="0" borderId="2"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8" xfId="0" applyFont="1" applyBorder="1" applyAlignment="1">
      <alignment horizontal="center" vertical="center" wrapText="1"/>
    </xf>
    <xf numFmtId="3" fontId="57" fillId="0" borderId="10" xfId="0" applyNumberFormat="1" applyFont="1" applyBorder="1" applyAlignment="1">
      <alignment horizontal="center" vertical="center" wrapText="1"/>
    </xf>
    <xf numFmtId="0" fontId="32" fillId="0" borderId="0" xfId="0" applyFont="1" applyAlignment="1">
      <alignment horizontal="center"/>
    </xf>
    <xf numFmtId="0" fontId="32" fillId="0" borderId="0" xfId="0" applyFont="1" applyAlignment="1">
      <alignment horizontal="left"/>
    </xf>
    <xf numFmtId="0" fontId="33" fillId="0" borderId="0" xfId="0" applyFont="1" applyAlignment="1">
      <alignment horizontal="left"/>
    </xf>
    <xf numFmtId="0" fontId="61" fillId="0" borderId="0" xfId="0" applyFont="1" applyAlignment="1">
      <alignment horizontal="left" vertical="center"/>
    </xf>
    <xf numFmtId="0" fontId="57" fillId="0" borderId="0" xfId="0" applyFont="1" applyAlignment="1">
      <alignment vertical="top"/>
    </xf>
    <xf numFmtId="0" fontId="36" fillId="0" borderId="0" xfId="0" applyFont="1" applyAlignment="1">
      <alignment horizontal="center" vertical="top"/>
    </xf>
    <xf numFmtId="0" fontId="57" fillId="0" borderId="0" xfId="0" applyFont="1" applyAlignment="1">
      <alignment horizontal="center" vertical="center" wrapText="1"/>
    </xf>
    <xf numFmtId="3" fontId="60" fillId="0" borderId="0" xfId="0" applyNumberFormat="1" applyFont="1" applyAlignment="1">
      <alignment horizontal="center" vertical="center" wrapText="1"/>
    </xf>
    <xf numFmtId="0" fontId="55" fillId="35" borderId="0" xfId="0" applyFont="1" applyFill="1" applyAlignment="1">
      <alignment horizontal="center" vertical="center" wrapText="1"/>
    </xf>
    <xf numFmtId="3" fontId="55" fillId="35" borderId="0" xfId="0" applyNumberFormat="1" applyFont="1" applyFill="1" applyAlignment="1">
      <alignment horizontal="center" vertical="center" wrapText="1"/>
    </xf>
    <xf numFmtId="10" fontId="55" fillId="35" borderId="0" xfId="0" applyNumberFormat="1" applyFont="1" applyFill="1" applyAlignment="1">
      <alignment horizontal="center" vertical="center" wrapText="1"/>
    </xf>
    <xf numFmtId="3" fontId="55" fillId="35" borderId="0" xfId="0" applyNumberFormat="1" applyFont="1" applyFill="1" applyAlignment="1">
      <alignment horizontal="left" vertical="center"/>
    </xf>
    <xf numFmtId="0" fontId="22" fillId="35" borderId="0" xfId="0" applyFont="1" applyFill="1"/>
    <xf numFmtId="3" fontId="55" fillId="0" borderId="1"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0" fontId="22" fillId="0" borderId="38" xfId="0" applyFont="1" applyBorder="1" applyAlignment="1">
      <alignment horizontal="center"/>
    </xf>
    <xf numFmtId="49" fontId="22" fillId="0" borderId="15" xfId="0" applyNumberFormat="1" applyFont="1" applyBorder="1" applyAlignment="1">
      <alignment horizontal="center"/>
    </xf>
    <xf numFmtId="49" fontId="29" fillId="0" borderId="9" xfId="516" applyNumberFormat="1" applyFont="1" applyBorder="1" applyAlignment="1">
      <alignment horizontal="center"/>
    </xf>
    <xf numFmtId="49" fontId="29" fillId="0" borderId="2" xfId="516" applyNumberFormat="1" applyFont="1" applyBorder="1" applyAlignment="1">
      <alignment horizontal="center"/>
    </xf>
    <xf numFmtId="0" fontId="22" fillId="0" borderId="23" xfId="0" applyFont="1" applyBorder="1" applyAlignment="1">
      <alignment horizontal="center"/>
    </xf>
    <xf numFmtId="0" fontId="22" fillId="0" borderId="4" xfId="0" applyFont="1" applyBorder="1" applyAlignment="1">
      <alignment horizontal="center" wrapText="1"/>
    </xf>
    <xf numFmtId="1" fontId="22" fillId="0" borderId="23" xfId="0" applyNumberFormat="1" applyFont="1" applyBorder="1" applyAlignment="1">
      <alignment horizontal="center"/>
    </xf>
    <xf numFmtId="0" fontId="22" fillId="0" borderId="30" xfId="0" applyFont="1" applyBorder="1" applyAlignment="1">
      <alignment horizontal="center"/>
    </xf>
    <xf numFmtId="17" fontId="22" fillId="0" borderId="23" xfId="0" applyNumberFormat="1" applyFont="1" applyBorder="1" applyAlignment="1">
      <alignment horizontal="center"/>
    </xf>
    <xf numFmtId="17" fontId="22" fillId="0" borderId="0" xfId="0" applyNumberFormat="1" applyFont="1" applyAlignment="1">
      <alignment horizontal="center"/>
    </xf>
    <xf numFmtId="0" fontId="29" fillId="0" borderId="0" xfId="0" applyFont="1"/>
    <xf numFmtId="49" fontId="57" fillId="0" borderId="7" xfId="0" applyNumberFormat="1" applyFont="1" applyBorder="1" applyAlignment="1">
      <alignment horizontal="center" vertical="center" wrapText="1"/>
    </xf>
    <xf numFmtId="49" fontId="55" fillId="0" borderId="7"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55" fillId="0" borderId="2" xfId="0" applyNumberFormat="1" applyFont="1" applyBorder="1" applyAlignment="1">
      <alignment horizontal="center" vertical="center" wrapText="1"/>
    </xf>
    <xf numFmtId="1" fontId="22" fillId="0" borderId="0" xfId="0" applyNumberFormat="1" applyFont="1"/>
    <xf numFmtId="168" fontId="57" fillId="0" borderId="0" xfId="0" applyNumberFormat="1" applyFont="1" applyAlignment="1">
      <alignment horizontal="center" vertical="center" wrapText="1"/>
    </xf>
    <xf numFmtId="168" fontId="28" fillId="0" borderId="0" xfId="0" applyNumberFormat="1" applyFont="1" applyAlignment="1">
      <alignment horizontal="center" vertical="center" wrapText="1"/>
    </xf>
    <xf numFmtId="0" fontId="62" fillId="0" borderId="0" xfId="0" applyFont="1" applyAlignment="1">
      <alignment horizontal="center" vertical="center" wrapText="1"/>
    </xf>
    <xf numFmtId="9" fontId="57" fillId="0" borderId="1" xfId="557" applyFont="1" applyFill="1" applyBorder="1" applyAlignment="1">
      <alignment horizontal="center" vertical="center" wrapText="1"/>
    </xf>
    <xf numFmtId="9" fontId="55" fillId="0" borderId="1" xfId="557" applyFont="1" applyFill="1" applyBorder="1" applyAlignment="1">
      <alignment horizontal="center" vertical="center" wrapText="1"/>
    </xf>
    <xf numFmtId="9" fontId="55" fillId="0" borderId="10" xfId="557" applyFont="1" applyFill="1" applyBorder="1" applyAlignment="1">
      <alignment horizontal="center" vertical="center" wrapText="1"/>
    </xf>
    <xf numFmtId="3" fontId="28" fillId="0" borderId="1" xfId="0" applyNumberFormat="1" applyFont="1" applyBorder="1" applyAlignment="1">
      <alignment horizontal="center" vertical="center" wrapText="1"/>
    </xf>
    <xf numFmtId="49" fontId="57" fillId="0" borderId="2" xfId="0" applyNumberFormat="1" applyFont="1" applyBorder="1" applyAlignment="1">
      <alignment horizontal="center" vertical="center" wrapText="1"/>
    </xf>
    <xf numFmtId="168" fontId="28" fillId="0" borderId="8" xfId="0" applyNumberFormat="1" applyFont="1" applyBorder="1" applyAlignment="1">
      <alignment horizontal="center" vertical="center" wrapText="1"/>
    </xf>
    <xf numFmtId="0" fontId="22" fillId="0" borderId="11" xfId="0" applyFont="1" applyBorder="1"/>
    <xf numFmtId="169" fontId="22" fillId="0" borderId="23" xfId="379" applyNumberFormat="1" applyFont="1" applyFill="1" applyBorder="1" applyAlignment="1">
      <alignment horizontal="center"/>
    </xf>
    <xf numFmtId="49" fontId="22" fillId="0" borderId="2"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29" fillId="0" borderId="42" xfId="0" applyFont="1" applyBorder="1"/>
    <xf numFmtId="0" fontId="29" fillId="0" borderId="9" xfId="0" applyFont="1" applyBorder="1"/>
    <xf numFmtId="0" fontId="29" fillId="0" borderId="10" xfId="0" applyFont="1" applyBorder="1"/>
    <xf numFmtId="0" fontId="39" fillId="0" borderId="0" xfId="0" applyFont="1"/>
    <xf numFmtId="0" fontId="57" fillId="0" borderId="28" xfId="0" applyFont="1" applyBorder="1" applyAlignment="1">
      <alignment horizontal="center" wrapText="1"/>
    </xf>
    <xf numFmtId="43" fontId="22" fillId="0" borderId="1" xfId="379" applyFont="1" applyFill="1" applyBorder="1"/>
    <xf numFmtId="166" fontId="22" fillId="0" borderId="26" xfId="0" applyNumberFormat="1" applyFont="1" applyBorder="1"/>
    <xf numFmtId="0" fontId="28" fillId="0" borderId="2" xfId="0" quotePrefix="1" applyFont="1" applyBorder="1" applyAlignment="1">
      <alignment horizontal="center" vertical="center" wrapText="1"/>
    </xf>
    <xf numFmtId="170" fontId="22" fillId="0" borderId="0" xfId="379" applyNumberFormat="1" applyFont="1" applyFill="1" applyBorder="1" applyAlignment="1">
      <alignment horizontal="center"/>
    </xf>
    <xf numFmtId="170" fontId="55" fillId="0" borderId="0" xfId="379" applyNumberFormat="1" applyFont="1" applyFill="1" applyBorder="1" applyAlignment="1">
      <alignment horizontal="center"/>
    </xf>
    <xf numFmtId="169" fontId="22" fillId="0" borderId="0" xfId="379" applyNumberFormat="1" applyFont="1"/>
    <xf numFmtId="166" fontId="22" fillId="0" borderId="50" xfId="0" applyNumberFormat="1" applyFont="1" applyBorder="1" applyAlignment="1">
      <alignment horizontal="center"/>
    </xf>
    <xf numFmtId="169" fontId="22" fillId="0" borderId="2" xfId="379" applyNumberFormat="1" applyFont="1" applyBorder="1"/>
    <xf numFmtId="0" fontId="22" fillId="0" borderId="8" xfId="0" applyFont="1" applyBorder="1"/>
    <xf numFmtId="169" fontId="22" fillId="0" borderId="9" xfId="379" applyNumberFormat="1" applyFont="1" applyBorder="1"/>
    <xf numFmtId="0" fontId="29" fillId="0" borderId="1" xfId="0" applyFont="1" applyBorder="1" applyAlignment="1" applyProtection="1">
      <alignment horizontal="center" wrapText="1"/>
      <protection locked="0"/>
    </xf>
    <xf numFmtId="0" fontId="22" fillId="0" borderId="0" xfId="0" applyFont="1" applyProtection="1">
      <protection locked="0"/>
    </xf>
    <xf numFmtId="0" fontId="22" fillId="0" borderId="0" xfId="0" applyFont="1" applyAlignment="1" applyProtection="1">
      <alignment horizontal="center"/>
      <protection locked="0"/>
    </xf>
    <xf numFmtId="0" fontId="37" fillId="0" borderId="0" xfId="0" applyFont="1" applyAlignment="1" applyProtection="1">
      <alignment horizontal="left"/>
      <protection locked="0"/>
    </xf>
    <xf numFmtId="0" fontId="29" fillId="0" borderId="0" xfId="0" applyFont="1" applyAlignment="1" applyProtection="1">
      <alignment horizontal="center" wrapText="1"/>
      <protection locked="0"/>
    </xf>
    <xf numFmtId="0" fontId="22" fillId="0" borderId="1" xfId="0" applyFont="1" applyBorder="1" applyAlignment="1" applyProtection="1">
      <alignment horizontal="center"/>
      <protection locked="0"/>
    </xf>
    <xf numFmtId="49" fontId="22" fillId="0" borderId="1" xfId="0" applyNumberFormat="1" applyFont="1" applyBorder="1" applyAlignment="1" applyProtection="1">
      <alignment horizontal="center"/>
      <protection locked="0"/>
    </xf>
    <xf numFmtId="2" fontId="22" fillId="33" borderId="23" xfId="379" applyNumberFormat="1" applyFont="1" applyFill="1" applyBorder="1" applyAlignment="1" applyProtection="1">
      <alignment horizontal="center"/>
      <protection locked="0"/>
    </xf>
    <xf numFmtId="2" fontId="22" fillId="33" borderId="1" xfId="379" applyNumberFormat="1" applyFont="1" applyFill="1" applyBorder="1" applyAlignment="1" applyProtection="1">
      <alignment horizontal="center"/>
      <protection locked="0"/>
    </xf>
    <xf numFmtId="17" fontId="22" fillId="0" borderId="0" xfId="0" applyNumberFormat="1" applyFont="1" applyAlignment="1" applyProtection="1">
      <alignment horizontal="center"/>
      <protection locked="0"/>
    </xf>
    <xf numFmtId="49" fontId="22" fillId="0" borderId="1" xfId="0" applyNumberFormat="1" applyFont="1" applyBorder="1" applyAlignment="1" applyProtection="1">
      <alignment horizontal="center" wrapText="1"/>
      <protection locked="0"/>
    </xf>
    <xf numFmtId="0" fontId="29" fillId="33" borderId="1" xfId="0" applyFont="1" applyFill="1" applyBorder="1" applyAlignment="1" applyProtection="1">
      <alignment horizontal="center" wrapText="1"/>
      <protection locked="0"/>
    </xf>
    <xf numFmtId="169" fontId="22" fillId="33" borderId="23" xfId="379" applyNumberFormat="1" applyFont="1" applyFill="1" applyBorder="1" applyAlignment="1" applyProtection="1">
      <alignment horizontal="center"/>
      <protection locked="0"/>
    </xf>
    <xf numFmtId="0" fontId="65" fillId="0" borderId="0" xfId="0" applyFont="1" applyAlignment="1" applyProtection="1">
      <alignment horizontal="center"/>
      <protection locked="0"/>
    </xf>
    <xf numFmtId="0" fontId="64" fillId="0" borderId="0" xfId="0" applyFont="1" applyAlignment="1" applyProtection="1">
      <alignment horizontal="center"/>
      <protection locked="0"/>
    </xf>
    <xf numFmtId="0" fontId="64" fillId="0" borderId="1" xfId="0" applyFont="1" applyBorder="1" applyAlignment="1" applyProtection="1">
      <alignment horizontal="center"/>
      <protection locked="0"/>
    </xf>
    <xf numFmtId="166" fontId="22" fillId="0" borderId="30" xfId="0" applyNumberFormat="1" applyFont="1" applyBorder="1" applyAlignment="1">
      <alignment horizontal="center"/>
    </xf>
    <xf numFmtId="166" fontId="22" fillId="0" borderId="29" xfId="0" applyNumberFormat="1" applyFont="1" applyBorder="1" applyAlignment="1">
      <alignment horizontal="center"/>
    </xf>
    <xf numFmtId="0" fontId="0" fillId="0" borderId="0" xfId="0" applyProtection="1">
      <protection locked="0"/>
    </xf>
    <xf numFmtId="0" fontId="61" fillId="0" borderId="0" xfId="0" applyFont="1" applyAlignment="1" applyProtection="1">
      <alignment horizontal="left" vertical="center"/>
      <protection locked="0"/>
    </xf>
    <xf numFmtId="0" fontId="22" fillId="0" borderId="42" xfId="0" applyFont="1" applyBorder="1" applyAlignment="1" applyProtection="1">
      <alignment horizontal="center"/>
      <protection locked="0"/>
    </xf>
    <xf numFmtId="0" fontId="29" fillId="0" borderId="42" xfId="0" applyFont="1" applyBorder="1" applyAlignment="1" applyProtection="1">
      <alignment horizontal="center" wrapText="1"/>
      <protection locked="0"/>
    </xf>
    <xf numFmtId="0" fontId="22" fillId="0" borderId="66" xfId="0" applyFont="1" applyBorder="1" applyProtection="1">
      <protection locked="0"/>
    </xf>
    <xf numFmtId="0" fontId="22" fillId="0" borderId="47" xfId="0" applyFont="1" applyBorder="1" applyAlignment="1" applyProtection="1">
      <alignment horizontal="center"/>
      <protection locked="0"/>
    </xf>
    <xf numFmtId="17" fontId="22" fillId="0" borderId="23" xfId="0" applyNumberFormat="1" applyFont="1" applyBorder="1" applyAlignment="1" applyProtection="1">
      <alignment horizontal="center"/>
      <protection locked="0"/>
    </xf>
    <xf numFmtId="169" fontId="22" fillId="0" borderId="23" xfId="379" applyNumberFormat="1" applyFont="1" applyFill="1" applyBorder="1" applyAlignment="1" applyProtection="1">
      <alignment horizontal="center"/>
      <protection locked="0"/>
    </xf>
    <xf numFmtId="0" fontId="22" fillId="0" borderId="23" xfId="0" applyFont="1" applyBorder="1" applyProtection="1">
      <protection locked="0"/>
    </xf>
    <xf numFmtId="169" fontId="22" fillId="33" borderId="1" xfId="379" applyNumberFormat="1" applyFont="1" applyFill="1" applyBorder="1" applyAlignment="1" applyProtection="1">
      <alignment horizontal="center"/>
      <protection locked="0"/>
    </xf>
    <xf numFmtId="0" fontId="22" fillId="0" borderId="1" xfId="0" applyFont="1" applyBorder="1" applyProtection="1">
      <protection locked="0"/>
    </xf>
    <xf numFmtId="43" fontId="22" fillId="0" borderId="1" xfId="379" applyFont="1" applyFill="1" applyBorder="1" applyProtection="1">
      <protection locked="0"/>
    </xf>
    <xf numFmtId="0" fontId="26" fillId="0" borderId="0" xfId="0" applyFont="1" applyProtection="1">
      <protection locked="0"/>
    </xf>
    <xf numFmtId="10" fontId="22" fillId="0" borderId="1" xfId="557" applyNumberFormat="1" applyFont="1" applyBorder="1" applyAlignment="1" applyProtection="1">
      <alignment horizontal="center"/>
      <protection locked="0"/>
    </xf>
    <xf numFmtId="0" fontId="31" fillId="0" borderId="0" xfId="0" applyFont="1" applyAlignment="1" applyProtection="1">
      <alignment horizontal="center"/>
      <protection locked="0"/>
    </xf>
    <xf numFmtId="0" fontId="31" fillId="0" borderId="0" xfId="0" quotePrefix="1" applyFont="1" applyAlignment="1" applyProtection="1">
      <alignment horizontal="center"/>
      <protection locked="0"/>
    </xf>
    <xf numFmtId="9" fontId="22" fillId="0" borderId="0" xfId="557" applyFont="1" applyProtection="1">
      <protection locked="0"/>
    </xf>
    <xf numFmtId="0" fontId="29" fillId="0" borderId="0" xfId="0" applyFont="1" applyProtection="1">
      <protection locked="0"/>
    </xf>
    <xf numFmtId="10" fontId="29" fillId="0" borderId="0" xfId="0" applyNumberFormat="1" applyFont="1" applyAlignment="1" applyProtection="1">
      <alignment horizontal="center"/>
      <protection locked="0"/>
    </xf>
    <xf numFmtId="17" fontId="22" fillId="0" borderId="0" xfId="0" applyNumberFormat="1" applyFont="1" applyProtection="1">
      <protection locked="0"/>
    </xf>
    <xf numFmtId="174" fontId="22" fillId="0" borderId="0" xfId="379" applyNumberFormat="1" applyFont="1" applyBorder="1" applyProtection="1">
      <protection locked="0"/>
    </xf>
    <xf numFmtId="172" fontId="22" fillId="0" borderId="0" xfId="379" applyNumberFormat="1" applyFont="1" applyBorder="1" applyProtection="1">
      <protection locked="0"/>
    </xf>
    <xf numFmtId="9" fontId="22" fillId="0" borderId="0" xfId="0" applyNumberFormat="1" applyFont="1" applyProtection="1">
      <protection locked="0"/>
    </xf>
    <xf numFmtId="0" fontId="29" fillId="33" borderId="42" xfId="0" applyFont="1" applyFill="1" applyBorder="1" applyAlignment="1">
      <alignment horizontal="center" wrapText="1"/>
    </xf>
    <xf numFmtId="0" fontId="29" fillId="33" borderId="26" xfId="0" applyFont="1" applyFill="1" applyBorder="1" applyAlignment="1">
      <alignment horizontal="center" wrapText="1"/>
    </xf>
    <xf numFmtId="0" fontId="0" fillId="0" borderId="25" xfId="0" applyBorder="1"/>
    <xf numFmtId="0" fontId="68" fillId="0" borderId="24" xfId="0" applyFont="1" applyBorder="1" applyAlignment="1">
      <alignment horizontal="center"/>
    </xf>
    <xf numFmtId="0" fontId="68" fillId="0" borderId="24" xfId="0" applyFont="1" applyBorder="1" applyAlignment="1">
      <alignment horizontal="centerContinuous"/>
    </xf>
    <xf numFmtId="3" fontId="22" fillId="0" borderId="0" xfId="0" applyNumberFormat="1" applyFont="1"/>
    <xf numFmtId="43" fontId="22" fillId="0" borderId="0" xfId="0" applyNumberFormat="1" applyFont="1" applyAlignment="1">
      <alignment horizontal="center"/>
    </xf>
    <xf numFmtId="3" fontId="55" fillId="0" borderId="47" xfId="0" applyNumberFormat="1" applyFont="1" applyBorder="1" applyAlignment="1">
      <alignment horizontal="center" vertical="center" wrapText="1"/>
    </xf>
    <xf numFmtId="0" fontId="57" fillId="0" borderId="23" xfId="0" applyFont="1" applyBorder="1" applyAlignment="1">
      <alignment horizontal="center" vertical="center" wrapText="1"/>
    </xf>
    <xf numFmtId="0" fontId="22" fillId="0" borderId="39" xfId="0" applyFont="1" applyBorder="1" applyAlignment="1">
      <alignment horizontal="left"/>
    </xf>
    <xf numFmtId="2" fontId="55" fillId="0" borderId="40" xfId="0" applyNumberFormat="1" applyFont="1" applyBorder="1" applyAlignment="1">
      <alignment horizontal="center"/>
    </xf>
    <xf numFmtId="0" fontId="22" fillId="0" borderId="64" xfId="0" applyFont="1" applyBorder="1" applyAlignment="1">
      <alignment horizontal="left"/>
    </xf>
    <xf numFmtId="0" fontId="22" fillId="0" borderId="26" xfId="0" applyFont="1" applyBorder="1" applyAlignment="1">
      <alignment horizontal="center"/>
    </xf>
    <xf numFmtId="169" fontId="22" fillId="0" borderId="26" xfId="379" applyNumberFormat="1" applyFont="1" applyBorder="1"/>
    <xf numFmtId="169" fontId="22" fillId="0" borderId="1" xfId="379" applyNumberFormat="1" applyFont="1" applyBorder="1" applyAlignment="1">
      <alignment horizontal="center"/>
    </xf>
    <xf numFmtId="169" fontId="22" fillId="0" borderId="10" xfId="379" applyNumberFormat="1" applyFont="1" applyFill="1" applyBorder="1" applyAlignment="1">
      <alignment horizontal="center"/>
    </xf>
    <xf numFmtId="169" fontId="28" fillId="0" borderId="1" xfId="379" applyNumberFormat="1" applyFont="1" applyBorder="1" applyAlignment="1">
      <alignment horizontal="center"/>
    </xf>
    <xf numFmtId="169" fontId="22" fillId="33" borderId="1" xfId="379" applyNumberFormat="1" applyFont="1" applyFill="1" applyBorder="1" applyAlignment="1">
      <alignment horizontal="center"/>
    </xf>
    <xf numFmtId="169" fontId="22" fillId="33" borderId="10" xfId="379" applyNumberFormat="1" applyFont="1" applyFill="1" applyBorder="1" applyAlignment="1">
      <alignment horizontal="center"/>
    </xf>
    <xf numFmtId="169" fontId="22" fillId="0" borderId="0" xfId="0" applyNumberFormat="1" applyFont="1"/>
    <xf numFmtId="0" fontId="22" fillId="0" borderId="20" xfId="0" applyFont="1" applyBorder="1"/>
    <xf numFmtId="2" fontId="22" fillId="33" borderId="4" xfId="379" applyNumberFormat="1" applyFont="1" applyFill="1" applyBorder="1" applyAlignment="1" applyProtection="1">
      <alignment horizontal="center"/>
      <protection locked="0"/>
    </xf>
    <xf numFmtId="0" fontId="29" fillId="0" borderId="0" xfId="0" applyFont="1" applyAlignment="1" applyProtection="1">
      <alignment horizontal="center" vertical="center"/>
      <protection locked="0"/>
    </xf>
    <xf numFmtId="0" fontId="22" fillId="0" borderId="68" xfId="0" applyFont="1" applyBorder="1" applyAlignment="1">
      <alignment horizontal="center"/>
    </xf>
    <xf numFmtId="0" fontId="0" fillId="0" borderId="66" xfId="0" applyBorder="1"/>
    <xf numFmtId="0" fontId="72" fillId="0" borderId="0" xfId="0" applyFont="1"/>
    <xf numFmtId="0" fontId="73" fillId="0" borderId="17" xfId="0" applyFont="1" applyBorder="1" applyAlignment="1">
      <alignment horizontal="center"/>
    </xf>
    <xf numFmtId="0" fontId="73" fillId="0" borderId="47" xfId="0" applyFont="1" applyBorder="1"/>
    <xf numFmtId="0" fontId="73" fillId="0" borderId="21" xfId="0" applyFont="1" applyBorder="1" applyAlignment="1">
      <alignment horizontal="center"/>
    </xf>
    <xf numFmtId="0" fontId="73" fillId="0" borderId="52" xfId="0" applyFont="1" applyBorder="1"/>
    <xf numFmtId="0" fontId="73" fillId="0" borderId="53" xfId="0" applyFont="1" applyBorder="1" applyAlignment="1">
      <alignment horizontal="center"/>
    </xf>
    <xf numFmtId="0" fontId="73" fillId="0" borderId="0" xfId="0" applyFont="1" applyAlignment="1">
      <alignment horizontal="center"/>
    </xf>
    <xf numFmtId="3" fontId="57" fillId="0" borderId="28" xfId="0" applyNumberFormat="1" applyFont="1" applyBorder="1" applyAlignment="1">
      <alignment horizontal="center" vertical="center" wrapText="1"/>
    </xf>
    <xf numFmtId="0" fontId="22" fillId="0" borderId="83" xfId="0" applyFont="1" applyBorder="1"/>
    <xf numFmtId="2" fontId="22" fillId="0" borderId="0" xfId="379" applyNumberFormat="1" applyFont="1" applyFill="1" applyBorder="1" applyAlignment="1" applyProtection="1">
      <alignment horizontal="center"/>
      <protection locked="0"/>
    </xf>
    <xf numFmtId="0" fontId="64" fillId="0" borderId="1" xfId="0" applyFont="1" applyBorder="1" applyAlignment="1">
      <alignment horizontal="center"/>
    </xf>
    <xf numFmtId="168" fontId="28" fillId="0" borderId="50" xfId="0" applyNumberFormat="1" applyFont="1" applyBorder="1" applyAlignment="1">
      <alignment horizontal="center" vertical="center" wrapText="1"/>
    </xf>
    <xf numFmtId="0" fontId="64" fillId="0" borderId="15" xfId="0" applyFont="1" applyBorder="1"/>
    <xf numFmtId="0" fontId="64" fillId="0" borderId="50" xfId="0" applyFont="1" applyBorder="1"/>
    <xf numFmtId="0" fontId="64" fillId="0" borderId="16" xfId="0" applyFont="1" applyBorder="1"/>
    <xf numFmtId="0" fontId="22" fillId="0" borderId="0" xfId="0" applyFont="1" applyAlignment="1">
      <alignment horizontal="center" wrapText="1"/>
    </xf>
    <xf numFmtId="0" fontId="64" fillId="0" borderId="15" xfId="0" applyFont="1" applyBorder="1" applyAlignment="1">
      <alignment horizontal="center"/>
    </xf>
    <xf numFmtId="2" fontId="89" fillId="33" borderId="4" xfId="379" applyNumberFormat="1" applyFont="1" applyFill="1" applyBorder="1" applyAlignment="1" applyProtection="1">
      <alignment horizontal="center"/>
      <protection locked="0"/>
    </xf>
    <xf numFmtId="0" fontId="90" fillId="0" borderId="0" xfId="0" applyFont="1" applyAlignment="1">
      <alignment horizontal="left"/>
    </xf>
    <xf numFmtId="0" fontId="71" fillId="0" borderId="0" xfId="0" applyFont="1" applyAlignment="1" applyProtection="1">
      <alignment horizontal="left" vertical="center"/>
      <protection locked="0"/>
    </xf>
    <xf numFmtId="171" fontId="22" fillId="0" borderId="0" xfId="383" applyNumberFormat="1" applyFont="1" applyFill="1" applyBorder="1" applyAlignment="1"/>
    <xf numFmtId="0" fontId="64" fillId="0" borderId="39" xfId="0" applyFont="1" applyBorder="1" applyAlignment="1">
      <alignment horizontal="center" wrapText="1"/>
    </xf>
    <xf numFmtId="0" fontId="64" fillId="0" borderId="40" xfId="0" applyFont="1" applyBorder="1" applyAlignment="1">
      <alignment horizontal="center" wrapText="1"/>
    </xf>
    <xf numFmtId="3" fontId="64" fillId="0" borderId="30" xfId="0" applyNumberFormat="1" applyFont="1" applyBorder="1" applyAlignment="1">
      <alignment horizontal="center" vertical="center" wrapText="1"/>
    </xf>
    <xf numFmtId="3" fontId="64" fillId="0" borderId="8" xfId="0" applyNumberFormat="1" applyFont="1" applyBorder="1" applyAlignment="1">
      <alignment horizontal="center" vertical="center" wrapText="1"/>
    </xf>
    <xf numFmtId="0" fontId="64" fillId="0" borderId="48" xfId="0" applyFont="1" applyBorder="1"/>
    <xf numFmtId="0" fontId="64" fillId="0" borderId="65" xfId="0" applyFont="1" applyBorder="1"/>
    <xf numFmtId="3" fontId="64" fillId="0" borderId="53" xfId="0" applyNumberFormat="1" applyFont="1" applyBorder="1" applyAlignment="1">
      <alignment horizontal="center" vertical="center" wrapText="1"/>
    </xf>
    <xf numFmtId="3" fontId="64" fillId="0" borderId="21" xfId="0" applyNumberFormat="1" applyFont="1" applyBorder="1" applyAlignment="1">
      <alignment horizontal="center" vertical="center" wrapText="1"/>
    </xf>
    <xf numFmtId="3" fontId="64" fillId="0" borderId="22" xfId="0" applyNumberFormat="1" applyFont="1" applyBorder="1" applyAlignment="1">
      <alignment horizontal="center" vertical="center" wrapText="1"/>
    </xf>
    <xf numFmtId="49" fontId="64" fillId="0" borderId="1" xfId="0" applyNumberFormat="1" applyFont="1" applyBorder="1" applyAlignment="1">
      <alignment horizontal="center"/>
    </xf>
    <xf numFmtId="0" fontId="57" fillId="0" borderId="47" xfId="0" applyFont="1" applyBorder="1" applyAlignment="1">
      <alignment horizontal="center" vertical="center" wrapText="1"/>
    </xf>
    <xf numFmtId="3" fontId="28" fillId="0" borderId="47" xfId="0" applyNumberFormat="1" applyFont="1" applyBorder="1" applyAlignment="1">
      <alignment horizontal="center" vertical="center" wrapText="1"/>
    </xf>
    <xf numFmtId="0" fontId="22" fillId="0" borderId="54" xfId="0" applyFont="1" applyBorder="1" applyAlignment="1">
      <alignment horizontal="center"/>
    </xf>
    <xf numFmtId="49" fontId="64" fillId="0" borderId="53" xfId="0" applyNumberFormat="1" applyFont="1" applyBorder="1" applyAlignment="1">
      <alignment horizontal="center"/>
    </xf>
    <xf numFmtId="49" fontId="64" fillId="0" borderId="21" xfId="0" applyNumberFormat="1" applyFont="1" applyBorder="1" applyAlignment="1">
      <alignment horizontal="center"/>
    </xf>
    <xf numFmtId="49" fontId="64" fillId="0" borderId="17" xfId="0" applyNumberFormat="1" applyFont="1" applyBorder="1" applyAlignment="1">
      <alignment horizontal="center"/>
    </xf>
    <xf numFmtId="0" fontId="62" fillId="0" borderId="37" xfId="637" applyFont="1" applyBorder="1" applyAlignment="1">
      <alignment horizontal="center" vertical="center" wrapText="1"/>
    </xf>
    <xf numFmtId="43" fontId="28" fillId="0" borderId="1" xfId="379" applyFont="1" applyBorder="1" applyAlignment="1">
      <alignment horizontal="center" vertical="center" wrapText="1"/>
    </xf>
    <xf numFmtId="0" fontId="57" fillId="0" borderId="13" xfId="0" applyFont="1" applyBorder="1" applyAlignment="1">
      <alignment horizontal="center" vertical="center" wrapText="1"/>
    </xf>
    <xf numFmtId="3" fontId="64" fillId="0" borderId="54" xfId="0" applyNumberFormat="1" applyFont="1" applyBorder="1" applyAlignment="1">
      <alignment horizontal="center" vertical="center" wrapText="1"/>
    </xf>
    <xf numFmtId="3" fontId="64" fillId="0" borderId="47" xfId="0" applyNumberFormat="1" applyFont="1" applyBorder="1" applyAlignment="1">
      <alignment horizontal="center" vertical="center" wrapText="1"/>
    </xf>
    <xf numFmtId="172" fontId="22" fillId="0" borderId="8" xfId="379" applyNumberFormat="1" applyFont="1" applyFill="1" applyBorder="1" applyAlignment="1"/>
    <xf numFmtId="43" fontId="22" fillId="0" borderId="1" xfId="0" applyNumberFormat="1" applyFont="1" applyBorder="1" applyAlignment="1">
      <alignment horizontal="center"/>
    </xf>
    <xf numFmtId="169" fontId="22" fillId="0" borderId="8" xfId="379" applyNumberFormat="1" applyFont="1" applyBorder="1" applyAlignment="1">
      <alignment horizontal="center"/>
    </xf>
    <xf numFmtId="169" fontId="22" fillId="0" borderId="11" xfId="379" applyNumberFormat="1" applyFont="1" applyBorder="1" applyAlignment="1">
      <alignment horizontal="center"/>
    </xf>
    <xf numFmtId="0" fontId="22" fillId="0" borderId="19" xfId="0" applyFont="1" applyBorder="1" applyAlignment="1">
      <alignment horizontal="center" wrapText="1"/>
    </xf>
    <xf numFmtId="0" fontId="22" fillId="0" borderId="12" xfId="0" applyFont="1" applyBorder="1" applyAlignment="1">
      <alignment horizontal="center" wrapText="1"/>
    </xf>
    <xf numFmtId="0" fontId="22" fillId="0" borderId="13" xfId="0" applyFont="1" applyBorder="1" applyAlignment="1">
      <alignment horizontal="center" wrapText="1"/>
    </xf>
    <xf numFmtId="173" fontId="22" fillId="0" borderId="47" xfId="0" applyNumberFormat="1" applyFont="1" applyBorder="1" applyAlignment="1">
      <alignment horizontal="center"/>
    </xf>
    <xf numFmtId="173" fontId="22" fillId="0" borderId="54" xfId="0" applyNumberFormat="1" applyFont="1" applyBorder="1" applyAlignment="1">
      <alignment horizontal="center"/>
    </xf>
    <xf numFmtId="169" fontId="22" fillId="0" borderId="21" xfId="379" applyNumberFormat="1" applyFont="1" applyBorder="1" applyAlignment="1">
      <alignment horizontal="center"/>
    </xf>
    <xf numFmtId="169" fontId="22" fillId="0" borderId="22" xfId="379" applyNumberFormat="1" applyFont="1" applyBorder="1" applyAlignment="1">
      <alignment horizontal="center"/>
    </xf>
    <xf numFmtId="0" fontId="22" fillId="0" borderId="36" xfId="0" applyFont="1" applyBorder="1" applyAlignment="1">
      <alignment horizontal="center" wrapText="1"/>
    </xf>
    <xf numFmtId="0" fontId="93" fillId="0" borderId="0" xfId="0" applyFont="1" applyAlignment="1">
      <alignment horizontal="left"/>
    </xf>
    <xf numFmtId="1" fontId="57" fillId="0" borderId="2" xfId="0" applyNumberFormat="1" applyFont="1" applyBorder="1" applyAlignment="1">
      <alignment horizontal="center" vertical="center" wrapText="1"/>
    </xf>
    <xf numFmtId="2" fontId="22" fillId="33" borderId="23" xfId="379" applyNumberFormat="1" applyFont="1" applyFill="1" applyBorder="1" applyAlignment="1" applyProtection="1">
      <alignment horizontal="center" wrapText="1"/>
      <protection locked="0"/>
    </xf>
    <xf numFmtId="0" fontId="57" fillId="0" borderId="19" xfId="0" applyFont="1" applyBorder="1" applyAlignment="1">
      <alignment horizontal="center" vertical="center" wrapText="1"/>
    </xf>
    <xf numFmtId="0" fontId="57" fillId="0" borderId="12" xfId="0" applyFont="1" applyBorder="1" applyAlignment="1">
      <alignment horizontal="center" vertical="center" wrapText="1"/>
    </xf>
    <xf numFmtId="0" fontId="94" fillId="0" borderId="88" xfId="0" applyFont="1" applyBorder="1"/>
    <xf numFmtId="0" fontId="94" fillId="0" borderId="89" xfId="0" quotePrefix="1" applyFont="1" applyBorder="1"/>
    <xf numFmtId="0" fontId="94" fillId="0" borderId="89" xfId="0" applyFont="1" applyBorder="1"/>
    <xf numFmtId="0" fontId="73" fillId="0" borderId="89" xfId="0" applyFont="1" applyBorder="1"/>
    <xf numFmtId="0" fontId="73" fillId="0" borderId="17" xfId="0" applyFont="1" applyBorder="1"/>
    <xf numFmtId="0" fontId="94" fillId="0" borderId="90" xfId="0" applyFont="1" applyBorder="1"/>
    <xf numFmtId="0" fontId="94" fillId="0" borderId="0" xfId="0" quotePrefix="1" applyFont="1"/>
    <xf numFmtId="0" fontId="94" fillId="0" borderId="0" xfId="0" applyFont="1"/>
    <xf numFmtId="0" fontId="73" fillId="0" borderId="0" xfId="0" applyFont="1"/>
    <xf numFmtId="0" fontId="73" fillId="0" borderId="66" xfId="0" applyFont="1" applyBorder="1"/>
    <xf numFmtId="0" fontId="94" fillId="0" borderId="52" xfId="0" applyFont="1" applyBorder="1"/>
    <xf numFmtId="0" fontId="94" fillId="0" borderId="68" xfId="0" quotePrefix="1" applyFont="1" applyBorder="1"/>
    <xf numFmtId="0" fontId="94" fillId="0" borderId="68" xfId="0" applyFont="1" applyBorder="1"/>
    <xf numFmtId="0" fontId="73" fillId="0" borderId="68" xfId="0" applyFont="1" applyBorder="1"/>
    <xf numFmtId="0" fontId="73" fillId="0" borderId="53" xfId="0" applyFont="1" applyBorder="1"/>
    <xf numFmtId="0" fontId="62" fillId="0" borderId="36" xfId="637" applyFont="1" applyBorder="1" applyAlignment="1">
      <alignment horizontal="center" vertical="center" wrapText="1"/>
    </xf>
    <xf numFmtId="43" fontId="57" fillId="0" borderId="47" xfId="379" applyFont="1" applyBorder="1" applyAlignment="1">
      <alignment horizontal="center" vertical="center" wrapText="1"/>
    </xf>
    <xf numFmtId="171" fontId="22" fillId="0" borderId="8" xfId="383" applyNumberFormat="1" applyFont="1" applyFill="1" applyBorder="1" applyAlignment="1"/>
    <xf numFmtId="43" fontId="22" fillId="0" borderId="10" xfId="0" applyNumberFormat="1" applyFont="1" applyBorder="1" applyAlignment="1">
      <alignment horizontal="center"/>
    </xf>
    <xf numFmtId="173" fontId="57" fillId="0" borderId="1" xfId="379" applyNumberFormat="1" applyFont="1" applyBorder="1" applyAlignment="1">
      <alignment horizontal="center" vertical="center" wrapText="1"/>
    </xf>
    <xf numFmtId="0" fontId="62" fillId="0" borderId="35" xfId="637" applyFont="1" applyBorder="1" applyAlignment="1">
      <alignment horizontal="center" vertical="center" wrapText="1"/>
    </xf>
    <xf numFmtId="171" fontId="22" fillId="0" borderId="11" xfId="383" applyNumberFormat="1" applyFont="1" applyFill="1" applyBorder="1" applyAlignment="1"/>
    <xf numFmtId="175" fontId="28" fillId="0" borderId="1" xfId="0" applyNumberFormat="1" applyFont="1" applyBorder="1" applyAlignment="1">
      <alignment horizontal="center" vertical="center" wrapText="1"/>
    </xf>
    <xf numFmtId="173" fontId="28" fillId="0" borderId="1" xfId="379" applyNumberFormat="1" applyFont="1" applyBorder="1" applyAlignment="1">
      <alignment horizontal="center" vertical="center" wrapText="1"/>
    </xf>
    <xf numFmtId="169" fontId="22" fillId="0" borderId="1" xfId="379" applyNumberFormat="1" applyFont="1" applyFill="1" applyBorder="1" applyAlignment="1">
      <alignment horizontal="center"/>
    </xf>
    <xf numFmtId="2" fontId="22" fillId="0" borderId="23" xfId="379" applyNumberFormat="1" applyFont="1" applyFill="1" applyBorder="1" applyAlignment="1" applyProtection="1">
      <alignment horizontal="center"/>
      <protection locked="0"/>
    </xf>
    <xf numFmtId="0" fontId="62" fillId="0" borderId="12" xfId="637" applyFont="1" applyBorder="1" applyAlignment="1">
      <alignment horizontal="center" vertical="center" wrapText="1"/>
    </xf>
    <xf numFmtId="0" fontId="62" fillId="0" borderId="13" xfId="637" applyFont="1" applyBorder="1" applyAlignment="1">
      <alignment horizontal="center" vertical="center" wrapText="1"/>
    </xf>
    <xf numFmtId="0" fontId="62" fillId="0" borderId="19" xfId="637" applyFont="1" applyBorder="1" applyAlignment="1">
      <alignment horizontal="center" vertical="center" wrapText="1"/>
    </xf>
    <xf numFmtId="49" fontId="22" fillId="0" borderId="17" xfId="0" applyNumberFormat="1" applyFont="1" applyBorder="1"/>
    <xf numFmtId="0" fontId="22" fillId="0" borderId="17" xfId="0" applyFont="1" applyBorder="1"/>
    <xf numFmtId="0" fontId="29" fillId="0" borderId="17" xfId="0" applyFont="1" applyBorder="1"/>
    <xf numFmtId="0" fontId="29" fillId="0" borderId="22" xfId="0" applyFont="1" applyBorder="1"/>
    <xf numFmtId="169" fontId="22" fillId="0" borderId="1" xfId="379" applyNumberFormat="1" applyFont="1" applyFill="1" applyBorder="1" applyAlignment="1">
      <alignment horizontal="right"/>
    </xf>
    <xf numFmtId="169" fontId="55" fillId="0" borderId="1" xfId="379" applyNumberFormat="1" applyFont="1" applyFill="1" applyBorder="1" applyAlignment="1">
      <alignment horizontal="right"/>
    </xf>
    <xf numFmtId="169" fontId="55" fillId="0" borderId="8" xfId="379" applyNumberFormat="1" applyFont="1" applyFill="1" applyBorder="1" applyAlignment="1">
      <alignment horizontal="right"/>
    </xf>
    <xf numFmtId="169" fontId="22" fillId="0" borderId="42" xfId="379" applyNumberFormat="1" applyFont="1" applyFill="1" applyBorder="1" applyAlignment="1">
      <alignment horizontal="right"/>
    </xf>
    <xf numFmtId="169" fontId="55" fillId="0" borderId="42" xfId="379" applyNumberFormat="1" applyFont="1" applyFill="1" applyBorder="1" applyAlignment="1">
      <alignment horizontal="right"/>
    </xf>
    <xf numFmtId="169" fontId="55" fillId="0" borderId="18" xfId="379" applyNumberFormat="1" applyFont="1" applyFill="1" applyBorder="1" applyAlignment="1">
      <alignment horizontal="right"/>
    </xf>
    <xf numFmtId="169" fontId="29" fillId="0" borderId="42" xfId="379" applyNumberFormat="1" applyFont="1" applyFill="1" applyBorder="1" applyAlignment="1">
      <alignment horizontal="right"/>
    </xf>
    <xf numFmtId="169" fontId="29" fillId="0" borderId="18" xfId="379" applyNumberFormat="1" applyFont="1" applyFill="1" applyBorder="1" applyAlignment="1">
      <alignment horizontal="right"/>
    </xf>
    <xf numFmtId="169" fontId="29" fillId="0" borderId="10" xfId="379" applyNumberFormat="1" applyFont="1" applyFill="1" applyBorder="1" applyAlignment="1">
      <alignment horizontal="right"/>
    </xf>
    <xf numFmtId="169" fontId="29" fillId="0" borderId="11" xfId="379" applyNumberFormat="1" applyFont="1" applyFill="1" applyBorder="1" applyAlignment="1">
      <alignment horizontal="right"/>
    </xf>
    <xf numFmtId="169" fontId="22" fillId="33" borderId="1" xfId="379" applyNumberFormat="1" applyFont="1" applyFill="1" applyBorder="1"/>
    <xf numFmtId="0" fontId="29" fillId="0" borderId="66" xfId="0" applyFont="1" applyBorder="1"/>
    <xf numFmtId="0" fontId="29" fillId="0" borderId="33" xfId="0" applyFont="1" applyBorder="1"/>
    <xf numFmtId="169" fontId="29" fillId="0" borderId="33" xfId="379" applyNumberFormat="1" applyFont="1" applyFill="1" applyBorder="1" applyAlignment="1">
      <alignment horizontal="right"/>
    </xf>
    <xf numFmtId="169" fontId="29" fillId="0" borderId="34" xfId="379" applyNumberFormat="1" applyFont="1" applyFill="1" applyBorder="1" applyAlignment="1">
      <alignment horizontal="right"/>
    </xf>
    <xf numFmtId="0" fontId="22" fillId="0" borderId="22" xfId="0" applyFont="1" applyBorder="1"/>
    <xf numFmtId="169" fontId="22" fillId="0" borderId="10" xfId="379" applyNumberFormat="1" applyFont="1" applyFill="1" applyBorder="1" applyAlignment="1">
      <alignment horizontal="right"/>
    </xf>
    <xf numFmtId="169" fontId="55" fillId="0" borderId="10" xfId="379" applyNumberFormat="1" applyFont="1" applyFill="1" applyBorder="1" applyAlignment="1">
      <alignment horizontal="right"/>
    </xf>
    <xf numFmtId="169" fontId="55" fillId="0" borderId="11" xfId="379" applyNumberFormat="1" applyFont="1" applyFill="1" applyBorder="1" applyAlignment="1">
      <alignment horizontal="right"/>
    </xf>
    <xf numFmtId="3" fontId="57" fillId="0" borderId="30" xfId="0" applyNumberFormat="1" applyFont="1" applyBorder="1" applyAlignment="1">
      <alignment horizontal="center" vertical="center" wrapText="1"/>
    </xf>
    <xf numFmtId="0" fontId="57" fillId="0" borderId="39"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40" xfId="0" applyFont="1" applyBorder="1" applyAlignment="1">
      <alignment horizontal="center" vertical="center" wrapText="1"/>
    </xf>
    <xf numFmtId="9" fontId="57" fillId="0" borderId="8" xfId="557" applyFont="1" applyFill="1" applyBorder="1" applyAlignment="1">
      <alignment horizontal="center" vertical="center" wrapText="1"/>
    </xf>
    <xf numFmtId="9" fontId="55" fillId="0" borderId="8" xfId="557" applyFont="1" applyFill="1" applyBorder="1" applyAlignment="1">
      <alignment horizontal="center" vertical="center" wrapText="1"/>
    </xf>
    <xf numFmtId="9" fontId="55" fillId="0" borderId="11" xfId="557" applyFont="1" applyFill="1" applyBorder="1" applyAlignment="1">
      <alignment horizontal="center" vertical="center" wrapText="1"/>
    </xf>
    <xf numFmtId="0" fontId="62" fillId="0" borderId="20" xfId="637" applyFont="1" applyBorder="1" applyAlignment="1">
      <alignment horizontal="center" vertical="center" wrapText="1"/>
    </xf>
    <xf numFmtId="0" fontId="57" fillId="0" borderId="21" xfId="0" applyFont="1" applyBorder="1" applyAlignment="1">
      <alignment horizontal="center" vertical="center" wrapText="1"/>
    </xf>
    <xf numFmtId="0" fontId="55" fillId="0" borderId="21" xfId="0" applyFont="1" applyBorder="1" applyAlignment="1">
      <alignment horizontal="center" vertical="center" wrapText="1"/>
    </xf>
    <xf numFmtId="0" fontId="28" fillId="0" borderId="53" xfId="0" quotePrefix="1" applyFont="1" applyBorder="1" applyAlignment="1">
      <alignment horizontal="center" vertical="center" wrapText="1"/>
    </xf>
    <xf numFmtId="0" fontId="22" fillId="0" borderId="22" xfId="0" applyFont="1" applyBorder="1" applyAlignment="1">
      <alignment horizontal="center"/>
    </xf>
    <xf numFmtId="0" fontId="22" fillId="0" borderId="20" xfId="0" applyFont="1" applyBorder="1" applyAlignment="1">
      <alignment horizontal="center" wrapText="1"/>
    </xf>
    <xf numFmtId="49" fontId="22" fillId="0" borderId="21" xfId="0" applyNumberFormat="1" applyFont="1" applyBorder="1" applyAlignment="1">
      <alignment horizontal="center"/>
    </xf>
    <xf numFmtId="49" fontId="22" fillId="0" borderId="22" xfId="0" applyNumberFormat="1" applyFont="1" applyBorder="1" applyAlignment="1">
      <alignment horizontal="center"/>
    </xf>
    <xf numFmtId="0" fontId="28" fillId="0" borderId="21" xfId="0" quotePrefix="1" applyFont="1" applyBorder="1" applyAlignment="1">
      <alignment horizontal="center" vertical="center" wrapText="1"/>
    </xf>
    <xf numFmtId="3" fontId="55" fillId="0" borderId="23" xfId="0" applyNumberFormat="1" applyFont="1" applyBorder="1" applyAlignment="1">
      <alignment horizontal="center" vertical="center" wrapText="1"/>
    </xf>
    <xf numFmtId="0" fontId="73" fillId="0" borderId="47" xfId="0" applyFont="1" applyBorder="1" applyAlignment="1">
      <alignment horizontal="left"/>
    </xf>
    <xf numFmtId="184" fontId="114" fillId="0" borderId="1" xfId="891" applyNumberFormat="1" applyFont="1" applyBorder="1"/>
    <xf numFmtId="0" fontId="73" fillId="0" borderId="1" xfId="861" applyFont="1" applyBorder="1" applyAlignment="1">
      <alignment horizontal="center"/>
    </xf>
    <xf numFmtId="0" fontId="113" fillId="0" borderId="0" xfId="0" applyFont="1" applyProtection="1">
      <protection locked="0"/>
    </xf>
    <xf numFmtId="0" fontId="73" fillId="0" borderId="1" xfId="861" applyFont="1" applyBorder="1"/>
    <xf numFmtId="43" fontId="22" fillId="0" borderId="1" xfId="379" applyFont="1" applyBorder="1" applyAlignment="1" applyProtection="1">
      <alignment horizontal="center"/>
      <protection locked="0"/>
    </xf>
    <xf numFmtId="169" fontId="57" fillId="0" borderId="23" xfId="379" applyNumberFormat="1" applyFont="1" applyBorder="1" applyAlignment="1">
      <alignment horizontal="right" vertical="center" wrapText="1"/>
    </xf>
    <xf numFmtId="169" fontId="57" fillId="0" borderId="30" xfId="379" applyNumberFormat="1" applyFont="1" applyBorder="1" applyAlignment="1">
      <alignment horizontal="right" vertical="center" wrapText="1"/>
    </xf>
    <xf numFmtId="169" fontId="22" fillId="0" borderId="8" xfId="379" applyNumberFormat="1" applyFont="1" applyFill="1" applyBorder="1" applyAlignment="1">
      <alignment horizontal="right"/>
    </xf>
    <xf numFmtId="169" fontId="57" fillId="0" borderId="1" xfId="379" applyNumberFormat="1" applyFont="1" applyBorder="1" applyAlignment="1">
      <alignment horizontal="right" vertical="center" wrapText="1"/>
    </xf>
    <xf numFmtId="169" fontId="57" fillId="0" borderId="8" xfId="379" applyNumberFormat="1" applyFont="1" applyBorder="1" applyAlignment="1">
      <alignment horizontal="right" vertical="center" wrapText="1"/>
    </xf>
    <xf numFmtId="0" fontId="22" fillId="0" borderId="0" xfId="0" applyFont="1" applyAlignment="1">
      <alignment vertical="center"/>
    </xf>
    <xf numFmtId="169" fontId="55" fillId="33" borderId="8" xfId="379" applyNumberFormat="1" applyFont="1" applyFill="1" applyBorder="1" applyAlignment="1">
      <alignment horizontal="center"/>
    </xf>
    <xf numFmtId="169" fontId="22" fillId="33" borderId="53" xfId="379" applyNumberFormat="1" applyFont="1" applyFill="1" applyBorder="1" applyAlignment="1">
      <alignment horizontal="center"/>
    </xf>
    <xf numFmtId="169" fontId="55" fillId="33" borderId="15" xfId="379" applyNumberFormat="1" applyFont="1" applyFill="1" applyBorder="1" applyAlignment="1">
      <alignment horizontal="center"/>
    </xf>
    <xf numFmtId="169" fontId="22" fillId="33" borderId="21" xfId="379" applyNumberFormat="1" applyFont="1" applyFill="1" applyBorder="1" applyAlignment="1">
      <alignment horizontal="center"/>
    </xf>
    <xf numFmtId="169" fontId="22" fillId="33" borderId="2" xfId="379" applyNumberFormat="1" applyFont="1" applyFill="1" applyBorder="1" applyAlignment="1">
      <alignment horizontal="center"/>
    </xf>
    <xf numFmtId="169" fontId="67" fillId="33" borderId="1" xfId="379" applyNumberFormat="1" applyFont="1" applyFill="1" applyBorder="1"/>
    <xf numFmtId="169" fontId="22" fillId="33" borderId="21" xfId="379" applyNumberFormat="1" applyFont="1" applyFill="1" applyBorder="1" applyAlignment="1">
      <alignment horizontal="right"/>
    </xf>
    <xf numFmtId="169" fontId="55" fillId="33" borderId="2" xfId="379" applyNumberFormat="1" applyFont="1" applyFill="1" applyBorder="1" applyAlignment="1">
      <alignment horizontal="center"/>
    </xf>
    <xf numFmtId="169" fontId="55" fillId="33" borderId="50" xfId="379" applyNumberFormat="1" applyFont="1" applyFill="1" applyBorder="1" applyAlignment="1">
      <alignment horizontal="center"/>
    </xf>
    <xf numFmtId="169" fontId="22" fillId="33" borderId="42" xfId="379" applyNumberFormat="1" applyFont="1" applyFill="1" applyBorder="1" applyAlignment="1">
      <alignment horizontal="center"/>
    </xf>
    <xf numFmtId="169" fontId="22" fillId="33" borderId="2" xfId="379" applyNumberFormat="1" applyFont="1" applyFill="1" applyBorder="1" applyAlignment="1">
      <alignment horizontal="center" vertical="center"/>
    </xf>
    <xf numFmtId="169" fontId="57" fillId="33" borderId="2" xfId="379" applyNumberFormat="1" applyFont="1" applyFill="1" applyBorder="1" applyAlignment="1">
      <alignment horizontal="center"/>
    </xf>
    <xf numFmtId="169" fontId="38" fillId="33" borderId="2" xfId="379" applyNumberFormat="1" applyFont="1" applyFill="1" applyBorder="1" applyAlignment="1">
      <alignment horizontal="center"/>
    </xf>
    <xf numFmtId="169" fontId="22" fillId="33" borderId="9" xfId="379" applyNumberFormat="1" applyFont="1" applyFill="1" applyBorder="1" applyAlignment="1">
      <alignment horizontal="center"/>
    </xf>
    <xf numFmtId="169" fontId="55" fillId="33" borderId="11" xfId="379" applyNumberFormat="1" applyFont="1" applyFill="1" applyBorder="1" applyAlignment="1">
      <alignment horizontal="center"/>
    </xf>
    <xf numFmtId="169" fontId="22" fillId="33" borderId="22" xfId="379" applyNumberFormat="1" applyFont="1" applyFill="1" applyBorder="1" applyAlignment="1">
      <alignment horizontal="center"/>
    </xf>
    <xf numFmtId="169" fontId="55" fillId="33" borderId="9" xfId="379" applyNumberFormat="1" applyFont="1" applyFill="1" applyBorder="1" applyAlignment="1">
      <alignment horizontal="center"/>
    </xf>
    <xf numFmtId="169" fontId="55" fillId="33" borderId="103" xfId="379" applyNumberFormat="1" applyFont="1" applyFill="1" applyBorder="1" applyAlignment="1">
      <alignment horizontal="center"/>
    </xf>
    <xf numFmtId="169" fontId="22" fillId="33" borderId="1" xfId="379" applyNumberFormat="1" applyFont="1" applyFill="1" applyBorder="1" applyProtection="1">
      <protection locked="0"/>
    </xf>
    <xf numFmtId="169" fontId="22" fillId="33" borderId="23" xfId="379" applyNumberFormat="1" applyFont="1" applyFill="1" applyBorder="1" applyProtection="1">
      <protection locked="0"/>
    </xf>
    <xf numFmtId="169" fontId="22" fillId="0" borderId="0" xfId="0" applyNumberFormat="1" applyFont="1" applyProtection="1">
      <protection locked="0"/>
    </xf>
    <xf numFmtId="0" fontId="29" fillId="0" borderId="48" xfId="0" applyFont="1" applyBorder="1" applyAlignment="1" applyProtection="1">
      <alignment horizontal="center" vertical="center" wrapText="1"/>
      <protection locked="0"/>
    </xf>
    <xf numFmtId="17" fontId="22" fillId="0" borderId="106" xfId="0" applyNumberFormat="1" applyFont="1" applyBorder="1" applyAlignment="1">
      <alignment horizontal="center"/>
    </xf>
    <xf numFmtId="17" fontId="22" fillId="0" borderId="105" xfId="0" applyNumberFormat="1" applyFont="1" applyBorder="1" applyAlignment="1">
      <alignment horizontal="center"/>
    </xf>
    <xf numFmtId="17" fontId="22" fillId="0" borderId="104" xfId="0" applyNumberFormat="1" applyFont="1" applyBorder="1" applyAlignment="1">
      <alignment horizontal="center"/>
    </xf>
    <xf numFmtId="169" fontId="38" fillId="33" borderId="21" xfId="379" applyNumberFormat="1" applyFont="1" applyFill="1" applyBorder="1" applyAlignment="1">
      <alignment horizontal="center"/>
    </xf>
    <xf numFmtId="0" fontId="22" fillId="0" borderId="44" xfId="0" applyFont="1" applyBorder="1" applyAlignment="1">
      <alignment horizontal="center"/>
    </xf>
    <xf numFmtId="43" fontId="55" fillId="0" borderId="0" xfId="379" applyFont="1" applyFill="1" applyBorder="1" applyAlignment="1">
      <alignment horizontal="center"/>
    </xf>
    <xf numFmtId="174" fontId="22" fillId="0" borderId="0" xfId="379" applyNumberFormat="1" applyFont="1" applyFill="1" applyBorder="1" applyAlignment="1">
      <alignment horizontal="center"/>
    </xf>
    <xf numFmtId="169" fontId="22" fillId="33" borderId="7" xfId="379" applyNumberFormat="1" applyFont="1" applyFill="1" applyBorder="1" applyAlignment="1">
      <alignment horizontal="center"/>
    </xf>
    <xf numFmtId="10" fontId="55" fillId="0" borderId="1" xfId="557" applyNumberFormat="1" applyFont="1" applyBorder="1" applyAlignment="1">
      <alignment horizontal="center" vertical="center" wrapText="1"/>
    </xf>
    <xf numFmtId="174" fontId="22" fillId="0" borderId="0" xfId="379" applyNumberFormat="1" applyFont="1"/>
    <xf numFmtId="10" fontId="22" fillId="0" borderId="0" xfId="0" applyNumberFormat="1" applyFont="1" applyAlignment="1">
      <alignment horizontal="center"/>
    </xf>
    <xf numFmtId="10" fontId="22" fillId="0" borderId="0" xfId="379" applyNumberFormat="1" applyFont="1" applyAlignment="1">
      <alignment horizontal="center"/>
    </xf>
    <xf numFmtId="10" fontId="22" fillId="0" borderId="0" xfId="557" applyNumberFormat="1" applyFont="1"/>
    <xf numFmtId="185" fontId="22" fillId="0" borderId="0" xfId="557" applyNumberFormat="1" applyFont="1"/>
    <xf numFmtId="171" fontId="57" fillId="0" borderId="28" xfId="0" applyNumberFormat="1" applyFont="1" applyBorder="1" applyAlignment="1">
      <alignment horizontal="center" wrapText="1"/>
    </xf>
    <xf numFmtId="0" fontId="22" fillId="0" borderId="103" xfId="0" applyFont="1" applyBorder="1" applyAlignment="1">
      <alignment horizontal="center"/>
    </xf>
    <xf numFmtId="0" fontId="116" fillId="0" borderId="16" xfId="0" applyFont="1" applyBorder="1" applyAlignment="1">
      <alignment horizontal="center"/>
    </xf>
    <xf numFmtId="169" fontId="57" fillId="33" borderId="21" xfId="379" applyNumberFormat="1" applyFont="1" applyFill="1" applyBorder="1" applyAlignment="1">
      <alignment horizontal="center"/>
    </xf>
    <xf numFmtId="43" fontId="22" fillId="0" borderId="1" xfId="0" applyNumberFormat="1" applyFont="1" applyBorder="1"/>
    <xf numFmtId="43" fontId="22" fillId="0" borderId="0" xfId="379" applyFont="1"/>
    <xf numFmtId="0" fontId="29" fillId="64" borderId="4" xfId="0" applyFont="1" applyFill="1" applyBorder="1" applyAlignment="1" applyProtection="1">
      <alignment horizontal="center" vertical="center" wrapText="1"/>
      <protection locked="0"/>
    </xf>
    <xf numFmtId="169" fontId="22" fillId="0" borderId="1" xfId="0" applyNumberFormat="1" applyFont="1" applyBorder="1"/>
    <xf numFmtId="0" fontId="22" fillId="0" borderId="0" xfId="0" applyFont="1" applyAlignment="1">
      <alignment wrapText="1"/>
    </xf>
    <xf numFmtId="0" fontId="22" fillId="0" borderId="68" xfId="0" applyFont="1" applyBorder="1" applyAlignment="1">
      <alignment horizontal="center" wrapText="1"/>
    </xf>
    <xf numFmtId="169" fontId="57" fillId="0" borderId="1" xfId="379" applyNumberFormat="1" applyFont="1" applyFill="1" applyBorder="1" applyAlignment="1">
      <alignment horizontal="center" vertical="center" wrapText="1"/>
    </xf>
    <xf numFmtId="169" fontId="57" fillId="0" borderId="23" xfId="379" applyNumberFormat="1" applyFont="1" applyBorder="1" applyAlignment="1">
      <alignment horizontal="center" vertical="center" wrapText="1"/>
    </xf>
    <xf numFmtId="0" fontId="32" fillId="0" borderId="0" xfId="0" applyFont="1"/>
    <xf numFmtId="0" fontId="32" fillId="0" borderId="0" xfId="0" applyFont="1" applyAlignment="1">
      <alignment wrapText="1"/>
    </xf>
    <xf numFmtId="169" fontId="32" fillId="0" borderId="0" xfId="379" applyNumberFormat="1" applyFont="1" applyAlignment="1">
      <alignment wrapText="1"/>
    </xf>
    <xf numFmtId="0" fontId="32" fillId="0" borderId="0" xfId="0" applyFont="1" applyAlignment="1">
      <alignment horizontal="right"/>
    </xf>
    <xf numFmtId="0" fontId="32" fillId="0" borderId="1" xfId="0" applyFont="1" applyBorder="1" applyAlignment="1">
      <alignment horizontal="right"/>
    </xf>
    <xf numFmtId="169" fontId="32" fillId="0" borderId="1" xfId="379" applyNumberFormat="1" applyFont="1" applyBorder="1" applyAlignment="1">
      <alignment wrapText="1"/>
    </xf>
    <xf numFmtId="186" fontId="32" fillId="0" borderId="1" xfId="978" applyNumberFormat="1" applyFont="1" applyBorder="1" applyAlignment="1">
      <alignment wrapText="1"/>
    </xf>
    <xf numFmtId="0" fontId="118" fillId="63" borderId="1" xfId="0" applyFont="1" applyFill="1" applyBorder="1" applyAlignment="1">
      <alignment horizontal="right"/>
    </xf>
    <xf numFmtId="169" fontId="118" fillId="63" borderId="1" xfId="379" applyNumberFormat="1" applyFont="1" applyFill="1" applyBorder="1" applyAlignment="1">
      <alignment wrapText="1"/>
    </xf>
    <xf numFmtId="186" fontId="118" fillId="63" borderId="1" xfId="978" applyNumberFormat="1" applyFont="1" applyFill="1" applyBorder="1" applyAlignment="1">
      <alignment wrapText="1"/>
    </xf>
    <xf numFmtId="169" fontId="89" fillId="0" borderId="1" xfId="379" applyNumberFormat="1" applyFont="1" applyBorder="1" applyAlignment="1">
      <alignment horizontal="center" wrapText="1"/>
    </xf>
    <xf numFmtId="0" fontId="37" fillId="0" borderId="1" xfId="0" applyFont="1" applyBorder="1" applyAlignment="1">
      <alignment wrapText="1"/>
    </xf>
    <xf numFmtId="0" fontId="89" fillId="0" borderId="0" xfId="608" applyFont="1"/>
    <xf numFmtId="0" fontId="33" fillId="0" borderId="0" xfId="608" applyFont="1"/>
    <xf numFmtId="169" fontId="32" fillId="0" borderId="0" xfId="0" applyNumberFormat="1" applyFont="1"/>
    <xf numFmtId="0" fontId="32" fillId="0" borderId="0" xfId="608" applyFont="1"/>
    <xf numFmtId="169" fontId="32" fillId="33" borderId="1" xfId="379" applyNumberFormat="1" applyFont="1" applyFill="1" applyBorder="1"/>
    <xf numFmtId="187" fontId="119" fillId="0" borderId="0" xfId="608" applyNumberFormat="1" applyFont="1"/>
    <xf numFmtId="0" fontId="34" fillId="0" borderId="0" xfId="608" applyFont="1"/>
    <xf numFmtId="166" fontId="32" fillId="0" borderId="0" xfId="983" applyNumberFormat="1" applyFont="1" applyFill="1"/>
    <xf numFmtId="166" fontId="32" fillId="0" borderId="0" xfId="608" applyNumberFormat="1" applyFont="1"/>
    <xf numFmtId="0" fontId="33" fillId="0" borderId="0" xfId="608" applyFont="1" applyAlignment="1">
      <alignment horizontal="left" indent="1"/>
    </xf>
    <xf numFmtId="0" fontId="32" fillId="0" borderId="0" xfId="608" applyFont="1" applyAlignment="1">
      <alignment horizontal="left" indent="2"/>
    </xf>
    <xf numFmtId="166" fontId="32" fillId="0" borderId="0" xfId="608" applyNumberFormat="1" applyFont="1" applyAlignment="1">
      <alignment horizontal="center"/>
    </xf>
    <xf numFmtId="0" fontId="32" fillId="0" borderId="0" xfId="608" applyFont="1" applyAlignment="1">
      <alignment horizontal="left" indent="1"/>
    </xf>
    <xf numFmtId="0" fontId="32" fillId="0" borderId="0" xfId="608" applyFont="1" applyAlignment="1">
      <alignment horizontal="center"/>
    </xf>
    <xf numFmtId="169" fontId="36" fillId="33" borderId="39" xfId="379" applyNumberFormat="1" applyFont="1" applyFill="1" applyBorder="1"/>
    <xf numFmtId="169" fontId="36" fillId="33" borderId="40" xfId="379" applyNumberFormat="1" applyFont="1" applyFill="1" applyBorder="1"/>
    <xf numFmtId="169" fontId="32" fillId="0" borderId="0" xfId="379" applyNumberFormat="1" applyFont="1"/>
    <xf numFmtId="174" fontId="32" fillId="0" borderId="0" xfId="379" applyNumberFormat="1" applyFont="1"/>
    <xf numFmtId="174" fontId="32" fillId="0" borderId="0" xfId="379" applyNumberFormat="1" applyFont="1" applyAlignment="1">
      <alignment horizontal="center"/>
    </xf>
    <xf numFmtId="0" fontId="34" fillId="0" borderId="0" xfId="608" applyFont="1" applyAlignment="1">
      <alignment horizontal="center"/>
    </xf>
    <xf numFmtId="169" fontId="32" fillId="0" borderId="1" xfId="379" applyNumberFormat="1" applyFont="1" applyBorder="1"/>
    <xf numFmtId="174" fontId="32" fillId="0" borderId="1" xfId="379" applyNumberFormat="1" applyFont="1" applyBorder="1" applyAlignment="1">
      <alignment horizontal="center"/>
    </xf>
    <xf numFmtId="174" fontId="32" fillId="0" borderId="1" xfId="379" applyNumberFormat="1" applyFont="1" applyBorder="1"/>
    <xf numFmtId="49" fontId="32" fillId="0" borderId="0" xfId="0" applyNumberFormat="1" applyFont="1" applyAlignment="1">
      <alignment horizontal="center"/>
    </xf>
    <xf numFmtId="169" fontId="32" fillId="0" borderId="0" xfId="379" applyNumberFormat="1" applyFont="1" applyFill="1" applyBorder="1"/>
    <xf numFmtId="174" fontId="32" fillId="0" borderId="0" xfId="379" applyNumberFormat="1" applyFont="1" applyFill="1" applyBorder="1"/>
    <xf numFmtId="169" fontId="118" fillId="63" borderId="0" xfId="379" applyNumberFormat="1" applyFont="1" applyFill="1" applyBorder="1"/>
    <xf numFmtId="169" fontId="32" fillId="33" borderId="42" xfId="379" applyNumberFormat="1" applyFont="1" applyFill="1" applyBorder="1"/>
    <xf numFmtId="169" fontId="32" fillId="35" borderId="39" xfId="379" applyNumberFormat="1" applyFont="1" applyFill="1" applyBorder="1"/>
    <xf numFmtId="169" fontId="32" fillId="35" borderId="26" xfId="379" applyNumberFormat="1" applyFont="1" applyFill="1" applyBorder="1"/>
    <xf numFmtId="169" fontId="32" fillId="35" borderId="40" xfId="379" applyNumberFormat="1" applyFont="1" applyFill="1" applyBorder="1"/>
    <xf numFmtId="49" fontId="118" fillId="63" borderId="1" xfId="379" applyNumberFormat="1" applyFont="1" applyFill="1" applyBorder="1" applyAlignment="1">
      <alignment horizontal="center"/>
    </xf>
    <xf numFmtId="49" fontId="118" fillId="63" borderId="1" xfId="0" applyNumberFormat="1" applyFont="1" applyFill="1" applyBorder="1" applyAlignment="1">
      <alignment horizontal="center"/>
    </xf>
    <xf numFmtId="174" fontId="32" fillId="64" borderId="1" xfId="379" applyNumberFormat="1" applyFont="1" applyFill="1" applyBorder="1" applyAlignment="1">
      <alignment horizontal="center"/>
    </xf>
    <xf numFmtId="169" fontId="120" fillId="63" borderId="1" xfId="379" applyNumberFormat="1" applyFont="1" applyFill="1" applyBorder="1" applyAlignment="1">
      <alignment horizontal="center" wrapText="1"/>
    </xf>
    <xf numFmtId="0" fontId="121" fillId="63" borderId="1" xfId="0" applyFont="1" applyFill="1" applyBorder="1" applyAlignment="1">
      <alignment wrapText="1"/>
    </xf>
    <xf numFmtId="169" fontId="32" fillId="35" borderId="39" xfId="0" applyNumberFormat="1" applyFont="1" applyFill="1" applyBorder="1"/>
    <xf numFmtId="169" fontId="32" fillId="35" borderId="26" xfId="0" applyNumberFormat="1" applyFont="1" applyFill="1" applyBorder="1"/>
    <xf numFmtId="169" fontId="32" fillId="35" borderId="40" xfId="0" applyNumberFormat="1" applyFont="1" applyFill="1" applyBorder="1"/>
    <xf numFmtId="2" fontId="32" fillId="0" borderId="0" xfId="608" applyNumberFormat="1" applyFont="1"/>
    <xf numFmtId="43" fontId="22" fillId="0" borderId="0" xfId="379" applyFont="1" applyBorder="1" applyProtection="1">
      <protection locked="0"/>
    </xf>
    <xf numFmtId="0" fontId="68" fillId="0" borderId="0" xfId="0" applyFont="1" applyAlignment="1">
      <alignment horizontal="center"/>
    </xf>
    <xf numFmtId="43" fontId="32" fillId="0" borderId="0" xfId="379" applyFont="1" applyAlignment="1">
      <alignment horizontal="center"/>
    </xf>
    <xf numFmtId="172" fontId="32" fillId="0" borderId="0" xfId="379" applyNumberFormat="1" applyFont="1" applyAlignment="1">
      <alignment horizontal="center"/>
    </xf>
    <xf numFmtId="43" fontId="32" fillId="0" borderId="0" xfId="379" applyFont="1"/>
    <xf numFmtId="10" fontId="32" fillId="0" borderId="0" xfId="557" applyNumberFormat="1" applyFont="1" applyAlignment="1">
      <alignment horizontal="center"/>
    </xf>
    <xf numFmtId="3" fontId="32" fillId="0" borderId="0" xfId="0" applyNumberFormat="1" applyFont="1"/>
    <xf numFmtId="0" fontId="32" fillId="0" borderId="1" xfId="0" applyFont="1" applyBorder="1" applyAlignment="1">
      <alignment horizontal="center"/>
    </xf>
    <xf numFmtId="3" fontId="32" fillId="0" borderId="1" xfId="0" applyNumberFormat="1" applyFont="1" applyBorder="1"/>
    <xf numFmtId="10" fontId="32" fillId="0" borderId="1" xfId="557" applyNumberFormat="1" applyFont="1" applyBorder="1" applyAlignment="1">
      <alignment horizontal="center"/>
    </xf>
    <xf numFmtId="169" fontId="32" fillId="0" borderId="0" xfId="379" applyNumberFormat="1" applyFont="1" applyAlignment="1">
      <alignment horizontal="center"/>
    </xf>
    <xf numFmtId="169" fontId="32" fillId="0" borderId="1" xfId="379" applyNumberFormat="1" applyFont="1" applyBorder="1" applyAlignment="1">
      <alignment horizontal="center"/>
    </xf>
    <xf numFmtId="169" fontId="32" fillId="0" borderId="47" xfId="379" applyNumberFormat="1" applyFont="1" applyBorder="1" applyAlignment="1">
      <alignment horizontal="center"/>
    </xf>
    <xf numFmtId="10" fontId="32" fillId="66" borderId="4" xfId="557" applyNumberFormat="1" applyFont="1" applyFill="1" applyBorder="1" applyAlignment="1">
      <alignment horizontal="center"/>
    </xf>
    <xf numFmtId="0" fontId="32" fillId="0" borderId="23" xfId="0" applyFont="1" applyBorder="1" applyAlignment="1">
      <alignment horizontal="center"/>
    </xf>
    <xf numFmtId="3" fontId="32" fillId="0" borderId="23" xfId="0" applyNumberFormat="1" applyFont="1" applyBorder="1"/>
    <xf numFmtId="43" fontId="32" fillId="0" borderId="23" xfId="379" applyFont="1" applyBorder="1" applyAlignment="1">
      <alignment horizontal="center"/>
    </xf>
    <xf numFmtId="169" fontId="32" fillId="0" borderId="52" xfId="379" applyNumberFormat="1" applyFont="1" applyBorder="1" applyAlignment="1">
      <alignment horizontal="center"/>
    </xf>
    <xf numFmtId="43" fontId="32" fillId="0" borderId="23" xfId="379" applyFont="1" applyBorder="1"/>
    <xf numFmtId="0" fontId="32" fillId="0" borderId="23" xfId="0" applyFont="1" applyBorder="1"/>
    <xf numFmtId="169" fontId="32" fillId="0" borderId="23" xfId="379" applyNumberFormat="1" applyFont="1" applyBorder="1"/>
    <xf numFmtId="169" fontId="32" fillId="0" borderId="23" xfId="379" applyNumberFormat="1" applyFont="1" applyBorder="1" applyAlignment="1">
      <alignment horizontal="right"/>
    </xf>
    <xf numFmtId="169" fontId="32" fillId="0" borderId="1" xfId="379" applyNumberFormat="1" applyFont="1" applyBorder="1" applyAlignment="1">
      <alignment horizontal="right"/>
    </xf>
    <xf numFmtId="169" fontId="32" fillId="0" borderId="0" xfId="379" applyNumberFormat="1" applyFont="1" applyAlignment="1">
      <alignment horizontal="right"/>
    </xf>
    <xf numFmtId="169" fontId="32" fillId="0" borderId="52" xfId="379" applyNumberFormat="1" applyFont="1" applyBorder="1" applyAlignment="1">
      <alignment horizontal="right"/>
    </xf>
    <xf numFmtId="3" fontId="32" fillId="0" borderId="0" xfId="379" applyNumberFormat="1" applyFont="1" applyAlignment="1">
      <alignment horizontal="center"/>
    </xf>
    <xf numFmtId="3" fontId="32" fillId="0" borderId="0" xfId="0" applyNumberFormat="1" applyFont="1" applyAlignment="1">
      <alignment horizontal="center"/>
    </xf>
    <xf numFmtId="170" fontId="32" fillId="0" borderId="0" xfId="0" applyNumberFormat="1" applyFont="1" applyAlignment="1">
      <alignment horizontal="center"/>
    </xf>
    <xf numFmtId="3" fontId="32" fillId="0" borderId="1" xfId="379" applyNumberFormat="1" applyFont="1" applyBorder="1" applyAlignment="1">
      <alignment horizontal="center"/>
    </xf>
    <xf numFmtId="170" fontId="32" fillId="0" borderId="1" xfId="379" applyNumberFormat="1" applyFont="1" applyBorder="1" applyAlignment="1">
      <alignment horizontal="center"/>
    </xf>
    <xf numFmtId="3" fontId="32" fillId="0" borderId="1" xfId="0" applyNumberFormat="1" applyFont="1" applyBorder="1" applyAlignment="1">
      <alignment horizontal="center"/>
    </xf>
    <xf numFmtId="170" fontId="32" fillId="0" borderId="1" xfId="0" applyNumberFormat="1" applyFont="1" applyBorder="1" applyAlignment="1">
      <alignment horizontal="center"/>
    </xf>
    <xf numFmtId="169" fontId="32" fillId="0" borderId="23" xfId="379" applyNumberFormat="1" applyFont="1" applyBorder="1" applyAlignment="1">
      <alignment horizontal="center"/>
    </xf>
    <xf numFmtId="3" fontId="32" fillId="0" borderId="23" xfId="379" applyNumberFormat="1" applyFont="1" applyBorder="1" applyAlignment="1">
      <alignment horizontal="center"/>
    </xf>
    <xf numFmtId="3" fontId="32" fillId="0" borderId="23" xfId="0" applyNumberFormat="1" applyFont="1" applyBorder="1" applyAlignment="1">
      <alignment horizontal="center"/>
    </xf>
    <xf numFmtId="10" fontId="33" fillId="33" borderId="17" xfId="557" applyNumberFormat="1" applyFont="1" applyFill="1" applyBorder="1" applyAlignment="1">
      <alignment horizontal="center"/>
    </xf>
    <xf numFmtId="10" fontId="33" fillId="33" borderId="42" xfId="557" applyNumberFormat="1" applyFont="1" applyFill="1" applyBorder="1" applyAlignment="1">
      <alignment horizontal="center"/>
    </xf>
    <xf numFmtId="9" fontId="33" fillId="33" borderId="42" xfId="557" applyFont="1" applyFill="1" applyBorder="1" applyAlignment="1">
      <alignment horizontal="center"/>
    </xf>
    <xf numFmtId="174" fontId="32" fillId="66" borderId="1" xfId="379" applyNumberFormat="1" applyFont="1" applyFill="1" applyBorder="1" applyAlignment="1">
      <alignment horizontal="center"/>
    </xf>
    <xf numFmtId="174" fontId="32" fillId="66" borderId="1" xfId="379" applyNumberFormat="1" applyFont="1" applyFill="1" applyBorder="1"/>
    <xf numFmtId="169" fontId="32" fillId="0" borderId="0" xfId="379" applyNumberFormat="1" applyFont="1" applyBorder="1" applyAlignment="1">
      <alignment horizontal="center"/>
    </xf>
    <xf numFmtId="0" fontId="7" fillId="0" borderId="0" xfId="1043"/>
    <xf numFmtId="43" fontId="22" fillId="0" borderId="0" xfId="379" applyFont="1" applyFill="1" applyBorder="1"/>
    <xf numFmtId="43" fontId="22" fillId="0" borderId="0" xfId="0" applyNumberFormat="1" applyFont="1"/>
    <xf numFmtId="43" fontId="6" fillId="0" borderId="0" xfId="379" applyFont="1"/>
    <xf numFmtId="3" fontId="57" fillId="0" borderId="29" xfId="0" applyNumberFormat="1" applyFont="1" applyBorder="1" applyAlignment="1">
      <alignment horizontal="center" vertical="center" wrapText="1"/>
    </xf>
    <xf numFmtId="0" fontId="32" fillId="0" borderId="1" xfId="0" applyFont="1" applyBorder="1" applyAlignment="1">
      <alignment horizontal="center" wrapText="1"/>
    </xf>
    <xf numFmtId="3" fontId="32" fillId="0" borderId="1" xfId="379" applyNumberFormat="1" applyFont="1" applyBorder="1" applyAlignment="1">
      <alignment horizontal="center" wrapText="1"/>
    </xf>
    <xf numFmtId="174" fontId="32" fillId="0" borderId="0" xfId="379" applyNumberFormat="1" applyFont="1" applyFill="1"/>
    <xf numFmtId="0" fontId="32" fillId="0" borderId="21" xfId="0" applyFont="1" applyBorder="1" applyAlignment="1">
      <alignment horizontal="center" wrapText="1"/>
    </xf>
    <xf numFmtId="3" fontId="32" fillId="33" borderId="23" xfId="0" applyNumberFormat="1" applyFont="1" applyFill="1" applyBorder="1"/>
    <xf numFmtId="3" fontId="32" fillId="33" borderId="1" xfId="0" applyNumberFormat="1" applyFont="1" applyFill="1" applyBorder="1"/>
    <xf numFmtId="172" fontId="32" fillId="33" borderId="23" xfId="379" applyNumberFormat="1" applyFont="1" applyFill="1" applyBorder="1" applyAlignment="1">
      <alignment horizontal="center"/>
    </xf>
    <xf numFmtId="169" fontId="32" fillId="33" borderId="23" xfId="379" applyNumberFormat="1" applyFont="1" applyFill="1" applyBorder="1" applyAlignment="1">
      <alignment horizontal="right"/>
    </xf>
    <xf numFmtId="169" fontId="32" fillId="33" borderId="1" xfId="379" applyNumberFormat="1" applyFont="1" applyFill="1" applyBorder="1" applyAlignment="1">
      <alignment horizontal="right"/>
    </xf>
    <xf numFmtId="169" fontId="32" fillId="33" borderId="23" xfId="379" applyNumberFormat="1" applyFont="1" applyFill="1" applyBorder="1"/>
    <xf numFmtId="0" fontId="32" fillId="0" borderId="5" xfId="0" applyFont="1" applyBorder="1"/>
    <xf numFmtId="0" fontId="32" fillId="0" borderId="5" xfId="0" applyFont="1" applyBorder="1" applyAlignment="1">
      <alignment horizontal="left"/>
    </xf>
    <xf numFmtId="0" fontId="32" fillId="0" borderId="5" xfId="0" applyFont="1" applyBorder="1" applyAlignment="1">
      <alignment horizontal="center"/>
    </xf>
    <xf numFmtId="43" fontId="32" fillId="0" borderId="5" xfId="379" applyFont="1" applyBorder="1"/>
    <xf numFmtId="0" fontId="30" fillId="0" borderId="31" xfId="0" applyFont="1" applyBorder="1" applyAlignment="1">
      <alignment horizontal="center"/>
    </xf>
    <xf numFmtId="0" fontId="33" fillId="0" borderId="5" xfId="0" applyFont="1" applyBorder="1"/>
    <xf numFmtId="0" fontId="33" fillId="65" borderId="27" xfId="0" applyFont="1" applyFill="1" applyBorder="1" applyAlignment="1">
      <alignment horizontal="center" wrapText="1"/>
    </xf>
    <xf numFmtId="0" fontId="33" fillId="65" borderId="28" xfId="0" applyFont="1" applyFill="1" applyBorder="1" applyAlignment="1">
      <alignment horizontal="center" wrapText="1"/>
    </xf>
    <xf numFmtId="0" fontId="33" fillId="65" borderId="29" xfId="0" applyFont="1" applyFill="1" applyBorder="1" applyAlignment="1">
      <alignment horizontal="center" wrapText="1"/>
    </xf>
    <xf numFmtId="0" fontId="33" fillId="65" borderId="39" xfId="0" applyFont="1" applyFill="1" applyBorder="1" applyAlignment="1">
      <alignment horizontal="center" wrapText="1"/>
    </xf>
    <xf numFmtId="0" fontId="33" fillId="65" borderId="26" xfId="0" applyFont="1" applyFill="1" applyBorder="1" applyAlignment="1">
      <alignment horizontal="center" wrapText="1"/>
    </xf>
    <xf numFmtId="0" fontId="33" fillId="65" borderId="40" xfId="0" applyFont="1" applyFill="1" applyBorder="1" applyAlignment="1">
      <alignment horizontal="center" wrapText="1"/>
    </xf>
    <xf numFmtId="3" fontId="30" fillId="0" borderId="4" xfId="0" applyNumberFormat="1" applyFont="1" applyBorder="1" applyAlignment="1">
      <alignment horizontal="left"/>
    </xf>
    <xf numFmtId="3" fontId="30" fillId="0" borderId="31" xfId="0" applyNumberFormat="1" applyFont="1" applyBorder="1"/>
    <xf numFmtId="0" fontId="33" fillId="0" borderId="4" xfId="0" applyFont="1" applyBorder="1" applyAlignment="1">
      <alignment horizontal="center"/>
    </xf>
    <xf numFmtId="0" fontId="122" fillId="0" borderId="1" xfId="0" applyFont="1" applyBorder="1" applyAlignment="1">
      <alignment horizontal="center"/>
    </xf>
    <xf numFmtId="10" fontId="32" fillId="65" borderId="1" xfId="557" applyNumberFormat="1" applyFont="1" applyFill="1" applyBorder="1" applyAlignment="1">
      <alignment horizontal="center"/>
    </xf>
    <xf numFmtId="10" fontId="32" fillId="65" borderId="42" xfId="557" applyNumberFormat="1" applyFont="1" applyFill="1" applyBorder="1" applyAlignment="1">
      <alignment horizontal="center"/>
    </xf>
    <xf numFmtId="43" fontId="32" fillId="65" borderId="23" xfId="379" applyFont="1" applyFill="1" applyBorder="1"/>
    <xf numFmtId="43" fontId="0" fillId="0" borderId="0" xfId="379" applyFont="1" applyFill="1" applyBorder="1" applyAlignment="1"/>
    <xf numFmtId="0" fontId="26" fillId="0" borderId="0" xfId="0" applyFont="1"/>
    <xf numFmtId="0" fontId="7" fillId="0" borderId="0" xfId="1041"/>
    <xf numFmtId="0" fontId="7" fillId="0" borderId="0" xfId="1048"/>
    <xf numFmtId="0" fontId="7" fillId="0" borderId="0" xfId="1049"/>
    <xf numFmtId="0" fontId="7" fillId="0" borderId="0" xfId="1044"/>
    <xf numFmtId="0" fontId="7" fillId="0" borderId="0" xfId="1050"/>
    <xf numFmtId="0" fontId="7" fillId="0" borderId="0" xfId="1051"/>
    <xf numFmtId="0" fontId="7" fillId="0" borderId="0" xfId="1039"/>
    <xf numFmtId="0" fontId="7" fillId="0" borderId="0" xfId="1042"/>
    <xf numFmtId="0" fontId="7" fillId="0" borderId="0" xfId="1046"/>
    <xf numFmtId="169" fontId="32" fillId="0" borderId="4" xfId="0" applyNumberFormat="1" applyFont="1" applyBorder="1"/>
    <xf numFmtId="169" fontId="32" fillId="0" borderId="4" xfId="379" applyNumberFormat="1" applyFont="1" applyFill="1" applyBorder="1"/>
    <xf numFmtId="169" fontId="22" fillId="0" borderId="1" xfId="379" applyNumberFormat="1" applyFont="1" applyBorder="1" applyAlignment="1" applyProtection="1">
      <alignment horizontal="center"/>
      <protection locked="0"/>
    </xf>
    <xf numFmtId="0" fontId="22" fillId="0" borderId="1" xfId="0" applyFont="1" applyBorder="1" applyAlignment="1">
      <alignment horizontal="center" wrapText="1"/>
    </xf>
    <xf numFmtId="169" fontId="29" fillId="65" borderId="42" xfId="379" applyNumberFormat="1" applyFont="1" applyFill="1" applyBorder="1" applyAlignment="1">
      <alignment horizontal="right"/>
    </xf>
    <xf numFmtId="2" fontId="29" fillId="0" borderId="31" xfId="0" applyNumberFormat="1" applyFont="1" applyBorder="1"/>
    <xf numFmtId="0" fontId="29" fillId="0" borderId="5" xfId="0" applyFont="1" applyBorder="1"/>
    <xf numFmtId="0" fontId="29" fillId="0" borderId="6" xfId="0" applyFont="1" applyBorder="1"/>
    <xf numFmtId="0" fontId="57" fillId="0" borderId="64" xfId="0" applyFont="1" applyBorder="1" applyAlignment="1">
      <alignment horizontal="center" vertical="center" wrapText="1"/>
    </xf>
    <xf numFmtId="3" fontId="57" fillId="0" borderId="53" xfId="0" applyNumberFormat="1" applyFont="1" applyBorder="1" applyAlignment="1">
      <alignment horizontal="center" vertical="center" wrapText="1"/>
    </xf>
    <xf numFmtId="167" fontId="57" fillId="0" borderId="8" xfId="557" applyNumberFormat="1" applyFont="1" applyFill="1" applyBorder="1" applyAlignment="1">
      <alignment horizontal="center" vertical="center" wrapText="1"/>
    </xf>
    <xf numFmtId="167" fontId="55" fillId="0" borderId="8" xfId="557" applyNumberFormat="1" applyFont="1" applyFill="1" applyBorder="1" applyAlignment="1">
      <alignment horizontal="center" vertical="center" wrapText="1"/>
    </xf>
    <xf numFmtId="167" fontId="55" fillId="0" borderId="11" xfId="557" applyNumberFormat="1" applyFont="1" applyFill="1" applyBorder="1" applyAlignment="1">
      <alignment horizontal="center" vertical="center" wrapText="1"/>
    </xf>
    <xf numFmtId="167" fontId="57" fillId="0" borderId="1" xfId="557" applyNumberFormat="1" applyFont="1" applyFill="1" applyBorder="1" applyAlignment="1">
      <alignment horizontal="center" vertical="center" wrapText="1"/>
    </xf>
    <xf numFmtId="167" fontId="55" fillId="0" borderId="1" xfId="557" applyNumberFormat="1" applyFont="1" applyFill="1" applyBorder="1" applyAlignment="1">
      <alignment horizontal="center" vertical="center" wrapText="1"/>
    </xf>
    <xf numFmtId="167" fontId="55" fillId="0" borderId="10" xfId="557" applyNumberFormat="1" applyFont="1" applyFill="1" applyBorder="1" applyAlignment="1">
      <alignment horizontal="center" vertical="center" wrapText="1"/>
    </xf>
    <xf numFmtId="43" fontId="22" fillId="0" borderId="0" xfId="379" applyFont="1" applyBorder="1" applyAlignment="1">
      <alignment horizontal="center"/>
    </xf>
    <xf numFmtId="169" fontId="22" fillId="0" borderId="1" xfId="379" applyNumberFormat="1" applyFont="1" applyFill="1" applyBorder="1"/>
    <xf numFmtId="10" fontId="22" fillId="0" borderId="1" xfId="557" applyNumberFormat="1" applyFont="1" applyFill="1" applyBorder="1"/>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10" fontId="22" fillId="0" borderId="8" xfId="557" applyNumberFormat="1" applyFont="1" applyFill="1" applyBorder="1"/>
    <xf numFmtId="169" fontId="22" fillId="0" borderId="10" xfId="379" applyNumberFormat="1" applyFont="1" applyFill="1" applyBorder="1"/>
    <xf numFmtId="169" fontId="22" fillId="0" borderId="10" xfId="0" applyNumberFormat="1" applyFont="1" applyBorder="1"/>
    <xf numFmtId="10" fontId="22" fillId="0" borderId="10" xfId="557" applyNumberFormat="1" applyFont="1" applyFill="1" applyBorder="1"/>
    <xf numFmtId="10" fontId="22" fillId="0" borderId="11" xfId="557" applyNumberFormat="1" applyFont="1" applyFill="1" applyBorder="1"/>
    <xf numFmtId="2" fontId="29" fillId="0" borderId="1" xfId="0" applyNumberFormat="1" applyFont="1" applyBorder="1" applyAlignment="1">
      <alignment horizontal="center" vertical="center" wrapText="1"/>
    </xf>
    <xf numFmtId="3" fontId="22" fillId="0" borderId="1" xfId="0" applyNumberFormat="1" applyFont="1" applyBorder="1"/>
    <xf numFmtId="0" fontId="62" fillId="0" borderId="1" xfId="0" applyFont="1" applyBorder="1" applyAlignment="1">
      <alignment horizontal="center" vertical="center" wrapText="1"/>
    </xf>
    <xf numFmtId="0" fontId="29" fillId="0" borderId="1" xfId="0" applyFont="1" applyBorder="1" applyAlignment="1">
      <alignment horizontal="center" vertical="center" wrapText="1"/>
    </xf>
    <xf numFmtId="169" fontId="22" fillId="0" borderId="1" xfId="379" applyNumberFormat="1" applyFont="1" applyBorder="1" applyAlignment="1" applyProtection="1">
      <protection locked="0"/>
    </xf>
    <xf numFmtId="43" fontId="22" fillId="0" borderId="1" xfId="379" applyFont="1" applyBorder="1" applyAlignment="1" applyProtection="1">
      <protection locked="0"/>
    </xf>
    <xf numFmtId="3" fontId="30" fillId="0" borderId="31" xfId="0" applyNumberFormat="1" applyFont="1" applyBorder="1" applyAlignment="1">
      <alignment horizontal="left"/>
    </xf>
    <xf numFmtId="2" fontId="29" fillId="0" borderId="21" xfId="0" applyNumberFormat="1" applyFont="1" applyBorder="1" applyAlignment="1">
      <alignment horizontal="center" vertical="center" wrapText="1"/>
    </xf>
    <xf numFmtId="10" fontId="22" fillId="0" borderId="1" xfId="557" applyNumberFormat="1" applyFont="1" applyBorder="1" applyAlignment="1">
      <alignment horizontal="center"/>
    </xf>
    <xf numFmtId="169" fontId="22" fillId="0" borderId="1" xfId="0" applyNumberFormat="1" applyFont="1" applyBorder="1" applyAlignment="1">
      <alignment horizontal="center"/>
    </xf>
    <xf numFmtId="3" fontId="22" fillId="0" borderId="1" xfId="0" applyNumberFormat="1" applyFont="1" applyBorder="1" applyAlignment="1">
      <alignment horizontal="center"/>
    </xf>
    <xf numFmtId="169" fontId="22" fillId="0" borderId="1" xfId="379" applyNumberFormat="1" applyFont="1" applyFill="1" applyBorder="1" applyProtection="1">
      <protection locked="0"/>
    </xf>
    <xf numFmtId="49" fontId="57" fillId="0" borderId="1" xfId="0" applyNumberFormat="1" applyFont="1" applyBorder="1" applyAlignment="1">
      <alignment horizontal="center" vertical="center" wrapText="1"/>
    </xf>
    <xf numFmtId="172" fontId="55" fillId="33" borderId="8" xfId="379" applyNumberFormat="1" applyFont="1" applyFill="1" applyBorder="1" applyAlignment="1">
      <alignment horizontal="center"/>
    </xf>
    <xf numFmtId="2" fontId="22" fillId="33" borderId="7" xfId="379" applyNumberFormat="1" applyFont="1" applyFill="1" applyBorder="1" applyAlignment="1" applyProtection="1">
      <alignment horizontal="center" wrapText="1"/>
      <protection locked="0"/>
    </xf>
    <xf numFmtId="0" fontId="22" fillId="0" borderId="2" xfId="0" applyFont="1" applyBorder="1" applyAlignment="1">
      <alignment wrapText="1"/>
    </xf>
    <xf numFmtId="2" fontId="22" fillId="33" borderId="2" xfId="379" applyNumberFormat="1" applyFont="1" applyFill="1" applyBorder="1" applyAlignment="1" applyProtection="1">
      <alignment horizontal="center" wrapText="1"/>
      <protection locked="0"/>
    </xf>
    <xf numFmtId="49" fontId="22" fillId="0" borderId="41" xfId="0" applyNumberFormat="1" applyFont="1" applyBorder="1" applyAlignment="1">
      <alignment wrapText="1"/>
    </xf>
    <xf numFmtId="0" fontId="22" fillId="0" borderId="41" xfId="0" applyFont="1" applyBorder="1" applyAlignment="1">
      <alignment wrapText="1"/>
    </xf>
    <xf numFmtId="0" fontId="22" fillId="0" borderId="9" xfId="0" applyFont="1" applyBorder="1" applyAlignment="1">
      <alignment wrapText="1"/>
    </xf>
    <xf numFmtId="0" fontId="29" fillId="0" borderId="41" xfId="0" applyFont="1" applyBorder="1" applyAlignment="1">
      <alignment wrapText="1"/>
    </xf>
    <xf numFmtId="197" fontId="22" fillId="0" borderId="0" xfId="379" applyNumberFormat="1" applyFont="1"/>
    <xf numFmtId="2" fontId="22" fillId="65" borderId="0" xfId="379" applyNumberFormat="1" applyFont="1" applyFill="1" applyBorder="1" applyAlignment="1" applyProtection="1">
      <alignment horizontal="center"/>
      <protection locked="0"/>
    </xf>
    <xf numFmtId="169" fontId="22" fillId="33" borderId="23" xfId="379" applyNumberFormat="1" applyFont="1" applyFill="1" applyBorder="1" applyAlignment="1" applyProtection="1">
      <protection locked="0"/>
    </xf>
    <xf numFmtId="169" fontId="22" fillId="33" borderId="1" xfId="379" applyNumberFormat="1" applyFont="1" applyFill="1" applyBorder="1" applyAlignment="1"/>
    <xf numFmtId="10" fontId="29" fillId="0" borderId="1" xfId="0" applyNumberFormat="1" applyFont="1" applyBorder="1" applyAlignment="1" applyProtection="1">
      <alignment horizontal="center"/>
      <protection locked="0"/>
    </xf>
    <xf numFmtId="169" fontId="22" fillId="0" borderId="0" xfId="379" applyNumberFormat="1" applyFont="1" applyBorder="1" applyProtection="1">
      <protection locked="0"/>
    </xf>
    <xf numFmtId="169" fontId="22" fillId="0" borderId="0" xfId="379" applyNumberFormat="1" applyFont="1" applyBorder="1"/>
    <xf numFmtId="43" fontId="6" fillId="0" borderId="0" xfId="379" applyFont="1" applyFill="1"/>
    <xf numFmtId="165" fontId="6" fillId="0" borderId="0" xfId="1060" applyFont="1" applyFill="1"/>
    <xf numFmtId="0" fontId="29" fillId="0" borderId="19" xfId="0" applyFont="1" applyBorder="1" applyAlignment="1">
      <alignment horizontal="center"/>
    </xf>
    <xf numFmtId="3" fontId="55" fillId="0" borderId="0" xfId="0" applyNumberFormat="1" applyFont="1"/>
    <xf numFmtId="43" fontId="22" fillId="0" borderId="0" xfId="0" applyNumberFormat="1" applyFont="1" applyAlignment="1" applyProtection="1">
      <alignment horizontal="center"/>
      <protection locked="0"/>
    </xf>
    <xf numFmtId="0" fontId="55" fillId="0" borderId="0" xfId="0" applyFont="1" applyAlignment="1" applyProtection="1">
      <alignment horizontal="center"/>
      <protection locked="0"/>
    </xf>
    <xf numFmtId="169" fontId="22" fillId="33" borderId="21" xfId="379" applyNumberFormat="1" applyFont="1" applyFill="1" applyBorder="1" applyAlignment="1"/>
    <xf numFmtId="49" fontId="29" fillId="0" borderId="39" xfId="0" applyNumberFormat="1" applyFont="1" applyBorder="1" applyAlignment="1">
      <alignment horizontal="center"/>
    </xf>
    <xf numFmtId="49" fontId="32" fillId="0" borderId="23" xfId="0" applyNumberFormat="1" applyFont="1" applyBorder="1" applyAlignment="1">
      <alignment horizontal="center"/>
    </xf>
    <xf numFmtId="49" fontId="32" fillId="0" borderId="1" xfId="0" applyNumberFormat="1" applyFont="1" applyBorder="1" applyAlignment="1">
      <alignment horizontal="center"/>
    </xf>
    <xf numFmtId="10" fontId="32" fillId="34" borderId="4" xfId="557" applyNumberFormat="1" applyFont="1" applyFill="1" applyBorder="1" applyAlignment="1">
      <alignment horizontal="center"/>
    </xf>
    <xf numFmtId="172" fontId="22" fillId="0" borderId="0" xfId="379" applyNumberFormat="1" applyFont="1"/>
    <xf numFmtId="170" fontId="22" fillId="0" borderId="0" xfId="379" applyNumberFormat="1" applyFont="1" applyFill="1" applyBorder="1" applyAlignment="1">
      <alignment horizontal="right"/>
    </xf>
    <xf numFmtId="170" fontId="22" fillId="0" borderId="0" xfId="379" applyNumberFormat="1" applyFont="1" applyFill="1" applyBorder="1" applyAlignment="1"/>
    <xf numFmtId="170" fontId="55" fillId="0" borderId="0" xfId="379" applyNumberFormat="1" applyFont="1" applyFill="1" applyBorder="1" applyAlignment="1"/>
    <xf numFmtId="170" fontId="60" fillId="0" borderId="0" xfId="379" applyNumberFormat="1" applyFont="1" applyFill="1" applyBorder="1" applyAlignment="1">
      <alignment horizontal="right"/>
    </xf>
    <xf numFmtId="170" fontId="22" fillId="0" borderId="0" xfId="379" quotePrefix="1" applyNumberFormat="1" applyFont="1" applyFill="1" applyBorder="1" applyAlignment="1">
      <alignment horizontal="right"/>
    </xf>
    <xf numFmtId="0" fontId="68" fillId="0" borderId="0" xfId="0" applyFont="1" applyAlignment="1">
      <alignment horizontal="centerContinuous"/>
    </xf>
    <xf numFmtId="0" fontId="55" fillId="0" borderId="0" xfId="0" applyFont="1"/>
    <xf numFmtId="0" fontId="55" fillId="0" borderId="0" xfId="0" quotePrefix="1" applyFont="1"/>
    <xf numFmtId="0" fontId="117" fillId="0" borderId="0" xfId="0" applyFont="1"/>
    <xf numFmtId="43" fontId="22" fillId="33" borderId="1" xfId="379" applyFont="1" applyFill="1" applyBorder="1"/>
    <xf numFmtId="169" fontId="22" fillId="33" borderId="21" xfId="379" applyNumberFormat="1" applyFont="1" applyFill="1" applyBorder="1" applyProtection="1">
      <protection locked="0"/>
    </xf>
    <xf numFmtId="0" fontId="22" fillId="65" borderId="0" xfId="0" applyFont="1" applyFill="1"/>
    <xf numFmtId="0" fontId="22" fillId="65" borderId="0" xfId="0" applyFont="1" applyFill="1" applyAlignment="1">
      <alignment horizontal="center"/>
    </xf>
    <xf numFmtId="0" fontId="29" fillId="0" borderId="32" xfId="0" applyFont="1" applyBorder="1" applyAlignment="1">
      <alignment horizontal="center" wrapText="1"/>
    </xf>
    <xf numFmtId="1" fontId="32" fillId="0" borderId="23" xfId="0" applyNumberFormat="1" applyFont="1" applyBorder="1" applyAlignment="1">
      <alignment horizontal="center"/>
    </xf>
    <xf numFmtId="0" fontId="73" fillId="0" borderId="1" xfId="0" applyFont="1" applyBorder="1" applyAlignment="1">
      <alignment horizontal="left"/>
    </xf>
    <xf numFmtId="49" fontId="22" fillId="0" borderId="0" xfId="0" applyNumberFormat="1" applyFont="1" applyAlignment="1" applyProtection="1">
      <alignment horizontal="center" wrapText="1"/>
      <protection locked="0"/>
    </xf>
    <xf numFmtId="2" fontId="22" fillId="0" borderId="1" xfId="0" applyNumberFormat="1" applyFont="1" applyBorder="1" applyAlignment="1" applyProtection="1">
      <alignment horizontal="center"/>
      <protection locked="0"/>
    </xf>
    <xf numFmtId="43" fontId="22" fillId="0" borderId="0" xfId="379" applyFont="1" applyFill="1" applyBorder="1" applyProtection="1">
      <protection locked="0"/>
    </xf>
    <xf numFmtId="169" fontId="22" fillId="0" borderId="0" xfId="379" applyNumberFormat="1" applyFont="1" applyFill="1" applyBorder="1" applyProtection="1">
      <protection locked="0"/>
    </xf>
    <xf numFmtId="0" fontId="70" fillId="0" borderId="0" xfId="0" applyFont="1" applyAlignment="1" applyProtection="1">
      <alignment horizontal="center" vertical="center"/>
      <protection locked="0"/>
    </xf>
    <xf numFmtId="0" fontId="22" fillId="0" borderId="12" xfId="0" applyFont="1" applyBorder="1" applyProtection="1">
      <protection locked="0"/>
    </xf>
    <xf numFmtId="0" fontId="22" fillId="0" borderId="33" xfId="0" applyFont="1" applyBorder="1" applyProtection="1">
      <protection locked="0"/>
    </xf>
    <xf numFmtId="0" fontId="29" fillId="0" borderId="10" xfId="0" applyFont="1" applyBorder="1" applyAlignment="1" applyProtection="1">
      <alignment horizontal="center" wrapText="1"/>
      <protection locked="0"/>
    </xf>
    <xf numFmtId="9" fontId="22" fillId="0" borderId="23" xfId="557" applyFont="1" applyFill="1" applyBorder="1" applyAlignment="1" applyProtection="1">
      <alignment horizontal="center"/>
      <protection locked="0"/>
    </xf>
    <xf numFmtId="198" fontId="22" fillId="0" borderId="0" xfId="0" applyNumberFormat="1" applyFont="1"/>
    <xf numFmtId="0" fontId="30" fillId="0" borderId="0" xfId="0" applyFont="1" applyAlignment="1">
      <alignment horizontal="center" vertical="top"/>
    </xf>
    <xf numFmtId="0" fontId="30" fillId="0" borderId="0" xfId="0" applyFont="1" applyAlignment="1">
      <alignment horizontal="left" vertical="top"/>
    </xf>
    <xf numFmtId="2" fontId="117" fillId="33" borderId="4" xfId="379" applyNumberFormat="1" applyFont="1" applyFill="1" applyBorder="1" applyAlignment="1" applyProtection="1">
      <alignment horizontal="center"/>
      <protection locked="0"/>
    </xf>
    <xf numFmtId="0" fontId="30" fillId="0" borderId="0" xfId="0" applyFont="1" applyAlignment="1" applyProtection="1">
      <alignment horizontal="center" vertical="center"/>
      <protection locked="0"/>
    </xf>
    <xf numFmtId="0" fontId="30" fillId="0" borderId="69" xfId="0" applyFont="1" applyBorder="1" applyAlignment="1">
      <alignment wrapText="1"/>
    </xf>
    <xf numFmtId="0" fontId="30" fillId="0" borderId="69" xfId="0" applyFont="1" applyBorder="1" applyAlignment="1">
      <alignment horizontal="center" wrapText="1"/>
    </xf>
    <xf numFmtId="0" fontId="117" fillId="36" borderId="70" xfId="0" applyFont="1" applyFill="1" applyBorder="1" applyAlignment="1">
      <alignment wrapText="1"/>
    </xf>
    <xf numFmtId="0" fontId="30" fillId="36" borderId="71" xfId="0" applyFont="1" applyFill="1" applyBorder="1" applyAlignment="1">
      <alignment horizontal="center"/>
    </xf>
    <xf numFmtId="0" fontId="30" fillId="36" borderId="72" xfId="0" applyFont="1" applyFill="1" applyBorder="1" applyAlignment="1">
      <alignment horizontal="center"/>
    </xf>
    <xf numFmtId="0" fontId="117" fillId="0" borderId="0" xfId="0" applyFont="1" applyAlignment="1">
      <alignment horizontal="center"/>
    </xf>
    <xf numFmtId="0" fontId="117" fillId="36" borderId="73" xfId="0" applyFont="1" applyFill="1" applyBorder="1" applyAlignment="1">
      <alignment wrapText="1"/>
    </xf>
    <xf numFmtId="0" fontId="30" fillId="36" borderId="49" xfId="0" applyFont="1" applyFill="1" applyBorder="1" applyAlignment="1">
      <alignment horizontal="center"/>
    </xf>
    <xf numFmtId="0" fontId="30" fillId="36" borderId="74" xfId="0" applyFont="1" applyFill="1" applyBorder="1" applyAlignment="1">
      <alignment horizontal="center"/>
    </xf>
    <xf numFmtId="0" fontId="117" fillId="0" borderId="43" xfId="0" applyFont="1" applyBorder="1" applyAlignment="1">
      <alignment vertical="center"/>
    </xf>
    <xf numFmtId="0" fontId="117" fillId="36" borderId="78" xfId="0" applyFont="1" applyFill="1" applyBorder="1" applyAlignment="1">
      <alignment wrapText="1"/>
    </xf>
    <xf numFmtId="0" fontId="30" fillId="36" borderId="69" xfId="0" applyFont="1" applyFill="1" applyBorder="1" applyAlignment="1">
      <alignment horizontal="center"/>
    </xf>
    <xf numFmtId="0" fontId="30" fillId="36" borderId="82" xfId="0" applyFont="1" applyFill="1" applyBorder="1" applyAlignment="1">
      <alignment horizontal="center"/>
    </xf>
    <xf numFmtId="0" fontId="117" fillId="36" borderId="107" xfId="0" applyFont="1" applyFill="1" applyBorder="1" applyAlignment="1">
      <alignment vertical="center" wrapText="1"/>
    </xf>
    <xf numFmtId="0" fontId="30" fillId="36" borderId="80" xfId="0" applyFont="1" applyFill="1" applyBorder="1" applyAlignment="1">
      <alignment horizontal="center"/>
    </xf>
    <xf numFmtId="0" fontId="30" fillId="36" borderId="81" xfId="0" applyFont="1" applyFill="1" applyBorder="1" applyAlignment="1">
      <alignment horizontal="center"/>
    </xf>
    <xf numFmtId="0" fontId="117" fillId="36" borderId="79" xfId="0" applyFont="1" applyFill="1" applyBorder="1" applyAlignment="1">
      <alignment wrapText="1"/>
    </xf>
    <xf numFmtId="49" fontId="117" fillId="36" borderId="75" xfId="0" applyNumberFormat="1" applyFont="1" applyFill="1" applyBorder="1" applyAlignment="1">
      <alignment wrapText="1"/>
    </xf>
    <xf numFmtId="0" fontId="30" fillId="36" borderId="76" xfId="0" applyFont="1" applyFill="1" applyBorder="1" applyAlignment="1">
      <alignment horizontal="center"/>
    </xf>
    <xf numFmtId="0" fontId="30" fillId="36" borderId="77" xfId="0" applyFont="1" applyFill="1" applyBorder="1" applyAlignment="1">
      <alignment horizontal="center"/>
    </xf>
    <xf numFmtId="49" fontId="117" fillId="36" borderId="100" xfId="0" applyNumberFormat="1" applyFont="1" applyFill="1" applyBorder="1" applyAlignment="1">
      <alignment wrapText="1"/>
    </xf>
    <xf numFmtId="0" fontId="30" fillId="36" borderId="101" xfId="0" applyFont="1" applyFill="1" applyBorder="1" applyAlignment="1">
      <alignment horizontal="center"/>
    </xf>
    <xf numFmtId="0" fontId="30" fillId="36" borderId="102" xfId="0" applyFont="1" applyFill="1" applyBorder="1" applyAlignment="1">
      <alignment horizontal="center"/>
    </xf>
    <xf numFmtId="0" fontId="117" fillId="0" borderId="0" xfId="0" applyFont="1" applyAlignment="1">
      <alignment vertical="center" wrapText="1"/>
    </xf>
    <xf numFmtId="49" fontId="117" fillId="36" borderId="73" xfId="0" applyNumberFormat="1" applyFont="1" applyFill="1" applyBorder="1" applyAlignment="1">
      <alignment wrapText="1"/>
    </xf>
    <xf numFmtId="169" fontId="22" fillId="130" borderId="1" xfId="379" applyNumberFormat="1" applyFont="1" applyFill="1" applyBorder="1" applyAlignment="1">
      <alignment horizontal="center"/>
    </xf>
    <xf numFmtId="166" fontId="28" fillId="130" borderId="1" xfId="0" applyNumberFormat="1" applyFont="1" applyFill="1" applyBorder="1" applyAlignment="1">
      <alignment horizontal="center"/>
    </xf>
    <xf numFmtId="169" fontId="28" fillId="130" borderId="1" xfId="379" applyNumberFormat="1" applyFont="1" applyFill="1" applyBorder="1" applyAlignment="1">
      <alignment horizontal="center"/>
    </xf>
    <xf numFmtId="14" fontId="28" fillId="130" borderId="2" xfId="0" applyNumberFormat="1" applyFont="1" applyFill="1" applyBorder="1" applyAlignment="1">
      <alignment horizontal="center"/>
    </xf>
    <xf numFmtId="0" fontId="22" fillId="0" borderId="6" xfId="0" applyFont="1" applyBorder="1" applyAlignment="1">
      <alignment horizontal="center" wrapText="1"/>
    </xf>
    <xf numFmtId="1" fontId="22" fillId="0" borderId="53" xfId="0" applyNumberFormat="1" applyFont="1" applyBorder="1" applyAlignment="1">
      <alignment horizontal="center"/>
    </xf>
    <xf numFmtId="1" fontId="22" fillId="0" borderId="21" xfId="0" applyNumberFormat="1" applyFont="1" applyBorder="1" applyAlignment="1">
      <alignment horizontal="center"/>
    </xf>
    <xf numFmtId="0" fontId="22" fillId="0" borderId="21" xfId="0" applyFont="1" applyBorder="1" applyAlignment="1">
      <alignment horizontal="center"/>
    </xf>
    <xf numFmtId="0" fontId="28" fillId="0" borderId="21" xfId="0" applyFont="1" applyBorder="1" applyAlignment="1">
      <alignment horizontal="center"/>
    </xf>
    <xf numFmtId="1" fontId="22" fillId="0" borderId="22" xfId="0" applyNumberFormat="1" applyFont="1" applyBorder="1" applyAlignment="1">
      <alignment horizontal="center"/>
    </xf>
    <xf numFmtId="166" fontId="28" fillId="130" borderId="8" xfId="0" applyNumberFormat="1" applyFont="1" applyFill="1" applyBorder="1" applyAlignment="1">
      <alignment horizontal="center"/>
    </xf>
    <xf numFmtId="169" fontId="22" fillId="130" borderId="10" xfId="379" applyNumberFormat="1" applyFont="1" applyFill="1" applyBorder="1" applyAlignment="1">
      <alignment horizontal="center"/>
    </xf>
    <xf numFmtId="166" fontId="22" fillId="0" borderId="0" xfId="0" applyNumberFormat="1" applyFont="1" applyAlignment="1">
      <alignment horizontal="center"/>
    </xf>
    <xf numFmtId="169" fontId="22" fillId="0" borderId="8" xfId="379" applyNumberFormat="1" applyFont="1" applyFill="1" applyBorder="1"/>
    <xf numFmtId="169" fontId="22" fillId="0" borderId="11" xfId="379" applyNumberFormat="1" applyFont="1" applyFill="1" applyBorder="1"/>
    <xf numFmtId="49" fontId="22" fillId="0" borderId="7" xfId="0" applyNumberFormat="1" applyFont="1" applyBorder="1" applyAlignment="1">
      <alignment horizontal="center" vertical="center" wrapText="1"/>
    </xf>
    <xf numFmtId="169" fontId="22" fillId="0" borderId="23" xfId="379" applyNumberFormat="1" applyFont="1" applyFill="1" applyBorder="1"/>
    <xf numFmtId="169" fontId="22" fillId="0" borderId="30" xfId="379" applyNumberFormat="1" applyFont="1" applyFill="1" applyBorder="1"/>
    <xf numFmtId="0" fontId="57" fillId="0" borderId="121" xfId="0" applyFont="1" applyBorder="1" applyAlignment="1">
      <alignment horizontal="center" vertical="center" wrapText="1"/>
    </xf>
    <xf numFmtId="0" fontId="22" fillId="0" borderId="31" xfId="0" applyFont="1" applyBorder="1"/>
    <xf numFmtId="1" fontId="22" fillId="0" borderId="2" xfId="0" applyNumberFormat="1" applyFont="1" applyBorder="1" applyAlignment="1">
      <alignment horizontal="center" vertical="center" wrapText="1"/>
    </xf>
    <xf numFmtId="49" fontId="57" fillId="0" borderId="38" xfId="0" applyNumberFormat="1" applyFont="1" applyBorder="1" applyAlignment="1">
      <alignment horizontal="center" vertical="center" wrapText="1"/>
    </xf>
    <xf numFmtId="49" fontId="57" fillId="0" borderId="121" xfId="0" applyNumberFormat="1" applyFont="1" applyBorder="1" applyAlignment="1">
      <alignment horizontal="center" vertical="center" wrapText="1"/>
    </xf>
    <xf numFmtId="3" fontId="57" fillId="0" borderId="86" xfId="0" applyNumberFormat="1" applyFont="1" applyBorder="1" applyAlignment="1">
      <alignment horizontal="center" vertical="center" wrapText="1"/>
    </xf>
    <xf numFmtId="167" fontId="57" fillId="0" borderId="23" xfId="557" applyNumberFormat="1" applyFont="1" applyFill="1" applyBorder="1" applyAlignment="1">
      <alignment horizontal="center" vertical="center" wrapText="1"/>
    </xf>
    <xf numFmtId="9" fontId="57" fillId="0" borderId="11" xfId="557" applyFont="1" applyFill="1" applyBorder="1" applyAlignment="1">
      <alignment horizontal="center" vertical="center" wrapText="1"/>
    </xf>
    <xf numFmtId="0" fontId="199" fillId="0" borderId="0" xfId="0" applyFont="1" applyAlignment="1">
      <alignment horizontal="left" vertical="center"/>
    </xf>
    <xf numFmtId="169" fontId="55" fillId="0" borderId="10" xfId="379" applyNumberFormat="1" applyFont="1" applyBorder="1" applyAlignment="1">
      <alignment horizontal="center" vertical="center" wrapText="1"/>
    </xf>
    <xf numFmtId="169" fontId="55" fillId="0" borderId="1" xfId="379" applyNumberFormat="1" applyFont="1" applyBorder="1" applyAlignment="1">
      <alignment horizontal="center" vertical="center" wrapText="1"/>
    </xf>
    <xf numFmtId="12" fontId="32" fillId="0" borderId="0" xfId="379" applyNumberFormat="1" applyFont="1"/>
    <xf numFmtId="169" fontId="22" fillId="0" borderId="23" xfId="4033" applyNumberFormat="1" applyFont="1" applyFill="1" applyBorder="1" applyAlignment="1" applyProtection="1">
      <alignment horizontal="center"/>
      <protection locked="0"/>
    </xf>
    <xf numFmtId="0" fontId="22" fillId="0" borderId="0" xfId="0" applyFont="1" applyAlignment="1" applyProtection="1">
      <alignment horizontal="right"/>
      <protection locked="0"/>
    </xf>
    <xf numFmtId="0" fontId="1" fillId="0" borderId="0" xfId="1044" applyFont="1" applyAlignment="1">
      <alignment horizontal="right"/>
    </xf>
    <xf numFmtId="0" fontId="7" fillId="0" borderId="0" xfId="1044" applyAlignment="1">
      <alignment horizontal="right"/>
    </xf>
    <xf numFmtId="0" fontId="22" fillId="0" borderId="0" xfId="0" applyFont="1" applyAlignment="1">
      <alignment horizontal="right"/>
    </xf>
    <xf numFmtId="167" fontId="22" fillId="0" borderId="0" xfId="557" applyNumberFormat="1" applyFont="1" applyProtection="1">
      <protection locked="0"/>
    </xf>
    <xf numFmtId="0" fontId="66" fillId="0" borderId="0" xfId="589"/>
    <xf numFmtId="0" fontId="117" fillId="0" borderId="0" xfId="0" applyFont="1" applyAlignment="1">
      <alignment vertical="center"/>
    </xf>
    <xf numFmtId="49" fontId="117" fillId="0" borderId="0" xfId="383" applyNumberFormat="1" applyFont="1" applyFill="1" applyBorder="1" applyAlignment="1">
      <alignment horizontal="center"/>
    </xf>
    <xf numFmtId="0" fontId="118" fillId="63" borderId="23" xfId="379" applyNumberFormat="1" applyFont="1" applyFill="1" applyBorder="1" applyAlignment="1">
      <alignment horizontal="center"/>
    </xf>
    <xf numFmtId="0" fontId="118" fillId="63" borderId="1" xfId="0" applyFont="1" applyFill="1" applyBorder="1" applyAlignment="1">
      <alignment horizontal="center"/>
    </xf>
    <xf numFmtId="1" fontId="55" fillId="0" borderId="2" xfId="0" applyNumberFormat="1" applyFont="1" applyBorder="1" applyAlignment="1">
      <alignment horizontal="center" vertical="center" wrapText="1"/>
    </xf>
    <xf numFmtId="169" fontId="22" fillId="0" borderId="8" xfId="0" applyNumberFormat="1" applyFont="1" applyBorder="1"/>
    <xf numFmtId="1" fontId="55" fillId="0" borderId="9" xfId="0" applyNumberFormat="1" applyFont="1" applyBorder="1" applyAlignment="1">
      <alignment horizontal="center" vertical="center" wrapText="1"/>
    </xf>
    <xf numFmtId="169" fontId="22" fillId="0" borderId="11" xfId="0" applyNumberFormat="1" applyFont="1" applyBorder="1"/>
    <xf numFmtId="0" fontId="22" fillId="0" borderId="23" xfId="0" applyFont="1" applyBorder="1" applyAlignment="1">
      <alignment horizontal="center" vertical="center" wrapText="1"/>
    </xf>
    <xf numFmtId="0" fontId="22" fillId="0" borderId="30" xfId="0" applyFont="1" applyBorder="1" applyAlignment="1">
      <alignment horizontal="center" vertical="center" wrapText="1"/>
    </xf>
    <xf numFmtId="0" fontId="57"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1" fontId="22" fillId="0" borderId="19" xfId="0" applyNumberFormat="1" applyFont="1" applyBorder="1" applyAlignment="1">
      <alignment horizontal="center" vertical="center" wrapText="1"/>
    </xf>
    <xf numFmtId="169" fontId="22" fillId="0" borderId="12" xfId="379" applyNumberFormat="1" applyFont="1" applyFill="1" applyBorder="1"/>
    <xf numFmtId="169" fontId="22" fillId="0" borderId="13" xfId="0" applyNumberFormat="1" applyFont="1" applyBorder="1"/>
    <xf numFmtId="43" fontId="32" fillId="0" borderId="0" xfId="0" applyNumberFormat="1" applyFont="1"/>
    <xf numFmtId="177" fontId="32" fillId="65" borderId="1" xfId="379" applyNumberFormat="1" applyFont="1" applyFill="1" applyBorder="1" applyAlignment="1">
      <alignment horizontal="center"/>
    </xf>
    <xf numFmtId="3" fontId="32" fillId="65" borderId="1" xfId="379" applyNumberFormat="1" applyFont="1" applyFill="1" applyBorder="1" applyAlignment="1">
      <alignment horizontal="center"/>
    </xf>
    <xf numFmtId="171" fontId="117" fillId="0" borderId="0" xfId="383" applyNumberFormat="1" applyFont="1" applyFill="1" applyBorder="1" applyAlignment="1">
      <alignment horizontal="left"/>
    </xf>
    <xf numFmtId="0" fontId="117" fillId="0" borderId="0" xfId="0" applyFont="1" applyAlignment="1">
      <alignment horizontal="left" vertical="center"/>
    </xf>
    <xf numFmtId="0" fontId="117" fillId="0" borderId="0" xfId="0" applyFont="1" applyAlignment="1">
      <alignment horizontal="left"/>
    </xf>
    <xf numFmtId="0" fontId="117" fillId="0" borderId="0" xfId="0" applyFont="1" applyAlignment="1">
      <alignment horizontal="left" indent="1"/>
    </xf>
    <xf numFmtId="169" fontId="22" fillId="33" borderId="15" xfId="379" applyNumberFormat="1" applyFont="1" applyFill="1" applyBorder="1" applyAlignment="1">
      <alignment horizontal="center"/>
    </xf>
    <xf numFmtId="0" fontId="29" fillId="65" borderId="48" xfId="0" applyFont="1" applyFill="1" applyBorder="1" applyAlignment="1" applyProtection="1">
      <alignment horizontal="center" vertical="center" wrapText="1"/>
      <protection locked="0"/>
    </xf>
    <xf numFmtId="0" fontId="0" fillId="34" borderId="0" xfId="0" applyFill="1"/>
    <xf numFmtId="174" fontId="32" fillId="0" borderId="1" xfId="379" applyNumberFormat="1" applyFont="1" applyFill="1" applyBorder="1" applyAlignment="1">
      <alignment horizontal="center"/>
    </xf>
    <xf numFmtId="174" fontId="32" fillId="0" borderId="1" xfId="379" applyNumberFormat="1" applyFont="1" applyFill="1" applyBorder="1"/>
    <xf numFmtId="0" fontId="22" fillId="61" borderId="35" xfId="0" applyFont="1" applyFill="1" applyBorder="1"/>
    <xf numFmtId="0" fontId="22" fillId="61" borderId="36" xfId="0" applyFont="1" applyFill="1" applyBorder="1"/>
    <xf numFmtId="0" fontId="22" fillId="61" borderId="36" xfId="0" applyFont="1" applyFill="1" applyBorder="1" applyAlignment="1">
      <alignment horizontal="center"/>
    </xf>
    <xf numFmtId="49" fontId="22" fillId="61" borderId="36" xfId="0" applyNumberFormat="1" applyFont="1" applyFill="1" applyBorder="1" applyAlignment="1">
      <alignment horizontal="center"/>
    </xf>
    <xf numFmtId="49" fontId="22" fillId="61" borderId="37" xfId="0" applyNumberFormat="1" applyFont="1" applyFill="1" applyBorder="1" applyAlignment="1">
      <alignment horizontal="center"/>
    </xf>
    <xf numFmtId="49" fontId="22" fillId="0" borderId="1" xfId="0" applyNumberFormat="1" applyFont="1" applyBorder="1" applyAlignment="1">
      <alignment horizontal="center"/>
    </xf>
    <xf numFmtId="0" fontId="22" fillId="0" borderId="2" xfId="0" applyFont="1" applyBorder="1"/>
    <xf numFmtId="49" fontId="22" fillId="0" borderId="8" xfId="0" applyNumberFormat="1" applyFont="1" applyBorder="1" applyAlignment="1">
      <alignment horizontal="center"/>
    </xf>
    <xf numFmtId="169" fontId="22" fillId="0" borderId="8" xfId="379" applyNumberFormat="1" applyFont="1" applyFill="1" applyBorder="1" applyAlignment="1">
      <alignment horizontal="center"/>
    </xf>
    <xf numFmtId="167" fontId="22" fillId="0" borderId="1" xfId="0" applyNumberFormat="1" applyFont="1" applyBorder="1" applyAlignment="1">
      <alignment horizontal="right" wrapText="1"/>
    </xf>
    <xf numFmtId="0" fontId="29" fillId="0" borderId="2" xfId="0" applyFont="1" applyBorder="1"/>
    <xf numFmtId="173" fontId="22" fillId="0" borderId="0" xfId="0" applyNumberFormat="1" applyFont="1"/>
    <xf numFmtId="169" fontId="22" fillId="0" borderId="13" xfId="379" applyNumberFormat="1" applyFont="1" applyFill="1" applyBorder="1"/>
    <xf numFmtId="0" fontId="22" fillId="0" borderId="26" xfId="0" applyFont="1" applyBorder="1" applyAlignment="1">
      <alignment horizontal="center" vertical="center" wrapText="1"/>
    </xf>
    <xf numFmtId="0" fontId="22" fillId="0" borderId="40" xfId="0" applyFont="1" applyBorder="1" applyAlignment="1">
      <alignment horizontal="center" vertical="center" wrapText="1"/>
    </xf>
    <xf numFmtId="169" fontId="22" fillId="0" borderId="0" xfId="379" applyNumberFormat="1" applyFont="1" applyAlignment="1">
      <alignment horizontal="center"/>
    </xf>
    <xf numFmtId="9" fontId="22" fillId="0" borderId="0" xfId="557" applyFont="1" applyAlignment="1" applyProtection="1">
      <alignment horizontal="center"/>
      <protection locked="0"/>
    </xf>
    <xf numFmtId="0" fontId="29" fillId="0" borderId="0" xfId="0" applyFont="1" applyAlignment="1" applyProtection="1">
      <alignment horizontal="center"/>
      <protection locked="0"/>
    </xf>
    <xf numFmtId="167" fontId="22" fillId="0" borderId="1" xfId="557" applyNumberFormat="1" applyFont="1" applyFill="1" applyBorder="1"/>
    <xf numFmtId="167" fontId="22" fillId="0" borderId="8" xfId="557" applyNumberFormat="1" applyFont="1" applyFill="1" applyBorder="1"/>
    <xf numFmtId="167" fontId="22" fillId="0" borderId="10" xfId="557" applyNumberFormat="1" applyFont="1" applyFill="1" applyBorder="1"/>
    <xf numFmtId="167" fontId="22" fillId="0" borderId="11" xfId="557" applyNumberFormat="1" applyFont="1" applyFill="1" applyBorder="1"/>
    <xf numFmtId="169" fontId="22" fillId="0" borderId="23" xfId="379" applyNumberFormat="1" applyFont="1" applyFill="1" applyBorder="1" applyAlignment="1" applyProtection="1">
      <alignment horizontal="right"/>
      <protection locked="0"/>
    </xf>
    <xf numFmtId="2" fontId="22" fillId="0" borderId="23" xfId="379" applyNumberFormat="1" applyFont="1" applyFill="1" applyBorder="1" applyAlignment="1" applyProtection="1">
      <alignment horizontal="right"/>
      <protection locked="0"/>
    </xf>
    <xf numFmtId="0" fontId="22" fillId="0" borderId="0" xfId="0" applyFont="1" applyAlignment="1">
      <alignment horizontal="center" vertical="center" wrapText="1"/>
    </xf>
    <xf numFmtId="3" fontId="22" fillId="0" borderId="0" xfId="0" applyNumberFormat="1" applyFont="1" applyAlignment="1">
      <alignment horizontal="center" vertical="center"/>
    </xf>
    <xf numFmtId="0" fontId="22" fillId="0" borderId="0" xfId="0" applyFont="1" applyAlignment="1">
      <alignment horizontal="center" vertical="center"/>
    </xf>
    <xf numFmtId="167" fontId="22" fillId="0" borderId="0" xfId="557" applyNumberFormat="1" applyFont="1" applyFill="1" applyBorder="1" applyAlignment="1">
      <alignment horizontal="center" vertical="center"/>
    </xf>
    <xf numFmtId="167" fontId="57" fillId="0" borderId="1" xfId="557" applyNumberFormat="1" applyFont="1" applyBorder="1" applyAlignment="1">
      <alignment horizontal="center" vertical="center" wrapText="1"/>
    </xf>
    <xf numFmtId="173" fontId="22" fillId="0" borderId="1" xfId="379" applyNumberFormat="1" applyFont="1" applyBorder="1"/>
    <xf numFmtId="172" fontId="22" fillId="0" borderId="1" xfId="0" applyNumberFormat="1" applyFont="1" applyBorder="1"/>
    <xf numFmtId="173" fontId="22" fillId="0" borderId="1" xfId="0" applyNumberFormat="1" applyFont="1" applyBorder="1"/>
    <xf numFmtId="169" fontId="22" fillId="0" borderId="1" xfId="379" applyNumberFormat="1" applyFont="1" applyBorder="1"/>
    <xf numFmtId="0" fontId="22" fillId="0" borderId="1" xfId="0" applyFont="1" applyBorder="1" applyAlignment="1" applyProtection="1">
      <alignment horizontal="center" wrapText="1"/>
      <protection locked="0"/>
    </xf>
    <xf numFmtId="49" fontId="117" fillId="33" borderId="1" xfId="383" applyNumberFormat="1" applyFont="1" applyFill="1" applyBorder="1" applyAlignment="1">
      <alignment horizontal="center"/>
    </xf>
    <xf numFmtId="0" fontId="202" fillId="0" borderId="0" xfId="0" applyFont="1" applyAlignment="1">
      <alignment horizontal="center" vertical="center" wrapText="1"/>
    </xf>
    <xf numFmtId="167" fontId="22" fillId="0" borderId="0" xfId="557" applyNumberFormat="1" applyFont="1" applyFill="1" applyBorder="1"/>
    <xf numFmtId="10" fontId="22" fillId="0" borderId="0" xfId="557" applyNumberFormat="1" applyFont="1" applyFill="1" applyBorder="1"/>
    <xf numFmtId="0" fontId="29" fillId="0" borderId="1" xfId="0" applyFont="1" applyBorder="1" applyAlignment="1">
      <alignment horizontal="center" wrapText="1"/>
    </xf>
    <xf numFmtId="3" fontId="22" fillId="0" borderId="0" xfId="0" applyNumberFormat="1" applyFont="1" applyAlignment="1">
      <alignment horizontal="right" vertical="center"/>
    </xf>
    <xf numFmtId="10" fontId="22" fillId="0" borderId="0" xfId="0" applyNumberFormat="1" applyFont="1" applyAlignment="1">
      <alignment horizontal="right" vertical="center"/>
    </xf>
    <xf numFmtId="0" fontId="22" fillId="0" borderId="1" xfId="0" applyFont="1" applyBorder="1" applyAlignment="1">
      <alignment horizontal="center" vertical="center" wrapText="1"/>
    </xf>
    <xf numFmtId="3" fontId="22" fillId="0" borderId="1" xfId="0" applyNumberFormat="1" applyFont="1" applyBorder="1" applyAlignment="1">
      <alignment horizontal="right" vertical="center"/>
    </xf>
    <xf numFmtId="10" fontId="22" fillId="0" borderId="1" xfId="0" applyNumberFormat="1" applyFont="1" applyBorder="1" applyAlignment="1">
      <alignment horizontal="right" vertical="center"/>
    </xf>
    <xf numFmtId="0" fontId="22" fillId="33" borderId="1" xfId="0" applyFont="1" applyFill="1" applyBorder="1" applyAlignment="1">
      <alignment horizontal="center" vertical="center" wrapText="1"/>
    </xf>
    <xf numFmtId="3" fontId="22" fillId="33" borderId="1" xfId="0" applyNumberFormat="1" applyFont="1" applyFill="1" applyBorder="1" applyAlignment="1">
      <alignment horizontal="right" vertical="center"/>
    </xf>
    <xf numFmtId="0" fontId="22" fillId="33" borderId="1" xfId="0" applyFont="1" applyFill="1" applyBorder="1" applyAlignment="1">
      <alignment horizontal="right" vertical="center"/>
    </xf>
    <xf numFmtId="0" fontId="22" fillId="0" borderId="1" xfId="0" applyFont="1" applyBorder="1" applyAlignment="1">
      <alignment horizontal="right" vertical="center"/>
    </xf>
    <xf numFmtId="0" fontId="22" fillId="33" borderId="1" xfId="0" applyFont="1" applyFill="1" applyBorder="1"/>
    <xf numFmtId="169" fontId="22" fillId="33" borderId="1" xfId="0" applyNumberFormat="1" applyFont="1" applyFill="1" applyBorder="1"/>
    <xf numFmtId="173" fontId="22" fillId="33" borderId="1" xfId="0" applyNumberFormat="1" applyFont="1" applyFill="1" applyBorder="1"/>
    <xf numFmtId="43" fontId="22" fillId="33" borderId="1" xfId="0" applyNumberFormat="1" applyFont="1" applyFill="1" applyBorder="1"/>
    <xf numFmtId="0" fontId="201" fillId="0" borderId="1" xfId="0" applyFont="1" applyBorder="1" applyAlignment="1">
      <alignment horizontal="center" vertical="center"/>
    </xf>
    <xf numFmtId="171" fontId="117" fillId="0" borderId="0" xfId="383" applyNumberFormat="1" applyFont="1" applyFill="1" applyBorder="1" applyAlignment="1">
      <alignment horizontal="center"/>
    </xf>
    <xf numFmtId="171" fontId="117" fillId="33" borderId="1" xfId="383" applyNumberFormat="1" applyFont="1" applyFill="1" applyBorder="1" applyAlignment="1">
      <alignment horizontal="left"/>
    </xf>
    <xf numFmtId="171" fontId="200" fillId="33" borderId="1" xfId="589" applyNumberFormat="1" applyFont="1" applyFill="1" applyBorder="1" applyAlignment="1">
      <alignment horizontal="left"/>
    </xf>
    <xf numFmtId="0" fontId="30" fillId="0" borderId="0" xfId="0" applyFont="1" applyAlignment="1">
      <alignment horizontal="center" vertical="top"/>
    </xf>
    <xf numFmtId="0" fontId="30" fillId="0" borderId="47" xfId="0" applyFont="1" applyBorder="1" applyAlignment="1">
      <alignment horizontal="left" vertical="top"/>
    </xf>
    <xf numFmtId="0" fontId="30" fillId="0" borderId="48" xfId="0" applyFont="1" applyBorder="1" applyAlignment="1">
      <alignment horizontal="left" vertical="top"/>
    </xf>
    <xf numFmtId="0" fontId="30" fillId="0" borderId="21" xfId="0" applyFont="1" applyBorder="1" applyAlignment="1">
      <alignment horizontal="left" vertical="top"/>
    </xf>
    <xf numFmtId="0" fontId="117" fillId="33" borderId="1" xfId="0" applyFont="1" applyFill="1" applyBorder="1" applyAlignment="1">
      <alignment horizontal="center" vertical="center"/>
    </xf>
    <xf numFmtId="0" fontId="30" fillId="0" borderId="0" xfId="0" applyFont="1" applyAlignment="1">
      <alignment horizontal="left" vertical="top"/>
    </xf>
    <xf numFmtId="0" fontId="117" fillId="0" borderId="0" xfId="0" applyFont="1" applyAlignment="1">
      <alignment horizontal="center" vertical="center" wrapText="1"/>
    </xf>
    <xf numFmtId="49" fontId="29" fillId="0" borderId="14" xfId="0" applyNumberFormat="1" applyFont="1" applyBorder="1" applyAlignment="1">
      <alignment horizontal="center" wrapText="1"/>
    </xf>
    <xf numFmtId="0" fontId="29" fillId="0" borderId="24" xfId="0" applyFont="1" applyBorder="1" applyAlignment="1">
      <alignment horizontal="center" wrapText="1"/>
    </xf>
    <xf numFmtId="0" fontId="29" fillId="0" borderId="51" xfId="0" applyFont="1" applyBorder="1" applyAlignment="1">
      <alignment horizontal="center" wrapText="1"/>
    </xf>
    <xf numFmtId="49" fontId="29" fillId="0" borderId="24" xfId="0" applyNumberFormat="1" applyFont="1" applyBorder="1" applyAlignment="1">
      <alignment horizontal="center" wrapText="1"/>
    </xf>
    <xf numFmtId="49" fontId="29" fillId="0" borderId="51" xfId="0" applyNumberFormat="1" applyFont="1" applyBorder="1" applyAlignment="1">
      <alignment horizontal="center" wrapText="1"/>
    </xf>
    <xf numFmtId="49" fontId="29" fillId="0" borderId="20" xfId="0" applyNumberFormat="1" applyFont="1" applyBorder="1" applyAlignment="1">
      <alignment horizontal="center"/>
    </xf>
    <xf numFmtId="0" fontId="29" fillId="0" borderId="13" xfId="0" applyFont="1" applyBorder="1" applyAlignment="1">
      <alignment horizontal="center"/>
    </xf>
    <xf numFmtId="0" fontId="29" fillId="0" borderId="15" xfId="0" applyFont="1" applyBorder="1" applyAlignment="1">
      <alignment horizontal="center"/>
    </xf>
    <xf numFmtId="0" fontId="29" fillId="0" borderId="50" xfId="0" applyFont="1" applyBorder="1" applyAlignment="1">
      <alignment horizontal="center"/>
    </xf>
    <xf numFmtId="0" fontId="29" fillId="0" borderId="48" xfId="0" applyFont="1" applyBorder="1" applyAlignment="1">
      <alignment horizontal="center"/>
    </xf>
    <xf numFmtId="0" fontId="29" fillId="0" borderId="19" xfId="0" applyFont="1" applyBorder="1" applyAlignment="1">
      <alignment horizontal="center"/>
    </xf>
    <xf numFmtId="0" fontId="29" fillId="0" borderId="12" xfId="0" applyFont="1" applyBorder="1" applyAlignment="1">
      <alignment horizontal="center"/>
    </xf>
    <xf numFmtId="2" fontId="29" fillId="0" borderId="20" xfId="0" applyNumberFormat="1" applyFont="1" applyBorder="1" applyAlignment="1">
      <alignment horizontal="center"/>
    </xf>
    <xf numFmtId="2" fontId="29" fillId="0" borderId="13" xfId="0" applyNumberFormat="1" applyFont="1" applyBorder="1" applyAlignment="1">
      <alignment horizontal="center"/>
    </xf>
    <xf numFmtId="49" fontId="22" fillId="0" borderId="44" xfId="0" applyNumberFormat="1" applyFont="1" applyBorder="1" applyAlignment="1">
      <alignment horizontal="center"/>
    </xf>
    <xf numFmtId="0" fontId="22" fillId="0" borderId="46" xfId="0" applyFont="1" applyBorder="1" applyAlignment="1">
      <alignment horizontal="center"/>
    </xf>
    <xf numFmtId="169" fontId="22" fillId="0" borderId="0" xfId="379" applyNumberFormat="1" applyFont="1" applyBorder="1" applyAlignment="1">
      <alignment horizontal="center"/>
    </xf>
    <xf numFmtId="0" fontId="29" fillId="0" borderId="31" xfId="0" applyFont="1" applyBorder="1" applyAlignment="1">
      <alignment horizontal="center"/>
    </xf>
    <xf numFmtId="0" fontId="29" fillId="0" borderId="5" xfId="0" applyFont="1" applyBorder="1" applyAlignment="1">
      <alignment horizontal="center"/>
    </xf>
    <xf numFmtId="0" fontId="29" fillId="0" borderId="6" xfId="0" applyFont="1" applyBorder="1" applyAlignment="1">
      <alignment horizontal="center"/>
    </xf>
    <xf numFmtId="49" fontId="22" fillId="0" borderId="45" xfId="0" applyNumberFormat="1" applyFont="1" applyBorder="1" applyAlignment="1">
      <alignment horizontal="center"/>
    </xf>
    <xf numFmtId="49" fontId="22" fillId="0" borderId="44" xfId="0" applyNumberFormat="1" applyFont="1" applyBorder="1" applyAlignment="1">
      <alignment horizontal="center" vertical="center" wrapText="1"/>
    </xf>
    <xf numFmtId="0" fontId="22" fillId="0" borderId="46" xfId="0" applyFont="1" applyBorder="1" applyAlignment="1">
      <alignment horizontal="center" vertical="center" wrapText="1"/>
    </xf>
    <xf numFmtId="0" fontId="22" fillId="0" borderId="44" xfId="0" applyFont="1" applyBorder="1" applyAlignment="1">
      <alignment horizontal="center" vertical="center" wrapText="1"/>
    </xf>
    <xf numFmtId="169" fontId="29" fillId="0" borderId="14" xfId="379" applyNumberFormat="1" applyFont="1" applyBorder="1" applyAlignment="1">
      <alignment horizontal="center"/>
    </xf>
    <xf numFmtId="169" fontId="29" fillId="0" borderId="51" xfId="379" applyNumberFormat="1" applyFont="1" applyBorder="1" applyAlignment="1">
      <alignment horizontal="center"/>
    </xf>
    <xf numFmtId="0" fontId="22" fillId="0" borderId="1" xfId="0" applyFont="1" applyBorder="1" applyAlignment="1" applyProtection="1">
      <alignment horizontal="center"/>
      <protection locked="0"/>
    </xf>
    <xf numFmtId="0" fontId="70" fillId="33" borderId="67" xfId="0" applyFont="1" applyFill="1" applyBorder="1" applyAlignment="1" applyProtection="1">
      <alignment horizontal="left" vertical="center"/>
      <protection locked="0"/>
    </xf>
    <xf numFmtId="0" fontId="70" fillId="33" borderId="5" xfId="0" applyFont="1" applyFill="1" applyBorder="1" applyAlignment="1" applyProtection="1">
      <alignment horizontal="left" vertical="center"/>
      <protection locked="0"/>
    </xf>
    <xf numFmtId="0" fontId="70" fillId="33" borderId="64" xfId="0" applyFont="1" applyFill="1" applyBorder="1" applyAlignment="1" applyProtection="1">
      <alignment horizontal="left" vertical="center"/>
      <protection locked="0"/>
    </xf>
    <xf numFmtId="0" fontId="70" fillId="33" borderId="31" xfId="0" applyFont="1" applyFill="1" applyBorder="1" applyAlignment="1" applyProtection="1">
      <alignment horizontal="center" vertical="center" wrapText="1"/>
      <protection locked="0"/>
    </xf>
    <xf numFmtId="0" fontId="70" fillId="33" borderId="5" xfId="0" applyFont="1" applyFill="1" applyBorder="1" applyAlignment="1" applyProtection="1">
      <alignment horizontal="center" vertical="center" wrapText="1"/>
      <protection locked="0"/>
    </xf>
    <xf numFmtId="0" fontId="70" fillId="33" borderId="64" xfId="0" applyFont="1" applyFill="1" applyBorder="1" applyAlignment="1" applyProtection="1">
      <alignment horizontal="center" vertical="center" wrapText="1"/>
      <protection locked="0"/>
    </xf>
    <xf numFmtId="0" fontId="72" fillId="0" borderId="1" xfId="861" applyFont="1" applyBorder="1" applyAlignment="1">
      <alignment horizontal="center"/>
    </xf>
    <xf numFmtId="0" fontId="33" fillId="0" borderId="31" xfId="0" applyFont="1" applyBorder="1" applyAlignment="1">
      <alignment horizontal="center"/>
    </xf>
    <xf numFmtId="0" fontId="33" fillId="0" borderId="6" xfId="0" applyFont="1" applyBorder="1" applyAlignment="1">
      <alignment horizontal="center"/>
    </xf>
    <xf numFmtId="0" fontId="33" fillId="0" borderId="31" xfId="0" applyFont="1" applyBorder="1" applyAlignment="1">
      <alignment horizontal="center" wrapText="1"/>
    </xf>
    <xf numFmtId="0" fontId="33" fillId="0" borderId="6" xfId="0" applyFont="1" applyBorder="1" applyAlignment="1">
      <alignment horizontal="center" wrapText="1"/>
    </xf>
    <xf numFmtId="0" fontId="65" fillId="0" borderId="19" xfId="0" applyFont="1" applyBorder="1" applyAlignment="1">
      <alignment horizontal="center"/>
    </xf>
    <xf numFmtId="0" fontId="65" fillId="0" borderId="13" xfId="0" applyFont="1" applyBorder="1" applyAlignment="1">
      <alignment horizontal="center"/>
    </xf>
    <xf numFmtId="3" fontId="55" fillId="0" borderId="10" xfId="0" applyNumberFormat="1" applyFont="1" applyBorder="1" applyAlignment="1">
      <alignment horizontal="center" vertical="center" wrapText="1"/>
    </xf>
    <xf numFmtId="3" fontId="55" fillId="0" borderId="85" xfId="0" applyNumberFormat="1" applyFont="1" applyBorder="1" applyAlignment="1">
      <alignment horizontal="center" vertical="center" wrapText="1"/>
    </xf>
    <xf numFmtId="3" fontId="55" fillId="0" borderId="86" xfId="0" applyNumberFormat="1" applyFont="1" applyBorder="1" applyAlignment="1">
      <alignment horizontal="center" vertical="center" wrapText="1"/>
    </xf>
    <xf numFmtId="0" fontId="63" fillId="0" borderId="52" xfId="0" applyFont="1" applyBorder="1" applyAlignment="1">
      <alignment horizontal="center" vertical="center" wrapText="1"/>
    </xf>
    <xf numFmtId="0" fontId="63" fillId="0" borderId="53" xfId="0" applyFont="1" applyBorder="1" applyAlignment="1">
      <alignment horizontal="center" vertical="center" wrapText="1"/>
    </xf>
    <xf numFmtId="3" fontId="55" fillId="0" borderId="47" xfId="0" applyNumberFormat="1" applyFont="1" applyBorder="1" applyAlignment="1">
      <alignment horizontal="center" vertical="center" wrapText="1"/>
    </xf>
    <xf numFmtId="3" fontId="55" fillId="0" borderId="21" xfId="0" applyNumberFormat="1" applyFont="1" applyBorder="1" applyAlignment="1">
      <alignment horizontal="center" vertical="center" wrapText="1"/>
    </xf>
    <xf numFmtId="0" fontId="57" fillId="0" borderId="23" xfId="0" applyFont="1" applyBorder="1" applyAlignment="1">
      <alignment horizontal="center" vertical="center" wrapText="1"/>
    </xf>
    <xf numFmtId="3" fontId="55" fillId="0" borderId="1" xfId="0" applyNumberFormat="1" applyFont="1" applyBorder="1" applyAlignment="1">
      <alignment horizontal="center" vertical="center" wrapText="1"/>
    </xf>
    <xf numFmtId="0" fontId="63" fillId="0" borderId="52" xfId="0" applyFont="1" applyBorder="1" applyAlignment="1">
      <alignment horizontal="center" vertical="center"/>
    </xf>
    <xf numFmtId="0" fontId="63" fillId="0" borderId="53" xfId="0" applyFont="1" applyBorder="1" applyAlignment="1">
      <alignment horizontal="center" vertical="center"/>
    </xf>
    <xf numFmtId="171" fontId="22" fillId="33" borderId="31" xfId="383" applyNumberFormat="1" applyFont="1" applyFill="1" applyBorder="1" applyAlignment="1">
      <alignment horizontal="center"/>
    </xf>
    <xf numFmtId="171" fontId="22" fillId="33" borderId="5" xfId="383" applyNumberFormat="1" applyFont="1" applyFill="1" applyBorder="1" applyAlignment="1">
      <alignment horizontal="center"/>
    </xf>
    <xf numFmtId="171" fontId="22" fillId="33" borderId="6" xfId="383" applyNumberFormat="1" applyFont="1" applyFill="1" applyBorder="1" applyAlignment="1">
      <alignment horizontal="center"/>
    </xf>
    <xf numFmtId="0" fontId="22" fillId="0" borderId="39" xfId="0" applyFont="1" applyBorder="1" applyAlignment="1">
      <alignment horizontal="center"/>
    </xf>
    <xf numFmtId="0" fontId="22" fillId="0" borderId="26" xfId="0" applyFont="1" applyBorder="1" applyAlignment="1">
      <alignment horizontal="center"/>
    </xf>
    <xf numFmtId="0" fontId="22" fillId="0" borderId="40" xfId="0" applyFont="1" applyBorder="1" applyAlignment="1">
      <alignment horizontal="center"/>
    </xf>
    <xf numFmtId="0" fontId="56" fillId="35" borderId="0" xfId="0" applyFont="1" applyFill="1" applyAlignment="1">
      <alignment horizontal="center" vertical="center"/>
    </xf>
    <xf numFmtId="0" fontId="22" fillId="35" borderId="45" xfId="0" applyFont="1" applyFill="1" applyBorder="1" applyAlignment="1">
      <alignment horizontal="left" vertical="center" wrapText="1"/>
    </xf>
    <xf numFmtId="0" fontId="57" fillId="0" borderId="12" xfId="0" applyFont="1" applyBorder="1" applyAlignment="1">
      <alignment horizontal="center" vertical="center" wrapText="1"/>
    </xf>
    <xf numFmtId="0" fontId="63" fillId="0" borderId="84" xfId="0" applyFont="1" applyBorder="1" applyAlignment="1">
      <alignment horizontal="center" vertical="center" wrapText="1"/>
    </xf>
    <xf numFmtId="0" fontId="63" fillId="0" borderId="20" xfId="0" applyFont="1" applyBorder="1" applyAlignment="1">
      <alignment horizontal="center" vertical="center" wrapText="1"/>
    </xf>
    <xf numFmtId="171" fontId="22" fillId="0" borderId="31" xfId="383" applyNumberFormat="1" applyFont="1" applyFill="1" applyBorder="1" applyAlignment="1">
      <alignment horizontal="center"/>
    </xf>
    <xf numFmtId="171" fontId="22" fillId="0" borderId="5" xfId="383" applyNumberFormat="1" applyFont="1" applyFill="1" applyBorder="1" applyAlignment="1">
      <alignment horizontal="center"/>
    </xf>
    <xf numFmtId="171" fontId="22" fillId="0" borderId="6" xfId="383" applyNumberFormat="1" applyFont="1" applyFill="1" applyBorder="1" applyAlignment="1">
      <alignment horizontal="center"/>
    </xf>
    <xf numFmtId="0" fontId="65" fillId="0" borderId="24" xfId="0" applyFont="1" applyBorder="1" applyAlignment="1">
      <alignment horizontal="center"/>
    </xf>
    <xf numFmtId="2" fontId="92" fillId="33" borderId="3" xfId="379" applyNumberFormat="1" applyFont="1" applyFill="1" applyBorder="1" applyAlignment="1" applyProtection="1">
      <alignment horizontal="center" vertical="center"/>
      <protection locked="0"/>
    </xf>
    <xf numFmtId="2" fontId="92" fillId="33" borderId="87" xfId="379" applyNumberFormat="1" applyFont="1" applyFill="1" applyBorder="1" applyAlignment="1" applyProtection="1">
      <alignment horizontal="center" vertical="center"/>
      <protection locked="0"/>
    </xf>
    <xf numFmtId="0" fontId="22" fillId="35" borderId="45" xfId="0" applyFont="1" applyFill="1" applyBorder="1" applyAlignment="1">
      <alignment horizontal="center" vertical="center" wrapText="1"/>
    </xf>
    <xf numFmtId="0" fontId="70" fillId="33" borderId="67" xfId="0" applyFont="1" applyFill="1" applyBorder="1" applyAlignment="1" applyProtection="1">
      <alignment horizontal="center" vertical="center"/>
      <protection locked="0"/>
    </xf>
    <xf numFmtId="0" fontId="70" fillId="33" borderId="5" xfId="0" applyFont="1" applyFill="1" applyBorder="1" applyAlignment="1" applyProtection="1">
      <alignment horizontal="center" vertical="center"/>
      <protection locked="0"/>
    </xf>
    <xf numFmtId="0" fontId="70" fillId="33" borderId="6" xfId="0" applyFont="1" applyFill="1" applyBorder="1" applyAlignment="1" applyProtection="1">
      <alignment horizontal="center" vertical="center"/>
      <protection locked="0"/>
    </xf>
    <xf numFmtId="0" fontId="22" fillId="0" borderId="0" xfId="0" applyFont="1" applyAlignment="1">
      <alignment horizontal="left" wrapText="1"/>
    </xf>
    <xf numFmtId="0" fontId="73" fillId="0" borderId="47" xfId="0" applyFont="1" applyBorder="1" applyAlignment="1">
      <alignment horizontal="center"/>
    </xf>
    <xf numFmtId="0" fontId="73" fillId="0" borderId="48" xfId="0" applyFont="1" applyBorder="1" applyAlignment="1">
      <alignment horizontal="center"/>
    </xf>
    <xf numFmtId="0" fontId="73" fillId="0" borderId="21" xfId="0" applyFont="1" applyBorder="1" applyAlignment="1">
      <alignment horizontal="center"/>
    </xf>
    <xf numFmtId="0" fontId="202" fillId="131" borderId="1" xfId="0" applyFont="1" applyFill="1" applyBorder="1" applyAlignment="1">
      <alignment vertical="center" wrapText="1"/>
    </xf>
    <xf numFmtId="2" fontId="22" fillId="0" borderId="5" xfId="0" applyNumberFormat="1" applyFont="1" applyBorder="1" applyAlignment="1">
      <alignment horizontal="center" wrapText="1"/>
    </xf>
    <xf numFmtId="2" fontId="22" fillId="0" borderId="6" xfId="0" applyNumberFormat="1" applyFont="1" applyBorder="1" applyAlignment="1">
      <alignment horizontal="center" wrapText="1"/>
    </xf>
    <xf numFmtId="2" fontId="22" fillId="0" borderId="39" xfId="0" applyNumberFormat="1" applyFont="1" applyBorder="1" applyAlignment="1">
      <alignment horizontal="center" wrapText="1"/>
    </xf>
    <xf numFmtId="0" fontId="22" fillId="0" borderId="40" xfId="0" applyFont="1" applyBorder="1" applyAlignment="1">
      <alignment horizontal="center" wrapText="1"/>
    </xf>
    <xf numFmtId="2" fontId="22" fillId="0" borderId="64" xfId="0" applyNumberFormat="1" applyFont="1" applyBorder="1" applyAlignment="1">
      <alignment horizontal="center" wrapText="1"/>
    </xf>
    <xf numFmtId="2" fontId="22" fillId="0" borderId="31" xfId="0" applyNumberFormat="1" applyFont="1" applyBorder="1" applyAlignment="1">
      <alignment horizontal="center" wrapText="1"/>
    </xf>
    <xf numFmtId="0" fontId="29" fillId="0" borderId="47" xfId="0" applyFont="1" applyBorder="1" applyAlignment="1">
      <alignment horizontal="center" wrapText="1"/>
    </xf>
    <xf numFmtId="0" fontId="29" fillId="0" borderId="48" xfId="0" applyFont="1" applyBorder="1" applyAlignment="1">
      <alignment horizontal="center" wrapText="1"/>
    </xf>
    <xf numFmtId="0" fontId="29" fillId="0" borderId="21" xfId="0" applyFont="1" applyBorder="1" applyAlignment="1">
      <alignment horizontal="center" wrapText="1"/>
    </xf>
    <xf numFmtId="2" fontId="29" fillId="0" borderId="47" xfId="0" applyNumberFormat="1" applyFont="1" applyBorder="1" applyAlignment="1">
      <alignment horizontal="center" vertical="center" wrapText="1"/>
    </xf>
    <xf numFmtId="2" fontId="29" fillId="0" borderId="21" xfId="0" applyNumberFormat="1" applyFont="1" applyBorder="1" applyAlignment="1">
      <alignment horizontal="center" vertical="center" wrapText="1"/>
    </xf>
    <xf numFmtId="0" fontId="62" fillId="0" borderId="42" xfId="0" applyFont="1" applyBorder="1" applyAlignment="1">
      <alignment horizontal="center" vertical="center" wrapText="1"/>
    </xf>
    <xf numFmtId="0" fontId="62" fillId="0" borderId="23"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7" xfId="0" applyFont="1" applyBorder="1" applyAlignment="1">
      <alignment horizontal="center"/>
    </xf>
    <xf numFmtId="0" fontId="29" fillId="0" borderId="21" xfId="0" applyFont="1" applyBorder="1" applyAlignment="1">
      <alignment horizontal="center"/>
    </xf>
    <xf numFmtId="2" fontId="29" fillId="0" borderId="1" xfId="0" applyNumberFormat="1" applyFont="1" applyBorder="1" applyAlignment="1">
      <alignment horizontal="center" vertical="center" wrapText="1"/>
    </xf>
    <xf numFmtId="2" fontId="29" fillId="0" borderId="31" xfId="0" applyNumberFormat="1" applyFont="1" applyBorder="1" applyAlignment="1">
      <alignment horizontal="center"/>
    </xf>
    <xf numFmtId="0" fontId="33" fillId="0" borderId="39" xfId="0" applyFont="1" applyBorder="1" applyAlignment="1">
      <alignment horizontal="center"/>
    </xf>
    <xf numFmtId="0" fontId="33" fillId="0" borderId="40" xfId="0" applyFont="1" applyBorder="1" applyAlignment="1">
      <alignment horizontal="center"/>
    </xf>
  </cellXfs>
  <cellStyles count="41093">
    <cellStyle name="$" xfId="746" xr:uid="{00000000-0005-0000-0000-000000000000}"/>
    <cellStyle name="$ 2" xfId="1286" xr:uid="{00000000-0005-0000-0000-000001000000}"/>
    <cellStyle name="$ 2 2" xfId="2712" xr:uid="{00000000-0005-0000-0000-000002000000}"/>
    <cellStyle name="$ 3" xfId="1815" xr:uid="{00000000-0005-0000-0000-000003000000}"/>
    <cellStyle name="$ 4" xfId="1287" xr:uid="{00000000-0005-0000-0000-000004000000}"/>
    <cellStyle name="$.00" xfId="747" xr:uid="{00000000-0005-0000-0000-000005000000}"/>
    <cellStyle name="$.00 2" xfId="1284" xr:uid="{00000000-0005-0000-0000-000006000000}"/>
    <cellStyle name="$.00 2 2" xfId="2713" xr:uid="{00000000-0005-0000-0000-000007000000}"/>
    <cellStyle name="$.00 3" xfId="1816" xr:uid="{00000000-0005-0000-0000-000008000000}"/>
    <cellStyle name="$.00 4" xfId="1285" xr:uid="{00000000-0005-0000-0000-000009000000}"/>
    <cellStyle name="$_9. Rev2Cost_GDPIPI" xfId="748" xr:uid="{00000000-0005-0000-0000-00000A000000}"/>
    <cellStyle name="$_9. Rev2Cost_GDPIPI 2" xfId="1282" xr:uid="{00000000-0005-0000-0000-00000B000000}"/>
    <cellStyle name="$_9. Rev2Cost_GDPIPI 2 2" xfId="2714" xr:uid="{00000000-0005-0000-0000-00000C000000}"/>
    <cellStyle name="$_9. Rev2Cost_GDPIPI 3" xfId="1817" xr:uid="{00000000-0005-0000-0000-00000D000000}"/>
    <cellStyle name="$_9. Rev2Cost_GDPIPI 4" xfId="1283" xr:uid="{00000000-0005-0000-0000-00000E000000}"/>
    <cellStyle name="$_lists" xfId="749" xr:uid="{00000000-0005-0000-0000-00000F000000}"/>
    <cellStyle name="$_lists 2" xfId="1280" xr:uid="{00000000-0005-0000-0000-000010000000}"/>
    <cellStyle name="$_lists 2 2" xfId="2715" xr:uid="{00000000-0005-0000-0000-000011000000}"/>
    <cellStyle name="$_lists 3" xfId="1818" xr:uid="{00000000-0005-0000-0000-000012000000}"/>
    <cellStyle name="$_lists 4" xfId="1281" xr:uid="{00000000-0005-0000-0000-000013000000}"/>
    <cellStyle name="$_lists_4. Current Monthly Fixed Charge" xfId="750" xr:uid="{00000000-0005-0000-0000-000014000000}"/>
    <cellStyle name="$_lists_4. Current Monthly Fixed Charge 2" xfId="1278" xr:uid="{00000000-0005-0000-0000-000015000000}"/>
    <cellStyle name="$_lists_4. Current Monthly Fixed Charge 2 2" xfId="2716" xr:uid="{00000000-0005-0000-0000-000016000000}"/>
    <cellStyle name="$_lists_4. Current Monthly Fixed Charge 3" xfId="1819" xr:uid="{00000000-0005-0000-0000-000017000000}"/>
    <cellStyle name="$_lists_4. Current Monthly Fixed Charge 4" xfId="1279" xr:uid="{00000000-0005-0000-0000-000018000000}"/>
    <cellStyle name="$_Sheet4" xfId="751" xr:uid="{00000000-0005-0000-0000-000019000000}"/>
    <cellStyle name="$_Sheet4 2" xfId="1276" xr:uid="{00000000-0005-0000-0000-00001A000000}"/>
    <cellStyle name="$_Sheet4 2 2" xfId="2717" xr:uid="{00000000-0005-0000-0000-00001B000000}"/>
    <cellStyle name="$_Sheet4 3" xfId="1820" xr:uid="{00000000-0005-0000-0000-00001C000000}"/>
    <cellStyle name="$_Sheet4 4" xfId="1277" xr:uid="{00000000-0005-0000-0000-00001D000000}"/>
    <cellStyle name="$M" xfId="752" xr:uid="{00000000-0005-0000-0000-00001E000000}"/>
    <cellStyle name="$M 2" xfId="1274" xr:uid="{00000000-0005-0000-0000-00001F000000}"/>
    <cellStyle name="$M 2 2" xfId="2505" xr:uid="{00000000-0005-0000-0000-000020000000}"/>
    <cellStyle name="$M 2 3" xfId="2718" xr:uid="{00000000-0005-0000-0000-000021000000}"/>
    <cellStyle name="$M 3" xfId="1821" xr:uid="{00000000-0005-0000-0000-000022000000}"/>
    <cellStyle name="$M 3 2" xfId="2473" xr:uid="{00000000-0005-0000-0000-000023000000}"/>
    <cellStyle name="$M 4" xfId="1275" xr:uid="{00000000-0005-0000-0000-000024000000}"/>
    <cellStyle name="$M.00" xfId="753" xr:uid="{00000000-0005-0000-0000-000025000000}"/>
    <cellStyle name="$M.00 2" xfId="1272" xr:uid="{00000000-0005-0000-0000-000026000000}"/>
    <cellStyle name="$M.00 2 2" xfId="2719" xr:uid="{00000000-0005-0000-0000-000027000000}"/>
    <cellStyle name="$M.00 3" xfId="1822" xr:uid="{00000000-0005-0000-0000-000028000000}"/>
    <cellStyle name="$M.00 4" xfId="1273" xr:uid="{00000000-0005-0000-0000-000029000000}"/>
    <cellStyle name="$M_9. Rev2Cost_GDPIPI" xfId="754" xr:uid="{00000000-0005-0000-0000-00002A000000}"/>
    <cellStyle name="20% - Accent1" xfId="941" builtinId="30" customBuiltin="1"/>
    <cellStyle name="20% - Accent1 10" xfId="1" xr:uid="{00000000-0005-0000-0000-00002C000000}"/>
    <cellStyle name="20% - Accent1 11" xfId="2" xr:uid="{00000000-0005-0000-0000-00002D000000}"/>
    <cellStyle name="20% - Accent1 12" xfId="3" xr:uid="{00000000-0005-0000-0000-00002E000000}"/>
    <cellStyle name="20% - Accent1 13" xfId="4" xr:uid="{00000000-0005-0000-0000-00002F000000}"/>
    <cellStyle name="20% - Accent1 14" xfId="5" xr:uid="{00000000-0005-0000-0000-000030000000}"/>
    <cellStyle name="20% - Accent1 15" xfId="6" xr:uid="{00000000-0005-0000-0000-000031000000}"/>
    <cellStyle name="20% - Accent1 16" xfId="670" xr:uid="{00000000-0005-0000-0000-000032000000}"/>
    <cellStyle name="20% - Accent1 17" xfId="989" xr:uid="{00000000-0005-0000-0000-000033000000}"/>
    <cellStyle name="20% - Accent1 17 2" xfId="11860" xr:uid="{00000000-0005-0000-0000-000034000000}"/>
    <cellStyle name="20% - Accent1 17 2 2" xfId="21564" xr:uid="{00000000-0005-0000-0000-000035000000}"/>
    <cellStyle name="20% - Accent1 17 2 2 2" xfId="40964" xr:uid="{00000000-0005-0000-0000-000036000000}"/>
    <cellStyle name="20% - Accent1 17 2 3" xfId="31266" xr:uid="{00000000-0005-0000-0000-000037000000}"/>
    <cellStyle name="20% - Accent1 17 3" xfId="12216" xr:uid="{00000000-0005-0000-0000-000038000000}"/>
    <cellStyle name="20% - Accent1 17 3 2" xfId="31619" xr:uid="{00000000-0005-0000-0000-000039000000}"/>
    <cellStyle name="20% - Accent1 17 4" xfId="21921" xr:uid="{00000000-0005-0000-0000-00003A000000}"/>
    <cellStyle name="20% - Accent1 18" xfId="1014" xr:uid="{00000000-0005-0000-0000-00003B000000}"/>
    <cellStyle name="20% - Accent1 18 2" xfId="11885" xr:uid="{00000000-0005-0000-0000-00003C000000}"/>
    <cellStyle name="20% - Accent1 18 2 2" xfId="21589" xr:uid="{00000000-0005-0000-0000-00003D000000}"/>
    <cellStyle name="20% - Accent1 18 2 2 2" xfId="40989" xr:uid="{00000000-0005-0000-0000-00003E000000}"/>
    <cellStyle name="20% - Accent1 18 2 3" xfId="31291" xr:uid="{00000000-0005-0000-0000-00003F000000}"/>
    <cellStyle name="20% - Accent1 18 3" xfId="12241" xr:uid="{00000000-0005-0000-0000-000040000000}"/>
    <cellStyle name="20% - Accent1 18 3 2" xfId="31644" xr:uid="{00000000-0005-0000-0000-000041000000}"/>
    <cellStyle name="20% - Accent1 18 4" xfId="21946" xr:uid="{00000000-0005-0000-0000-000042000000}"/>
    <cellStyle name="20% - Accent1 19" xfId="1064" xr:uid="{00000000-0005-0000-0000-000043000000}"/>
    <cellStyle name="20% - Accent1 19 2" xfId="11935" xr:uid="{00000000-0005-0000-0000-000044000000}"/>
    <cellStyle name="20% - Accent1 19 2 2" xfId="21639" xr:uid="{00000000-0005-0000-0000-000045000000}"/>
    <cellStyle name="20% - Accent1 19 2 2 2" xfId="41039" xr:uid="{00000000-0005-0000-0000-000046000000}"/>
    <cellStyle name="20% - Accent1 19 2 3" xfId="31341" xr:uid="{00000000-0005-0000-0000-000047000000}"/>
    <cellStyle name="20% - Accent1 19 3" xfId="12291" xr:uid="{00000000-0005-0000-0000-000048000000}"/>
    <cellStyle name="20% - Accent1 19 3 2" xfId="31694" xr:uid="{00000000-0005-0000-0000-000049000000}"/>
    <cellStyle name="20% - Accent1 19 4" xfId="21996" xr:uid="{00000000-0005-0000-0000-00004A000000}"/>
    <cellStyle name="20% - Accent1 2" xfId="7" xr:uid="{00000000-0005-0000-0000-00004B000000}"/>
    <cellStyle name="20% - Accent1 2 10" xfId="1936" xr:uid="{00000000-0005-0000-0000-00004C000000}"/>
    <cellStyle name="20% - Accent1 2 10 2" xfId="2939" xr:uid="{00000000-0005-0000-0000-00004D000000}"/>
    <cellStyle name="20% - Accent1 2 10 2 2" xfId="5208" xr:uid="{00000000-0005-0000-0000-00004E000000}"/>
    <cellStyle name="20% - Accent1 2 10 2 2 2" xfId="9672" xr:uid="{00000000-0005-0000-0000-00004F000000}"/>
    <cellStyle name="20% - Accent1 2 10 2 2 2 2" xfId="19668" xr:uid="{00000000-0005-0000-0000-000050000000}"/>
    <cellStyle name="20% - Accent1 2 10 2 2 2 2 2" xfId="39068" xr:uid="{00000000-0005-0000-0000-000051000000}"/>
    <cellStyle name="20% - Accent1 2 10 2 2 2 3" xfId="29370" xr:uid="{00000000-0005-0000-0000-000052000000}"/>
    <cellStyle name="20% - Accent1 2 10 2 2 3" xfId="15213" xr:uid="{00000000-0005-0000-0000-000053000000}"/>
    <cellStyle name="20% - Accent1 2 10 2 2 3 2" xfId="34613" xr:uid="{00000000-0005-0000-0000-000054000000}"/>
    <cellStyle name="20% - Accent1 2 10 2 2 4" xfId="24915" xr:uid="{00000000-0005-0000-0000-000055000000}"/>
    <cellStyle name="20% - Accent1 2 10 2 3" xfId="7444" xr:uid="{00000000-0005-0000-0000-000056000000}"/>
    <cellStyle name="20% - Accent1 2 10 2 3 2" xfId="17440" xr:uid="{00000000-0005-0000-0000-000057000000}"/>
    <cellStyle name="20% - Accent1 2 10 2 3 2 2" xfId="36840" xr:uid="{00000000-0005-0000-0000-000058000000}"/>
    <cellStyle name="20% - Accent1 2 10 2 3 3" xfId="27142" xr:uid="{00000000-0005-0000-0000-000059000000}"/>
    <cellStyle name="20% - Accent1 2 10 2 4" xfId="12985" xr:uid="{00000000-0005-0000-0000-00005A000000}"/>
    <cellStyle name="20% - Accent1 2 10 2 4 2" xfId="32385" xr:uid="{00000000-0005-0000-0000-00005B000000}"/>
    <cellStyle name="20% - Accent1 2 10 2 5" xfId="22687" xr:uid="{00000000-0005-0000-0000-00005C000000}"/>
    <cellStyle name="20% - Accent1 2 10 3" xfId="3522" xr:uid="{00000000-0005-0000-0000-00005D000000}"/>
    <cellStyle name="20% - Accent1 2 10 3 2" xfId="4652" xr:uid="{00000000-0005-0000-0000-00005E000000}"/>
    <cellStyle name="20% - Accent1 2 10 3 2 2" xfId="9116" xr:uid="{00000000-0005-0000-0000-00005F000000}"/>
    <cellStyle name="20% - Accent1 2 10 3 2 2 2" xfId="19112" xr:uid="{00000000-0005-0000-0000-000060000000}"/>
    <cellStyle name="20% - Accent1 2 10 3 2 2 2 2" xfId="38512" xr:uid="{00000000-0005-0000-0000-000061000000}"/>
    <cellStyle name="20% - Accent1 2 10 3 2 2 3" xfId="28814" xr:uid="{00000000-0005-0000-0000-000062000000}"/>
    <cellStyle name="20% - Accent1 2 10 3 2 3" xfId="14657" xr:uid="{00000000-0005-0000-0000-000063000000}"/>
    <cellStyle name="20% - Accent1 2 10 3 2 3 2" xfId="34057" xr:uid="{00000000-0005-0000-0000-000064000000}"/>
    <cellStyle name="20% - Accent1 2 10 3 2 4" xfId="24359" xr:uid="{00000000-0005-0000-0000-000065000000}"/>
    <cellStyle name="20% - Accent1 2 10 3 3" xfId="8001" xr:uid="{00000000-0005-0000-0000-000066000000}"/>
    <cellStyle name="20% - Accent1 2 10 3 3 2" xfId="17997" xr:uid="{00000000-0005-0000-0000-000067000000}"/>
    <cellStyle name="20% - Accent1 2 10 3 3 2 2" xfId="37397" xr:uid="{00000000-0005-0000-0000-000068000000}"/>
    <cellStyle name="20% - Accent1 2 10 3 3 3" xfId="27699" xr:uid="{00000000-0005-0000-0000-000069000000}"/>
    <cellStyle name="20% - Accent1 2 10 3 4" xfId="13542" xr:uid="{00000000-0005-0000-0000-00006A000000}"/>
    <cellStyle name="20% - Accent1 2 10 3 4 2" xfId="32942" xr:uid="{00000000-0005-0000-0000-00006B000000}"/>
    <cellStyle name="20% - Accent1 2 10 3 5" xfId="23244" xr:uid="{00000000-0005-0000-0000-00006C000000}"/>
    <cellStyle name="20% - Accent1 2 10 4" xfId="4095" xr:uid="{00000000-0005-0000-0000-00006D000000}"/>
    <cellStyle name="20% - Accent1 2 10 4 2" xfId="8559" xr:uid="{00000000-0005-0000-0000-00006E000000}"/>
    <cellStyle name="20% - Accent1 2 10 4 2 2" xfId="18555" xr:uid="{00000000-0005-0000-0000-00006F000000}"/>
    <cellStyle name="20% - Accent1 2 10 4 2 2 2" xfId="37955" xr:uid="{00000000-0005-0000-0000-000070000000}"/>
    <cellStyle name="20% - Accent1 2 10 4 2 3" xfId="28257" xr:uid="{00000000-0005-0000-0000-000071000000}"/>
    <cellStyle name="20% - Accent1 2 10 4 3" xfId="14100" xr:uid="{00000000-0005-0000-0000-000072000000}"/>
    <cellStyle name="20% - Accent1 2 10 4 3 2" xfId="33500" xr:uid="{00000000-0005-0000-0000-000073000000}"/>
    <cellStyle name="20% - Accent1 2 10 4 4" xfId="23802" xr:uid="{00000000-0005-0000-0000-000074000000}"/>
    <cellStyle name="20% - Accent1 2 10 5" xfId="5765" xr:uid="{00000000-0005-0000-0000-000075000000}"/>
    <cellStyle name="20% - Accent1 2 10 5 2" xfId="10229" xr:uid="{00000000-0005-0000-0000-000076000000}"/>
    <cellStyle name="20% - Accent1 2 10 5 2 2" xfId="20225" xr:uid="{00000000-0005-0000-0000-000077000000}"/>
    <cellStyle name="20% - Accent1 2 10 5 2 2 2" xfId="39625" xr:uid="{00000000-0005-0000-0000-000078000000}"/>
    <cellStyle name="20% - Accent1 2 10 5 2 3" xfId="29927" xr:uid="{00000000-0005-0000-0000-000079000000}"/>
    <cellStyle name="20% - Accent1 2 10 5 3" xfId="15770" xr:uid="{00000000-0005-0000-0000-00007A000000}"/>
    <cellStyle name="20% - Accent1 2 10 5 3 2" xfId="35170" xr:uid="{00000000-0005-0000-0000-00007B000000}"/>
    <cellStyle name="20% - Accent1 2 10 5 4" xfId="25472" xr:uid="{00000000-0005-0000-0000-00007C000000}"/>
    <cellStyle name="20% - Accent1 2 10 6" xfId="6331" xr:uid="{00000000-0005-0000-0000-00007D000000}"/>
    <cellStyle name="20% - Accent1 2 10 6 2" xfId="10786" xr:uid="{00000000-0005-0000-0000-00007E000000}"/>
    <cellStyle name="20% - Accent1 2 10 6 2 2" xfId="20782" xr:uid="{00000000-0005-0000-0000-00007F000000}"/>
    <cellStyle name="20% - Accent1 2 10 6 2 2 2" xfId="40182" xr:uid="{00000000-0005-0000-0000-000080000000}"/>
    <cellStyle name="20% - Accent1 2 10 6 2 3" xfId="30484" xr:uid="{00000000-0005-0000-0000-000081000000}"/>
    <cellStyle name="20% - Accent1 2 10 6 3" xfId="16327" xr:uid="{00000000-0005-0000-0000-000082000000}"/>
    <cellStyle name="20% - Accent1 2 10 6 3 2" xfId="35727" xr:uid="{00000000-0005-0000-0000-000083000000}"/>
    <cellStyle name="20% - Accent1 2 10 6 4" xfId="26029" xr:uid="{00000000-0005-0000-0000-000084000000}"/>
    <cellStyle name="20% - Accent1 2 10 7" xfId="6888" xr:uid="{00000000-0005-0000-0000-000085000000}"/>
    <cellStyle name="20% - Accent1 2 10 7 2" xfId="16884" xr:uid="{00000000-0005-0000-0000-000086000000}"/>
    <cellStyle name="20% - Accent1 2 10 7 2 2" xfId="36284" xr:uid="{00000000-0005-0000-0000-000087000000}"/>
    <cellStyle name="20% - Accent1 2 10 7 3" xfId="26586" xr:uid="{00000000-0005-0000-0000-000088000000}"/>
    <cellStyle name="20% - Accent1 2 10 8" xfId="12428" xr:uid="{00000000-0005-0000-0000-000089000000}"/>
    <cellStyle name="20% - Accent1 2 10 8 2" xfId="31829" xr:uid="{00000000-0005-0000-0000-00008A000000}"/>
    <cellStyle name="20% - Accent1 2 10 9" xfId="22131" xr:uid="{00000000-0005-0000-0000-00008B000000}"/>
    <cellStyle name="20% - Accent1 2 11" xfId="2576" xr:uid="{00000000-0005-0000-0000-00008C000000}"/>
    <cellStyle name="20% - Accent1 2 12" xfId="11304" xr:uid="{00000000-0005-0000-0000-00008D000000}"/>
    <cellStyle name="20% - Accent1 2 12 2" xfId="21289" xr:uid="{00000000-0005-0000-0000-00008E000000}"/>
    <cellStyle name="20% - Accent1 2 12 2 2" xfId="40689" xr:uid="{00000000-0005-0000-0000-00008F000000}"/>
    <cellStyle name="20% - Accent1 2 12 3" xfId="30991" xr:uid="{00000000-0005-0000-0000-000090000000}"/>
    <cellStyle name="20% - Accent1 2 13" xfId="11333" xr:uid="{00000000-0005-0000-0000-000091000000}"/>
    <cellStyle name="20% - Accent1 2 13 2" xfId="21315" xr:uid="{00000000-0005-0000-0000-000092000000}"/>
    <cellStyle name="20% - Accent1 2 13 2 2" xfId="40715" xr:uid="{00000000-0005-0000-0000-000093000000}"/>
    <cellStyle name="20% - Accent1 2 13 3" xfId="31017" xr:uid="{00000000-0005-0000-0000-000094000000}"/>
    <cellStyle name="20% - Accent1 2 14" xfId="1271" xr:uid="{00000000-0005-0000-0000-000095000000}"/>
    <cellStyle name="20% - Accent1 2 15" xfId="1129" xr:uid="{00000000-0005-0000-0000-000096000000}"/>
    <cellStyle name="20% - Accent1 2 15 2" xfId="12348" xr:uid="{00000000-0005-0000-0000-000097000000}"/>
    <cellStyle name="20% - Accent1 2 15 2 2" xfId="31750" xr:uid="{00000000-0005-0000-0000-000098000000}"/>
    <cellStyle name="20% - Accent1 2 15 3" xfId="22052" xr:uid="{00000000-0005-0000-0000-000099000000}"/>
    <cellStyle name="20% - Accent1 2 2" xfId="717" xr:uid="{00000000-0005-0000-0000-00009A000000}"/>
    <cellStyle name="20% - Accent1 2 2 2" xfId="1744" xr:uid="{00000000-0005-0000-0000-00009B000000}"/>
    <cellStyle name="20% - Accent1 2 2 3" xfId="1270" xr:uid="{00000000-0005-0000-0000-00009C000000}"/>
    <cellStyle name="20% - Accent1 2 2 4" xfId="11674" xr:uid="{00000000-0005-0000-0000-00009D000000}"/>
    <cellStyle name="20% - Accent1 2 2 4 2" xfId="21398" xr:uid="{00000000-0005-0000-0000-00009E000000}"/>
    <cellStyle name="20% - Accent1 2 2 4 2 2" xfId="40798" xr:uid="{00000000-0005-0000-0000-00009F000000}"/>
    <cellStyle name="20% - Accent1 2 2 4 3" xfId="31100" xr:uid="{00000000-0005-0000-0000-0000A0000000}"/>
    <cellStyle name="20% - Accent1 2 2 5" xfId="1159" xr:uid="{00000000-0005-0000-0000-0000A1000000}"/>
    <cellStyle name="20% - Accent1 2 2 6" xfId="12050" xr:uid="{00000000-0005-0000-0000-0000A2000000}"/>
    <cellStyle name="20% - Accent1 2 2 6 2" xfId="31453" xr:uid="{00000000-0005-0000-0000-0000A3000000}"/>
    <cellStyle name="20% - Accent1 2 2 7" xfId="21755" xr:uid="{00000000-0005-0000-0000-0000A4000000}"/>
    <cellStyle name="20% - Accent1 2 3" xfId="1099" xr:uid="{00000000-0005-0000-0000-0000A5000000}"/>
    <cellStyle name="20% - Accent1 2 3 2" xfId="1937" xr:uid="{00000000-0005-0000-0000-0000A6000000}"/>
    <cellStyle name="20% - Accent1 2 3 2 10" xfId="6889" xr:uid="{00000000-0005-0000-0000-0000A7000000}"/>
    <cellStyle name="20% - Accent1 2 3 2 10 2" xfId="16885" xr:uid="{00000000-0005-0000-0000-0000A8000000}"/>
    <cellStyle name="20% - Accent1 2 3 2 10 2 2" xfId="36285" xr:uid="{00000000-0005-0000-0000-0000A9000000}"/>
    <cellStyle name="20% - Accent1 2 3 2 10 3" xfId="26587" xr:uid="{00000000-0005-0000-0000-0000AA000000}"/>
    <cellStyle name="20% - Accent1 2 3 2 11" xfId="12429" xr:uid="{00000000-0005-0000-0000-0000AB000000}"/>
    <cellStyle name="20% - Accent1 2 3 2 11 2" xfId="31830" xr:uid="{00000000-0005-0000-0000-0000AC000000}"/>
    <cellStyle name="20% - Accent1 2 3 2 12" xfId="22132" xr:uid="{00000000-0005-0000-0000-0000AD000000}"/>
    <cellStyle name="20% - Accent1 2 3 2 2" xfId="1938" xr:uid="{00000000-0005-0000-0000-0000AE000000}"/>
    <cellStyle name="20% - Accent1 2 3 2 2 10" xfId="12430" xr:uid="{00000000-0005-0000-0000-0000AF000000}"/>
    <cellStyle name="20% - Accent1 2 3 2 2 10 2" xfId="31831" xr:uid="{00000000-0005-0000-0000-0000B0000000}"/>
    <cellStyle name="20% - Accent1 2 3 2 2 11" xfId="22133" xr:uid="{00000000-0005-0000-0000-0000B1000000}"/>
    <cellStyle name="20% - Accent1 2 3 2 2 2" xfId="1939" xr:uid="{00000000-0005-0000-0000-0000B2000000}"/>
    <cellStyle name="20% - Accent1 2 3 2 2 2 2" xfId="2942" xr:uid="{00000000-0005-0000-0000-0000B3000000}"/>
    <cellStyle name="20% - Accent1 2 3 2 2 2 2 2" xfId="5211" xr:uid="{00000000-0005-0000-0000-0000B4000000}"/>
    <cellStyle name="20% - Accent1 2 3 2 2 2 2 2 2" xfId="9675" xr:uid="{00000000-0005-0000-0000-0000B5000000}"/>
    <cellStyle name="20% - Accent1 2 3 2 2 2 2 2 2 2" xfId="19671" xr:uid="{00000000-0005-0000-0000-0000B6000000}"/>
    <cellStyle name="20% - Accent1 2 3 2 2 2 2 2 2 2 2" xfId="39071" xr:uid="{00000000-0005-0000-0000-0000B7000000}"/>
    <cellStyle name="20% - Accent1 2 3 2 2 2 2 2 2 3" xfId="29373" xr:uid="{00000000-0005-0000-0000-0000B8000000}"/>
    <cellStyle name="20% - Accent1 2 3 2 2 2 2 2 3" xfId="15216" xr:uid="{00000000-0005-0000-0000-0000B9000000}"/>
    <cellStyle name="20% - Accent1 2 3 2 2 2 2 2 3 2" xfId="34616" xr:uid="{00000000-0005-0000-0000-0000BA000000}"/>
    <cellStyle name="20% - Accent1 2 3 2 2 2 2 2 4" xfId="24918" xr:uid="{00000000-0005-0000-0000-0000BB000000}"/>
    <cellStyle name="20% - Accent1 2 3 2 2 2 2 3" xfId="7447" xr:uid="{00000000-0005-0000-0000-0000BC000000}"/>
    <cellStyle name="20% - Accent1 2 3 2 2 2 2 3 2" xfId="17443" xr:uid="{00000000-0005-0000-0000-0000BD000000}"/>
    <cellStyle name="20% - Accent1 2 3 2 2 2 2 3 2 2" xfId="36843" xr:uid="{00000000-0005-0000-0000-0000BE000000}"/>
    <cellStyle name="20% - Accent1 2 3 2 2 2 2 3 3" xfId="27145" xr:uid="{00000000-0005-0000-0000-0000BF000000}"/>
    <cellStyle name="20% - Accent1 2 3 2 2 2 2 4" xfId="12988" xr:uid="{00000000-0005-0000-0000-0000C0000000}"/>
    <cellStyle name="20% - Accent1 2 3 2 2 2 2 4 2" xfId="32388" xr:uid="{00000000-0005-0000-0000-0000C1000000}"/>
    <cellStyle name="20% - Accent1 2 3 2 2 2 2 5" xfId="22690" xr:uid="{00000000-0005-0000-0000-0000C2000000}"/>
    <cellStyle name="20% - Accent1 2 3 2 2 2 3" xfId="3525" xr:uid="{00000000-0005-0000-0000-0000C3000000}"/>
    <cellStyle name="20% - Accent1 2 3 2 2 2 3 2" xfId="4655" xr:uid="{00000000-0005-0000-0000-0000C4000000}"/>
    <cellStyle name="20% - Accent1 2 3 2 2 2 3 2 2" xfId="9119" xr:uid="{00000000-0005-0000-0000-0000C5000000}"/>
    <cellStyle name="20% - Accent1 2 3 2 2 2 3 2 2 2" xfId="19115" xr:uid="{00000000-0005-0000-0000-0000C6000000}"/>
    <cellStyle name="20% - Accent1 2 3 2 2 2 3 2 2 2 2" xfId="38515" xr:uid="{00000000-0005-0000-0000-0000C7000000}"/>
    <cellStyle name="20% - Accent1 2 3 2 2 2 3 2 2 3" xfId="28817" xr:uid="{00000000-0005-0000-0000-0000C8000000}"/>
    <cellStyle name="20% - Accent1 2 3 2 2 2 3 2 3" xfId="14660" xr:uid="{00000000-0005-0000-0000-0000C9000000}"/>
    <cellStyle name="20% - Accent1 2 3 2 2 2 3 2 3 2" xfId="34060" xr:uid="{00000000-0005-0000-0000-0000CA000000}"/>
    <cellStyle name="20% - Accent1 2 3 2 2 2 3 2 4" xfId="24362" xr:uid="{00000000-0005-0000-0000-0000CB000000}"/>
    <cellStyle name="20% - Accent1 2 3 2 2 2 3 3" xfId="8004" xr:uid="{00000000-0005-0000-0000-0000CC000000}"/>
    <cellStyle name="20% - Accent1 2 3 2 2 2 3 3 2" xfId="18000" xr:uid="{00000000-0005-0000-0000-0000CD000000}"/>
    <cellStyle name="20% - Accent1 2 3 2 2 2 3 3 2 2" xfId="37400" xr:uid="{00000000-0005-0000-0000-0000CE000000}"/>
    <cellStyle name="20% - Accent1 2 3 2 2 2 3 3 3" xfId="27702" xr:uid="{00000000-0005-0000-0000-0000CF000000}"/>
    <cellStyle name="20% - Accent1 2 3 2 2 2 3 4" xfId="13545" xr:uid="{00000000-0005-0000-0000-0000D0000000}"/>
    <cellStyle name="20% - Accent1 2 3 2 2 2 3 4 2" xfId="32945" xr:uid="{00000000-0005-0000-0000-0000D1000000}"/>
    <cellStyle name="20% - Accent1 2 3 2 2 2 3 5" xfId="23247" xr:uid="{00000000-0005-0000-0000-0000D2000000}"/>
    <cellStyle name="20% - Accent1 2 3 2 2 2 4" xfId="4098" xr:uid="{00000000-0005-0000-0000-0000D3000000}"/>
    <cellStyle name="20% - Accent1 2 3 2 2 2 4 2" xfId="8562" xr:uid="{00000000-0005-0000-0000-0000D4000000}"/>
    <cellStyle name="20% - Accent1 2 3 2 2 2 4 2 2" xfId="18558" xr:uid="{00000000-0005-0000-0000-0000D5000000}"/>
    <cellStyle name="20% - Accent1 2 3 2 2 2 4 2 2 2" xfId="37958" xr:uid="{00000000-0005-0000-0000-0000D6000000}"/>
    <cellStyle name="20% - Accent1 2 3 2 2 2 4 2 3" xfId="28260" xr:uid="{00000000-0005-0000-0000-0000D7000000}"/>
    <cellStyle name="20% - Accent1 2 3 2 2 2 4 3" xfId="14103" xr:uid="{00000000-0005-0000-0000-0000D8000000}"/>
    <cellStyle name="20% - Accent1 2 3 2 2 2 4 3 2" xfId="33503" xr:uid="{00000000-0005-0000-0000-0000D9000000}"/>
    <cellStyle name="20% - Accent1 2 3 2 2 2 4 4" xfId="23805" xr:uid="{00000000-0005-0000-0000-0000DA000000}"/>
    <cellStyle name="20% - Accent1 2 3 2 2 2 5" xfId="5768" xr:uid="{00000000-0005-0000-0000-0000DB000000}"/>
    <cellStyle name="20% - Accent1 2 3 2 2 2 5 2" xfId="10232" xr:uid="{00000000-0005-0000-0000-0000DC000000}"/>
    <cellStyle name="20% - Accent1 2 3 2 2 2 5 2 2" xfId="20228" xr:uid="{00000000-0005-0000-0000-0000DD000000}"/>
    <cellStyle name="20% - Accent1 2 3 2 2 2 5 2 2 2" xfId="39628" xr:uid="{00000000-0005-0000-0000-0000DE000000}"/>
    <cellStyle name="20% - Accent1 2 3 2 2 2 5 2 3" xfId="29930" xr:uid="{00000000-0005-0000-0000-0000DF000000}"/>
    <cellStyle name="20% - Accent1 2 3 2 2 2 5 3" xfId="15773" xr:uid="{00000000-0005-0000-0000-0000E0000000}"/>
    <cellStyle name="20% - Accent1 2 3 2 2 2 5 3 2" xfId="35173" xr:uid="{00000000-0005-0000-0000-0000E1000000}"/>
    <cellStyle name="20% - Accent1 2 3 2 2 2 5 4" xfId="25475" xr:uid="{00000000-0005-0000-0000-0000E2000000}"/>
    <cellStyle name="20% - Accent1 2 3 2 2 2 6" xfId="6334" xr:uid="{00000000-0005-0000-0000-0000E3000000}"/>
    <cellStyle name="20% - Accent1 2 3 2 2 2 6 2" xfId="10789" xr:uid="{00000000-0005-0000-0000-0000E4000000}"/>
    <cellStyle name="20% - Accent1 2 3 2 2 2 6 2 2" xfId="20785" xr:uid="{00000000-0005-0000-0000-0000E5000000}"/>
    <cellStyle name="20% - Accent1 2 3 2 2 2 6 2 2 2" xfId="40185" xr:uid="{00000000-0005-0000-0000-0000E6000000}"/>
    <cellStyle name="20% - Accent1 2 3 2 2 2 6 2 3" xfId="30487" xr:uid="{00000000-0005-0000-0000-0000E7000000}"/>
    <cellStyle name="20% - Accent1 2 3 2 2 2 6 3" xfId="16330" xr:uid="{00000000-0005-0000-0000-0000E8000000}"/>
    <cellStyle name="20% - Accent1 2 3 2 2 2 6 3 2" xfId="35730" xr:uid="{00000000-0005-0000-0000-0000E9000000}"/>
    <cellStyle name="20% - Accent1 2 3 2 2 2 6 4" xfId="26032" xr:uid="{00000000-0005-0000-0000-0000EA000000}"/>
    <cellStyle name="20% - Accent1 2 3 2 2 2 7" xfId="6891" xr:uid="{00000000-0005-0000-0000-0000EB000000}"/>
    <cellStyle name="20% - Accent1 2 3 2 2 2 7 2" xfId="16887" xr:uid="{00000000-0005-0000-0000-0000EC000000}"/>
    <cellStyle name="20% - Accent1 2 3 2 2 2 7 2 2" xfId="36287" xr:uid="{00000000-0005-0000-0000-0000ED000000}"/>
    <cellStyle name="20% - Accent1 2 3 2 2 2 7 3" xfId="26589" xr:uid="{00000000-0005-0000-0000-0000EE000000}"/>
    <cellStyle name="20% - Accent1 2 3 2 2 2 8" xfId="12431" xr:uid="{00000000-0005-0000-0000-0000EF000000}"/>
    <cellStyle name="20% - Accent1 2 3 2 2 2 8 2" xfId="31832" xr:uid="{00000000-0005-0000-0000-0000F0000000}"/>
    <cellStyle name="20% - Accent1 2 3 2 2 2 9" xfId="22134" xr:uid="{00000000-0005-0000-0000-0000F1000000}"/>
    <cellStyle name="20% - Accent1 2 3 2 2 3" xfId="1940" xr:uid="{00000000-0005-0000-0000-0000F2000000}"/>
    <cellStyle name="20% - Accent1 2 3 2 2 3 2" xfId="2943" xr:uid="{00000000-0005-0000-0000-0000F3000000}"/>
    <cellStyle name="20% - Accent1 2 3 2 2 3 2 2" xfId="5212" xr:uid="{00000000-0005-0000-0000-0000F4000000}"/>
    <cellStyle name="20% - Accent1 2 3 2 2 3 2 2 2" xfId="9676" xr:uid="{00000000-0005-0000-0000-0000F5000000}"/>
    <cellStyle name="20% - Accent1 2 3 2 2 3 2 2 2 2" xfId="19672" xr:uid="{00000000-0005-0000-0000-0000F6000000}"/>
    <cellStyle name="20% - Accent1 2 3 2 2 3 2 2 2 2 2" xfId="39072" xr:uid="{00000000-0005-0000-0000-0000F7000000}"/>
    <cellStyle name="20% - Accent1 2 3 2 2 3 2 2 2 3" xfId="29374" xr:uid="{00000000-0005-0000-0000-0000F8000000}"/>
    <cellStyle name="20% - Accent1 2 3 2 2 3 2 2 3" xfId="15217" xr:uid="{00000000-0005-0000-0000-0000F9000000}"/>
    <cellStyle name="20% - Accent1 2 3 2 2 3 2 2 3 2" xfId="34617" xr:uid="{00000000-0005-0000-0000-0000FA000000}"/>
    <cellStyle name="20% - Accent1 2 3 2 2 3 2 2 4" xfId="24919" xr:uid="{00000000-0005-0000-0000-0000FB000000}"/>
    <cellStyle name="20% - Accent1 2 3 2 2 3 2 3" xfId="7448" xr:uid="{00000000-0005-0000-0000-0000FC000000}"/>
    <cellStyle name="20% - Accent1 2 3 2 2 3 2 3 2" xfId="17444" xr:uid="{00000000-0005-0000-0000-0000FD000000}"/>
    <cellStyle name="20% - Accent1 2 3 2 2 3 2 3 2 2" xfId="36844" xr:uid="{00000000-0005-0000-0000-0000FE000000}"/>
    <cellStyle name="20% - Accent1 2 3 2 2 3 2 3 3" xfId="27146" xr:uid="{00000000-0005-0000-0000-0000FF000000}"/>
    <cellStyle name="20% - Accent1 2 3 2 2 3 2 4" xfId="12989" xr:uid="{00000000-0005-0000-0000-000000010000}"/>
    <cellStyle name="20% - Accent1 2 3 2 2 3 2 4 2" xfId="32389" xr:uid="{00000000-0005-0000-0000-000001010000}"/>
    <cellStyle name="20% - Accent1 2 3 2 2 3 2 5" xfId="22691" xr:uid="{00000000-0005-0000-0000-000002010000}"/>
    <cellStyle name="20% - Accent1 2 3 2 2 3 3" xfId="3526" xr:uid="{00000000-0005-0000-0000-000003010000}"/>
    <cellStyle name="20% - Accent1 2 3 2 2 3 3 2" xfId="4656" xr:uid="{00000000-0005-0000-0000-000004010000}"/>
    <cellStyle name="20% - Accent1 2 3 2 2 3 3 2 2" xfId="9120" xr:uid="{00000000-0005-0000-0000-000005010000}"/>
    <cellStyle name="20% - Accent1 2 3 2 2 3 3 2 2 2" xfId="19116" xr:uid="{00000000-0005-0000-0000-000006010000}"/>
    <cellStyle name="20% - Accent1 2 3 2 2 3 3 2 2 2 2" xfId="38516" xr:uid="{00000000-0005-0000-0000-000007010000}"/>
    <cellStyle name="20% - Accent1 2 3 2 2 3 3 2 2 3" xfId="28818" xr:uid="{00000000-0005-0000-0000-000008010000}"/>
    <cellStyle name="20% - Accent1 2 3 2 2 3 3 2 3" xfId="14661" xr:uid="{00000000-0005-0000-0000-000009010000}"/>
    <cellStyle name="20% - Accent1 2 3 2 2 3 3 2 3 2" xfId="34061" xr:uid="{00000000-0005-0000-0000-00000A010000}"/>
    <cellStyle name="20% - Accent1 2 3 2 2 3 3 2 4" xfId="24363" xr:uid="{00000000-0005-0000-0000-00000B010000}"/>
    <cellStyle name="20% - Accent1 2 3 2 2 3 3 3" xfId="8005" xr:uid="{00000000-0005-0000-0000-00000C010000}"/>
    <cellStyle name="20% - Accent1 2 3 2 2 3 3 3 2" xfId="18001" xr:uid="{00000000-0005-0000-0000-00000D010000}"/>
    <cellStyle name="20% - Accent1 2 3 2 2 3 3 3 2 2" xfId="37401" xr:uid="{00000000-0005-0000-0000-00000E010000}"/>
    <cellStyle name="20% - Accent1 2 3 2 2 3 3 3 3" xfId="27703" xr:uid="{00000000-0005-0000-0000-00000F010000}"/>
    <cellStyle name="20% - Accent1 2 3 2 2 3 3 4" xfId="13546" xr:uid="{00000000-0005-0000-0000-000010010000}"/>
    <cellStyle name="20% - Accent1 2 3 2 2 3 3 4 2" xfId="32946" xr:uid="{00000000-0005-0000-0000-000011010000}"/>
    <cellStyle name="20% - Accent1 2 3 2 2 3 3 5" xfId="23248" xr:uid="{00000000-0005-0000-0000-000012010000}"/>
    <cellStyle name="20% - Accent1 2 3 2 2 3 4" xfId="4099" xr:uid="{00000000-0005-0000-0000-000013010000}"/>
    <cellStyle name="20% - Accent1 2 3 2 2 3 4 2" xfId="8563" xr:uid="{00000000-0005-0000-0000-000014010000}"/>
    <cellStyle name="20% - Accent1 2 3 2 2 3 4 2 2" xfId="18559" xr:uid="{00000000-0005-0000-0000-000015010000}"/>
    <cellStyle name="20% - Accent1 2 3 2 2 3 4 2 2 2" xfId="37959" xr:uid="{00000000-0005-0000-0000-000016010000}"/>
    <cellStyle name="20% - Accent1 2 3 2 2 3 4 2 3" xfId="28261" xr:uid="{00000000-0005-0000-0000-000017010000}"/>
    <cellStyle name="20% - Accent1 2 3 2 2 3 4 3" xfId="14104" xr:uid="{00000000-0005-0000-0000-000018010000}"/>
    <cellStyle name="20% - Accent1 2 3 2 2 3 4 3 2" xfId="33504" xr:uid="{00000000-0005-0000-0000-000019010000}"/>
    <cellStyle name="20% - Accent1 2 3 2 2 3 4 4" xfId="23806" xr:uid="{00000000-0005-0000-0000-00001A010000}"/>
    <cellStyle name="20% - Accent1 2 3 2 2 3 5" xfId="5769" xr:uid="{00000000-0005-0000-0000-00001B010000}"/>
    <cellStyle name="20% - Accent1 2 3 2 2 3 5 2" xfId="10233" xr:uid="{00000000-0005-0000-0000-00001C010000}"/>
    <cellStyle name="20% - Accent1 2 3 2 2 3 5 2 2" xfId="20229" xr:uid="{00000000-0005-0000-0000-00001D010000}"/>
    <cellStyle name="20% - Accent1 2 3 2 2 3 5 2 2 2" xfId="39629" xr:uid="{00000000-0005-0000-0000-00001E010000}"/>
    <cellStyle name="20% - Accent1 2 3 2 2 3 5 2 3" xfId="29931" xr:uid="{00000000-0005-0000-0000-00001F010000}"/>
    <cellStyle name="20% - Accent1 2 3 2 2 3 5 3" xfId="15774" xr:uid="{00000000-0005-0000-0000-000020010000}"/>
    <cellStyle name="20% - Accent1 2 3 2 2 3 5 3 2" xfId="35174" xr:uid="{00000000-0005-0000-0000-000021010000}"/>
    <cellStyle name="20% - Accent1 2 3 2 2 3 5 4" xfId="25476" xr:uid="{00000000-0005-0000-0000-000022010000}"/>
    <cellStyle name="20% - Accent1 2 3 2 2 3 6" xfId="6335" xr:uid="{00000000-0005-0000-0000-000023010000}"/>
    <cellStyle name="20% - Accent1 2 3 2 2 3 6 2" xfId="10790" xr:uid="{00000000-0005-0000-0000-000024010000}"/>
    <cellStyle name="20% - Accent1 2 3 2 2 3 6 2 2" xfId="20786" xr:uid="{00000000-0005-0000-0000-000025010000}"/>
    <cellStyle name="20% - Accent1 2 3 2 2 3 6 2 2 2" xfId="40186" xr:uid="{00000000-0005-0000-0000-000026010000}"/>
    <cellStyle name="20% - Accent1 2 3 2 2 3 6 2 3" xfId="30488" xr:uid="{00000000-0005-0000-0000-000027010000}"/>
    <cellStyle name="20% - Accent1 2 3 2 2 3 6 3" xfId="16331" xr:uid="{00000000-0005-0000-0000-000028010000}"/>
    <cellStyle name="20% - Accent1 2 3 2 2 3 6 3 2" xfId="35731" xr:uid="{00000000-0005-0000-0000-000029010000}"/>
    <cellStyle name="20% - Accent1 2 3 2 2 3 6 4" xfId="26033" xr:uid="{00000000-0005-0000-0000-00002A010000}"/>
    <cellStyle name="20% - Accent1 2 3 2 2 3 7" xfId="6892" xr:uid="{00000000-0005-0000-0000-00002B010000}"/>
    <cellStyle name="20% - Accent1 2 3 2 2 3 7 2" xfId="16888" xr:uid="{00000000-0005-0000-0000-00002C010000}"/>
    <cellStyle name="20% - Accent1 2 3 2 2 3 7 2 2" xfId="36288" xr:uid="{00000000-0005-0000-0000-00002D010000}"/>
    <cellStyle name="20% - Accent1 2 3 2 2 3 7 3" xfId="26590" xr:uid="{00000000-0005-0000-0000-00002E010000}"/>
    <cellStyle name="20% - Accent1 2 3 2 2 3 8" xfId="12432" xr:uid="{00000000-0005-0000-0000-00002F010000}"/>
    <cellStyle name="20% - Accent1 2 3 2 2 3 8 2" xfId="31833" xr:uid="{00000000-0005-0000-0000-000030010000}"/>
    <cellStyle name="20% - Accent1 2 3 2 2 3 9" xfId="22135" xr:uid="{00000000-0005-0000-0000-000031010000}"/>
    <cellStyle name="20% - Accent1 2 3 2 2 4" xfId="2941" xr:uid="{00000000-0005-0000-0000-000032010000}"/>
    <cellStyle name="20% - Accent1 2 3 2 2 4 2" xfId="5210" xr:uid="{00000000-0005-0000-0000-000033010000}"/>
    <cellStyle name="20% - Accent1 2 3 2 2 4 2 2" xfId="9674" xr:uid="{00000000-0005-0000-0000-000034010000}"/>
    <cellStyle name="20% - Accent1 2 3 2 2 4 2 2 2" xfId="19670" xr:uid="{00000000-0005-0000-0000-000035010000}"/>
    <cellStyle name="20% - Accent1 2 3 2 2 4 2 2 2 2" xfId="39070" xr:uid="{00000000-0005-0000-0000-000036010000}"/>
    <cellStyle name="20% - Accent1 2 3 2 2 4 2 2 3" xfId="29372" xr:uid="{00000000-0005-0000-0000-000037010000}"/>
    <cellStyle name="20% - Accent1 2 3 2 2 4 2 3" xfId="15215" xr:uid="{00000000-0005-0000-0000-000038010000}"/>
    <cellStyle name="20% - Accent1 2 3 2 2 4 2 3 2" xfId="34615" xr:uid="{00000000-0005-0000-0000-000039010000}"/>
    <cellStyle name="20% - Accent1 2 3 2 2 4 2 4" xfId="24917" xr:uid="{00000000-0005-0000-0000-00003A010000}"/>
    <cellStyle name="20% - Accent1 2 3 2 2 4 3" xfId="7446" xr:uid="{00000000-0005-0000-0000-00003B010000}"/>
    <cellStyle name="20% - Accent1 2 3 2 2 4 3 2" xfId="17442" xr:uid="{00000000-0005-0000-0000-00003C010000}"/>
    <cellStyle name="20% - Accent1 2 3 2 2 4 3 2 2" xfId="36842" xr:uid="{00000000-0005-0000-0000-00003D010000}"/>
    <cellStyle name="20% - Accent1 2 3 2 2 4 3 3" xfId="27144" xr:uid="{00000000-0005-0000-0000-00003E010000}"/>
    <cellStyle name="20% - Accent1 2 3 2 2 4 4" xfId="12987" xr:uid="{00000000-0005-0000-0000-00003F010000}"/>
    <cellStyle name="20% - Accent1 2 3 2 2 4 4 2" xfId="32387" xr:uid="{00000000-0005-0000-0000-000040010000}"/>
    <cellStyle name="20% - Accent1 2 3 2 2 4 5" xfId="22689" xr:uid="{00000000-0005-0000-0000-000041010000}"/>
    <cellStyle name="20% - Accent1 2 3 2 2 5" xfId="3524" xr:uid="{00000000-0005-0000-0000-000042010000}"/>
    <cellStyle name="20% - Accent1 2 3 2 2 5 2" xfId="4654" xr:uid="{00000000-0005-0000-0000-000043010000}"/>
    <cellStyle name="20% - Accent1 2 3 2 2 5 2 2" xfId="9118" xr:uid="{00000000-0005-0000-0000-000044010000}"/>
    <cellStyle name="20% - Accent1 2 3 2 2 5 2 2 2" xfId="19114" xr:uid="{00000000-0005-0000-0000-000045010000}"/>
    <cellStyle name="20% - Accent1 2 3 2 2 5 2 2 2 2" xfId="38514" xr:uid="{00000000-0005-0000-0000-000046010000}"/>
    <cellStyle name="20% - Accent1 2 3 2 2 5 2 2 3" xfId="28816" xr:uid="{00000000-0005-0000-0000-000047010000}"/>
    <cellStyle name="20% - Accent1 2 3 2 2 5 2 3" xfId="14659" xr:uid="{00000000-0005-0000-0000-000048010000}"/>
    <cellStyle name="20% - Accent1 2 3 2 2 5 2 3 2" xfId="34059" xr:uid="{00000000-0005-0000-0000-000049010000}"/>
    <cellStyle name="20% - Accent1 2 3 2 2 5 2 4" xfId="24361" xr:uid="{00000000-0005-0000-0000-00004A010000}"/>
    <cellStyle name="20% - Accent1 2 3 2 2 5 3" xfId="8003" xr:uid="{00000000-0005-0000-0000-00004B010000}"/>
    <cellStyle name="20% - Accent1 2 3 2 2 5 3 2" xfId="17999" xr:uid="{00000000-0005-0000-0000-00004C010000}"/>
    <cellStyle name="20% - Accent1 2 3 2 2 5 3 2 2" xfId="37399" xr:uid="{00000000-0005-0000-0000-00004D010000}"/>
    <cellStyle name="20% - Accent1 2 3 2 2 5 3 3" xfId="27701" xr:uid="{00000000-0005-0000-0000-00004E010000}"/>
    <cellStyle name="20% - Accent1 2 3 2 2 5 4" xfId="13544" xr:uid="{00000000-0005-0000-0000-00004F010000}"/>
    <cellStyle name="20% - Accent1 2 3 2 2 5 4 2" xfId="32944" xr:uid="{00000000-0005-0000-0000-000050010000}"/>
    <cellStyle name="20% - Accent1 2 3 2 2 5 5" xfId="23246" xr:uid="{00000000-0005-0000-0000-000051010000}"/>
    <cellStyle name="20% - Accent1 2 3 2 2 6" xfId="4097" xr:uid="{00000000-0005-0000-0000-000052010000}"/>
    <cellStyle name="20% - Accent1 2 3 2 2 6 2" xfId="8561" xr:uid="{00000000-0005-0000-0000-000053010000}"/>
    <cellStyle name="20% - Accent1 2 3 2 2 6 2 2" xfId="18557" xr:uid="{00000000-0005-0000-0000-000054010000}"/>
    <cellStyle name="20% - Accent1 2 3 2 2 6 2 2 2" xfId="37957" xr:uid="{00000000-0005-0000-0000-000055010000}"/>
    <cellStyle name="20% - Accent1 2 3 2 2 6 2 3" xfId="28259" xr:uid="{00000000-0005-0000-0000-000056010000}"/>
    <cellStyle name="20% - Accent1 2 3 2 2 6 3" xfId="14102" xr:uid="{00000000-0005-0000-0000-000057010000}"/>
    <cellStyle name="20% - Accent1 2 3 2 2 6 3 2" xfId="33502" xr:uid="{00000000-0005-0000-0000-000058010000}"/>
    <cellStyle name="20% - Accent1 2 3 2 2 6 4" xfId="23804" xr:uid="{00000000-0005-0000-0000-000059010000}"/>
    <cellStyle name="20% - Accent1 2 3 2 2 7" xfId="5767" xr:uid="{00000000-0005-0000-0000-00005A010000}"/>
    <cellStyle name="20% - Accent1 2 3 2 2 7 2" xfId="10231" xr:uid="{00000000-0005-0000-0000-00005B010000}"/>
    <cellStyle name="20% - Accent1 2 3 2 2 7 2 2" xfId="20227" xr:uid="{00000000-0005-0000-0000-00005C010000}"/>
    <cellStyle name="20% - Accent1 2 3 2 2 7 2 2 2" xfId="39627" xr:uid="{00000000-0005-0000-0000-00005D010000}"/>
    <cellStyle name="20% - Accent1 2 3 2 2 7 2 3" xfId="29929" xr:uid="{00000000-0005-0000-0000-00005E010000}"/>
    <cellStyle name="20% - Accent1 2 3 2 2 7 3" xfId="15772" xr:uid="{00000000-0005-0000-0000-00005F010000}"/>
    <cellStyle name="20% - Accent1 2 3 2 2 7 3 2" xfId="35172" xr:uid="{00000000-0005-0000-0000-000060010000}"/>
    <cellStyle name="20% - Accent1 2 3 2 2 7 4" xfId="25474" xr:uid="{00000000-0005-0000-0000-000061010000}"/>
    <cellStyle name="20% - Accent1 2 3 2 2 8" xfId="6333" xr:uid="{00000000-0005-0000-0000-000062010000}"/>
    <cellStyle name="20% - Accent1 2 3 2 2 8 2" xfId="10788" xr:uid="{00000000-0005-0000-0000-000063010000}"/>
    <cellStyle name="20% - Accent1 2 3 2 2 8 2 2" xfId="20784" xr:uid="{00000000-0005-0000-0000-000064010000}"/>
    <cellStyle name="20% - Accent1 2 3 2 2 8 2 2 2" xfId="40184" xr:uid="{00000000-0005-0000-0000-000065010000}"/>
    <cellStyle name="20% - Accent1 2 3 2 2 8 2 3" xfId="30486" xr:uid="{00000000-0005-0000-0000-000066010000}"/>
    <cellStyle name="20% - Accent1 2 3 2 2 8 3" xfId="16329" xr:uid="{00000000-0005-0000-0000-000067010000}"/>
    <cellStyle name="20% - Accent1 2 3 2 2 8 3 2" xfId="35729" xr:uid="{00000000-0005-0000-0000-000068010000}"/>
    <cellStyle name="20% - Accent1 2 3 2 2 8 4" xfId="26031" xr:uid="{00000000-0005-0000-0000-000069010000}"/>
    <cellStyle name="20% - Accent1 2 3 2 2 9" xfId="6890" xr:uid="{00000000-0005-0000-0000-00006A010000}"/>
    <cellStyle name="20% - Accent1 2 3 2 2 9 2" xfId="16886" xr:uid="{00000000-0005-0000-0000-00006B010000}"/>
    <cellStyle name="20% - Accent1 2 3 2 2 9 2 2" xfId="36286" xr:uid="{00000000-0005-0000-0000-00006C010000}"/>
    <cellStyle name="20% - Accent1 2 3 2 2 9 3" xfId="26588" xr:uid="{00000000-0005-0000-0000-00006D010000}"/>
    <cellStyle name="20% - Accent1 2 3 2 3" xfId="1941" xr:uid="{00000000-0005-0000-0000-00006E010000}"/>
    <cellStyle name="20% - Accent1 2 3 2 3 2" xfId="2944" xr:uid="{00000000-0005-0000-0000-00006F010000}"/>
    <cellStyle name="20% - Accent1 2 3 2 3 2 2" xfId="5213" xr:uid="{00000000-0005-0000-0000-000070010000}"/>
    <cellStyle name="20% - Accent1 2 3 2 3 2 2 2" xfId="9677" xr:uid="{00000000-0005-0000-0000-000071010000}"/>
    <cellStyle name="20% - Accent1 2 3 2 3 2 2 2 2" xfId="19673" xr:uid="{00000000-0005-0000-0000-000072010000}"/>
    <cellStyle name="20% - Accent1 2 3 2 3 2 2 2 2 2" xfId="39073" xr:uid="{00000000-0005-0000-0000-000073010000}"/>
    <cellStyle name="20% - Accent1 2 3 2 3 2 2 2 3" xfId="29375" xr:uid="{00000000-0005-0000-0000-000074010000}"/>
    <cellStyle name="20% - Accent1 2 3 2 3 2 2 3" xfId="15218" xr:uid="{00000000-0005-0000-0000-000075010000}"/>
    <cellStyle name="20% - Accent1 2 3 2 3 2 2 3 2" xfId="34618" xr:uid="{00000000-0005-0000-0000-000076010000}"/>
    <cellStyle name="20% - Accent1 2 3 2 3 2 2 4" xfId="24920" xr:uid="{00000000-0005-0000-0000-000077010000}"/>
    <cellStyle name="20% - Accent1 2 3 2 3 2 3" xfId="7449" xr:uid="{00000000-0005-0000-0000-000078010000}"/>
    <cellStyle name="20% - Accent1 2 3 2 3 2 3 2" xfId="17445" xr:uid="{00000000-0005-0000-0000-000079010000}"/>
    <cellStyle name="20% - Accent1 2 3 2 3 2 3 2 2" xfId="36845" xr:uid="{00000000-0005-0000-0000-00007A010000}"/>
    <cellStyle name="20% - Accent1 2 3 2 3 2 3 3" xfId="27147" xr:uid="{00000000-0005-0000-0000-00007B010000}"/>
    <cellStyle name="20% - Accent1 2 3 2 3 2 4" xfId="12990" xr:uid="{00000000-0005-0000-0000-00007C010000}"/>
    <cellStyle name="20% - Accent1 2 3 2 3 2 4 2" xfId="32390" xr:uid="{00000000-0005-0000-0000-00007D010000}"/>
    <cellStyle name="20% - Accent1 2 3 2 3 2 5" xfId="22692" xr:uid="{00000000-0005-0000-0000-00007E010000}"/>
    <cellStyle name="20% - Accent1 2 3 2 3 3" xfId="3527" xr:uid="{00000000-0005-0000-0000-00007F010000}"/>
    <cellStyle name="20% - Accent1 2 3 2 3 3 2" xfId="4657" xr:uid="{00000000-0005-0000-0000-000080010000}"/>
    <cellStyle name="20% - Accent1 2 3 2 3 3 2 2" xfId="9121" xr:uid="{00000000-0005-0000-0000-000081010000}"/>
    <cellStyle name="20% - Accent1 2 3 2 3 3 2 2 2" xfId="19117" xr:uid="{00000000-0005-0000-0000-000082010000}"/>
    <cellStyle name="20% - Accent1 2 3 2 3 3 2 2 2 2" xfId="38517" xr:uid="{00000000-0005-0000-0000-000083010000}"/>
    <cellStyle name="20% - Accent1 2 3 2 3 3 2 2 3" xfId="28819" xr:uid="{00000000-0005-0000-0000-000084010000}"/>
    <cellStyle name="20% - Accent1 2 3 2 3 3 2 3" xfId="14662" xr:uid="{00000000-0005-0000-0000-000085010000}"/>
    <cellStyle name="20% - Accent1 2 3 2 3 3 2 3 2" xfId="34062" xr:uid="{00000000-0005-0000-0000-000086010000}"/>
    <cellStyle name="20% - Accent1 2 3 2 3 3 2 4" xfId="24364" xr:uid="{00000000-0005-0000-0000-000087010000}"/>
    <cellStyle name="20% - Accent1 2 3 2 3 3 3" xfId="8006" xr:uid="{00000000-0005-0000-0000-000088010000}"/>
    <cellStyle name="20% - Accent1 2 3 2 3 3 3 2" xfId="18002" xr:uid="{00000000-0005-0000-0000-000089010000}"/>
    <cellStyle name="20% - Accent1 2 3 2 3 3 3 2 2" xfId="37402" xr:uid="{00000000-0005-0000-0000-00008A010000}"/>
    <cellStyle name="20% - Accent1 2 3 2 3 3 3 3" xfId="27704" xr:uid="{00000000-0005-0000-0000-00008B010000}"/>
    <cellStyle name="20% - Accent1 2 3 2 3 3 4" xfId="13547" xr:uid="{00000000-0005-0000-0000-00008C010000}"/>
    <cellStyle name="20% - Accent1 2 3 2 3 3 4 2" xfId="32947" xr:uid="{00000000-0005-0000-0000-00008D010000}"/>
    <cellStyle name="20% - Accent1 2 3 2 3 3 5" xfId="23249" xr:uid="{00000000-0005-0000-0000-00008E010000}"/>
    <cellStyle name="20% - Accent1 2 3 2 3 4" xfId="4100" xr:uid="{00000000-0005-0000-0000-00008F010000}"/>
    <cellStyle name="20% - Accent1 2 3 2 3 4 2" xfId="8564" xr:uid="{00000000-0005-0000-0000-000090010000}"/>
    <cellStyle name="20% - Accent1 2 3 2 3 4 2 2" xfId="18560" xr:uid="{00000000-0005-0000-0000-000091010000}"/>
    <cellStyle name="20% - Accent1 2 3 2 3 4 2 2 2" xfId="37960" xr:uid="{00000000-0005-0000-0000-000092010000}"/>
    <cellStyle name="20% - Accent1 2 3 2 3 4 2 3" xfId="28262" xr:uid="{00000000-0005-0000-0000-000093010000}"/>
    <cellStyle name="20% - Accent1 2 3 2 3 4 3" xfId="14105" xr:uid="{00000000-0005-0000-0000-000094010000}"/>
    <cellStyle name="20% - Accent1 2 3 2 3 4 3 2" xfId="33505" xr:uid="{00000000-0005-0000-0000-000095010000}"/>
    <cellStyle name="20% - Accent1 2 3 2 3 4 4" xfId="23807" xr:uid="{00000000-0005-0000-0000-000096010000}"/>
    <cellStyle name="20% - Accent1 2 3 2 3 5" xfId="5770" xr:uid="{00000000-0005-0000-0000-000097010000}"/>
    <cellStyle name="20% - Accent1 2 3 2 3 5 2" xfId="10234" xr:uid="{00000000-0005-0000-0000-000098010000}"/>
    <cellStyle name="20% - Accent1 2 3 2 3 5 2 2" xfId="20230" xr:uid="{00000000-0005-0000-0000-000099010000}"/>
    <cellStyle name="20% - Accent1 2 3 2 3 5 2 2 2" xfId="39630" xr:uid="{00000000-0005-0000-0000-00009A010000}"/>
    <cellStyle name="20% - Accent1 2 3 2 3 5 2 3" xfId="29932" xr:uid="{00000000-0005-0000-0000-00009B010000}"/>
    <cellStyle name="20% - Accent1 2 3 2 3 5 3" xfId="15775" xr:uid="{00000000-0005-0000-0000-00009C010000}"/>
    <cellStyle name="20% - Accent1 2 3 2 3 5 3 2" xfId="35175" xr:uid="{00000000-0005-0000-0000-00009D010000}"/>
    <cellStyle name="20% - Accent1 2 3 2 3 5 4" xfId="25477" xr:uid="{00000000-0005-0000-0000-00009E010000}"/>
    <cellStyle name="20% - Accent1 2 3 2 3 6" xfId="6336" xr:uid="{00000000-0005-0000-0000-00009F010000}"/>
    <cellStyle name="20% - Accent1 2 3 2 3 6 2" xfId="10791" xr:uid="{00000000-0005-0000-0000-0000A0010000}"/>
    <cellStyle name="20% - Accent1 2 3 2 3 6 2 2" xfId="20787" xr:uid="{00000000-0005-0000-0000-0000A1010000}"/>
    <cellStyle name="20% - Accent1 2 3 2 3 6 2 2 2" xfId="40187" xr:uid="{00000000-0005-0000-0000-0000A2010000}"/>
    <cellStyle name="20% - Accent1 2 3 2 3 6 2 3" xfId="30489" xr:uid="{00000000-0005-0000-0000-0000A3010000}"/>
    <cellStyle name="20% - Accent1 2 3 2 3 6 3" xfId="16332" xr:uid="{00000000-0005-0000-0000-0000A4010000}"/>
    <cellStyle name="20% - Accent1 2 3 2 3 6 3 2" xfId="35732" xr:uid="{00000000-0005-0000-0000-0000A5010000}"/>
    <cellStyle name="20% - Accent1 2 3 2 3 6 4" xfId="26034" xr:uid="{00000000-0005-0000-0000-0000A6010000}"/>
    <cellStyle name="20% - Accent1 2 3 2 3 7" xfId="6893" xr:uid="{00000000-0005-0000-0000-0000A7010000}"/>
    <cellStyle name="20% - Accent1 2 3 2 3 7 2" xfId="16889" xr:uid="{00000000-0005-0000-0000-0000A8010000}"/>
    <cellStyle name="20% - Accent1 2 3 2 3 7 2 2" xfId="36289" xr:uid="{00000000-0005-0000-0000-0000A9010000}"/>
    <cellStyle name="20% - Accent1 2 3 2 3 7 3" xfId="26591" xr:uid="{00000000-0005-0000-0000-0000AA010000}"/>
    <cellStyle name="20% - Accent1 2 3 2 3 8" xfId="12433" xr:uid="{00000000-0005-0000-0000-0000AB010000}"/>
    <cellStyle name="20% - Accent1 2 3 2 3 8 2" xfId="31834" xr:uid="{00000000-0005-0000-0000-0000AC010000}"/>
    <cellStyle name="20% - Accent1 2 3 2 3 9" xfId="22136" xr:uid="{00000000-0005-0000-0000-0000AD010000}"/>
    <cellStyle name="20% - Accent1 2 3 2 4" xfId="1942" xr:uid="{00000000-0005-0000-0000-0000AE010000}"/>
    <cellStyle name="20% - Accent1 2 3 2 4 2" xfId="2945" xr:uid="{00000000-0005-0000-0000-0000AF010000}"/>
    <cellStyle name="20% - Accent1 2 3 2 4 2 2" xfId="5214" xr:uid="{00000000-0005-0000-0000-0000B0010000}"/>
    <cellStyle name="20% - Accent1 2 3 2 4 2 2 2" xfId="9678" xr:uid="{00000000-0005-0000-0000-0000B1010000}"/>
    <cellStyle name="20% - Accent1 2 3 2 4 2 2 2 2" xfId="19674" xr:uid="{00000000-0005-0000-0000-0000B2010000}"/>
    <cellStyle name="20% - Accent1 2 3 2 4 2 2 2 2 2" xfId="39074" xr:uid="{00000000-0005-0000-0000-0000B3010000}"/>
    <cellStyle name="20% - Accent1 2 3 2 4 2 2 2 3" xfId="29376" xr:uid="{00000000-0005-0000-0000-0000B4010000}"/>
    <cellStyle name="20% - Accent1 2 3 2 4 2 2 3" xfId="15219" xr:uid="{00000000-0005-0000-0000-0000B5010000}"/>
    <cellStyle name="20% - Accent1 2 3 2 4 2 2 3 2" xfId="34619" xr:uid="{00000000-0005-0000-0000-0000B6010000}"/>
    <cellStyle name="20% - Accent1 2 3 2 4 2 2 4" xfId="24921" xr:uid="{00000000-0005-0000-0000-0000B7010000}"/>
    <cellStyle name="20% - Accent1 2 3 2 4 2 3" xfId="7450" xr:uid="{00000000-0005-0000-0000-0000B8010000}"/>
    <cellStyle name="20% - Accent1 2 3 2 4 2 3 2" xfId="17446" xr:uid="{00000000-0005-0000-0000-0000B9010000}"/>
    <cellStyle name="20% - Accent1 2 3 2 4 2 3 2 2" xfId="36846" xr:uid="{00000000-0005-0000-0000-0000BA010000}"/>
    <cellStyle name="20% - Accent1 2 3 2 4 2 3 3" xfId="27148" xr:uid="{00000000-0005-0000-0000-0000BB010000}"/>
    <cellStyle name="20% - Accent1 2 3 2 4 2 4" xfId="12991" xr:uid="{00000000-0005-0000-0000-0000BC010000}"/>
    <cellStyle name="20% - Accent1 2 3 2 4 2 4 2" xfId="32391" xr:uid="{00000000-0005-0000-0000-0000BD010000}"/>
    <cellStyle name="20% - Accent1 2 3 2 4 2 5" xfId="22693" xr:uid="{00000000-0005-0000-0000-0000BE010000}"/>
    <cellStyle name="20% - Accent1 2 3 2 4 3" xfId="3528" xr:uid="{00000000-0005-0000-0000-0000BF010000}"/>
    <cellStyle name="20% - Accent1 2 3 2 4 3 2" xfId="4658" xr:uid="{00000000-0005-0000-0000-0000C0010000}"/>
    <cellStyle name="20% - Accent1 2 3 2 4 3 2 2" xfId="9122" xr:uid="{00000000-0005-0000-0000-0000C1010000}"/>
    <cellStyle name="20% - Accent1 2 3 2 4 3 2 2 2" xfId="19118" xr:uid="{00000000-0005-0000-0000-0000C2010000}"/>
    <cellStyle name="20% - Accent1 2 3 2 4 3 2 2 2 2" xfId="38518" xr:uid="{00000000-0005-0000-0000-0000C3010000}"/>
    <cellStyle name="20% - Accent1 2 3 2 4 3 2 2 3" xfId="28820" xr:uid="{00000000-0005-0000-0000-0000C4010000}"/>
    <cellStyle name="20% - Accent1 2 3 2 4 3 2 3" xfId="14663" xr:uid="{00000000-0005-0000-0000-0000C5010000}"/>
    <cellStyle name="20% - Accent1 2 3 2 4 3 2 3 2" xfId="34063" xr:uid="{00000000-0005-0000-0000-0000C6010000}"/>
    <cellStyle name="20% - Accent1 2 3 2 4 3 2 4" xfId="24365" xr:uid="{00000000-0005-0000-0000-0000C7010000}"/>
    <cellStyle name="20% - Accent1 2 3 2 4 3 3" xfId="8007" xr:uid="{00000000-0005-0000-0000-0000C8010000}"/>
    <cellStyle name="20% - Accent1 2 3 2 4 3 3 2" xfId="18003" xr:uid="{00000000-0005-0000-0000-0000C9010000}"/>
    <cellStyle name="20% - Accent1 2 3 2 4 3 3 2 2" xfId="37403" xr:uid="{00000000-0005-0000-0000-0000CA010000}"/>
    <cellStyle name="20% - Accent1 2 3 2 4 3 3 3" xfId="27705" xr:uid="{00000000-0005-0000-0000-0000CB010000}"/>
    <cellStyle name="20% - Accent1 2 3 2 4 3 4" xfId="13548" xr:uid="{00000000-0005-0000-0000-0000CC010000}"/>
    <cellStyle name="20% - Accent1 2 3 2 4 3 4 2" xfId="32948" xr:uid="{00000000-0005-0000-0000-0000CD010000}"/>
    <cellStyle name="20% - Accent1 2 3 2 4 3 5" xfId="23250" xr:uid="{00000000-0005-0000-0000-0000CE010000}"/>
    <cellStyle name="20% - Accent1 2 3 2 4 4" xfId="4101" xr:uid="{00000000-0005-0000-0000-0000CF010000}"/>
    <cellStyle name="20% - Accent1 2 3 2 4 4 2" xfId="8565" xr:uid="{00000000-0005-0000-0000-0000D0010000}"/>
    <cellStyle name="20% - Accent1 2 3 2 4 4 2 2" xfId="18561" xr:uid="{00000000-0005-0000-0000-0000D1010000}"/>
    <cellStyle name="20% - Accent1 2 3 2 4 4 2 2 2" xfId="37961" xr:uid="{00000000-0005-0000-0000-0000D2010000}"/>
    <cellStyle name="20% - Accent1 2 3 2 4 4 2 3" xfId="28263" xr:uid="{00000000-0005-0000-0000-0000D3010000}"/>
    <cellStyle name="20% - Accent1 2 3 2 4 4 3" xfId="14106" xr:uid="{00000000-0005-0000-0000-0000D4010000}"/>
    <cellStyle name="20% - Accent1 2 3 2 4 4 3 2" xfId="33506" xr:uid="{00000000-0005-0000-0000-0000D5010000}"/>
    <cellStyle name="20% - Accent1 2 3 2 4 4 4" xfId="23808" xr:uid="{00000000-0005-0000-0000-0000D6010000}"/>
    <cellStyle name="20% - Accent1 2 3 2 4 5" xfId="5771" xr:uid="{00000000-0005-0000-0000-0000D7010000}"/>
    <cellStyle name="20% - Accent1 2 3 2 4 5 2" xfId="10235" xr:uid="{00000000-0005-0000-0000-0000D8010000}"/>
    <cellStyle name="20% - Accent1 2 3 2 4 5 2 2" xfId="20231" xr:uid="{00000000-0005-0000-0000-0000D9010000}"/>
    <cellStyle name="20% - Accent1 2 3 2 4 5 2 2 2" xfId="39631" xr:uid="{00000000-0005-0000-0000-0000DA010000}"/>
    <cellStyle name="20% - Accent1 2 3 2 4 5 2 3" xfId="29933" xr:uid="{00000000-0005-0000-0000-0000DB010000}"/>
    <cellStyle name="20% - Accent1 2 3 2 4 5 3" xfId="15776" xr:uid="{00000000-0005-0000-0000-0000DC010000}"/>
    <cellStyle name="20% - Accent1 2 3 2 4 5 3 2" xfId="35176" xr:uid="{00000000-0005-0000-0000-0000DD010000}"/>
    <cellStyle name="20% - Accent1 2 3 2 4 5 4" xfId="25478" xr:uid="{00000000-0005-0000-0000-0000DE010000}"/>
    <cellStyle name="20% - Accent1 2 3 2 4 6" xfId="6337" xr:uid="{00000000-0005-0000-0000-0000DF010000}"/>
    <cellStyle name="20% - Accent1 2 3 2 4 6 2" xfId="10792" xr:uid="{00000000-0005-0000-0000-0000E0010000}"/>
    <cellStyle name="20% - Accent1 2 3 2 4 6 2 2" xfId="20788" xr:uid="{00000000-0005-0000-0000-0000E1010000}"/>
    <cellStyle name="20% - Accent1 2 3 2 4 6 2 2 2" xfId="40188" xr:uid="{00000000-0005-0000-0000-0000E2010000}"/>
    <cellStyle name="20% - Accent1 2 3 2 4 6 2 3" xfId="30490" xr:uid="{00000000-0005-0000-0000-0000E3010000}"/>
    <cellStyle name="20% - Accent1 2 3 2 4 6 3" xfId="16333" xr:uid="{00000000-0005-0000-0000-0000E4010000}"/>
    <cellStyle name="20% - Accent1 2 3 2 4 6 3 2" xfId="35733" xr:uid="{00000000-0005-0000-0000-0000E5010000}"/>
    <cellStyle name="20% - Accent1 2 3 2 4 6 4" xfId="26035" xr:uid="{00000000-0005-0000-0000-0000E6010000}"/>
    <cellStyle name="20% - Accent1 2 3 2 4 7" xfId="6894" xr:uid="{00000000-0005-0000-0000-0000E7010000}"/>
    <cellStyle name="20% - Accent1 2 3 2 4 7 2" xfId="16890" xr:uid="{00000000-0005-0000-0000-0000E8010000}"/>
    <cellStyle name="20% - Accent1 2 3 2 4 7 2 2" xfId="36290" xr:uid="{00000000-0005-0000-0000-0000E9010000}"/>
    <cellStyle name="20% - Accent1 2 3 2 4 7 3" xfId="26592" xr:uid="{00000000-0005-0000-0000-0000EA010000}"/>
    <cellStyle name="20% - Accent1 2 3 2 4 8" xfId="12434" xr:uid="{00000000-0005-0000-0000-0000EB010000}"/>
    <cellStyle name="20% - Accent1 2 3 2 4 8 2" xfId="31835" xr:uid="{00000000-0005-0000-0000-0000EC010000}"/>
    <cellStyle name="20% - Accent1 2 3 2 4 9" xfId="22137" xr:uid="{00000000-0005-0000-0000-0000ED010000}"/>
    <cellStyle name="20% - Accent1 2 3 2 5" xfId="2940" xr:uid="{00000000-0005-0000-0000-0000EE010000}"/>
    <cellStyle name="20% - Accent1 2 3 2 5 2" xfId="5209" xr:uid="{00000000-0005-0000-0000-0000EF010000}"/>
    <cellStyle name="20% - Accent1 2 3 2 5 2 2" xfId="9673" xr:uid="{00000000-0005-0000-0000-0000F0010000}"/>
    <cellStyle name="20% - Accent1 2 3 2 5 2 2 2" xfId="19669" xr:uid="{00000000-0005-0000-0000-0000F1010000}"/>
    <cellStyle name="20% - Accent1 2 3 2 5 2 2 2 2" xfId="39069" xr:uid="{00000000-0005-0000-0000-0000F2010000}"/>
    <cellStyle name="20% - Accent1 2 3 2 5 2 2 3" xfId="29371" xr:uid="{00000000-0005-0000-0000-0000F3010000}"/>
    <cellStyle name="20% - Accent1 2 3 2 5 2 3" xfId="15214" xr:uid="{00000000-0005-0000-0000-0000F4010000}"/>
    <cellStyle name="20% - Accent1 2 3 2 5 2 3 2" xfId="34614" xr:uid="{00000000-0005-0000-0000-0000F5010000}"/>
    <cellStyle name="20% - Accent1 2 3 2 5 2 4" xfId="24916" xr:uid="{00000000-0005-0000-0000-0000F6010000}"/>
    <cellStyle name="20% - Accent1 2 3 2 5 3" xfId="7445" xr:uid="{00000000-0005-0000-0000-0000F7010000}"/>
    <cellStyle name="20% - Accent1 2 3 2 5 3 2" xfId="17441" xr:uid="{00000000-0005-0000-0000-0000F8010000}"/>
    <cellStyle name="20% - Accent1 2 3 2 5 3 2 2" xfId="36841" xr:uid="{00000000-0005-0000-0000-0000F9010000}"/>
    <cellStyle name="20% - Accent1 2 3 2 5 3 3" xfId="27143" xr:uid="{00000000-0005-0000-0000-0000FA010000}"/>
    <cellStyle name="20% - Accent1 2 3 2 5 4" xfId="12986" xr:uid="{00000000-0005-0000-0000-0000FB010000}"/>
    <cellStyle name="20% - Accent1 2 3 2 5 4 2" xfId="32386" xr:uid="{00000000-0005-0000-0000-0000FC010000}"/>
    <cellStyle name="20% - Accent1 2 3 2 5 5" xfId="22688" xr:uid="{00000000-0005-0000-0000-0000FD010000}"/>
    <cellStyle name="20% - Accent1 2 3 2 6" xfId="3523" xr:uid="{00000000-0005-0000-0000-0000FE010000}"/>
    <cellStyle name="20% - Accent1 2 3 2 6 2" xfId="4653" xr:uid="{00000000-0005-0000-0000-0000FF010000}"/>
    <cellStyle name="20% - Accent1 2 3 2 6 2 2" xfId="9117" xr:uid="{00000000-0005-0000-0000-000000020000}"/>
    <cellStyle name="20% - Accent1 2 3 2 6 2 2 2" xfId="19113" xr:uid="{00000000-0005-0000-0000-000001020000}"/>
    <cellStyle name="20% - Accent1 2 3 2 6 2 2 2 2" xfId="38513" xr:uid="{00000000-0005-0000-0000-000002020000}"/>
    <cellStyle name="20% - Accent1 2 3 2 6 2 2 3" xfId="28815" xr:uid="{00000000-0005-0000-0000-000003020000}"/>
    <cellStyle name="20% - Accent1 2 3 2 6 2 3" xfId="14658" xr:uid="{00000000-0005-0000-0000-000004020000}"/>
    <cellStyle name="20% - Accent1 2 3 2 6 2 3 2" xfId="34058" xr:uid="{00000000-0005-0000-0000-000005020000}"/>
    <cellStyle name="20% - Accent1 2 3 2 6 2 4" xfId="24360" xr:uid="{00000000-0005-0000-0000-000006020000}"/>
    <cellStyle name="20% - Accent1 2 3 2 6 3" xfId="8002" xr:uid="{00000000-0005-0000-0000-000007020000}"/>
    <cellStyle name="20% - Accent1 2 3 2 6 3 2" xfId="17998" xr:uid="{00000000-0005-0000-0000-000008020000}"/>
    <cellStyle name="20% - Accent1 2 3 2 6 3 2 2" xfId="37398" xr:uid="{00000000-0005-0000-0000-000009020000}"/>
    <cellStyle name="20% - Accent1 2 3 2 6 3 3" xfId="27700" xr:uid="{00000000-0005-0000-0000-00000A020000}"/>
    <cellStyle name="20% - Accent1 2 3 2 6 4" xfId="13543" xr:uid="{00000000-0005-0000-0000-00000B020000}"/>
    <cellStyle name="20% - Accent1 2 3 2 6 4 2" xfId="32943" xr:uid="{00000000-0005-0000-0000-00000C020000}"/>
    <cellStyle name="20% - Accent1 2 3 2 6 5" xfId="23245" xr:uid="{00000000-0005-0000-0000-00000D020000}"/>
    <cellStyle name="20% - Accent1 2 3 2 7" xfId="4096" xr:uid="{00000000-0005-0000-0000-00000E020000}"/>
    <cellStyle name="20% - Accent1 2 3 2 7 2" xfId="8560" xr:uid="{00000000-0005-0000-0000-00000F020000}"/>
    <cellStyle name="20% - Accent1 2 3 2 7 2 2" xfId="18556" xr:uid="{00000000-0005-0000-0000-000010020000}"/>
    <cellStyle name="20% - Accent1 2 3 2 7 2 2 2" xfId="37956" xr:uid="{00000000-0005-0000-0000-000011020000}"/>
    <cellStyle name="20% - Accent1 2 3 2 7 2 3" xfId="28258" xr:uid="{00000000-0005-0000-0000-000012020000}"/>
    <cellStyle name="20% - Accent1 2 3 2 7 3" xfId="14101" xr:uid="{00000000-0005-0000-0000-000013020000}"/>
    <cellStyle name="20% - Accent1 2 3 2 7 3 2" xfId="33501" xr:uid="{00000000-0005-0000-0000-000014020000}"/>
    <cellStyle name="20% - Accent1 2 3 2 7 4" xfId="23803" xr:uid="{00000000-0005-0000-0000-000015020000}"/>
    <cellStyle name="20% - Accent1 2 3 2 8" xfId="5766" xr:uid="{00000000-0005-0000-0000-000016020000}"/>
    <cellStyle name="20% - Accent1 2 3 2 8 2" xfId="10230" xr:uid="{00000000-0005-0000-0000-000017020000}"/>
    <cellStyle name="20% - Accent1 2 3 2 8 2 2" xfId="20226" xr:uid="{00000000-0005-0000-0000-000018020000}"/>
    <cellStyle name="20% - Accent1 2 3 2 8 2 2 2" xfId="39626" xr:uid="{00000000-0005-0000-0000-000019020000}"/>
    <cellStyle name="20% - Accent1 2 3 2 8 2 3" xfId="29928" xr:uid="{00000000-0005-0000-0000-00001A020000}"/>
    <cellStyle name="20% - Accent1 2 3 2 8 3" xfId="15771" xr:uid="{00000000-0005-0000-0000-00001B020000}"/>
    <cellStyle name="20% - Accent1 2 3 2 8 3 2" xfId="35171" xr:uid="{00000000-0005-0000-0000-00001C020000}"/>
    <cellStyle name="20% - Accent1 2 3 2 8 4" xfId="25473" xr:uid="{00000000-0005-0000-0000-00001D020000}"/>
    <cellStyle name="20% - Accent1 2 3 2 9" xfId="6332" xr:uid="{00000000-0005-0000-0000-00001E020000}"/>
    <cellStyle name="20% - Accent1 2 3 2 9 2" xfId="10787" xr:uid="{00000000-0005-0000-0000-00001F020000}"/>
    <cellStyle name="20% - Accent1 2 3 2 9 2 2" xfId="20783" xr:uid="{00000000-0005-0000-0000-000020020000}"/>
    <cellStyle name="20% - Accent1 2 3 2 9 2 2 2" xfId="40183" xr:uid="{00000000-0005-0000-0000-000021020000}"/>
    <cellStyle name="20% - Accent1 2 3 2 9 2 3" xfId="30485" xr:uid="{00000000-0005-0000-0000-000022020000}"/>
    <cellStyle name="20% - Accent1 2 3 2 9 3" xfId="16328" xr:uid="{00000000-0005-0000-0000-000023020000}"/>
    <cellStyle name="20% - Accent1 2 3 2 9 3 2" xfId="35728" xr:uid="{00000000-0005-0000-0000-000024020000}"/>
    <cellStyle name="20% - Accent1 2 3 2 9 4" xfId="26030" xr:uid="{00000000-0005-0000-0000-000025020000}"/>
    <cellStyle name="20% - Accent1 2 3 3" xfId="1943" xr:uid="{00000000-0005-0000-0000-000026020000}"/>
    <cellStyle name="20% - Accent1 2 3 3 10" xfId="12435" xr:uid="{00000000-0005-0000-0000-000027020000}"/>
    <cellStyle name="20% - Accent1 2 3 3 10 2" xfId="31836" xr:uid="{00000000-0005-0000-0000-000028020000}"/>
    <cellStyle name="20% - Accent1 2 3 3 11" xfId="22138" xr:uid="{00000000-0005-0000-0000-000029020000}"/>
    <cellStyle name="20% - Accent1 2 3 3 2" xfId="1944" xr:uid="{00000000-0005-0000-0000-00002A020000}"/>
    <cellStyle name="20% - Accent1 2 3 3 2 2" xfId="2947" xr:uid="{00000000-0005-0000-0000-00002B020000}"/>
    <cellStyle name="20% - Accent1 2 3 3 2 2 2" xfId="5216" xr:uid="{00000000-0005-0000-0000-00002C020000}"/>
    <cellStyle name="20% - Accent1 2 3 3 2 2 2 2" xfId="9680" xr:uid="{00000000-0005-0000-0000-00002D020000}"/>
    <cellStyle name="20% - Accent1 2 3 3 2 2 2 2 2" xfId="19676" xr:uid="{00000000-0005-0000-0000-00002E020000}"/>
    <cellStyle name="20% - Accent1 2 3 3 2 2 2 2 2 2" xfId="39076" xr:uid="{00000000-0005-0000-0000-00002F020000}"/>
    <cellStyle name="20% - Accent1 2 3 3 2 2 2 2 3" xfId="29378" xr:uid="{00000000-0005-0000-0000-000030020000}"/>
    <cellStyle name="20% - Accent1 2 3 3 2 2 2 3" xfId="15221" xr:uid="{00000000-0005-0000-0000-000031020000}"/>
    <cellStyle name="20% - Accent1 2 3 3 2 2 2 3 2" xfId="34621" xr:uid="{00000000-0005-0000-0000-000032020000}"/>
    <cellStyle name="20% - Accent1 2 3 3 2 2 2 4" xfId="24923" xr:uid="{00000000-0005-0000-0000-000033020000}"/>
    <cellStyle name="20% - Accent1 2 3 3 2 2 3" xfId="7452" xr:uid="{00000000-0005-0000-0000-000034020000}"/>
    <cellStyle name="20% - Accent1 2 3 3 2 2 3 2" xfId="17448" xr:uid="{00000000-0005-0000-0000-000035020000}"/>
    <cellStyle name="20% - Accent1 2 3 3 2 2 3 2 2" xfId="36848" xr:uid="{00000000-0005-0000-0000-000036020000}"/>
    <cellStyle name="20% - Accent1 2 3 3 2 2 3 3" xfId="27150" xr:uid="{00000000-0005-0000-0000-000037020000}"/>
    <cellStyle name="20% - Accent1 2 3 3 2 2 4" xfId="12993" xr:uid="{00000000-0005-0000-0000-000038020000}"/>
    <cellStyle name="20% - Accent1 2 3 3 2 2 4 2" xfId="32393" xr:uid="{00000000-0005-0000-0000-000039020000}"/>
    <cellStyle name="20% - Accent1 2 3 3 2 2 5" xfId="22695" xr:uid="{00000000-0005-0000-0000-00003A020000}"/>
    <cellStyle name="20% - Accent1 2 3 3 2 3" xfId="3530" xr:uid="{00000000-0005-0000-0000-00003B020000}"/>
    <cellStyle name="20% - Accent1 2 3 3 2 3 2" xfId="4660" xr:uid="{00000000-0005-0000-0000-00003C020000}"/>
    <cellStyle name="20% - Accent1 2 3 3 2 3 2 2" xfId="9124" xr:uid="{00000000-0005-0000-0000-00003D020000}"/>
    <cellStyle name="20% - Accent1 2 3 3 2 3 2 2 2" xfId="19120" xr:uid="{00000000-0005-0000-0000-00003E020000}"/>
    <cellStyle name="20% - Accent1 2 3 3 2 3 2 2 2 2" xfId="38520" xr:uid="{00000000-0005-0000-0000-00003F020000}"/>
    <cellStyle name="20% - Accent1 2 3 3 2 3 2 2 3" xfId="28822" xr:uid="{00000000-0005-0000-0000-000040020000}"/>
    <cellStyle name="20% - Accent1 2 3 3 2 3 2 3" xfId="14665" xr:uid="{00000000-0005-0000-0000-000041020000}"/>
    <cellStyle name="20% - Accent1 2 3 3 2 3 2 3 2" xfId="34065" xr:uid="{00000000-0005-0000-0000-000042020000}"/>
    <cellStyle name="20% - Accent1 2 3 3 2 3 2 4" xfId="24367" xr:uid="{00000000-0005-0000-0000-000043020000}"/>
    <cellStyle name="20% - Accent1 2 3 3 2 3 3" xfId="8009" xr:uid="{00000000-0005-0000-0000-000044020000}"/>
    <cellStyle name="20% - Accent1 2 3 3 2 3 3 2" xfId="18005" xr:uid="{00000000-0005-0000-0000-000045020000}"/>
    <cellStyle name="20% - Accent1 2 3 3 2 3 3 2 2" xfId="37405" xr:uid="{00000000-0005-0000-0000-000046020000}"/>
    <cellStyle name="20% - Accent1 2 3 3 2 3 3 3" xfId="27707" xr:uid="{00000000-0005-0000-0000-000047020000}"/>
    <cellStyle name="20% - Accent1 2 3 3 2 3 4" xfId="13550" xr:uid="{00000000-0005-0000-0000-000048020000}"/>
    <cellStyle name="20% - Accent1 2 3 3 2 3 4 2" xfId="32950" xr:uid="{00000000-0005-0000-0000-000049020000}"/>
    <cellStyle name="20% - Accent1 2 3 3 2 3 5" xfId="23252" xr:uid="{00000000-0005-0000-0000-00004A020000}"/>
    <cellStyle name="20% - Accent1 2 3 3 2 4" xfId="4103" xr:uid="{00000000-0005-0000-0000-00004B020000}"/>
    <cellStyle name="20% - Accent1 2 3 3 2 4 2" xfId="8567" xr:uid="{00000000-0005-0000-0000-00004C020000}"/>
    <cellStyle name="20% - Accent1 2 3 3 2 4 2 2" xfId="18563" xr:uid="{00000000-0005-0000-0000-00004D020000}"/>
    <cellStyle name="20% - Accent1 2 3 3 2 4 2 2 2" xfId="37963" xr:uid="{00000000-0005-0000-0000-00004E020000}"/>
    <cellStyle name="20% - Accent1 2 3 3 2 4 2 3" xfId="28265" xr:uid="{00000000-0005-0000-0000-00004F020000}"/>
    <cellStyle name="20% - Accent1 2 3 3 2 4 3" xfId="14108" xr:uid="{00000000-0005-0000-0000-000050020000}"/>
    <cellStyle name="20% - Accent1 2 3 3 2 4 3 2" xfId="33508" xr:uid="{00000000-0005-0000-0000-000051020000}"/>
    <cellStyle name="20% - Accent1 2 3 3 2 4 4" xfId="23810" xr:uid="{00000000-0005-0000-0000-000052020000}"/>
    <cellStyle name="20% - Accent1 2 3 3 2 5" xfId="5773" xr:uid="{00000000-0005-0000-0000-000053020000}"/>
    <cellStyle name="20% - Accent1 2 3 3 2 5 2" xfId="10237" xr:uid="{00000000-0005-0000-0000-000054020000}"/>
    <cellStyle name="20% - Accent1 2 3 3 2 5 2 2" xfId="20233" xr:uid="{00000000-0005-0000-0000-000055020000}"/>
    <cellStyle name="20% - Accent1 2 3 3 2 5 2 2 2" xfId="39633" xr:uid="{00000000-0005-0000-0000-000056020000}"/>
    <cellStyle name="20% - Accent1 2 3 3 2 5 2 3" xfId="29935" xr:uid="{00000000-0005-0000-0000-000057020000}"/>
    <cellStyle name="20% - Accent1 2 3 3 2 5 3" xfId="15778" xr:uid="{00000000-0005-0000-0000-000058020000}"/>
    <cellStyle name="20% - Accent1 2 3 3 2 5 3 2" xfId="35178" xr:uid="{00000000-0005-0000-0000-000059020000}"/>
    <cellStyle name="20% - Accent1 2 3 3 2 5 4" xfId="25480" xr:uid="{00000000-0005-0000-0000-00005A020000}"/>
    <cellStyle name="20% - Accent1 2 3 3 2 6" xfId="6339" xr:uid="{00000000-0005-0000-0000-00005B020000}"/>
    <cellStyle name="20% - Accent1 2 3 3 2 6 2" xfId="10794" xr:uid="{00000000-0005-0000-0000-00005C020000}"/>
    <cellStyle name="20% - Accent1 2 3 3 2 6 2 2" xfId="20790" xr:uid="{00000000-0005-0000-0000-00005D020000}"/>
    <cellStyle name="20% - Accent1 2 3 3 2 6 2 2 2" xfId="40190" xr:uid="{00000000-0005-0000-0000-00005E020000}"/>
    <cellStyle name="20% - Accent1 2 3 3 2 6 2 3" xfId="30492" xr:uid="{00000000-0005-0000-0000-00005F020000}"/>
    <cellStyle name="20% - Accent1 2 3 3 2 6 3" xfId="16335" xr:uid="{00000000-0005-0000-0000-000060020000}"/>
    <cellStyle name="20% - Accent1 2 3 3 2 6 3 2" xfId="35735" xr:uid="{00000000-0005-0000-0000-000061020000}"/>
    <cellStyle name="20% - Accent1 2 3 3 2 6 4" xfId="26037" xr:uid="{00000000-0005-0000-0000-000062020000}"/>
    <cellStyle name="20% - Accent1 2 3 3 2 7" xfId="6896" xr:uid="{00000000-0005-0000-0000-000063020000}"/>
    <cellStyle name="20% - Accent1 2 3 3 2 7 2" xfId="16892" xr:uid="{00000000-0005-0000-0000-000064020000}"/>
    <cellStyle name="20% - Accent1 2 3 3 2 7 2 2" xfId="36292" xr:uid="{00000000-0005-0000-0000-000065020000}"/>
    <cellStyle name="20% - Accent1 2 3 3 2 7 3" xfId="26594" xr:uid="{00000000-0005-0000-0000-000066020000}"/>
    <cellStyle name="20% - Accent1 2 3 3 2 8" xfId="12436" xr:uid="{00000000-0005-0000-0000-000067020000}"/>
    <cellStyle name="20% - Accent1 2 3 3 2 8 2" xfId="31837" xr:uid="{00000000-0005-0000-0000-000068020000}"/>
    <cellStyle name="20% - Accent1 2 3 3 2 9" xfId="22139" xr:uid="{00000000-0005-0000-0000-000069020000}"/>
    <cellStyle name="20% - Accent1 2 3 3 3" xfId="1945" xr:uid="{00000000-0005-0000-0000-00006A020000}"/>
    <cellStyle name="20% - Accent1 2 3 3 3 2" xfId="2948" xr:uid="{00000000-0005-0000-0000-00006B020000}"/>
    <cellStyle name="20% - Accent1 2 3 3 3 2 2" xfId="5217" xr:uid="{00000000-0005-0000-0000-00006C020000}"/>
    <cellStyle name="20% - Accent1 2 3 3 3 2 2 2" xfId="9681" xr:uid="{00000000-0005-0000-0000-00006D020000}"/>
    <cellStyle name="20% - Accent1 2 3 3 3 2 2 2 2" xfId="19677" xr:uid="{00000000-0005-0000-0000-00006E020000}"/>
    <cellStyle name="20% - Accent1 2 3 3 3 2 2 2 2 2" xfId="39077" xr:uid="{00000000-0005-0000-0000-00006F020000}"/>
    <cellStyle name="20% - Accent1 2 3 3 3 2 2 2 3" xfId="29379" xr:uid="{00000000-0005-0000-0000-000070020000}"/>
    <cellStyle name="20% - Accent1 2 3 3 3 2 2 3" xfId="15222" xr:uid="{00000000-0005-0000-0000-000071020000}"/>
    <cellStyle name="20% - Accent1 2 3 3 3 2 2 3 2" xfId="34622" xr:uid="{00000000-0005-0000-0000-000072020000}"/>
    <cellStyle name="20% - Accent1 2 3 3 3 2 2 4" xfId="24924" xr:uid="{00000000-0005-0000-0000-000073020000}"/>
    <cellStyle name="20% - Accent1 2 3 3 3 2 3" xfId="7453" xr:uid="{00000000-0005-0000-0000-000074020000}"/>
    <cellStyle name="20% - Accent1 2 3 3 3 2 3 2" xfId="17449" xr:uid="{00000000-0005-0000-0000-000075020000}"/>
    <cellStyle name="20% - Accent1 2 3 3 3 2 3 2 2" xfId="36849" xr:uid="{00000000-0005-0000-0000-000076020000}"/>
    <cellStyle name="20% - Accent1 2 3 3 3 2 3 3" xfId="27151" xr:uid="{00000000-0005-0000-0000-000077020000}"/>
    <cellStyle name="20% - Accent1 2 3 3 3 2 4" xfId="12994" xr:uid="{00000000-0005-0000-0000-000078020000}"/>
    <cellStyle name="20% - Accent1 2 3 3 3 2 4 2" xfId="32394" xr:uid="{00000000-0005-0000-0000-000079020000}"/>
    <cellStyle name="20% - Accent1 2 3 3 3 2 5" xfId="22696" xr:uid="{00000000-0005-0000-0000-00007A020000}"/>
    <cellStyle name="20% - Accent1 2 3 3 3 3" xfId="3531" xr:uid="{00000000-0005-0000-0000-00007B020000}"/>
    <cellStyle name="20% - Accent1 2 3 3 3 3 2" xfId="4661" xr:uid="{00000000-0005-0000-0000-00007C020000}"/>
    <cellStyle name="20% - Accent1 2 3 3 3 3 2 2" xfId="9125" xr:uid="{00000000-0005-0000-0000-00007D020000}"/>
    <cellStyle name="20% - Accent1 2 3 3 3 3 2 2 2" xfId="19121" xr:uid="{00000000-0005-0000-0000-00007E020000}"/>
    <cellStyle name="20% - Accent1 2 3 3 3 3 2 2 2 2" xfId="38521" xr:uid="{00000000-0005-0000-0000-00007F020000}"/>
    <cellStyle name="20% - Accent1 2 3 3 3 3 2 2 3" xfId="28823" xr:uid="{00000000-0005-0000-0000-000080020000}"/>
    <cellStyle name="20% - Accent1 2 3 3 3 3 2 3" xfId="14666" xr:uid="{00000000-0005-0000-0000-000081020000}"/>
    <cellStyle name="20% - Accent1 2 3 3 3 3 2 3 2" xfId="34066" xr:uid="{00000000-0005-0000-0000-000082020000}"/>
    <cellStyle name="20% - Accent1 2 3 3 3 3 2 4" xfId="24368" xr:uid="{00000000-0005-0000-0000-000083020000}"/>
    <cellStyle name="20% - Accent1 2 3 3 3 3 3" xfId="8010" xr:uid="{00000000-0005-0000-0000-000084020000}"/>
    <cellStyle name="20% - Accent1 2 3 3 3 3 3 2" xfId="18006" xr:uid="{00000000-0005-0000-0000-000085020000}"/>
    <cellStyle name="20% - Accent1 2 3 3 3 3 3 2 2" xfId="37406" xr:uid="{00000000-0005-0000-0000-000086020000}"/>
    <cellStyle name="20% - Accent1 2 3 3 3 3 3 3" xfId="27708" xr:uid="{00000000-0005-0000-0000-000087020000}"/>
    <cellStyle name="20% - Accent1 2 3 3 3 3 4" xfId="13551" xr:uid="{00000000-0005-0000-0000-000088020000}"/>
    <cellStyle name="20% - Accent1 2 3 3 3 3 4 2" xfId="32951" xr:uid="{00000000-0005-0000-0000-000089020000}"/>
    <cellStyle name="20% - Accent1 2 3 3 3 3 5" xfId="23253" xr:uid="{00000000-0005-0000-0000-00008A020000}"/>
    <cellStyle name="20% - Accent1 2 3 3 3 4" xfId="4104" xr:uid="{00000000-0005-0000-0000-00008B020000}"/>
    <cellStyle name="20% - Accent1 2 3 3 3 4 2" xfId="8568" xr:uid="{00000000-0005-0000-0000-00008C020000}"/>
    <cellStyle name="20% - Accent1 2 3 3 3 4 2 2" xfId="18564" xr:uid="{00000000-0005-0000-0000-00008D020000}"/>
    <cellStyle name="20% - Accent1 2 3 3 3 4 2 2 2" xfId="37964" xr:uid="{00000000-0005-0000-0000-00008E020000}"/>
    <cellStyle name="20% - Accent1 2 3 3 3 4 2 3" xfId="28266" xr:uid="{00000000-0005-0000-0000-00008F020000}"/>
    <cellStyle name="20% - Accent1 2 3 3 3 4 3" xfId="14109" xr:uid="{00000000-0005-0000-0000-000090020000}"/>
    <cellStyle name="20% - Accent1 2 3 3 3 4 3 2" xfId="33509" xr:uid="{00000000-0005-0000-0000-000091020000}"/>
    <cellStyle name="20% - Accent1 2 3 3 3 4 4" xfId="23811" xr:uid="{00000000-0005-0000-0000-000092020000}"/>
    <cellStyle name="20% - Accent1 2 3 3 3 5" xfId="5774" xr:uid="{00000000-0005-0000-0000-000093020000}"/>
    <cellStyle name="20% - Accent1 2 3 3 3 5 2" xfId="10238" xr:uid="{00000000-0005-0000-0000-000094020000}"/>
    <cellStyle name="20% - Accent1 2 3 3 3 5 2 2" xfId="20234" xr:uid="{00000000-0005-0000-0000-000095020000}"/>
    <cellStyle name="20% - Accent1 2 3 3 3 5 2 2 2" xfId="39634" xr:uid="{00000000-0005-0000-0000-000096020000}"/>
    <cellStyle name="20% - Accent1 2 3 3 3 5 2 3" xfId="29936" xr:uid="{00000000-0005-0000-0000-000097020000}"/>
    <cellStyle name="20% - Accent1 2 3 3 3 5 3" xfId="15779" xr:uid="{00000000-0005-0000-0000-000098020000}"/>
    <cellStyle name="20% - Accent1 2 3 3 3 5 3 2" xfId="35179" xr:uid="{00000000-0005-0000-0000-000099020000}"/>
    <cellStyle name="20% - Accent1 2 3 3 3 5 4" xfId="25481" xr:uid="{00000000-0005-0000-0000-00009A020000}"/>
    <cellStyle name="20% - Accent1 2 3 3 3 6" xfId="6340" xr:uid="{00000000-0005-0000-0000-00009B020000}"/>
    <cellStyle name="20% - Accent1 2 3 3 3 6 2" xfId="10795" xr:uid="{00000000-0005-0000-0000-00009C020000}"/>
    <cellStyle name="20% - Accent1 2 3 3 3 6 2 2" xfId="20791" xr:uid="{00000000-0005-0000-0000-00009D020000}"/>
    <cellStyle name="20% - Accent1 2 3 3 3 6 2 2 2" xfId="40191" xr:uid="{00000000-0005-0000-0000-00009E020000}"/>
    <cellStyle name="20% - Accent1 2 3 3 3 6 2 3" xfId="30493" xr:uid="{00000000-0005-0000-0000-00009F020000}"/>
    <cellStyle name="20% - Accent1 2 3 3 3 6 3" xfId="16336" xr:uid="{00000000-0005-0000-0000-0000A0020000}"/>
    <cellStyle name="20% - Accent1 2 3 3 3 6 3 2" xfId="35736" xr:uid="{00000000-0005-0000-0000-0000A1020000}"/>
    <cellStyle name="20% - Accent1 2 3 3 3 6 4" xfId="26038" xr:uid="{00000000-0005-0000-0000-0000A2020000}"/>
    <cellStyle name="20% - Accent1 2 3 3 3 7" xfId="6897" xr:uid="{00000000-0005-0000-0000-0000A3020000}"/>
    <cellStyle name="20% - Accent1 2 3 3 3 7 2" xfId="16893" xr:uid="{00000000-0005-0000-0000-0000A4020000}"/>
    <cellStyle name="20% - Accent1 2 3 3 3 7 2 2" xfId="36293" xr:uid="{00000000-0005-0000-0000-0000A5020000}"/>
    <cellStyle name="20% - Accent1 2 3 3 3 7 3" xfId="26595" xr:uid="{00000000-0005-0000-0000-0000A6020000}"/>
    <cellStyle name="20% - Accent1 2 3 3 3 8" xfId="12437" xr:uid="{00000000-0005-0000-0000-0000A7020000}"/>
    <cellStyle name="20% - Accent1 2 3 3 3 8 2" xfId="31838" xr:uid="{00000000-0005-0000-0000-0000A8020000}"/>
    <cellStyle name="20% - Accent1 2 3 3 3 9" xfId="22140" xr:uid="{00000000-0005-0000-0000-0000A9020000}"/>
    <cellStyle name="20% - Accent1 2 3 3 4" xfId="2946" xr:uid="{00000000-0005-0000-0000-0000AA020000}"/>
    <cellStyle name="20% - Accent1 2 3 3 4 2" xfId="5215" xr:uid="{00000000-0005-0000-0000-0000AB020000}"/>
    <cellStyle name="20% - Accent1 2 3 3 4 2 2" xfId="9679" xr:uid="{00000000-0005-0000-0000-0000AC020000}"/>
    <cellStyle name="20% - Accent1 2 3 3 4 2 2 2" xfId="19675" xr:uid="{00000000-0005-0000-0000-0000AD020000}"/>
    <cellStyle name="20% - Accent1 2 3 3 4 2 2 2 2" xfId="39075" xr:uid="{00000000-0005-0000-0000-0000AE020000}"/>
    <cellStyle name="20% - Accent1 2 3 3 4 2 2 3" xfId="29377" xr:uid="{00000000-0005-0000-0000-0000AF020000}"/>
    <cellStyle name="20% - Accent1 2 3 3 4 2 3" xfId="15220" xr:uid="{00000000-0005-0000-0000-0000B0020000}"/>
    <cellStyle name="20% - Accent1 2 3 3 4 2 3 2" xfId="34620" xr:uid="{00000000-0005-0000-0000-0000B1020000}"/>
    <cellStyle name="20% - Accent1 2 3 3 4 2 4" xfId="24922" xr:uid="{00000000-0005-0000-0000-0000B2020000}"/>
    <cellStyle name="20% - Accent1 2 3 3 4 3" xfId="7451" xr:uid="{00000000-0005-0000-0000-0000B3020000}"/>
    <cellStyle name="20% - Accent1 2 3 3 4 3 2" xfId="17447" xr:uid="{00000000-0005-0000-0000-0000B4020000}"/>
    <cellStyle name="20% - Accent1 2 3 3 4 3 2 2" xfId="36847" xr:uid="{00000000-0005-0000-0000-0000B5020000}"/>
    <cellStyle name="20% - Accent1 2 3 3 4 3 3" xfId="27149" xr:uid="{00000000-0005-0000-0000-0000B6020000}"/>
    <cellStyle name="20% - Accent1 2 3 3 4 4" xfId="12992" xr:uid="{00000000-0005-0000-0000-0000B7020000}"/>
    <cellStyle name="20% - Accent1 2 3 3 4 4 2" xfId="32392" xr:uid="{00000000-0005-0000-0000-0000B8020000}"/>
    <cellStyle name="20% - Accent1 2 3 3 4 5" xfId="22694" xr:uid="{00000000-0005-0000-0000-0000B9020000}"/>
    <cellStyle name="20% - Accent1 2 3 3 5" xfId="3529" xr:uid="{00000000-0005-0000-0000-0000BA020000}"/>
    <cellStyle name="20% - Accent1 2 3 3 5 2" xfId="4659" xr:uid="{00000000-0005-0000-0000-0000BB020000}"/>
    <cellStyle name="20% - Accent1 2 3 3 5 2 2" xfId="9123" xr:uid="{00000000-0005-0000-0000-0000BC020000}"/>
    <cellStyle name="20% - Accent1 2 3 3 5 2 2 2" xfId="19119" xr:uid="{00000000-0005-0000-0000-0000BD020000}"/>
    <cellStyle name="20% - Accent1 2 3 3 5 2 2 2 2" xfId="38519" xr:uid="{00000000-0005-0000-0000-0000BE020000}"/>
    <cellStyle name="20% - Accent1 2 3 3 5 2 2 3" xfId="28821" xr:uid="{00000000-0005-0000-0000-0000BF020000}"/>
    <cellStyle name="20% - Accent1 2 3 3 5 2 3" xfId="14664" xr:uid="{00000000-0005-0000-0000-0000C0020000}"/>
    <cellStyle name="20% - Accent1 2 3 3 5 2 3 2" xfId="34064" xr:uid="{00000000-0005-0000-0000-0000C1020000}"/>
    <cellStyle name="20% - Accent1 2 3 3 5 2 4" xfId="24366" xr:uid="{00000000-0005-0000-0000-0000C2020000}"/>
    <cellStyle name="20% - Accent1 2 3 3 5 3" xfId="8008" xr:uid="{00000000-0005-0000-0000-0000C3020000}"/>
    <cellStyle name="20% - Accent1 2 3 3 5 3 2" xfId="18004" xr:uid="{00000000-0005-0000-0000-0000C4020000}"/>
    <cellStyle name="20% - Accent1 2 3 3 5 3 2 2" xfId="37404" xr:uid="{00000000-0005-0000-0000-0000C5020000}"/>
    <cellStyle name="20% - Accent1 2 3 3 5 3 3" xfId="27706" xr:uid="{00000000-0005-0000-0000-0000C6020000}"/>
    <cellStyle name="20% - Accent1 2 3 3 5 4" xfId="13549" xr:uid="{00000000-0005-0000-0000-0000C7020000}"/>
    <cellStyle name="20% - Accent1 2 3 3 5 4 2" xfId="32949" xr:uid="{00000000-0005-0000-0000-0000C8020000}"/>
    <cellStyle name="20% - Accent1 2 3 3 5 5" xfId="23251" xr:uid="{00000000-0005-0000-0000-0000C9020000}"/>
    <cellStyle name="20% - Accent1 2 3 3 6" xfId="4102" xr:uid="{00000000-0005-0000-0000-0000CA020000}"/>
    <cellStyle name="20% - Accent1 2 3 3 6 2" xfId="8566" xr:uid="{00000000-0005-0000-0000-0000CB020000}"/>
    <cellStyle name="20% - Accent1 2 3 3 6 2 2" xfId="18562" xr:uid="{00000000-0005-0000-0000-0000CC020000}"/>
    <cellStyle name="20% - Accent1 2 3 3 6 2 2 2" xfId="37962" xr:uid="{00000000-0005-0000-0000-0000CD020000}"/>
    <cellStyle name="20% - Accent1 2 3 3 6 2 3" xfId="28264" xr:uid="{00000000-0005-0000-0000-0000CE020000}"/>
    <cellStyle name="20% - Accent1 2 3 3 6 3" xfId="14107" xr:uid="{00000000-0005-0000-0000-0000CF020000}"/>
    <cellStyle name="20% - Accent1 2 3 3 6 3 2" xfId="33507" xr:uid="{00000000-0005-0000-0000-0000D0020000}"/>
    <cellStyle name="20% - Accent1 2 3 3 6 4" xfId="23809" xr:uid="{00000000-0005-0000-0000-0000D1020000}"/>
    <cellStyle name="20% - Accent1 2 3 3 7" xfId="5772" xr:uid="{00000000-0005-0000-0000-0000D2020000}"/>
    <cellStyle name="20% - Accent1 2 3 3 7 2" xfId="10236" xr:uid="{00000000-0005-0000-0000-0000D3020000}"/>
    <cellStyle name="20% - Accent1 2 3 3 7 2 2" xfId="20232" xr:uid="{00000000-0005-0000-0000-0000D4020000}"/>
    <cellStyle name="20% - Accent1 2 3 3 7 2 2 2" xfId="39632" xr:uid="{00000000-0005-0000-0000-0000D5020000}"/>
    <cellStyle name="20% - Accent1 2 3 3 7 2 3" xfId="29934" xr:uid="{00000000-0005-0000-0000-0000D6020000}"/>
    <cellStyle name="20% - Accent1 2 3 3 7 3" xfId="15777" xr:uid="{00000000-0005-0000-0000-0000D7020000}"/>
    <cellStyle name="20% - Accent1 2 3 3 7 3 2" xfId="35177" xr:uid="{00000000-0005-0000-0000-0000D8020000}"/>
    <cellStyle name="20% - Accent1 2 3 3 7 4" xfId="25479" xr:uid="{00000000-0005-0000-0000-0000D9020000}"/>
    <cellStyle name="20% - Accent1 2 3 3 8" xfId="6338" xr:uid="{00000000-0005-0000-0000-0000DA020000}"/>
    <cellStyle name="20% - Accent1 2 3 3 8 2" xfId="10793" xr:uid="{00000000-0005-0000-0000-0000DB020000}"/>
    <cellStyle name="20% - Accent1 2 3 3 8 2 2" xfId="20789" xr:uid="{00000000-0005-0000-0000-0000DC020000}"/>
    <cellStyle name="20% - Accent1 2 3 3 8 2 2 2" xfId="40189" xr:uid="{00000000-0005-0000-0000-0000DD020000}"/>
    <cellStyle name="20% - Accent1 2 3 3 8 2 3" xfId="30491" xr:uid="{00000000-0005-0000-0000-0000DE020000}"/>
    <cellStyle name="20% - Accent1 2 3 3 8 3" xfId="16334" xr:uid="{00000000-0005-0000-0000-0000DF020000}"/>
    <cellStyle name="20% - Accent1 2 3 3 8 3 2" xfId="35734" xr:uid="{00000000-0005-0000-0000-0000E0020000}"/>
    <cellStyle name="20% - Accent1 2 3 3 8 4" xfId="26036" xr:uid="{00000000-0005-0000-0000-0000E1020000}"/>
    <cellStyle name="20% - Accent1 2 3 3 9" xfId="6895" xr:uid="{00000000-0005-0000-0000-0000E2020000}"/>
    <cellStyle name="20% - Accent1 2 3 3 9 2" xfId="16891" xr:uid="{00000000-0005-0000-0000-0000E3020000}"/>
    <cellStyle name="20% - Accent1 2 3 3 9 2 2" xfId="36291" xr:uid="{00000000-0005-0000-0000-0000E4020000}"/>
    <cellStyle name="20% - Accent1 2 3 3 9 3" xfId="26593" xr:uid="{00000000-0005-0000-0000-0000E5020000}"/>
    <cellStyle name="20% - Accent1 2 3 4" xfId="1946" xr:uid="{00000000-0005-0000-0000-0000E6020000}"/>
    <cellStyle name="20% - Accent1 2 3 4 2" xfId="2949" xr:uid="{00000000-0005-0000-0000-0000E7020000}"/>
    <cellStyle name="20% - Accent1 2 3 4 2 2" xfId="5218" xr:uid="{00000000-0005-0000-0000-0000E8020000}"/>
    <cellStyle name="20% - Accent1 2 3 4 2 2 2" xfId="9682" xr:uid="{00000000-0005-0000-0000-0000E9020000}"/>
    <cellStyle name="20% - Accent1 2 3 4 2 2 2 2" xfId="19678" xr:uid="{00000000-0005-0000-0000-0000EA020000}"/>
    <cellStyle name="20% - Accent1 2 3 4 2 2 2 2 2" xfId="39078" xr:uid="{00000000-0005-0000-0000-0000EB020000}"/>
    <cellStyle name="20% - Accent1 2 3 4 2 2 2 3" xfId="29380" xr:uid="{00000000-0005-0000-0000-0000EC020000}"/>
    <cellStyle name="20% - Accent1 2 3 4 2 2 3" xfId="15223" xr:uid="{00000000-0005-0000-0000-0000ED020000}"/>
    <cellStyle name="20% - Accent1 2 3 4 2 2 3 2" xfId="34623" xr:uid="{00000000-0005-0000-0000-0000EE020000}"/>
    <cellStyle name="20% - Accent1 2 3 4 2 2 4" xfId="24925" xr:uid="{00000000-0005-0000-0000-0000EF020000}"/>
    <cellStyle name="20% - Accent1 2 3 4 2 3" xfId="7454" xr:uid="{00000000-0005-0000-0000-0000F0020000}"/>
    <cellStyle name="20% - Accent1 2 3 4 2 3 2" xfId="17450" xr:uid="{00000000-0005-0000-0000-0000F1020000}"/>
    <cellStyle name="20% - Accent1 2 3 4 2 3 2 2" xfId="36850" xr:uid="{00000000-0005-0000-0000-0000F2020000}"/>
    <cellStyle name="20% - Accent1 2 3 4 2 3 3" xfId="27152" xr:uid="{00000000-0005-0000-0000-0000F3020000}"/>
    <cellStyle name="20% - Accent1 2 3 4 2 4" xfId="12995" xr:uid="{00000000-0005-0000-0000-0000F4020000}"/>
    <cellStyle name="20% - Accent1 2 3 4 2 4 2" xfId="32395" xr:uid="{00000000-0005-0000-0000-0000F5020000}"/>
    <cellStyle name="20% - Accent1 2 3 4 2 5" xfId="22697" xr:uid="{00000000-0005-0000-0000-0000F6020000}"/>
    <cellStyle name="20% - Accent1 2 3 4 3" xfId="3532" xr:uid="{00000000-0005-0000-0000-0000F7020000}"/>
    <cellStyle name="20% - Accent1 2 3 4 3 2" xfId="4662" xr:uid="{00000000-0005-0000-0000-0000F8020000}"/>
    <cellStyle name="20% - Accent1 2 3 4 3 2 2" xfId="9126" xr:uid="{00000000-0005-0000-0000-0000F9020000}"/>
    <cellStyle name="20% - Accent1 2 3 4 3 2 2 2" xfId="19122" xr:uid="{00000000-0005-0000-0000-0000FA020000}"/>
    <cellStyle name="20% - Accent1 2 3 4 3 2 2 2 2" xfId="38522" xr:uid="{00000000-0005-0000-0000-0000FB020000}"/>
    <cellStyle name="20% - Accent1 2 3 4 3 2 2 3" xfId="28824" xr:uid="{00000000-0005-0000-0000-0000FC020000}"/>
    <cellStyle name="20% - Accent1 2 3 4 3 2 3" xfId="14667" xr:uid="{00000000-0005-0000-0000-0000FD020000}"/>
    <cellStyle name="20% - Accent1 2 3 4 3 2 3 2" xfId="34067" xr:uid="{00000000-0005-0000-0000-0000FE020000}"/>
    <cellStyle name="20% - Accent1 2 3 4 3 2 4" xfId="24369" xr:uid="{00000000-0005-0000-0000-0000FF020000}"/>
    <cellStyle name="20% - Accent1 2 3 4 3 3" xfId="8011" xr:uid="{00000000-0005-0000-0000-000000030000}"/>
    <cellStyle name="20% - Accent1 2 3 4 3 3 2" xfId="18007" xr:uid="{00000000-0005-0000-0000-000001030000}"/>
    <cellStyle name="20% - Accent1 2 3 4 3 3 2 2" xfId="37407" xr:uid="{00000000-0005-0000-0000-000002030000}"/>
    <cellStyle name="20% - Accent1 2 3 4 3 3 3" xfId="27709" xr:uid="{00000000-0005-0000-0000-000003030000}"/>
    <cellStyle name="20% - Accent1 2 3 4 3 4" xfId="13552" xr:uid="{00000000-0005-0000-0000-000004030000}"/>
    <cellStyle name="20% - Accent1 2 3 4 3 4 2" xfId="32952" xr:uid="{00000000-0005-0000-0000-000005030000}"/>
    <cellStyle name="20% - Accent1 2 3 4 3 5" xfId="23254" xr:uid="{00000000-0005-0000-0000-000006030000}"/>
    <cellStyle name="20% - Accent1 2 3 4 4" xfId="4105" xr:uid="{00000000-0005-0000-0000-000007030000}"/>
    <cellStyle name="20% - Accent1 2 3 4 4 2" xfId="8569" xr:uid="{00000000-0005-0000-0000-000008030000}"/>
    <cellStyle name="20% - Accent1 2 3 4 4 2 2" xfId="18565" xr:uid="{00000000-0005-0000-0000-000009030000}"/>
    <cellStyle name="20% - Accent1 2 3 4 4 2 2 2" xfId="37965" xr:uid="{00000000-0005-0000-0000-00000A030000}"/>
    <cellStyle name="20% - Accent1 2 3 4 4 2 3" xfId="28267" xr:uid="{00000000-0005-0000-0000-00000B030000}"/>
    <cellStyle name="20% - Accent1 2 3 4 4 3" xfId="14110" xr:uid="{00000000-0005-0000-0000-00000C030000}"/>
    <cellStyle name="20% - Accent1 2 3 4 4 3 2" xfId="33510" xr:uid="{00000000-0005-0000-0000-00000D030000}"/>
    <cellStyle name="20% - Accent1 2 3 4 4 4" xfId="23812" xr:uid="{00000000-0005-0000-0000-00000E030000}"/>
    <cellStyle name="20% - Accent1 2 3 4 5" xfId="5775" xr:uid="{00000000-0005-0000-0000-00000F030000}"/>
    <cellStyle name="20% - Accent1 2 3 4 5 2" xfId="10239" xr:uid="{00000000-0005-0000-0000-000010030000}"/>
    <cellStyle name="20% - Accent1 2 3 4 5 2 2" xfId="20235" xr:uid="{00000000-0005-0000-0000-000011030000}"/>
    <cellStyle name="20% - Accent1 2 3 4 5 2 2 2" xfId="39635" xr:uid="{00000000-0005-0000-0000-000012030000}"/>
    <cellStyle name="20% - Accent1 2 3 4 5 2 3" xfId="29937" xr:uid="{00000000-0005-0000-0000-000013030000}"/>
    <cellStyle name="20% - Accent1 2 3 4 5 3" xfId="15780" xr:uid="{00000000-0005-0000-0000-000014030000}"/>
    <cellStyle name="20% - Accent1 2 3 4 5 3 2" xfId="35180" xr:uid="{00000000-0005-0000-0000-000015030000}"/>
    <cellStyle name="20% - Accent1 2 3 4 5 4" xfId="25482" xr:uid="{00000000-0005-0000-0000-000016030000}"/>
    <cellStyle name="20% - Accent1 2 3 4 6" xfId="6341" xr:uid="{00000000-0005-0000-0000-000017030000}"/>
    <cellStyle name="20% - Accent1 2 3 4 6 2" xfId="10796" xr:uid="{00000000-0005-0000-0000-000018030000}"/>
    <cellStyle name="20% - Accent1 2 3 4 6 2 2" xfId="20792" xr:uid="{00000000-0005-0000-0000-000019030000}"/>
    <cellStyle name="20% - Accent1 2 3 4 6 2 2 2" xfId="40192" xr:uid="{00000000-0005-0000-0000-00001A030000}"/>
    <cellStyle name="20% - Accent1 2 3 4 6 2 3" xfId="30494" xr:uid="{00000000-0005-0000-0000-00001B030000}"/>
    <cellStyle name="20% - Accent1 2 3 4 6 3" xfId="16337" xr:uid="{00000000-0005-0000-0000-00001C030000}"/>
    <cellStyle name="20% - Accent1 2 3 4 6 3 2" xfId="35737" xr:uid="{00000000-0005-0000-0000-00001D030000}"/>
    <cellStyle name="20% - Accent1 2 3 4 6 4" xfId="26039" xr:uid="{00000000-0005-0000-0000-00001E030000}"/>
    <cellStyle name="20% - Accent1 2 3 4 7" xfId="6898" xr:uid="{00000000-0005-0000-0000-00001F030000}"/>
    <cellStyle name="20% - Accent1 2 3 4 7 2" xfId="16894" xr:uid="{00000000-0005-0000-0000-000020030000}"/>
    <cellStyle name="20% - Accent1 2 3 4 7 2 2" xfId="36294" xr:uid="{00000000-0005-0000-0000-000021030000}"/>
    <cellStyle name="20% - Accent1 2 3 4 7 3" xfId="26596" xr:uid="{00000000-0005-0000-0000-000022030000}"/>
    <cellStyle name="20% - Accent1 2 3 4 8" xfId="12438" xr:uid="{00000000-0005-0000-0000-000023030000}"/>
    <cellStyle name="20% - Accent1 2 3 4 8 2" xfId="31839" xr:uid="{00000000-0005-0000-0000-000024030000}"/>
    <cellStyle name="20% - Accent1 2 3 4 9" xfId="22141" xr:uid="{00000000-0005-0000-0000-000025030000}"/>
    <cellStyle name="20% - Accent1 2 3 5" xfId="1947" xr:uid="{00000000-0005-0000-0000-000026030000}"/>
    <cellStyle name="20% - Accent1 2 3 5 2" xfId="2950" xr:uid="{00000000-0005-0000-0000-000027030000}"/>
    <cellStyle name="20% - Accent1 2 3 5 2 2" xfId="5219" xr:uid="{00000000-0005-0000-0000-000028030000}"/>
    <cellStyle name="20% - Accent1 2 3 5 2 2 2" xfId="9683" xr:uid="{00000000-0005-0000-0000-000029030000}"/>
    <cellStyle name="20% - Accent1 2 3 5 2 2 2 2" xfId="19679" xr:uid="{00000000-0005-0000-0000-00002A030000}"/>
    <cellStyle name="20% - Accent1 2 3 5 2 2 2 2 2" xfId="39079" xr:uid="{00000000-0005-0000-0000-00002B030000}"/>
    <cellStyle name="20% - Accent1 2 3 5 2 2 2 3" xfId="29381" xr:uid="{00000000-0005-0000-0000-00002C030000}"/>
    <cellStyle name="20% - Accent1 2 3 5 2 2 3" xfId="15224" xr:uid="{00000000-0005-0000-0000-00002D030000}"/>
    <cellStyle name="20% - Accent1 2 3 5 2 2 3 2" xfId="34624" xr:uid="{00000000-0005-0000-0000-00002E030000}"/>
    <cellStyle name="20% - Accent1 2 3 5 2 2 4" xfId="24926" xr:uid="{00000000-0005-0000-0000-00002F030000}"/>
    <cellStyle name="20% - Accent1 2 3 5 2 3" xfId="7455" xr:uid="{00000000-0005-0000-0000-000030030000}"/>
    <cellStyle name="20% - Accent1 2 3 5 2 3 2" xfId="17451" xr:uid="{00000000-0005-0000-0000-000031030000}"/>
    <cellStyle name="20% - Accent1 2 3 5 2 3 2 2" xfId="36851" xr:uid="{00000000-0005-0000-0000-000032030000}"/>
    <cellStyle name="20% - Accent1 2 3 5 2 3 3" xfId="27153" xr:uid="{00000000-0005-0000-0000-000033030000}"/>
    <cellStyle name="20% - Accent1 2 3 5 2 4" xfId="12996" xr:uid="{00000000-0005-0000-0000-000034030000}"/>
    <cellStyle name="20% - Accent1 2 3 5 2 4 2" xfId="32396" xr:uid="{00000000-0005-0000-0000-000035030000}"/>
    <cellStyle name="20% - Accent1 2 3 5 2 5" xfId="22698" xr:uid="{00000000-0005-0000-0000-000036030000}"/>
    <cellStyle name="20% - Accent1 2 3 5 3" xfId="3533" xr:uid="{00000000-0005-0000-0000-000037030000}"/>
    <cellStyle name="20% - Accent1 2 3 5 3 2" xfId="4663" xr:uid="{00000000-0005-0000-0000-000038030000}"/>
    <cellStyle name="20% - Accent1 2 3 5 3 2 2" xfId="9127" xr:uid="{00000000-0005-0000-0000-000039030000}"/>
    <cellStyle name="20% - Accent1 2 3 5 3 2 2 2" xfId="19123" xr:uid="{00000000-0005-0000-0000-00003A030000}"/>
    <cellStyle name="20% - Accent1 2 3 5 3 2 2 2 2" xfId="38523" xr:uid="{00000000-0005-0000-0000-00003B030000}"/>
    <cellStyle name="20% - Accent1 2 3 5 3 2 2 3" xfId="28825" xr:uid="{00000000-0005-0000-0000-00003C030000}"/>
    <cellStyle name="20% - Accent1 2 3 5 3 2 3" xfId="14668" xr:uid="{00000000-0005-0000-0000-00003D030000}"/>
    <cellStyle name="20% - Accent1 2 3 5 3 2 3 2" xfId="34068" xr:uid="{00000000-0005-0000-0000-00003E030000}"/>
    <cellStyle name="20% - Accent1 2 3 5 3 2 4" xfId="24370" xr:uid="{00000000-0005-0000-0000-00003F030000}"/>
    <cellStyle name="20% - Accent1 2 3 5 3 3" xfId="8012" xr:uid="{00000000-0005-0000-0000-000040030000}"/>
    <cellStyle name="20% - Accent1 2 3 5 3 3 2" xfId="18008" xr:uid="{00000000-0005-0000-0000-000041030000}"/>
    <cellStyle name="20% - Accent1 2 3 5 3 3 2 2" xfId="37408" xr:uid="{00000000-0005-0000-0000-000042030000}"/>
    <cellStyle name="20% - Accent1 2 3 5 3 3 3" xfId="27710" xr:uid="{00000000-0005-0000-0000-000043030000}"/>
    <cellStyle name="20% - Accent1 2 3 5 3 4" xfId="13553" xr:uid="{00000000-0005-0000-0000-000044030000}"/>
    <cellStyle name="20% - Accent1 2 3 5 3 4 2" xfId="32953" xr:uid="{00000000-0005-0000-0000-000045030000}"/>
    <cellStyle name="20% - Accent1 2 3 5 3 5" xfId="23255" xr:uid="{00000000-0005-0000-0000-000046030000}"/>
    <cellStyle name="20% - Accent1 2 3 5 4" xfId="4106" xr:uid="{00000000-0005-0000-0000-000047030000}"/>
    <cellStyle name="20% - Accent1 2 3 5 4 2" xfId="8570" xr:uid="{00000000-0005-0000-0000-000048030000}"/>
    <cellStyle name="20% - Accent1 2 3 5 4 2 2" xfId="18566" xr:uid="{00000000-0005-0000-0000-000049030000}"/>
    <cellStyle name="20% - Accent1 2 3 5 4 2 2 2" xfId="37966" xr:uid="{00000000-0005-0000-0000-00004A030000}"/>
    <cellStyle name="20% - Accent1 2 3 5 4 2 3" xfId="28268" xr:uid="{00000000-0005-0000-0000-00004B030000}"/>
    <cellStyle name="20% - Accent1 2 3 5 4 3" xfId="14111" xr:uid="{00000000-0005-0000-0000-00004C030000}"/>
    <cellStyle name="20% - Accent1 2 3 5 4 3 2" xfId="33511" xr:uid="{00000000-0005-0000-0000-00004D030000}"/>
    <cellStyle name="20% - Accent1 2 3 5 4 4" xfId="23813" xr:uid="{00000000-0005-0000-0000-00004E030000}"/>
    <cellStyle name="20% - Accent1 2 3 5 5" xfId="5776" xr:uid="{00000000-0005-0000-0000-00004F030000}"/>
    <cellStyle name="20% - Accent1 2 3 5 5 2" xfId="10240" xr:uid="{00000000-0005-0000-0000-000050030000}"/>
    <cellStyle name="20% - Accent1 2 3 5 5 2 2" xfId="20236" xr:uid="{00000000-0005-0000-0000-000051030000}"/>
    <cellStyle name="20% - Accent1 2 3 5 5 2 2 2" xfId="39636" xr:uid="{00000000-0005-0000-0000-000052030000}"/>
    <cellStyle name="20% - Accent1 2 3 5 5 2 3" xfId="29938" xr:uid="{00000000-0005-0000-0000-000053030000}"/>
    <cellStyle name="20% - Accent1 2 3 5 5 3" xfId="15781" xr:uid="{00000000-0005-0000-0000-000054030000}"/>
    <cellStyle name="20% - Accent1 2 3 5 5 3 2" xfId="35181" xr:uid="{00000000-0005-0000-0000-000055030000}"/>
    <cellStyle name="20% - Accent1 2 3 5 5 4" xfId="25483" xr:uid="{00000000-0005-0000-0000-000056030000}"/>
    <cellStyle name="20% - Accent1 2 3 5 6" xfId="6342" xr:uid="{00000000-0005-0000-0000-000057030000}"/>
    <cellStyle name="20% - Accent1 2 3 5 6 2" xfId="10797" xr:uid="{00000000-0005-0000-0000-000058030000}"/>
    <cellStyle name="20% - Accent1 2 3 5 6 2 2" xfId="20793" xr:uid="{00000000-0005-0000-0000-000059030000}"/>
    <cellStyle name="20% - Accent1 2 3 5 6 2 2 2" xfId="40193" xr:uid="{00000000-0005-0000-0000-00005A030000}"/>
    <cellStyle name="20% - Accent1 2 3 5 6 2 3" xfId="30495" xr:uid="{00000000-0005-0000-0000-00005B030000}"/>
    <cellStyle name="20% - Accent1 2 3 5 6 3" xfId="16338" xr:uid="{00000000-0005-0000-0000-00005C030000}"/>
    <cellStyle name="20% - Accent1 2 3 5 6 3 2" xfId="35738" xr:uid="{00000000-0005-0000-0000-00005D030000}"/>
    <cellStyle name="20% - Accent1 2 3 5 6 4" xfId="26040" xr:uid="{00000000-0005-0000-0000-00005E030000}"/>
    <cellStyle name="20% - Accent1 2 3 5 7" xfId="6899" xr:uid="{00000000-0005-0000-0000-00005F030000}"/>
    <cellStyle name="20% - Accent1 2 3 5 7 2" xfId="16895" xr:uid="{00000000-0005-0000-0000-000060030000}"/>
    <cellStyle name="20% - Accent1 2 3 5 7 2 2" xfId="36295" xr:uid="{00000000-0005-0000-0000-000061030000}"/>
    <cellStyle name="20% - Accent1 2 3 5 7 3" xfId="26597" xr:uid="{00000000-0005-0000-0000-000062030000}"/>
    <cellStyle name="20% - Accent1 2 3 5 8" xfId="12439" xr:uid="{00000000-0005-0000-0000-000063030000}"/>
    <cellStyle name="20% - Accent1 2 3 5 8 2" xfId="31840" xr:uid="{00000000-0005-0000-0000-000064030000}"/>
    <cellStyle name="20% - Accent1 2 3 5 9" xfId="22142" xr:uid="{00000000-0005-0000-0000-000065030000}"/>
    <cellStyle name="20% - Accent1 2 3 6" xfId="11964" xr:uid="{00000000-0005-0000-0000-000066030000}"/>
    <cellStyle name="20% - Accent1 2 3 6 2" xfId="21668" xr:uid="{00000000-0005-0000-0000-000067030000}"/>
    <cellStyle name="20% - Accent1 2 3 6 2 2" xfId="41068" xr:uid="{00000000-0005-0000-0000-000068030000}"/>
    <cellStyle name="20% - Accent1 2 3 6 3" xfId="31370" xr:uid="{00000000-0005-0000-0000-000069030000}"/>
    <cellStyle name="20% - Accent1 2 3 7" xfId="1269" xr:uid="{00000000-0005-0000-0000-00006A030000}"/>
    <cellStyle name="20% - Accent1 2 3 8" xfId="12320" xr:uid="{00000000-0005-0000-0000-00006B030000}"/>
    <cellStyle name="20% - Accent1 2 3 8 2" xfId="31723" xr:uid="{00000000-0005-0000-0000-00006C030000}"/>
    <cellStyle name="20% - Accent1 2 3 9" xfId="22025" xr:uid="{00000000-0005-0000-0000-00006D030000}"/>
    <cellStyle name="20% - Accent1 2 4" xfId="1268" xr:uid="{00000000-0005-0000-0000-00006E030000}"/>
    <cellStyle name="20% - Accent1 2 4 2" xfId="1948" xr:uid="{00000000-0005-0000-0000-00006F030000}"/>
    <cellStyle name="20% - Accent1 2 4 2 10" xfId="12440" xr:uid="{00000000-0005-0000-0000-000070030000}"/>
    <cellStyle name="20% - Accent1 2 4 2 10 2" xfId="31841" xr:uid="{00000000-0005-0000-0000-000071030000}"/>
    <cellStyle name="20% - Accent1 2 4 2 11" xfId="22143" xr:uid="{00000000-0005-0000-0000-000072030000}"/>
    <cellStyle name="20% - Accent1 2 4 2 2" xfId="1949" xr:uid="{00000000-0005-0000-0000-000073030000}"/>
    <cellStyle name="20% - Accent1 2 4 2 2 2" xfId="2952" xr:uid="{00000000-0005-0000-0000-000074030000}"/>
    <cellStyle name="20% - Accent1 2 4 2 2 2 2" xfId="5221" xr:uid="{00000000-0005-0000-0000-000075030000}"/>
    <cellStyle name="20% - Accent1 2 4 2 2 2 2 2" xfId="9685" xr:uid="{00000000-0005-0000-0000-000076030000}"/>
    <cellStyle name="20% - Accent1 2 4 2 2 2 2 2 2" xfId="19681" xr:uid="{00000000-0005-0000-0000-000077030000}"/>
    <cellStyle name="20% - Accent1 2 4 2 2 2 2 2 2 2" xfId="39081" xr:uid="{00000000-0005-0000-0000-000078030000}"/>
    <cellStyle name="20% - Accent1 2 4 2 2 2 2 2 3" xfId="29383" xr:uid="{00000000-0005-0000-0000-000079030000}"/>
    <cellStyle name="20% - Accent1 2 4 2 2 2 2 3" xfId="15226" xr:uid="{00000000-0005-0000-0000-00007A030000}"/>
    <cellStyle name="20% - Accent1 2 4 2 2 2 2 3 2" xfId="34626" xr:uid="{00000000-0005-0000-0000-00007B030000}"/>
    <cellStyle name="20% - Accent1 2 4 2 2 2 2 4" xfId="24928" xr:uid="{00000000-0005-0000-0000-00007C030000}"/>
    <cellStyle name="20% - Accent1 2 4 2 2 2 3" xfId="7457" xr:uid="{00000000-0005-0000-0000-00007D030000}"/>
    <cellStyle name="20% - Accent1 2 4 2 2 2 3 2" xfId="17453" xr:uid="{00000000-0005-0000-0000-00007E030000}"/>
    <cellStyle name="20% - Accent1 2 4 2 2 2 3 2 2" xfId="36853" xr:uid="{00000000-0005-0000-0000-00007F030000}"/>
    <cellStyle name="20% - Accent1 2 4 2 2 2 3 3" xfId="27155" xr:uid="{00000000-0005-0000-0000-000080030000}"/>
    <cellStyle name="20% - Accent1 2 4 2 2 2 4" xfId="12998" xr:uid="{00000000-0005-0000-0000-000081030000}"/>
    <cellStyle name="20% - Accent1 2 4 2 2 2 4 2" xfId="32398" xr:uid="{00000000-0005-0000-0000-000082030000}"/>
    <cellStyle name="20% - Accent1 2 4 2 2 2 5" xfId="22700" xr:uid="{00000000-0005-0000-0000-000083030000}"/>
    <cellStyle name="20% - Accent1 2 4 2 2 3" xfId="3535" xr:uid="{00000000-0005-0000-0000-000084030000}"/>
    <cellStyle name="20% - Accent1 2 4 2 2 3 2" xfId="4665" xr:uid="{00000000-0005-0000-0000-000085030000}"/>
    <cellStyle name="20% - Accent1 2 4 2 2 3 2 2" xfId="9129" xr:uid="{00000000-0005-0000-0000-000086030000}"/>
    <cellStyle name="20% - Accent1 2 4 2 2 3 2 2 2" xfId="19125" xr:uid="{00000000-0005-0000-0000-000087030000}"/>
    <cellStyle name="20% - Accent1 2 4 2 2 3 2 2 2 2" xfId="38525" xr:uid="{00000000-0005-0000-0000-000088030000}"/>
    <cellStyle name="20% - Accent1 2 4 2 2 3 2 2 3" xfId="28827" xr:uid="{00000000-0005-0000-0000-000089030000}"/>
    <cellStyle name="20% - Accent1 2 4 2 2 3 2 3" xfId="14670" xr:uid="{00000000-0005-0000-0000-00008A030000}"/>
    <cellStyle name="20% - Accent1 2 4 2 2 3 2 3 2" xfId="34070" xr:uid="{00000000-0005-0000-0000-00008B030000}"/>
    <cellStyle name="20% - Accent1 2 4 2 2 3 2 4" xfId="24372" xr:uid="{00000000-0005-0000-0000-00008C030000}"/>
    <cellStyle name="20% - Accent1 2 4 2 2 3 3" xfId="8014" xr:uid="{00000000-0005-0000-0000-00008D030000}"/>
    <cellStyle name="20% - Accent1 2 4 2 2 3 3 2" xfId="18010" xr:uid="{00000000-0005-0000-0000-00008E030000}"/>
    <cellStyle name="20% - Accent1 2 4 2 2 3 3 2 2" xfId="37410" xr:uid="{00000000-0005-0000-0000-00008F030000}"/>
    <cellStyle name="20% - Accent1 2 4 2 2 3 3 3" xfId="27712" xr:uid="{00000000-0005-0000-0000-000090030000}"/>
    <cellStyle name="20% - Accent1 2 4 2 2 3 4" xfId="13555" xr:uid="{00000000-0005-0000-0000-000091030000}"/>
    <cellStyle name="20% - Accent1 2 4 2 2 3 4 2" xfId="32955" xr:uid="{00000000-0005-0000-0000-000092030000}"/>
    <cellStyle name="20% - Accent1 2 4 2 2 3 5" xfId="23257" xr:uid="{00000000-0005-0000-0000-000093030000}"/>
    <cellStyle name="20% - Accent1 2 4 2 2 4" xfId="4108" xr:uid="{00000000-0005-0000-0000-000094030000}"/>
    <cellStyle name="20% - Accent1 2 4 2 2 4 2" xfId="8572" xr:uid="{00000000-0005-0000-0000-000095030000}"/>
    <cellStyle name="20% - Accent1 2 4 2 2 4 2 2" xfId="18568" xr:uid="{00000000-0005-0000-0000-000096030000}"/>
    <cellStyle name="20% - Accent1 2 4 2 2 4 2 2 2" xfId="37968" xr:uid="{00000000-0005-0000-0000-000097030000}"/>
    <cellStyle name="20% - Accent1 2 4 2 2 4 2 3" xfId="28270" xr:uid="{00000000-0005-0000-0000-000098030000}"/>
    <cellStyle name="20% - Accent1 2 4 2 2 4 3" xfId="14113" xr:uid="{00000000-0005-0000-0000-000099030000}"/>
    <cellStyle name="20% - Accent1 2 4 2 2 4 3 2" xfId="33513" xr:uid="{00000000-0005-0000-0000-00009A030000}"/>
    <cellStyle name="20% - Accent1 2 4 2 2 4 4" xfId="23815" xr:uid="{00000000-0005-0000-0000-00009B030000}"/>
    <cellStyle name="20% - Accent1 2 4 2 2 5" xfId="5778" xr:uid="{00000000-0005-0000-0000-00009C030000}"/>
    <cellStyle name="20% - Accent1 2 4 2 2 5 2" xfId="10242" xr:uid="{00000000-0005-0000-0000-00009D030000}"/>
    <cellStyle name="20% - Accent1 2 4 2 2 5 2 2" xfId="20238" xr:uid="{00000000-0005-0000-0000-00009E030000}"/>
    <cellStyle name="20% - Accent1 2 4 2 2 5 2 2 2" xfId="39638" xr:uid="{00000000-0005-0000-0000-00009F030000}"/>
    <cellStyle name="20% - Accent1 2 4 2 2 5 2 3" xfId="29940" xr:uid="{00000000-0005-0000-0000-0000A0030000}"/>
    <cellStyle name="20% - Accent1 2 4 2 2 5 3" xfId="15783" xr:uid="{00000000-0005-0000-0000-0000A1030000}"/>
    <cellStyle name="20% - Accent1 2 4 2 2 5 3 2" xfId="35183" xr:uid="{00000000-0005-0000-0000-0000A2030000}"/>
    <cellStyle name="20% - Accent1 2 4 2 2 5 4" xfId="25485" xr:uid="{00000000-0005-0000-0000-0000A3030000}"/>
    <cellStyle name="20% - Accent1 2 4 2 2 6" xfId="6344" xr:uid="{00000000-0005-0000-0000-0000A4030000}"/>
    <cellStyle name="20% - Accent1 2 4 2 2 6 2" xfId="10799" xr:uid="{00000000-0005-0000-0000-0000A5030000}"/>
    <cellStyle name="20% - Accent1 2 4 2 2 6 2 2" xfId="20795" xr:uid="{00000000-0005-0000-0000-0000A6030000}"/>
    <cellStyle name="20% - Accent1 2 4 2 2 6 2 2 2" xfId="40195" xr:uid="{00000000-0005-0000-0000-0000A7030000}"/>
    <cellStyle name="20% - Accent1 2 4 2 2 6 2 3" xfId="30497" xr:uid="{00000000-0005-0000-0000-0000A8030000}"/>
    <cellStyle name="20% - Accent1 2 4 2 2 6 3" xfId="16340" xr:uid="{00000000-0005-0000-0000-0000A9030000}"/>
    <cellStyle name="20% - Accent1 2 4 2 2 6 3 2" xfId="35740" xr:uid="{00000000-0005-0000-0000-0000AA030000}"/>
    <cellStyle name="20% - Accent1 2 4 2 2 6 4" xfId="26042" xr:uid="{00000000-0005-0000-0000-0000AB030000}"/>
    <cellStyle name="20% - Accent1 2 4 2 2 7" xfId="6901" xr:uid="{00000000-0005-0000-0000-0000AC030000}"/>
    <cellStyle name="20% - Accent1 2 4 2 2 7 2" xfId="16897" xr:uid="{00000000-0005-0000-0000-0000AD030000}"/>
    <cellStyle name="20% - Accent1 2 4 2 2 7 2 2" xfId="36297" xr:uid="{00000000-0005-0000-0000-0000AE030000}"/>
    <cellStyle name="20% - Accent1 2 4 2 2 7 3" xfId="26599" xr:uid="{00000000-0005-0000-0000-0000AF030000}"/>
    <cellStyle name="20% - Accent1 2 4 2 2 8" xfId="12441" xr:uid="{00000000-0005-0000-0000-0000B0030000}"/>
    <cellStyle name="20% - Accent1 2 4 2 2 8 2" xfId="31842" xr:uid="{00000000-0005-0000-0000-0000B1030000}"/>
    <cellStyle name="20% - Accent1 2 4 2 2 9" xfId="22144" xr:uid="{00000000-0005-0000-0000-0000B2030000}"/>
    <cellStyle name="20% - Accent1 2 4 2 3" xfId="1950" xr:uid="{00000000-0005-0000-0000-0000B3030000}"/>
    <cellStyle name="20% - Accent1 2 4 2 3 2" xfId="2953" xr:uid="{00000000-0005-0000-0000-0000B4030000}"/>
    <cellStyle name="20% - Accent1 2 4 2 3 2 2" xfId="5222" xr:uid="{00000000-0005-0000-0000-0000B5030000}"/>
    <cellStyle name="20% - Accent1 2 4 2 3 2 2 2" xfId="9686" xr:uid="{00000000-0005-0000-0000-0000B6030000}"/>
    <cellStyle name="20% - Accent1 2 4 2 3 2 2 2 2" xfId="19682" xr:uid="{00000000-0005-0000-0000-0000B7030000}"/>
    <cellStyle name="20% - Accent1 2 4 2 3 2 2 2 2 2" xfId="39082" xr:uid="{00000000-0005-0000-0000-0000B8030000}"/>
    <cellStyle name="20% - Accent1 2 4 2 3 2 2 2 3" xfId="29384" xr:uid="{00000000-0005-0000-0000-0000B9030000}"/>
    <cellStyle name="20% - Accent1 2 4 2 3 2 2 3" xfId="15227" xr:uid="{00000000-0005-0000-0000-0000BA030000}"/>
    <cellStyle name="20% - Accent1 2 4 2 3 2 2 3 2" xfId="34627" xr:uid="{00000000-0005-0000-0000-0000BB030000}"/>
    <cellStyle name="20% - Accent1 2 4 2 3 2 2 4" xfId="24929" xr:uid="{00000000-0005-0000-0000-0000BC030000}"/>
    <cellStyle name="20% - Accent1 2 4 2 3 2 3" xfId="7458" xr:uid="{00000000-0005-0000-0000-0000BD030000}"/>
    <cellStyle name="20% - Accent1 2 4 2 3 2 3 2" xfId="17454" xr:uid="{00000000-0005-0000-0000-0000BE030000}"/>
    <cellStyle name="20% - Accent1 2 4 2 3 2 3 2 2" xfId="36854" xr:uid="{00000000-0005-0000-0000-0000BF030000}"/>
    <cellStyle name="20% - Accent1 2 4 2 3 2 3 3" xfId="27156" xr:uid="{00000000-0005-0000-0000-0000C0030000}"/>
    <cellStyle name="20% - Accent1 2 4 2 3 2 4" xfId="12999" xr:uid="{00000000-0005-0000-0000-0000C1030000}"/>
    <cellStyle name="20% - Accent1 2 4 2 3 2 4 2" xfId="32399" xr:uid="{00000000-0005-0000-0000-0000C2030000}"/>
    <cellStyle name="20% - Accent1 2 4 2 3 2 5" xfId="22701" xr:uid="{00000000-0005-0000-0000-0000C3030000}"/>
    <cellStyle name="20% - Accent1 2 4 2 3 3" xfId="3536" xr:uid="{00000000-0005-0000-0000-0000C4030000}"/>
    <cellStyle name="20% - Accent1 2 4 2 3 3 2" xfId="4666" xr:uid="{00000000-0005-0000-0000-0000C5030000}"/>
    <cellStyle name="20% - Accent1 2 4 2 3 3 2 2" xfId="9130" xr:uid="{00000000-0005-0000-0000-0000C6030000}"/>
    <cellStyle name="20% - Accent1 2 4 2 3 3 2 2 2" xfId="19126" xr:uid="{00000000-0005-0000-0000-0000C7030000}"/>
    <cellStyle name="20% - Accent1 2 4 2 3 3 2 2 2 2" xfId="38526" xr:uid="{00000000-0005-0000-0000-0000C8030000}"/>
    <cellStyle name="20% - Accent1 2 4 2 3 3 2 2 3" xfId="28828" xr:uid="{00000000-0005-0000-0000-0000C9030000}"/>
    <cellStyle name="20% - Accent1 2 4 2 3 3 2 3" xfId="14671" xr:uid="{00000000-0005-0000-0000-0000CA030000}"/>
    <cellStyle name="20% - Accent1 2 4 2 3 3 2 3 2" xfId="34071" xr:uid="{00000000-0005-0000-0000-0000CB030000}"/>
    <cellStyle name="20% - Accent1 2 4 2 3 3 2 4" xfId="24373" xr:uid="{00000000-0005-0000-0000-0000CC030000}"/>
    <cellStyle name="20% - Accent1 2 4 2 3 3 3" xfId="8015" xr:uid="{00000000-0005-0000-0000-0000CD030000}"/>
    <cellStyle name="20% - Accent1 2 4 2 3 3 3 2" xfId="18011" xr:uid="{00000000-0005-0000-0000-0000CE030000}"/>
    <cellStyle name="20% - Accent1 2 4 2 3 3 3 2 2" xfId="37411" xr:uid="{00000000-0005-0000-0000-0000CF030000}"/>
    <cellStyle name="20% - Accent1 2 4 2 3 3 3 3" xfId="27713" xr:uid="{00000000-0005-0000-0000-0000D0030000}"/>
    <cellStyle name="20% - Accent1 2 4 2 3 3 4" xfId="13556" xr:uid="{00000000-0005-0000-0000-0000D1030000}"/>
    <cellStyle name="20% - Accent1 2 4 2 3 3 4 2" xfId="32956" xr:uid="{00000000-0005-0000-0000-0000D2030000}"/>
    <cellStyle name="20% - Accent1 2 4 2 3 3 5" xfId="23258" xr:uid="{00000000-0005-0000-0000-0000D3030000}"/>
    <cellStyle name="20% - Accent1 2 4 2 3 4" xfId="4109" xr:uid="{00000000-0005-0000-0000-0000D4030000}"/>
    <cellStyle name="20% - Accent1 2 4 2 3 4 2" xfId="8573" xr:uid="{00000000-0005-0000-0000-0000D5030000}"/>
    <cellStyle name="20% - Accent1 2 4 2 3 4 2 2" xfId="18569" xr:uid="{00000000-0005-0000-0000-0000D6030000}"/>
    <cellStyle name="20% - Accent1 2 4 2 3 4 2 2 2" xfId="37969" xr:uid="{00000000-0005-0000-0000-0000D7030000}"/>
    <cellStyle name="20% - Accent1 2 4 2 3 4 2 3" xfId="28271" xr:uid="{00000000-0005-0000-0000-0000D8030000}"/>
    <cellStyle name="20% - Accent1 2 4 2 3 4 3" xfId="14114" xr:uid="{00000000-0005-0000-0000-0000D9030000}"/>
    <cellStyle name="20% - Accent1 2 4 2 3 4 3 2" xfId="33514" xr:uid="{00000000-0005-0000-0000-0000DA030000}"/>
    <cellStyle name="20% - Accent1 2 4 2 3 4 4" xfId="23816" xr:uid="{00000000-0005-0000-0000-0000DB030000}"/>
    <cellStyle name="20% - Accent1 2 4 2 3 5" xfId="5779" xr:uid="{00000000-0005-0000-0000-0000DC030000}"/>
    <cellStyle name="20% - Accent1 2 4 2 3 5 2" xfId="10243" xr:uid="{00000000-0005-0000-0000-0000DD030000}"/>
    <cellStyle name="20% - Accent1 2 4 2 3 5 2 2" xfId="20239" xr:uid="{00000000-0005-0000-0000-0000DE030000}"/>
    <cellStyle name="20% - Accent1 2 4 2 3 5 2 2 2" xfId="39639" xr:uid="{00000000-0005-0000-0000-0000DF030000}"/>
    <cellStyle name="20% - Accent1 2 4 2 3 5 2 3" xfId="29941" xr:uid="{00000000-0005-0000-0000-0000E0030000}"/>
    <cellStyle name="20% - Accent1 2 4 2 3 5 3" xfId="15784" xr:uid="{00000000-0005-0000-0000-0000E1030000}"/>
    <cellStyle name="20% - Accent1 2 4 2 3 5 3 2" xfId="35184" xr:uid="{00000000-0005-0000-0000-0000E2030000}"/>
    <cellStyle name="20% - Accent1 2 4 2 3 5 4" xfId="25486" xr:uid="{00000000-0005-0000-0000-0000E3030000}"/>
    <cellStyle name="20% - Accent1 2 4 2 3 6" xfId="6345" xr:uid="{00000000-0005-0000-0000-0000E4030000}"/>
    <cellStyle name="20% - Accent1 2 4 2 3 6 2" xfId="10800" xr:uid="{00000000-0005-0000-0000-0000E5030000}"/>
    <cellStyle name="20% - Accent1 2 4 2 3 6 2 2" xfId="20796" xr:uid="{00000000-0005-0000-0000-0000E6030000}"/>
    <cellStyle name="20% - Accent1 2 4 2 3 6 2 2 2" xfId="40196" xr:uid="{00000000-0005-0000-0000-0000E7030000}"/>
    <cellStyle name="20% - Accent1 2 4 2 3 6 2 3" xfId="30498" xr:uid="{00000000-0005-0000-0000-0000E8030000}"/>
    <cellStyle name="20% - Accent1 2 4 2 3 6 3" xfId="16341" xr:uid="{00000000-0005-0000-0000-0000E9030000}"/>
    <cellStyle name="20% - Accent1 2 4 2 3 6 3 2" xfId="35741" xr:uid="{00000000-0005-0000-0000-0000EA030000}"/>
    <cellStyle name="20% - Accent1 2 4 2 3 6 4" xfId="26043" xr:uid="{00000000-0005-0000-0000-0000EB030000}"/>
    <cellStyle name="20% - Accent1 2 4 2 3 7" xfId="6902" xr:uid="{00000000-0005-0000-0000-0000EC030000}"/>
    <cellStyle name="20% - Accent1 2 4 2 3 7 2" xfId="16898" xr:uid="{00000000-0005-0000-0000-0000ED030000}"/>
    <cellStyle name="20% - Accent1 2 4 2 3 7 2 2" xfId="36298" xr:uid="{00000000-0005-0000-0000-0000EE030000}"/>
    <cellStyle name="20% - Accent1 2 4 2 3 7 3" xfId="26600" xr:uid="{00000000-0005-0000-0000-0000EF030000}"/>
    <cellStyle name="20% - Accent1 2 4 2 3 8" xfId="12442" xr:uid="{00000000-0005-0000-0000-0000F0030000}"/>
    <cellStyle name="20% - Accent1 2 4 2 3 8 2" xfId="31843" xr:uid="{00000000-0005-0000-0000-0000F1030000}"/>
    <cellStyle name="20% - Accent1 2 4 2 3 9" xfId="22145" xr:uid="{00000000-0005-0000-0000-0000F2030000}"/>
    <cellStyle name="20% - Accent1 2 4 2 4" xfId="2951" xr:uid="{00000000-0005-0000-0000-0000F3030000}"/>
    <cellStyle name="20% - Accent1 2 4 2 4 2" xfId="5220" xr:uid="{00000000-0005-0000-0000-0000F4030000}"/>
    <cellStyle name="20% - Accent1 2 4 2 4 2 2" xfId="9684" xr:uid="{00000000-0005-0000-0000-0000F5030000}"/>
    <cellStyle name="20% - Accent1 2 4 2 4 2 2 2" xfId="19680" xr:uid="{00000000-0005-0000-0000-0000F6030000}"/>
    <cellStyle name="20% - Accent1 2 4 2 4 2 2 2 2" xfId="39080" xr:uid="{00000000-0005-0000-0000-0000F7030000}"/>
    <cellStyle name="20% - Accent1 2 4 2 4 2 2 3" xfId="29382" xr:uid="{00000000-0005-0000-0000-0000F8030000}"/>
    <cellStyle name="20% - Accent1 2 4 2 4 2 3" xfId="15225" xr:uid="{00000000-0005-0000-0000-0000F9030000}"/>
    <cellStyle name="20% - Accent1 2 4 2 4 2 3 2" xfId="34625" xr:uid="{00000000-0005-0000-0000-0000FA030000}"/>
    <cellStyle name="20% - Accent1 2 4 2 4 2 4" xfId="24927" xr:uid="{00000000-0005-0000-0000-0000FB030000}"/>
    <cellStyle name="20% - Accent1 2 4 2 4 3" xfId="7456" xr:uid="{00000000-0005-0000-0000-0000FC030000}"/>
    <cellStyle name="20% - Accent1 2 4 2 4 3 2" xfId="17452" xr:uid="{00000000-0005-0000-0000-0000FD030000}"/>
    <cellStyle name="20% - Accent1 2 4 2 4 3 2 2" xfId="36852" xr:uid="{00000000-0005-0000-0000-0000FE030000}"/>
    <cellStyle name="20% - Accent1 2 4 2 4 3 3" xfId="27154" xr:uid="{00000000-0005-0000-0000-0000FF030000}"/>
    <cellStyle name="20% - Accent1 2 4 2 4 4" xfId="12997" xr:uid="{00000000-0005-0000-0000-000000040000}"/>
    <cellStyle name="20% - Accent1 2 4 2 4 4 2" xfId="32397" xr:uid="{00000000-0005-0000-0000-000001040000}"/>
    <cellStyle name="20% - Accent1 2 4 2 4 5" xfId="22699" xr:uid="{00000000-0005-0000-0000-000002040000}"/>
    <cellStyle name="20% - Accent1 2 4 2 5" xfId="3534" xr:uid="{00000000-0005-0000-0000-000003040000}"/>
    <cellStyle name="20% - Accent1 2 4 2 5 2" xfId="4664" xr:uid="{00000000-0005-0000-0000-000004040000}"/>
    <cellStyle name="20% - Accent1 2 4 2 5 2 2" xfId="9128" xr:uid="{00000000-0005-0000-0000-000005040000}"/>
    <cellStyle name="20% - Accent1 2 4 2 5 2 2 2" xfId="19124" xr:uid="{00000000-0005-0000-0000-000006040000}"/>
    <cellStyle name="20% - Accent1 2 4 2 5 2 2 2 2" xfId="38524" xr:uid="{00000000-0005-0000-0000-000007040000}"/>
    <cellStyle name="20% - Accent1 2 4 2 5 2 2 3" xfId="28826" xr:uid="{00000000-0005-0000-0000-000008040000}"/>
    <cellStyle name="20% - Accent1 2 4 2 5 2 3" xfId="14669" xr:uid="{00000000-0005-0000-0000-000009040000}"/>
    <cellStyle name="20% - Accent1 2 4 2 5 2 3 2" xfId="34069" xr:uid="{00000000-0005-0000-0000-00000A040000}"/>
    <cellStyle name="20% - Accent1 2 4 2 5 2 4" xfId="24371" xr:uid="{00000000-0005-0000-0000-00000B040000}"/>
    <cellStyle name="20% - Accent1 2 4 2 5 3" xfId="8013" xr:uid="{00000000-0005-0000-0000-00000C040000}"/>
    <cellStyle name="20% - Accent1 2 4 2 5 3 2" xfId="18009" xr:uid="{00000000-0005-0000-0000-00000D040000}"/>
    <cellStyle name="20% - Accent1 2 4 2 5 3 2 2" xfId="37409" xr:uid="{00000000-0005-0000-0000-00000E040000}"/>
    <cellStyle name="20% - Accent1 2 4 2 5 3 3" xfId="27711" xr:uid="{00000000-0005-0000-0000-00000F040000}"/>
    <cellStyle name="20% - Accent1 2 4 2 5 4" xfId="13554" xr:uid="{00000000-0005-0000-0000-000010040000}"/>
    <cellStyle name="20% - Accent1 2 4 2 5 4 2" xfId="32954" xr:uid="{00000000-0005-0000-0000-000011040000}"/>
    <cellStyle name="20% - Accent1 2 4 2 5 5" xfId="23256" xr:uid="{00000000-0005-0000-0000-000012040000}"/>
    <cellStyle name="20% - Accent1 2 4 2 6" xfId="4107" xr:uid="{00000000-0005-0000-0000-000013040000}"/>
    <cellStyle name="20% - Accent1 2 4 2 6 2" xfId="8571" xr:uid="{00000000-0005-0000-0000-000014040000}"/>
    <cellStyle name="20% - Accent1 2 4 2 6 2 2" xfId="18567" xr:uid="{00000000-0005-0000-0000-000015040000}"/>
    <cellStyle name="20% - Accent1 2 4 2 6 2 2 2" xfId="37967" xr:uid="{00000000-0005-0000-0000-000016040000}"/>
    <cellStyle name="20% - Accent1 2 4 2 6 2 3" xfId="28269" xr:uid="{00000000-0005-0000-0000-000017040000}"/>
    <cellStyle name="20% - Accent1 2 4 2 6 3" xfId="14112" xr:uid="{00000000-0005-0000-0000-000018040000}"/>
    <cellStyle name="20% - Accent1 2 4 2 6 3 2" xfId="33512" xr:uid="{00000000-0005-0000-0000-000019040000}"/>
    <cellStyle name="20% - Accent1 2 4 2 6 4" xfId="23814" xr:uid="{00000000-0005-0000-0000-00001A040000}"/>
    <cellStyle name="20% - Accent1 2 4 2 7" xfId="5777" xr:uid="{00000000-0005-0000-0000-00001B040000}"/>
    <cellStyle name="20% - Accent1 2 4 2 7 2" xfId="10241" xr:uid="{00000000-0005-0000-0000-00001C040000}"/>
    <cellStyle name="20% - Accent1 2 4 2 7 2 2" xfId="20237" xr:uid="{00000000-0005-0000-0000-00001D040000}"/>
    <cellStyle name="20% - Accent1 2 4 2 7 2 2 2" xfId="39637" xr:uid="{00000000-0005-0000-0000-00001E040000}"/>
    <cellStyle name="20% - Accent1 2 4 2 7 2 3" xfId="29939" xr:uid="{00000000-0005-0000-0000-00001F040000}"/>
    <cellStyle name="20% - Accent1 2 4 2 7 3" xfId="15782" xr:uid="{00000000-0005-0000-0000-000020040000}"/>
    <cellStyle name="20% - Accent1 2 4 2 7 3 2" xfId="35182" xr:uid="{00000000-0005-0000-0000-000021040000}"/>
    <cellStyle name="20% - Accent1 2 4 2 7 4" xfId="25484" xr:uid="{00000000-0005-0000-0000-000022040000}"/>
    <cellStyle name="20% - Accent1 2 4 2 8" xfId="6343" xr:uid="{00000000-0005-0000-0000-000023040000}"/>
    <cellStyle name="20% - Accent1 2 4 2 8 2" xfId="10798" xr:uid="{00000000-0005-0000-0000-000024040000}"/>
    <cellStyle name="20% - Accent1 2 4 2 8 2 2" xfId="20794" xr:uid="{00000000-0005-0000-0000-000025040000}"/>
    <cellStyle name="20% - Accent1 2 4 2 8 2 2 2" xfId="40194" xr:uid="{00000000-0005-0000-0000-000026040000}"/>
    <cellStyle name="20% - Accent1 2 4 2 8 2 3" xfId="30496" xr:uid="{00000000-0005-0000-0000-000027040000}"/>
    <cellStyle name="20% - Accent1 2 4 2 8 3" xfId="16339" xr:uid="{00000000-0005-0000-0000-000028040000}"/>
    <cellStyle name="20% - Accent1 2 4 2 8 3 2" xfId="35739" xr:uid="{00000000-0005-0000-0000-000029040000}"/>
    <cellStyle name="20% - Accent1 2 4 2 8 4" xfId="26041" xr:uid="{00000000-0005-0000-0000-00002A040000}"/>
    <cellStyle name="20% - Accent1 2 4 2 9" xfId="6900" xr:uid="{00000000-0005-0000-0000-00002B040000}"/>
    <cellStyle name="20% - Accent1 2 4 2 9 2" xfId="16896" xr:uid="{00000000-0005-0000-0000-00002C040000}"/>
    <cellStyle name="20% - Accent1 2 4 2 9 2 2" xfId="36296" xr:uid="{00000000-0005-0000-0000-00002D040000}"/>
    <cellStyle name="20% - Accent1 2 4 2 9 3" xfId="26598" xr:uid="{00000000-0005-0000-0000-00002E040000}"/>
    <cellStyle name="20% - Accent1 2 4 3" xfId="1951" xr:uid="{00000000-0005-0000-0000-00002F040000}"/>
    <cellStyle name="20% - Accent1 2 4 3 10" xfId="12443" xr:uid="{00000000-0005-0000-0000-000030040000}"/>
    <cellStyle name="20% - Accent1 2 4 3 10 2" xfId="31844" xr:uid="{00000000-0005-0000-0000-000031040000}"/>
    <cellStyle name="20% - Accent1 2 4 3 11" xfId="22146" xr:uid="{00000000-0005-0000-0000-000032040000}"/>
    <cellStyle name="20% - Accent1 2 4 3 2" xfId="1952" xr:uid="{00000000-0005-0000-0000-000033040000}"/>
    <cellStyle name="20% - Accent1 2 4 3 2 2" xfId="2955" xr:uid="{00000000-0005-0000-0000-000034040000}"/>
    <cellStyle name="20% - Accent1 2 4 3 2 2 2" xfId="5224" xr:uid="{00000000-0005-0000-0000-000035040000}"/>
    <cellStyle name="20% - Accent1 2 4 3 2 2 2 2" xfId="9688" xr:uid="{00000000-0005-0000-0000-000036040000}"/>
    <cellStyle name="20% - Accent1 2 4 3 2 2 2 2 2" xfId="19684" xr:uid="{00000000-0005-0000-0000-000037040000}"/>
    <cellStyle name="20% - Accent1 2 4 3 2 2 2 2 2 2" xfId="39084" xr:uid="{00000000-0005-0000-0000-000038040000}"/>
    <cellStyle name="20% - Accent1 2 4 3 2 2 2 2 3" xfId="29386" xr:uid="{00000000-0005-0000-0000-000039040000}"/>
    <cellStyle name="20% - Accent1 2 4 3 2 2 2 3" xfId="15229" xr:uid="{00000000-0005-0000-0000-00003A040000}"/>
    <cellStyle name="20% - Accent1 2 4 3 2 2 2 3 2" xfId="34629" xr:uid="{00000000-0005-0000-0000-00003B040000}"/>
    <cellStyle name="20% - Accent1 2 4 3 2 2 2 4" xfId="24931" xr:uid="{00000000-0005-0000-0000-00003C040000}"/>
    <cellStyle name="20% - Accent1 2 4 3 2 2 3" xfId="7460" xr:uid="{00000000-0005-0000-0000-00003D040000}"/>
    <cellStyle name="20% - Accent1 2 4 3 2 2 3 2" xfId="17456" xr:uid="{00000000-0005-0000-0000-00003E040000}"/>
    <cellStyle name="20% - Accent1 2 4 3 2 2 3 2 2" xfId="36856" xr:uid="{00000000-0005-0000-0000-00003F040000}"/>
    <cellStyle name="20% - Accent1 2 4 3 2 2 3 3" xfId="27158" xr:uid="{00000000-0005-0000-0000-000040040000}"/>
    <cellStyle name="20% - Accent1 2 4 3 2 2 4" xfId="13001" xr:uid="{00000000-0005-0000-0000-000041040000}"/>
    <cellStyle name="20% - Accent1 2 4 3 2 2 4 2" xfId="32401" xr:uid="{00000000-0005-0000-0000-000042040000}"/>
    <cellStyle name="20% - Accent1 2 4 3 2 2 5" xfId="22703" xr:uid="{00000000-0005-0000-0000-000043040000}"/>
    <cellStyle name="20% - Accent1 2 4 3 2 3" xfId="3538" xr:uid="{00000000-0005-0000-0000-000044040000}"/>
    <cellStyle name="20% - Accent1 2 4 3 2 3 2" xfId="4668" xr:uid="{00000000-0005-0000-0000-000045040000}"/>
    <cellStyle name="20% - Accent1 2 4 3 2 3 2 2" xfId="9132" xr:uid="{00000000-0005-0000-0000-000046040000}"/>
    <cellStyle name="20% - Accent1 2 4 3 2 3 2 2 2" xfId="19128" xr:uid="{00000000-0005-0000-0000-000047040000}"/>
    <cellStyle name="20% - Accent1 2 4 3 2 3 2 2 2 2" xfId="38528" xr:uid="{00000000-0005-0000-0000-000048040000}"/>
    <cellStyle name="20% - Accent1 2 4 3 2 3 2 2 3" xfId="28830" xr:uid="{00000000-0005-0000-0000-000049040000}"/>
    <cellStyle name="20% - Accent1 2 4 3 2 3 2 3" xfId="14673" xr:uid="{00000000-0005-0000-0000-00004A040000}"/>
    <cellStyle name="20% - Accent1 2 4 3 2 3 2 3 2" xfId="34073" xr:uid="{00000000-0005-0000-0000-00004B040000}"/>
    <cellStyle name="20% - Accent1 2 4 3 2 3 2 4" xfId="24375" xr:uid="{00000000-0005-0000-0000-00004C040000}"/>
    <cellStyle name="20% - Accent1 2 4 3 2 3 3" xfId="8017" xr:uid="{00000000-0005-0000-0000-00004D040000}"/>
    <cellStyle name="20% - Accent1 2 4 3 2 3 3 2" xfId="18013" xr:uid="{00000000-0005-0000-0000-00004E040000}"/>
    <cellStyle name="20% - Accent1 2 4 3 2 3 3 2 2" xfId="37413" xr:uid="{00000000-0005-0000-0000-00004F040000}"/>
    <cellStyle name="20% - Accent1 2 4 3 2 3 3 3" xfId="27715" xr:uid="{00000000-0005-0000-0000-000050040000}"/>
    <cellStyle name="20% - Accent1 2 4 3 2 3 4" xfId="13558" xr:uid="{00000000-0005-0000-0000-000051040000}"/>
    <cellStyle name="20% - Accent1 2 4 3 2 3 4 2" xfId="32958" xr:uid="{00000000-0005-0000-0000-000052040000}"/>
    <cellStyle name="20% - Accent1 2 4 3 2 3 5" xfId="23260" xr:uid="{00000000-0005-0000-0000-000053040000}"/>
    <cellStyle name="20% - Accent1 2 4 3 2 4" xfId="4111" xr:uid="{00000000-0005-0000-0000-000054040000}"/>
    <cellStyle name="20% - Accent1 2 4 3 2 4 2" xfId="8575" xr:uid="{00000000-0005-0000-0000-000055040000}"/>
    <cellStyle name="20% - Accent1 2 4 3 2 4 2 2" xfId="18571" xr:uid="{00000000-0005-0000-0000-000056040000}"/>
    <cellStyle name="20% - Accent1 2 4 3 2 4 2 2 2" xfId="37971" xr:uid="{00000000-0005-0000-0000-000057040000}"/>
    <cellStyle name="20% - Accent1 2 4 3 2 4 2 3" xfId="28273" xr:uid="{00000000-0005-0000-0000-000058040000}"/>
    <cellStyle name="20% - Accent1 2 4 3 2 4 3" xfId="14116" xr:uid="{00000000-0005-0000-0000-000059040000}"/>
    <cellStyle name="20% - Accent1 2 4 3 2 4 3 2" xfId="33516" xr:uid="{00000000-0005-0000-0000-00005A040000}"/>
    <cellStyle name="20% - Accent1 2 4 3 2 4 4" xfId="23818" xr:uid="{00000000-0005-0000-0000-00005B040000}"/>
    <cellStyle name="20% - Accent1 2 4 3 2 5" xfId="5781" xr:uid="{00000000-0005-0000-0000-00005C040000}"/>
    <cellStyle name="20% - Accent1 2 4 3 2 5 2" xfId="10245" xr:uid="{00000000-0005-0000-0000-00005D040000}"/>
    <cellStyle name="20% - Accent1 2 4 3 2 5 2 2" xfId="20241" xr:uid="{00000000-0005-0000-0000-00005E040000}"/>
    <cellStyle name="20% - Accent1 2 4 3 2 5 2 2 2" xfId="39641" xr:uid="{00000000-0005-0000-0000-00005F040000}"/>
    <cellStyle name="20% - Accent1 2 4 3 2 5 2 3" xfId="29943" xr:uid="{00000000-0005-0000-0000-000060040000}"/>
    <cellStyle name="20% - Accent1 2 4 3 2 5 3" xfId="15786" xr:uid="{00000000-0005-0000-0000-000061040000}"/>
    <cellStyle name="20% - Accent1 2 4 3 2 5 3 2" xfId="35186" xr:uid="{00000000-0005-0000-0000-000062040000}"/>
    <cellStyle name="20% - Accent1 2 4 3 2 5 4" xfId="25488" xr:uid="{00000000-0005-0000-0000-000063040000}"/>
    <cellStyle name="20% - Accent1 2 4 3 2 6" xfId="6347" xr:uid="{00000000-0005-0000-0000-000064040000}"/>
    <cellStyle name="20% - Accent1 2 4 3 2 6 2" xfId="10802" xr:uid="{00000000-0005-0000-0000-000065040000}"/>
    <cellStyle name="20% - Accent1 2 4 3 2 6 2 2" xfId="20798" xr:uid="{00000000-0005-0000-0000-000066040000}"/>
    <cellStyle name="20% - Accent1 2 4 3 2 6 2 2 2" xfId="40198" xr:uid="{00000000-0005-0000-0000-000067040000}"/>
    <cellStyle name="20% - Accent1 2 4 3 2 6 2 3" xfId="30500" xr:uid="{00000000-0005-0000-0000-000068040000}"/>
    <cellStyle name="20% - Accent1 2 4 3 2 6 3" xfId="16343" xr:uid="{00000000-0005-0000-0000-000069040000}"/>
    <cellStyle name="20% - Accent1 2 4 3 2 6 3 2" xfId="35743" xr:uid="{00000000-0005-0000-0000-00006A040000}"/>
    <cellStyle name="20% - Accent1 2 4 3 2 6 4" xfId="26045" xr:uid="{00000000-0005-0000-0000-00006B040000}"/>
    <cellStyle name="20% - Accent1 2 4 3 2 7" xfId="6904" xr:uid="{00000000-0005-0000-0000-00006C040000}"/>
    <cellStyle name="20% - Accent1 2 4 3 2 7 2" xfId="16900" xr:uid="{00000000-0005-0000-0000-00006D040000}"/>
    <cellStyle name="20% - Accent1 2 4 3 2 7 2 2" xfId="36300" xr:uid="{00000000-0005-0000-0000-00006E040000}"/>
    <cellStyle name="20% - Accent1 2 4 3 2 7 3" xfId="26602" xr:uid="{00000000-0005-0000-0000-00006F040000}"/>
    <cellStyle name="20% - Accent1 2 4 3 2 8" xfId="12444" xr:uid="{00000000-0005-0000-0000-000070040000}"/>
    <cellStyle name="20% - Accent1 2 4 3 2 8 2" xfId="31845" xr:uid="{00000000-0005-0000-0000-000071040000}"/>
    <cellStyle name="20% - Accent1 2 4 3 2 9" xfId="22147" xr:uid="{00000000-0005-0000-0000-000072040000}"/>
    <cellStyle name="20% - Accent1 2 4 3 3" xfId="1953" xr:uid="{00000000-0005-0000-0000-000073040000}"/>
    <cellStyle name="20% - Accent1 2 4 3 3 2" xfId="2956" xr:uid="{00000000-0005-0000-0000-000074040000}"/>
    <cellStyle name="20% - Accent1 2 4 3 3 2 2" xfId="5225" xr:uid="{00000000-0005-0000-0000-000075040000}"/>
    <cellStyle name="20% - Accent1 2 4 3 3 2 2 2" xfId="9689" xr:uid="{00000000-0005-0000-0000-000076040000}"/>
    <cellStyle name="20% - Accent1 2 4 3 3 2 2 2 2" xfId="19685" xr:uid="{00000000-0005-0000-0000-000077040000}"/>
    <cellStyle name="20% - Accent1 2 4 3 3 2 2 2 2 2" xfId="39085" xr:uid="{00000000-0005-0000-0000-000078040000}"/>
    <cellStyle name="20% - Accent1 2 4 3 3 2 2 2 3" xfId="29387" xr:uid="{00000000-0005-0000-0000-000079040000}"/>
    <cellStyle name="20% - Accent1 2 4 3 3 2 2 3" xfId="15230" xr:uid="{00000000-0005-0000-0000-00007A040000}"/>
    <cellStyle name="20% - Accent1 2 4 3 3 2 2 3 2" xfId="34630" xr:uid="{00000000-0005-0000-0000-00007B040000}"/>
    <cellStyle name="20% - Accent1 2 4 3 3 2 2 4" xfId="24932" xr:uid="{00000000-0005-0000-0000-00007C040000}"/>
    <cellStyle name="20% - Accent1 2 4 3 3 2 3" xfId="7461" xr:uid="{00000000-0005-0000-0000-00007D040000}"/>
    <cellStyle name="20% - Accent1 2 4 3 3 2 3 2" xfId="17457" xr:uid="{00000000-0005-0000-0000-00007E040000}"/>
    <cellStyle name="20% - Accent1 2 4 3 3 2 3 2 2" xfId="36857" xr:uid="{00000000-0005-0000-0000-00007F040000}"/>
    <cellStyle name="20% - Accent1 2 4 3 3 2 3 3" xfId="27159" xr:uid="{00000000-0005-0000-0000-000080040000}"/>
    <cellStyle name="20% - Accent1 2 4 3 3 2 4" xfId="13002" xr:uid="{00000000-0005-0000-0000-000081040000}"/>
    <cellStyle name="20% - Accent1 2 4 3 3 2 4 2" xfId="32402" xr:uid="{00000000-0005-0000-0000-000082040000}"/>
    <cellStyle name="20% - Accent1 2 4 3 3 2 5" xfId="22704" xr:uid="{00000000-0005-0000-0000-000083040000}"/>
    <cellStyle name="20% - Accent1 2 4 3 3 3" xfId="3539" xr:uid="{00000000-0005-0000-0000-000084040000}"/>
    <cellStyle name="20% - Accent1 2 4 3 3 3 2" xfId="4669" xr:uid="{00000000-0005-0000-0000-000085040000}"/>
    <cellStyle name="20% - Accent1 2 4 3 3 3 2 2" xfId="9133" xr:uid="{00000000-0005-0000-0000-000086040000}"/>
    <cellStyle name="20% - Accent1 2 4 3 3 3 2 2 2" xfId="19129" xr:uid="{00000000-0005-0000-0000-000087040000}"/>
    <cellStyle name="20% - Accent1 2 4 3 3 3 2 2 2 2" xfId="38529" xr:uid="{00000000-0005-0000-0000-000088040000}"/>
    <cellStyle name="20% - Accent1 2 4 3 3 3 2 2 3" xfId="28831" xr:uid="{00000000-0005-0000-0000-000089040000}"/>
    <cellStyle name="20% - Accent1 2 4 3 3 3 2 3" xfId="14674" xr:uid="{00000000-0005-0000-0000-00008A040000}"/>
    <cellStyle name="20% - Accent1 2 4 3 3 3 2 3 2" xfId="34074" xr:uid="{00000000-0005-0000-0000-00008B040000}"/>
    <cellStyle name="20% - Accent1 2 4 3 3 3 2 4" xfId="24376" xr:uid="{00000000-0005-0000-0000-00008C040000}"/>
    <cellStyle name="20% - Accent1 2 4 3 3 3 3" xfId="8018" xr:uid="{00000000-0005-0000-0000-00008D040000}"/>
    <cellStyle name="20% - Accent1 2 4 3 3 3 3 2" xfId="18014" xr:uid="{00000000-0005-0000-0000-00008E040000}"/>
    <cellStyle name="20% - Accent1 2 4 3 3 3 3 2 2" xfId="37414" xr:uid="{00000000-0005-0000-0000-00008F040000}"/>
    <cellStyle name="20% - Accent1 2 4 3 3 3 3 3" xfId="27716" xr:uid="{00000000-0005-0000-0000-000090040000}"/>
    <cellStyle name="20% - Accent1 2 4 3 3 3 4" xfId="13559" xr:uid="{00000000-0005-0000-0000-000091040000}"/>
    <cellStyle name="20% - Accent1 2 4 3 3 3 4 2" xfId="32959" xr:uid="{00000000-0005-0000-0000-000092040000}"/>
    <cellStyle name="20% - Accent1 2 4 3 3 3 5" xfId="23261" xr:uid="{00000000-0005-0000-0000-000093040000}"/>
    <cellStyle name="20% - Accent1 2 4 3 3 4" xfId="4112" xr:uid="{00000000-0005-0000-0000-000094040000}"/>
    <cellStyle name="20% - Accent1 2 4 3 3 4 2" xfId="8576" xr:uid="{00000000-0005-0000-0000-000095040000}"/>
    <cellStyle name="20% - Accent1 2 4 3 3 4 2 2" xfId="18572" xr:uid="{00000000-0005-0000-0000-000096040000}"/>
    <cellStyle name="20% - Accent1 2 4 3 3 4 2 2 2" xfId="37972" xr:uid="{00000000-0005-0000-0000-000097040000}"/>
    <cellStyle name="20% - Accent1 2 4 3 3 4 2 3" xfId="28274" xr:uid="{00000000-0005-0000-0000-000098040000}"/>
    <cellStyle name="20% - Accent1 2 4 3 3 4 3" xfId="14117" xr:uid="{00000000-0005-0000-0000-000099040000}"/>
    <cellStyle name="20% - Accent1 2 4 3 3 4 3 2" xfId="33517" xr:uid="{00000000-0005-0000-0000-00009A040000}"/>
    <cellStyle name="20% - Accent1 2 4 3 3 4 4" xfId="23819" xr:uid="{00000000-0005-0000-0000-00009B040000}"/>
    <cellStyle name="20% - Accent1 2 4 3 3 5" xfId="5782" xr:uid="{00000000-0005-0000-0000-00009C040000}"/>
    <cellStyle name="20% - Accent1 2 4 3 3 5 2" xfId="10246" xr:uid="{00000000-0005-0000-0000-00009D040000}"/>
    <cellStyle name="20% - Accent1 2 4 3 3 5 2 2" xfId="20242" xr:uid="{00000000-0005-0000-0000-00009E040000}"/>
    <cellStyle name="20% - Accent1 2 4 3 3 5 2 2 2" xfId="39642" xr:uid="{00000000-0005-0000-0000-00009F040000}"/>
    <cellStyle name="20% - Accent1 2 4 3 3 5 2 3" xfId="29944" xr:uid="{00000000-0005-0000-0000-0000A0040000}"/>
    <cellStyle name="20% - Accent1 2 4 3 3 5 3" xfId="15787" xr:uid="{00000000-0005-0000-0000-0000A1040000}"/>
    <cellStyle name="20% - Accent1 2 4 3 3 5 3 2" xfId="35187" xr:uid="{00000000-0005-0000-0000-0000A2040000}"/>
    <cellStyle name="20% - Accent1 2 4 3 3 5 4" xfId="25489" xr:uid="{00000000-0005-0000-0000-0000A3040000}"/>
    <cellStyle name="20% - Accent1 2 4 3 3 6" xfId="6348" xr:uid="{00000000-0005-0000-0000-0000A4040000}"/>
    <cellStyle name="20% - Accent1 2 4 3 3 6 2" xfId="10803" xr:uid="{00000000-0005-0000-0000-0000A5040000}"/>
    <cellStyle name="20% - Accent1 2 4 3 3 6 2 2" xfId="20799" xr:uid="{00000000-0005-0000-0000-0000A6040000}"/>
    <cellStyle name="20% - Accent1 2 4 3 3 6 2 2 2" xfId="40199" xr:uid="{00000000-0005-0000-0000-0000A7040000}"/>
    <cellStyle name="20% - Accent1 2 4 3 3 6 2 3" xfId="30501" xr:uid="{00000000-0005-0000-0000-0000A8040000}"/>
    <cellStyle name="20% - Accent1 2 4 3 3 6 3" xfId="16344" xr:uid="{00000000-0005-0000-0000-0000A9040000}"/>
    <cellStyle name="20% - Accent1 2 4 3 3 6 3 2" xfId="35744" xr:uid="{00000000-0005-0000-0000-0000AA040000}"/>
    <cellStyle name="20% - Accent1 2 4 3 3 6 4" xfId="26046" xr:uid="{00000000-0005-0000-0000-0000AB040000}"/>
    <cellStyle name="20% - Accent1 2 4 3 3 7" xfId="6905" xr:uid="{00000000-0005-0000-0000-0000AC040000}"/>
    <cellStyle name="20% - Accent1 2 4 3 3 7 2" xfId="16901" xr:uid="{00000000-0005-0000-0000-0000AD040000}"/>
    <cellStyle name="20% - Accent1 2 4 3 3 7 2 2" xfId="36301" xr:uid="{00000000-0005-0000-0000-0000AE040000}"/>
    <cellStyle name="20% - Accent1 2 4 3 3 7 3" xfId="26603" xr:uid="{00000000-0005-0000-0000-0000AF040000}"/>
    <cellStyle name="20% - Accent1 2 4 3 3 8" xfId="12445" xr:uid="{00000000-0005-0000-0000-0000B0040000}"/>
    <cellStyle name="20% - Accent1 2 4 3 3 8 2" xfId="31846" xr:uid="{00000000-0005-0000-0000-0000B1040000}"/>
    <cellStyle name="20% - Accent1 2 4 3 3 9" xfId="22148" xr:uid="{00000000-0005-0000-0000-0000B2040000}"/>
    <cellStyle name="20% - Accent1 2 4 3 4" xfId="2954" xr:uid="{00000000-0005-0000-0000-0000B3040000}"/>
    <cellStyle name="20% - Accent1 2 4 3 4 2" xfId="5223" xr:uid="{00000000-0005-0000-0000-0000B4040000}"/>
    <cellStyle name="20% - Accent1 2 4 3 4 2 2" xfId="9687" xr:uid="{00000000-0005-0000-0000-0000B5040000}"/>
    <cellStyle name="20% - Accent1 2 4 3 4 2 2 2" xfId="19683" xr:uid="{00000000-0005-0000-0000-0000B6040000}"/>
    <cellStyle name="20% - Accent1 2 4 3 4 2 2 2 2" xfId="39083" xr:uid="{00000000-0005-0000-0000-0000B7040000}"/>
    <cellStyle name="20% - Accent1 2 4 3 4 2 2 3" xfId="29385" xr:uid="{00000000-0005-0000-0000-0000B8040000}"/>
    <cellStyle name="20% - Accent1 2 4 3 4 2 3" xfId="15228" xr:uid="{00000000-0005-0000-0000-0000B9040000}"/>
    <cellStyle name="20% - Accent1 2 4 3 4 2 3 2" xfId="34628" xr:uid="{00000000-0005-0000-0000-0000BA040000}"/>
    <cellStyle name="20% - Accent1 2 4 3 4 2 4" xfId="24930" xr:uid="{00000000-0005-0000-0000-0000BB040000}"/>
    <cellStyle name="20% - Accent1 2 4 3 4 3" xfId="7459" xr:uid="{00000000-0005-0000-0000-0000BC040000}"/>
    <cellStyle name="20% - Accent1 2 4 3 4 3 2" xfId="17455" xr:uid="{00000000-0005-0000-0000-0000BD040000}"/>
    <cellStyle name="20% - Accent1 2 4 3 4 3 2 2" xfId="36855" xr:uid="{00000000-0005-0000-0000-0000BE040000}"/>
    <cellStyle name="20% - Accent1 2 4 3 4 3 3" xfId="27157" xr:uid="{00000000-0005-0000-0000-0000BF040000}"/>
    <cellStyle name="20% - Accent1 2 4 3 4 4" xfId="13000" xr:uid="{00000000-0005-0000-0000-0000C0040000}"/>
    <cellStyle name="20% - Accent1 2 4 3 4 4 2" xfId="32400" xr:uid="{00000000-0005-0000-0000-0000C1040000}"/>
    <cellStyle name="20% - Accent1 2 4 3 4 5" xfId="22702" xr:uid="{00000000-0005-0000-0000-0000C2040000}"/>
    <cellStyle name="20% - Accent1 2 4 3 5" xfId="3537" xr:uid="{00000000-0005-0000-0000-0000C3040000}"/>
    <cellStyle name="20% - Accent1 2 4 3 5 2" xfId="4667" xr:uid="{00000000-0005-0000-0000-0000C4040000}"/>
    <cellStyle name="20% - Accent1 2 4 3 5 2 2" xfId="9131" xr:uid="{00000000-0005-0000-0000-0000C5040000}"/>
    <cellStyle name="20% - Accent1 2 4 3 5 2 2 2" xfId="19127" xr:uid="{00000000-0005-0000-0000-0000C6040000}"/>
    <cellStyle name="20% - Accent1 2 4 3 5 2 2 2 2" xfId="38527" xr:uid="{00000000-0005-0000-0000-0000C7040000}"/>
    <cellStyle name="20% - Accent1 2 4 3 5 2 2 3" xfId="28829" xr:uid="{00000000-0005-0000-0000-0000C8040000}"/>
    <cellStyle name="20% - Accent1 2 4 3 5 2 3" xfId="14672" xr:uid="{00000000-0005-0000-0000-0000C9040000}"/>
    <cellStyle name="20% - Accent1 2 4 3 5 2 3 2" xfId="34072" xr:uid="{00000000-0005-0000-0000-0000CA040000}"/>
    <cellStyle name="20% - Accent1 2 4 3 5 2 4" xfId="24374" xr:uid="{00000000-0005-0000-0000-0000CB040000}"/>
    <cellStyle name="20% - Accent1 2 4 3 5 3" xfId="8016" xr:uid="{00000000-0005-0000-0000-0000CC040000}"/>
    <cellStyle name="20% - Accent1 2 4 3 5 3 2" xfId="18012" xr:uid="{00000000-0005-0000-0000-0000CD040000}"/>
    <cellStyle name="20% - Accent1 2 4 3 5 3 2 2" xfId="37412" xr:uid="{00000000-0005-0000-0000-0000CE040000}"/>
    <cellStyle name="20% - Accent1 2 4 3 5 3 3" xfId="27714" xr:uid="{00000000-0005-0000-0000-0000CF040000}"/>
    <cellStyle name="20% - Accent1 2 4 3 5 4" xfId="13557" xr:uid="{00000000-0005-0000-0000-0000D0040000}"/>
    <cellStyle name="20% - Accent1 2 4 3 5 4 2" xfId="32957" xr:uid="{00000000-0005-0000-0000-0000D1040000}"/>
    <cellStyle name="20% - Accent1 2 4 3 5 5" xfId="23259" xr:uid="{00000000-0005-0000-0000-0000D2040000}"/>
    <cellStyle name="20% - Accent1 2 4 3 6" xfId="4110" xr:uid="{00000000-0005-0000-0000-0000D3040000}"/>
    <cellStyle name="20% - Accent1 2 4 3 6 2" xfId="8574" xr:uid="{00000000-0005-0000-0000-0000D4040000}"/>
    <cellStyle name="20% - Accent1 2 4 3 6 2 2" xfId="18570" xr:uid="{00000000-0005-0000-0000-0000D5040000}"/>
    <cellStyle name="20% - Accent1 2 4 3 6 2 2 2" xfId="37970" xr:uid="{00000000-0005-0000-0000-0000D6040000}"/>
    <cellStyle name="20% - Accent1 2 4 3 6 2 3" xfId="28272" xr:uid="{00000000-0005-0000-0000-0000D7040000}"/>
    <cellStyle name="20% - Accent1 2 4 3 6 3" xfId="14115" xr:uid="{00000000-0005-0000-0000-0000D8040000}"/>
    <cellStyle name="20% - Accent1 2 4 3 6 3 2" xfId="33515" xr:uid="{00000000-0005-0000-0000-0000D9040000}"/>
    <cellStyle name="20% - Accent1 2 4 3 6 4" xfId="23817" xr:uid="{00000000-0005-0000-0000-0000DA040000}"/>
    <cellStyle name="20% - Accent1 2 4 3 7" xfId="5780" xr:uid="{00000000-0005-0000-0000-0000DB040000}"/>
    <cellStyle name="20% - Accent1 2 4 3 7 2" xfId="10244" xr:uid="{00000000-0005-0000-0000-0000DC040000}"/>
    <cellStyle name="20% - Accent1 2 4 3 7 2 2" xfId="20240" xr:uid="{00000000-0005-0000-0000-0000DD040000}"/>
    <cellStyle name="20% - Accent1 2 4 3 7 2 2 2" xfId="39640" xr:uid="{00000000-0005-0000-0000-0000DE040000}"/>
    <cellStyle name="20% - Accent1 2 4 3 7 2 3" xfId="29942" xr:uid="{00000000-0005-0000-0000-0000DF040000}"/>
    <cellStyle name="20% - Accent1 2 4 3 7 3" xfId="15785" xr:uid="{00000000-0005-0000-0000-0000E0040000}"/>
    <cellStyle name="20% - Accent1 2 4 3 7 3 2" xfId="35185" xr:uid="{00000000-0005-0000-0000-0000E1040000}"/>
    <cellStyle name="20% - Accent1 2 4 3 7 4" xfId="25487" xr:uid="{00000000-0005-0000-0000-0000E2040000}"/>
    <cellStyle name="20% - Accent1 2 4 3 8" xfId="6346" xr:uid="{00000000-0005-0000-0000-0000E3040000}"/>
    <cellStyle name="20% - Accent1 2 4 3 8 2" xfId="10801" xr:uid="{00000000-0005-0000-0000-0000E4040000}"/>
    <cellStyle name="20% - Accent1 2 4 3 8 2 2" xfId="20797" xr:uid="{00000000-0005-0000-0000-0000E5040000}"/>
    <cellStyle name="20% - Accent1 2 4 3 8 2 2 2" xfId="40197" xr:uid="{00000000-0005-0000-0000-0000E6040000}"/>
    <cellStyle name="20% - Accent1 2 4 3 8 2 3" xfId="30499" xr:uid="{00000000-0005-0000-0000-0000E7040000}"/>
    <cellStyle name="20% - Accent1 2 4 3 8 3" xfId="16342" xr:uid="{00000000-0005-0000-0000-0000E8040000}"/>
    <cellStyle name="20% - Accent1 2 4 3 8 3 2" xfId="35742" xr:uid="{00000000-0005-0000-0000-0000E9040000}"/>
    <cellStyle name="20% - Accent1 2 4 3 8 4" xfId="26044" xr:uid="{00000000-0005-0000-0000-0000EA040000}"/>
    <cellStyle name="20% - Accent1 2 4 3 9" xfId="6903" xr:uid="{00000000-0005-0000-0000-0000EB040000}"/>
    <cellStyle name="20% - Accent1 2 4 3 9 2" xfId="16899" xr:uid="{00000000-0005-0000-0000-0000EC040000}"/>
    <cellStyle name="20% - Accent1 2 4 3 9 2 2" xfId="36299" xr:uid="{00000000-0005-0000-0000-0000ED040000}"/>
    <cellStyle name="20% - Accent1 2 4 3 9 3" xfId="26601" xr:uid="{00000000-0005-0000-0000-0000EE040000}"/>
    <cellStyle name="20% - Accent1 2 4 4" xfId="1954" xr:uid="{00000000-0005-0000-0000-0000EF040000}"/>
    <cellStyle name="20% - Accent1 2 4 4 2" xfId="2957" xr:uid="{00000000-0005-0000-0000-0000F0040000}"/>
    <cellStyle name="20% - Accent1 2 4 4 2 2" xfId="5226" xr:uid="{00000000-0005-0000-0000-0000F1040000}"/>
    <cellStyle name="20% - Accent1 2 4 4 2 2 2" xfId="9690" xr:uid="{00000000-0005-0000-0000-0000F2040000}"/>
    <cellStyle name="20% - Accent1 2 4 4 2 2 2 2" xfId="19686" xr:uid="{00000000-0005-0000-0000-0000F3040000}"/>
    <cellStyle name="20% - Accent1 2 4 4 2 2 2 2 2" xfId="39086" xr:uid="{00000000-0005-0000-0000-0000F4040000}"/>
    <cellStyle name="20% - Accent1 2 4 4 2 2 2 3" xfId="29388" xr:uid="{00000000-0005-0000-0000-0000F5040000}"/>
    <cellStyle name="20% - Accent1 2 4 4 2 2 3" xfId="15231" xr:uid="{00000000-0005-0000-0000-0000F6040000}"/>
    <cellStyle name="20% - Accent1 2 4 4 2 2 3 2" xfId="34631" xr:uid="{00000000-0005-0000-0000-0000F7040000}"/>
    <cellStyle name="20% - Accent1 2 4 4 2 2 4" xfId="24933" xr:uid="{00000000-0005-0000-0000-0000F8040000}"/>
    <cellStyle name="20% - Accent1 2 4 4 2 3" xfId="7462" xr:uid="{00000000-0005-0000-0000-0000F9040000}"/>
    <cellStyle name="20% - Accent1 2 4 4 2 3 2" xfId="17458" xr:uid="{00000000-0005-0000-0000-0000FA040000}"/>
    <cellStyle name="20% - Accent1 2 4 4 2 3 2 2" xfId="36858" xr:uid="{00000000-0005-0000-0000-0000FB040000}"/>
    <cellStyle name="20% - Accent1 2 4 4 2 3 3" xfId="27160" xr:uid="{00000000-0005-0000-0000-0000FC040000}"/>
    <cellStyle name="20% - Accent1 2 4 4 2 4" xfId="13003" xr:uid="{00000000-0005-0000-0000-0000FD040000}"/>
    <cellStyle name="20% - Accent1 2 4 4 2 4 2" xfId="32403" xr:uid="{00000000-0005-0000-0000-0000FE040000}"/>
    <cellStyle name="20% - Accent1 2 4 4 2 5" xfId="22705" xr:uid="{00000000-0005-0000-0000-0000FF040000}"/>
    <cellStyle name="20% - Accent1 2 4 4 3" xfId="3540" xr:uid="{00000000-0005-0000-0000-000000050000}"/>
    <cellStyle name="20% - Accent1 2 4 4 3 2" xfId="4670" xr:uid="{00000000-0005-0000-0000-000001050000}"/>
    <cellStyle name="20% - Accent1 2 4 4 3 2 2" xfId="9134" xr:uid="{00000000-0005-0000-0000-000002050000}"/>
    <cellStyle name="20% - Accent1 2 4 4 3 2 2 2" xfId="19130" xr:uid="{00000000-0005-0000-0000-000003050000}"/>
    <cellStyle name="20% - Accent1 2 4 4 3 2 2 2 2" xfId="38530" xr:uid="{00000000-0005-0000-0000-000004050000}"/>
    <cellStyle name="20% - Accent1 2 4 4 3 2 2 3" xfId="28832" xr:uid="{00000000-0005-0000-0000-000005050000}"/>
    <cellStyle name="20% - Accent1 2 4 4 3 2 3" xfId="14675" xr:uid="{00000000-0005-0000-0000-000006050000}"/>
    <cellStyle name="20% - Accent1 2 4 4 3 2 3 2" xfId="34075" xr:uid="{00000000-0005-0000-0000-000007050000}"/>
    <cellStyle name="20% - Accent1 2 4 4 3 2 4" xfId="24377" xr:uid="{00000000-0005-0000-0000-000008050000}"/>
    <cellStyle name="20% - Accent1 2 4 4 3 3" xfId="8019" xr:uid="{00000000-0005-0000-0000-000009050000}"/>
    <cellStyle name="20% - Accent1 2 4 4 3 3 2" xfId="18015" xr:uid="{00000000-0005-0000-0000-00000A050000}"/>
    <cellStyle name="20% - Accent1 2 4 4 3 3 2 2" xfId="37415" xr:uid="{00000000-0005-0000-0000-00000B050000}"/>
    <cellStyle name="20% - Accent1 2 4 4 3 3 3" xfId="27717" xr:uid="{00000000-0005-0000-0000-00000C050000}"/>
    <cellStyle name="20% - Accent1 2 4 4 3 4" xfId="13560" xr:uid="{00000000-0005-0000-0000-00000D050000}"/>
    <cellStyle name="20% - Accent1 2 4 4 3 4 2" xfId="32960" xr:uid="{00000000-0005-0000-0000-00000E050000}"/>
    <cellStyle name="20% - Accent1 2 4 4 3 5" xfId="23262" xr:uid="{00000000-0005-0000-0000-00000F050000}"/>
    <cellStyle name="20% - Accent1 2 4 4 4" xfId="4113" xr:uid="{00000000-0005-0000-0000-000010050000}"/>
    <cellStyle name="20% - Accent1 2 4 4 4 2" xfId="8577" xr:uid="{00000000-0005-0000-0000-000011050000}"/>
    <cellStyle name="20% - Accent1 2 4 4 4 2 2" xfId="18573" xr:uid="{00000000-0005-0000-0000-000012050000}"/>
    <cellStyle name="20% - Accent1 2 4 4 4 2 2 2" xfId="37973" xr:uid="{00000000-0005-0000-0000-000013050000}"/>
    <cellStyle name="20% - Accent1 2 4 4 4 2 3" xfId="28275" xr:uid="{00000000-0005-0000-0000-000014050000}"/>
    <cellStyle name="20% - Accent1 2 4 4 4 3" xfId="14118" xr:uid="{00000000-0005-0000-0000-000015050000}"/>
    <cellStyle name="20% - Accent1 2 4 4 4 3 2" xfId="33518" xr:uid="{00000000-0005-0000-0000-000016050000}"/>
    <cellStyle name="20% - Accent1 2 4 4 4 4" xfId="23820" xr:uid="{00000000-0005-0000-0000-000017050000}"/>
    <cellStyle name="20% - Accent1 2 4 4 5" xfId="5783" xr:uid="{00000000-0005-0000-0000-000018050000}"/>
    <cellStyle name="20% - Accent1 2 4 4 5 2" xfId="10247" xr:uid="{00000000-0005-0000-0000-000019050000}"/>
    <cellStyle name="20% - Accent1 2 4 4 5 2 2" xfId="20243" xr:uid="{00000000-0005-0000-0000-00001A050000}"/>
    <cellStyle name="20% - Accent1 2 4 4 5 2 2 2" xfId="39643" xr:uid="{00000000-0005-0000-0000-00001B050000}"/>
    <cellStyle name="20% - Accent1 2 4 4 5 2 3" xfId="29945" xr:uid="{00000000-0005-0000-0000-00001C050000}"/>
    <cellStyle name="20% - Accent1 2 4 4 5 3" xfId="15788" xr:uid="{00000000-0005-0000-0000-00001D050000}"/>
    <cellStyle name="20% - Accent1 2 4 4 5 3 2" xfId="35188" xr:uid="{00000000-0005-0000-0000-00001E050000}"/>
    <cellStyle name="20% - Accent1 2 4 4 5 4" xfId="25490" xr:uid="{00000000-0005-0000-0000-00001F050000}"/>
    <cellStyle name="20% - Accent1 2 4 4 6" xfId="6349" xr:uid="{00000000-0005-0000-0000-000020050000}"/>
    <cellStyle name="20% - Accent1 2 4 4 6 2" xfId="10804" xr:uid="{00000000-0005-0000-0000-000021050000}"/>
    <cellStyle name="20% - Accent1 2 4 4 6 2 2" xfId="20800" xr:uid="{00000000-0005-0000-0000-000022050000}"/>
    <cellStyle name="20% - Accent1 2 4 4 6 2 2 2" xfId="40200" xr:uid="{00000000-0005-0000-0000-000023050000}"/>
    <cellStyle name="20% - Accent1 2 4 4 6 2 3" xfId="30502" xr:uid="{00000000-0005-0000-0000-000024050000}"/>
    <cellStyle name="20% - Accent1 2 4 4 6 3" xfId="16345" xr:uid="{00000000-0005-0000-0000-000025050000}"/>
    <cellStyle name="20% - Accent1 2 4 4 6 3 2" xfId="35745" xr:uid="{00000000-0005-0000-0000-000026050000}"/>
    <cellStyle name="20% - Accent1 2 4 4 6 4" xfId="26047" xr:uid="{00000000-0005-0000-0000-000027050000}"/>
    <cellStyle name="20% - Accent1 2 4 4 7" xfId="6906" xr:uid="{00000000-0005-0000-0000-000028050000}"/>
    <cellStyle name="20% - Accent1 2 4 4 7 2" xfId="16902" xr:uid="{00000000-0005-0000-0000-000029050000}"/>
    <cellStyle name="20% - Accent1 2 4 4 7 2 2" xfId="36302" xr:uid="{00000000-0005-0000-0000-00002A050000}"/>
    <cellStyle name="20% - Accent1 2 4 4 7 3" xfId="26604" xr:uid="{00000000-0005-0000-0000-00002B050000}"/>
    <cellStyle name="20% - Accent1 2 4 4 8" xfId="12446" xr:uid="{00000000-0005-0000-0000-00002C050000}"/>
    <cellStyle name="20% - Accent1 2 4 4 8 2" xfId="31847" xr:uid="{00000000-0005-0000-0000-00002D050000}"/>
    <cellStyle name="20% - Accent1 2 4 4 9" xfId="22149" xr:uid="{00000000-0005-0000-0000-00002E050000}"/>
    <cellStyle name="20% - Accent1 2 4 5" xfId="1955" xr:uid="{00000000-0005-0000-0000-00002F050000}"/>
    <cellStyle name="20% - Accent1 2 4 5 2" xfId="2958" xr:uid="{00000000-0005-0000-0000-000030050000}"/>
    <cellStyle name="20% - Accent1 2 4 5 2 2" xfId="5227" xr:uid="{00000000-0005-0000-0000-000031050000}"/>
    <cellStyle name="20% - Accent1 2 4 5 2 2 2" xfId="9691" xr:uid="{00000000-0005-0000-0000-000032050000}"/>
    <cellStyle name="20% - Accent1 2 4 5 2 2 2 2" xfId="19687" xr:uid="{00000000-0005-0000-0000-000033050000}"/>
    <cellStyle name="20% - Accent1 2 4 5 2 2 2 2 2" xfId="39087" xr:uid="{00000000-0005-0000-0000-000034050000}"/>
    <cellStyle name="20% - Accent1 2 4 5 2 2 2 3" xfId="29389" xr:uid="{00000000-0005-0000-0000-000035050000}"/>
    <cellStyle name="20% - Accent1 2 4 5 2 2 3" xfId="15232" xr:uid="{00000000-0005-0000-0000-000036050000}"/>
    <cellStyle name="20% - Accent1 2 4 5 2 2 3 2" xfId="34632" xr:uid="{00000000-0005-0000-0000-000037050000}"/>
    <cellStyle name="20% - Accent1 2 4 5 2 2 4" xfId="24934" xr:uid="{00000000-0005-0000-0000-000038050000}"/>
    <cellStyle name="20% - Accent1 2 4 5 2 3" xfId="7463" xr:uid="{00000000-0005-0000-0000-000039050000}"/>
    <cellStyle name="20% - Accent1 2 4 5 2 3 2" xfId="17459" xr:uid="{00000000-0005-0000-0000-00003A050000}"/>
    <cellStyle name="20% - Accent1 2 4 5 2 3 2 2" xfId="36859" xr:uid="{00000000-0005-0000-0000-00003B050000}"/>
    <cellStyle name="20% - Accent1 2 4 5 2 3 3" xfId="27161" xr:uid="{00000000-0005-0000-0000-00003C050000}"/>
    <cellStyle name="20% - Accent1 2 4 5 2 4" xfId="13004" xr:uid="{00000000-0005-0000-0000-00003D050000}"/>
    <cellStyle name="20% - Accent1 2 4 5 2 4 2" xfId="32404" xr:uid="{00000000-0005-0000-0000-00003E050000}"/>
    <cellStyle name="20% - Accent1 2 4 5 2 5" xfId="22706" xr:uid="{00000000-0005-0000-0000-00003F050000}"/>
    <cellStyle name="20% - Accent1 2 4 5 3" xfId="3541" xr:uid="{00000000-0005-0000-0000-000040050000}"/>
    <cellStyle name="20% - Accent1 2 4 5 3 2" xfId="4671" xr:uid="{00000000-0005-0000-0000-000041050000}"/>
    <cellStyle name="20% - Accent1 2 4 5 3 2 2" xfId="9135" xr:uid="{00000000-0005-0000-0000-000042050000}"/>
    <cellStyle name="20% - Accent1 2 4 5 3 2 2 2" xfId="19131" xr:uid="{00000000-0005-0000-0000-000043050000}"/>
    <cellStyle name="20% - Accent1 2 4 5 3 2 2 2 2" xfId="38531" xr:uid="{00000000-0005-0000-0000-000044050000}"/>
    <cellStyle name="20% - Accent1 2 4 5 3 2 2 3" xfId="28833" xr:uid="{00000000-0005-0000-0000-000045050000}"/>
    <cellStyle name="20% - Accent1 2 4 5 3 2 3" xfId="14676" xr:uid="{00000000-0005-0000-0000-000046050000}"/>
    <cellStyle name="20% - Accent1 2 4 5 3 2 3 2" xfId="34076" xr:uid="{00000000-0005-0000-0000-000047050000}"/>
    <cellStyle name="20% - Accent1 2 4 5 3 2 4" xfId="24378" xr:uid="{00000000-0005-0000-0000-000048050000}"/>
    <cellStyle name="20% - Accent1 2 4 5 3 3" xfId="8020" xr:uid="{00000000-0005-0000-0000-000049050000}"/>
    <cellStyle name="20% - Accent1 2 4 5 3 3 2" xfId="18016" xr:uid="{00000000-0005-0000-0000-00004A050000}"/>
    <cellStyle name="20% - Accent1 2 4 5 3 3 2 2" xfId="37416" xr:uid="{00000000-0005-0000-0000-00004B050000}"/>
    <cellStyle name="20% - Accent1 2 4 5 3 3 3" xfId="27718" xr:uid="{00000000-0005-0000-0000-00004C050000}"/>
    <cellStyle name="20% - Accent1 2 4 5 3 4" xfId="13561" xr:uid="{00000000-0005-0000-0000-00004D050000}"/>
    <cellStyle name="20% - Accent1 2 4 5 3 4 2" xfId="32961" xr:uid="{00000000-0005-0000-0000-00004E050000}"/>
    <cellStyle name="20% - Accent1 2 4 5 3 5" xfId="23263" xr:uid="{00000000-0005-0000-0000-00004F050000}"/>
    <cellStyle name="20% - Accent1 2 4 5 4" xfId="4114" xr:uid="{00000000-0005-0000-0000-000050050000}"/>
    <cellStyle name="20% - Accent1 2 4 5 4 2" xfId="8578" xr:uid="{00000000-0005-0000-0000-000051050000}"/>
    <cellStyle name="20% - Accent1 2 4 5 4 2 2" xfId="18574" xr:uid="{00000000-0005-0000-0000-000052050000}"/>
    <cellStyle name="20% - Accent1 2 4 5 4 2 2 2" xfId="37974" xr:uid="{00000000-0005-0000-0000-000053050000}"/>
    <cellStyle name="20% - Accent1 2 4 5 4 2 3" xfId="28276" xr:uid="{00000000-0005-0000-0000-000054050000}"/>
    <cellStyle name="20% - Accent1 2 4 5 4 3" xfId="14119" xr:uid="{00000000-0005-0000-0000-000055050000}"/>
    <cellStyle name="20% - Accent1 2 4 5 4 3 2" xfId="33519" xr:uid="{00000000-0005-0000-0000-000056050000}"/>
    <cellStyle name="20% - Accent1 2 4 5 4 4" xfId="23821" xr:uid="{00000000-0005-0000-0000-000057050000}"/>
    <cellStyle name="20% - Accent1 2 4 5 5" xfId="5784" xr:uid="{00000000-0005-0000-0000-000058050000}"/>
    <cellStyle name="20% - Accent1 2 4 5 5 2" xfId="10248" xr:uid="{00000000-0005-0000-0000-000059050000}"/>
    <cellStyle name="20% - Accent1 2 4 5 5 2 2" xfId="20244" xr:uid="{00000000-0005-0000-0000-00005A050000}"/>
    <cellStyle name="20% - Accent1 2 4 5 5 2 2 2" xfId="39644" xr:uid="{00000000-0005-0000-0000-00005B050000}"/>
    <cellStyle name="20% - Accent1 2 4 5 5 2 3" xfId="29946" xr:uid="{00000000-0005-0000-0000-00005C050000}"/>
    <cellStyle name="20% - Accent1 2 4 5 5 3" xfId="15789" xr:uid="{00000000-0005-0000-0000-00005D050000}"/>
    <cellStyle name="20% - Accent1 2 4 5 5 3 2" xfId="35189" xr:uid="{00000000-0005-0000-0000-00005E050000}"/>
    <cellStyle name="20% - Accent1 2 4 5 5 4" xfId="25491" xr:uid="{00000000-0005-0000-0000-00005F050000}"/>
    <cellStyle name="20% - Accent1 2 4 5 6" xfId="6350" xr:uid="{00000000-0005-0000-0000-000060050000}"/>
    <cellStyle name="20% - Accent1 2 4 5 6 2" xfId="10805" xr:uid="{00000000-0005-0000-0000-000061050000}"/>
    <cellStyle name="20% - Accent1 2 4 5 6 2 2" xfId="20801" xr:uid="{00000000-0005-0000-0000-000062050000}"/>
    <cellStyle name="20% - Accent1 2 4 5 6 2 2 2" xfId="40201" xr:uid="{00000000-0005-0000-0000-000063050000}"/>
    <cellStyle name="20% - Accent1 2 4 5 6 2 3" xfId="30503" xr:uid="{00000000-0005-0000-0000-000064050000}"/>
    <cellStyle name="20% - Accent1 2 4 5 6 3" xfId="16346" xr:uid="{00000000-0005-0000-0000-000065050000}"/>
    <cellStyle name="20% - Accent1 2 4 5 6 3 2" xfId="35746" xr:uid="{00000000-0005-0000-0000-000066050000}"/>
    <cellStyle name="20% - Accent1 2 4 5 6 4" xfId="26048" xr:uid="{00000000-0005-0000-0000-000067050000}"/>
    <cellStyle name="20% - Accent1 2 4 5 7" xfId="6907" xr:uid="{00000000-0005-0000-0000-000068050000}"/>
    <cellStyle name="20% - Accent1 2 4 5 7 2" xfId="16903" xr:uid="{00000000-0005-0000-0000-000069050000}"/>
    <cellStyle name="20% - Accent1 2 4 5 7 2 2" xfId="36303" xr:uid="{00000000-0005-0000-0000-00006A050000}"/>
    <cellStyle name="20% - Accent1 2 4 5 7 3" xfId="26605" xr:uid="{00000000-0005-0000-0000-00006B050000}"/>
    <cellStyle name="20% - Accent1 2 4 5 8" xfId="12447" xr:uid="{00000000-0005-0000-0000-00006C050000}"/>
    <cellStyle name="20% - Accent1 2 4 5 8 2" xfId="31848" xr:uid="{00000000-0005-0000-0000-00006D050000}"/>
    <cellStyle name="20% - Accent1 2 4 5 9" xfId="22150" xr:uid="{00000000-0005-0000-0000-00006E050000}"/>
    <cellStyle name="20% - Accent1 2 5" xfId="1267" xr:uid="{00000000-0005-0000-0000-00006F050000}"/>
    <cellStyle name="20% - Accent1 2 5 2" xfId="1956" xr:uid="{00000000-0005-0000-0000-000070050000}"/>
    <cellStyle name="20% - Accent1 2 5 2 10" xfId="12448" xr:uid="{00000000-0005-0000-0000-000071050000}"/>
    <cellStyle name="20% - Accent1 2 5 2 10 2" xfId="31849" xr:uid="{00000000-0005-0000-0000-000072050000}"/>
    <cellStyle name="20% - Accent1 2 5 2 11" xfId="22151" xr:uid="{00000000-0005-0000-0000-000073050000}"/>
    <cellStyle name="20% - Accent1 2 5 2 2" xfId="1957" xr:uid="{00000000-0005-0000-0000-000074050000}"/>
    <cellStyle name="20% - Accent1 2 5 2 2 2" xfId="2960" xr:uid="{00000000-0005-0000-0000-000075050000}"/>
    <cellStyle name="20% - Accent1 2 5 2 2 2 2" xfId="5229" xr:uid="{00000000-0005-0000-0000-000076050000}"/>
    <cellStyle name="20% - Accent1 2 5 2 2 2 2 2" xfId="9693" xr:uid="{00000000-0005-0000-0000-000077050000}"/>
    <cellStyle name="20% - Accent1 2 5 2 2 2 2 2 2" xfId="19689" xr:uid="{00000000-0005-0000-0000-000078050000}"/>
    <cellStyle name="20% - Accent1 2 5 2 2 2 2 2 2 2" xfId="39089" xr:uid="{00000000-0005-0000-0000-000079050000}"/>
    <cellStyle name="20% - Accent1 2 5 2 2 2 2 2 3" xfId="29391" xr:uid="{00000000-0005-0000-0000-00007A050000}"/>
    <cellStyle name="20% - Accent1 2 5 2 2 2 2 3" xfId="15234" xr:uid="{00000000-0005-0000-0000-00007B050000}"/>
    <cellStyle name="20% - Accent1 2 5 2 2 2 2 3 2" xfId="34634" xr:uid="{00000000-0005-0000-0000-00007C050000}"/>
    <cellStyle name="20% - Accent1 2 5 2 2 2 2 4" xfId="24936" xr:uid="{00000000-0005-0000-0000-00007D050000}"/>
    <cellStyle name="20% - Accent1 2 5 2 2 2 3" xfId="7465" xr:uid="{00000000-0005-0000-0000-00007E050000}"/>
    <cellStyle name="20% - Accent1 2 5 2 2 2 3 2" xfId="17461" xr:uid="{00000000-0005-0000-0000-00007F050000}"/>
    <cellStyle name="20% - Accent1 2 5 2 2 2 3 2 2" xfId="36861" xr:uid="{00000000-0005-0000-0000-000080050000}"/>
    <cellStyle name="20% - Accent1 2 5 2 2 2 3 3" xfId="27163" xr:uid="{00000000-0005-0000-0000-000081050000}"/>
    <cellStyle name="20% - Accent1 2 5 2 2 2 4" xfId="13006" xr:uid="{00000000-0005-0000-0000-000082050000}"/>
    <cellStyle name="20% - Accent1 2 5 2 2 2 4 2" xfId="32406" xr:uid="{00000000-0005-0000-0000-000083050000}"/>
    <cellStyle name="20% - Accent1 2 5 2 2 2 5" xfId="22708" xr:uid="{00000000-0005-0000-0000-000084050000}"/>
    <cellStyle name="20% - Accent1 2 5 2 2 3" xfId="3543" xr:uid="{00000000-0005-0000-0000-000085050000}"/>
    <cellStyle name="20% - Accent1 2 5 2 2 3 2" xfId="4673" xr:uid="{00000000-0005-0000-0000-000086050000}"/>
    <cellStyle name="20% - Accent1 2 5 2 2 3 2 2" xfId="9137" xr:uid="{00000000-0005-0000-0000-000087050000}"/>
    <cellStyle name="20% - Accent1 2 5 2 2 3 2 2 2" xfId="19133" xr:uid="{00000000-0005-0000-0000-000088050000}"/>
    <cellStyle name="20% - Accent1 2 5 2 2 3 2 2 2 2" xfId="38533" xr:uid="{00000000-0005-0000-0000-000089050000}"/>
    <cellStyle name="20% - Accent1 2 5 2 2 3 2 2 3" xfId="28835" xr:uid="{00000000-0005-0000-0000-00008A050000}"/>
    <cellStyle name="20% - Accent1 2 5 2 2 3 2 3" xfId="14678" xr:uid="{00000000-0005-0000-0000-00008B050000}"/>
    <cellStyle name="20% - Accent1 2 5 2 2 3 2 3 2" xfId="34078" xr:uid="{00000000-0005-0000-0000-00008C050000}"/>
    <cellStyle name="20% - Accent1 2 5 2 2 3 2 4" xfId="24380" xr:uid="{00000000-0005-0000-0000-00008D050000}"/>
    <cellStyle name="20% - Accent1 2 5 2 2 3 3" xfId="8022" xr:uid="{00000000-0005-0000-0000-00008E050000}"/>
    <cellStyle name="20% - Accent1 2 5 2 2 3 3 2" xfId="18018" xr:uid="{00000000-0005-0000-0000-00008F050000}"/>
    <cellStyle name="20% - Accent1 2 5 2 2 3 3 2 2" xfId="37418" xr:uid="{00000000-0005-0000-0000-000090050000}"/>
    <cellStyle name="20% - Accent1 2 5 2 2 3 3 3" xfId="27720" xr:uid="{00000000-0005-0000-0000-000091050000}"/>
    <cellStyle name="20% - Accent1 2 5 2 2 3 4" xfId="13563" xr:uid="{00000000-0005-0000-0000-000092050000}"/>
    <cellStyle name="20% - Accent1 2 5 2 2 3 4 2" xfId="32963" xr:uid="{00000000-0005-0000-0000-000093050000}"/>
    <cellStyle name="20% - Accent1 2 5 2 2 3 5" xfId="23265" xr:uid="{00000000-0005-0000-0000-000094050000}"/>
    <cellStyle name="20% - Accent1 2 5 2 2 4" xfId="4116" xr:uid="{00000000-0005-0000-0000-000095050000}"/>
    <cellStyle name="20% - Accent1 2 5 2 2 4 2" xfId="8580" xr:uid="{00000000-0005-0000-0000-000096050000}"/>
    <cellStyle name="20% - Accent1 2 5 2 2 4 2 2" xfId="18576" xr:uid="{00000000-0005-0000-0000-000097050000}"/>
    <cellStyle name="20% - Accent1 2 5 2 2 4 2 2 2" xfId="37976" xr:uid="{00000000-0005-0000-0000-000098050000}"/>
    <cellStyle name="20% - Accent1 2 5 2 2 4 2 3" xfId="28278" xr:uid="{00000000-0005-0000-0000-000099050000}"/>
    <cellStyle name="20% - Accent1 2 5 2 2 4 3" xfId="14121" xr:uid="{00000000-0005-0000-0000-00009A050000}"/>
    <cellStyle name="20% - Accent1 2 5 2 2 4 3 2" xfId="33521" xr:uid="{00000000-0005-0000-0000-00009B050000}"/>
    <cellStyle name="20% - Accent1 2 5 2 2 4 4" xfId="23823" xr:uid="{00000000-0005-0000-0000-00009C050000}"/>
    <cellStyle name="20% - Accent1 2 5 2 2 5" xfId="5786" xr:uid="{00000000-0005-0000-0000-00009D050000}"/>
    <cellStyle name="20% - Accent1 2 5 2 2 5 2" xfId="10250" xr:uid="{00000000-0005-0000-0000-00009E050000}"/>
    <cellStyle name="20% - Accent1 2 5 2 2 5 2 2" xfId="20246" xr:uid="{00000000-0005-0000-0000-00009F050000}"/>
    <cellStyle name="20% - Accent1 2 5 2 2 5 2 2 2" xfId="39646" xr:uid="{00000000-0005-0000-0000-0000A0050000}"/>
    <cellStyle name="20% - Accent1 2 5 2 2 5 2 3" xfId="29948" xr:uid="{00000000-0005-0000-0000-0000A1050000}"/>
    <cellStyle name="20% - Accent1 2 5 2 2 5 3" xfId="15791" xr:uid="{00000000-0005-0000-0000-0000A2050000}"/>
    <cellStyle name="20% - Accent1 2 5 2 2 5 3 2" xfId="35191" xr:uid="{00000000-0005-0000-0000-0000A3050000}"/>
    <cellStyle name="20% - Accent1 2 5 2 2 5 4" xfId="25493" xr:uid="{00000000-0005-0000-0000-0000A4050000}"/>
    <cellStyle name="20% - Accent1 2 5 2 2 6" xfId="6352" xr:uid="{00000000-0005-0000-0000-0000A5050000}"/>
    <cellStyle name="20% - Accent1 2 5 2 2 6 2" xfId="10807" xr:uid="{00000000-0005-0000-0000-0000A6050000}"/>
    <cellStyle name="20% - Accent1 2 5 2 2 6 2 2" xfId="20803" xr:uid="{00000000-0005-0000-0000-0000A7050000}"/>
    <cellStyle name="20% - Accent1 2 5 2 2 6 2 2 2" xfId="40203" xr:uid="{00000000-0005-0000-0000-0000A8050000}"/>
    <cellStyle name="20% - Accent1 2 5 2 2 6 2 3" xfId="30505" xr:uid="{00000000-0005-0000-0000-0000A9050000}"/>
    <cellStyle name="20% - Accent1 2 5 2 2 6 3" xfId="16348" xr:uid="{00000000-0005-0000-0000-0000AA050000}"/>
    <cellStyle name="20% - Accent1 2 5 2 2 6 3 2" xfId="35748" xr:uid="{00000000-0005-0000-0000-0000AB050000}"/>
    <cellStyle name="20% - Accent1 2 5 2 2 6 4" xfId="26050" xr:uid="{00000000-0005-0000-0000-0000AC050000}"/>
    <cellStyle name="20% - Accent1 2 5 2 2 7" xfId="6909" xr:uid="{00000000-0005-0000-0000-0000AD050000}"/>
    <cellStyle name="20% - Accent1 2 5 2 2 7 2" xfId="16905" xr:uid="{00000000-0005-0000-0000-0000AE050000}"/>
    <cellStyle name="20% - Accent1 2 5 2 2 7 2 2" xfId="36305" xr:uid="{00000000-0005-0000-0000-0000AF050000}"/>
    <cellStyle name="20% - Accent1 2 5 2 2 7 3" xfId="26607" xr:uid="{00000000-0005-0000-0000-0000B0050000}"/>
    <cellStyle name="20% - Accent1 2 5 2 2 8" xfId="12449" xr:uid="{00000000-0005-0000-0000-0000B1050000}"/>
    <cellStyle name="20% - Accent1 2 5 2 2 8 2" xfId="31850" xr:uid="{00000000-0005-0000-0000-0000B2050000}"/>
    <cellStyle name="20% - Accent1 2 5 2 2 9" xfId="22152" xr:uid="{00000000-0005-0000-0000-0000B3050000}"/>
    <cellStyle name="20% - Accent1 2 5 2 3" xfId="1958" xr:uid="{00000000-0005-0000-0000-0000B4050000}"/>
    <cellStyle name="20% - Accent1 2 5 2 3 2" xfId="2961" xr:uid="{00000000-0005-0000-0000-0000B5050000}"/>
    <cellStyle name="20% - Accent1 2 5 2 3 2 2" xfId="5230" xr:uid="{00000000-0005-0000-0000-0000B6050000}"/>
    <cellStyle name="20% - Accent1 2 5 2 3 2 2 2" xfId="9694" xr:uid="{00000000-0005-0000-0000-0000B7050000}"/>
    <cellStyle name="20% - Accent1 2 5 2 3 2 2 2 2" xfId="19690" xr:uid="{00000000-0005-0000-0000-0000B8050000}"/>
    <cellStyle name="20% - Accent1 2 5 2 3 2 2 2 2 2" xfId="39090" xr:uid="{00000000-0005-0000-0000-0000B9050000}"/>
    <cellStyle name="20% - Accent1 2 5 2 3 2 2 2 3" xfId="29392" xr:uid="{00000000-0005-0000-0000-0000BA050000}"/>
    <cellStyle name="20% - Accent1 2 5 2 3 2 2 3" xfId="15235" xr:uid="{00000000-0005-0000-0000-0000BB050000}"/>
    <cellStyle name="20% - Accent1 2 5 2 3 2 2 3 2" xfId="34635" xr:uid="{00000000-0005-0000-0000-0000BC050000}"/>
    <cellStyle name="20% - Accent1 2 5 2 3 2 2 4" xfId="24937" xr:uid="{00000000-0005-0000-0000-0000BD050000}"/>
    <cellStyle name="20% - Accent1 2 5 2 3 2 3" xfId="7466" xr:uid="{00000000-0005-0000-0000-0000BE050000}"/>
    <cellStyle name="20% - Accent1 2 5 2 3 2 3 2" xfId="17462" xr:uid="{00000000-0005-0000-0000-0000BF050000}"/>
    <cellStyle name="20% - Accent1 2 5 2 3 2 3 2 2" xfId="36862" xr:uid="{00000000-0005-0000-0000-0000C0050000}"/>
    <cellStyle name="20% - Accent1 2 5 2 3 2 3 3" xfId="27164" xr:uid="{00000000-0005-0000-0000-0000C1050000}"/>
    <cellStyle name="20% - Accent1 2 5 2 3 2 4" xfId="13007" xr:uid="{00000000-0005-0000-0000-0000C2050000}"/>
    <cellStyle name="20% - Accent1 2 5 2 3 2 4 2" xfId="32407" xr:uid="{00000000-0005-0000-0000-0000C3050000}"/>
    <cellStyle name="20% - Accent1 2 5 2 3 2 5" xfId="22709" xr:uid="{00000000-0005-0000-0000-0000C4050000}"/>
    <cellStyle name="20% - Accent1 2 5 2 3 3" xfId="3544" xr:uid="{00000000-0005-0000-0000-0000C5050000}"/>
    <cellStyle name="20% - Accent1 2 5 2 3 3 2" xfId="4674" xr:uid="{00000000-0005-0000-0000-0000C6050000}"/>
    <cellStyle name="20% - Accent1 2 5 2 3 3 2 2" xfId="9138" xr:uid="{00000000-0005-0000-0000-0000C7050000}"/>
    <cellStyle name="20% - Accent1 2 5 2 3 3 2 2 2" xfId="19134" xr:uid="{00000000-0005-0000-0000-0000C8050000}"/>
    <cellStyle name="20% - Accent1 2 5 2 3 3 2 2 2 2" xfId="38534" xr:uid="{00000000-0005-0000-0000-0000C9050000}"/>
    <cellStyle name="20% - Accent1 2 5 2 3 3 2 2 3" xfId="28836" xr:uid="{00000000-0005-0000-0000-0000CA050000}"/>
    <cellStyle name="20% - Accent1 2 5 2 3 3 2 3" xfId="14679" xr:uid="{00000000-0005-0000-0000-0000CB050000}"/>
    <cellStyle name="20% - Accent1 2 5 2 3 3 2 3 2" xfId="34079" xr:uid="{00000000-0005-0000-0000-0000CC050000}"/>
    <cellStyle name="20% - Accent1 2 5 2 3 3 2 4" xfId="24381" xr:uid="{00000000-0005-0000-0000-0000CD050000}"/>
    <cellStyle name="20% - Accent1 2 5 2 3 3 3" xfId="8023" xr:uid="{00000000-0005-0000-0000-0000CE050000}"/>
    <cellStyle name="20% - Accent1 2 5 2 3 3 3 2" xfId="18019" xr:uid="{00000000-0005-0000-0000-0000CF050000}"/>
    <cellStyle name="20% - Accent1 2 5 2 3 3 3 2 2" xfId="37419" xr:uid="{00000000-0005-0000-0000-0000D0050000}"/>
    <cellStyle name="20% - Accent1 2 5 2 3 3 3 3" xfId="27721" xr:uid="{00000000-0005-0000-0000-0000D1050000}"/>
    <cellStyle name="20% - Accent1 2 5 2 3 3 4" xfId="13564" xr:uid="{00000000-0005-0000-0000-0000D2050000}"/>
    <cellStyle name="20% - Accent1 2 5 2 3 3 4 2" xfId="32964" xr:uid="{00000000-0005-0000-0000-0000D3050000}"/>
    <cellStyle name="20% - Accent1 2 5 2 3 3 5" xfId="23266" xr:uid="{00000000-0005-0000-0000-0000D4050000}"/>
    <cellStyle name="20% - Accent1 2 5 2 3 4" xfId="4117" xr:uid="{00000000-0005-0000-0000-0000D5050000}"/>
    <cellStyle name="20% - Accent1 2 5 2 3 4 2" xfId="8581" xr:uid="{00000000-0005-0000-0000-0000D6050000}"/>
    <cellStyle name="20% - Accent1 2 5 2 3 4 2 2" xfId="18577" xr:uid="{00000000-0005-0000-0000-0000D7050000}"/>
    <cellStyle name="20% - Accent1 2 5 2 3 4 2 2 2" xfId="37977" xr:uid="{00000000-0005-0000-0000-0000D8050000}"/>
    <cellStyle name="20% - Accent1 2 5 2 3 4 2 3" xfId="28279" xr:uid="{00000000-0005-0000-0000-0000D9050000}"/>
    <cellStyle name="20% - Accent1 2 5 2 3 4 3" xfId="14122" xr:uid="{00000000-0005-0000-0000-0000DA050000}"/>
    <cellStyle name="20% - Accent1 2 5 2 3 4 3 2" xfId="33522" xr:uid="{00000000-0005-0000-0000-0000DB050000}"/>
    <cellStyle name="20% - Accent1 2 5 2 3 4 4" xfId="23824" xr:uid="{00000000-0005-0000-0000-0000DC050000}"/>
    <cellStyle name="20% - Accent1 2 5 2 3 5" xfId="5787" xr:uid="{00000000-0005-0000-0000-0000DD050000}"/>
    <cellStyle name="20% - Accent1 2 5 2 3 5 2" xfId="10251" xr:uid="{00000000-0005-0000-0000-0000DE050000}"/>
    <cellStyle name="20% - Accent1 2 5 2 3 5 2 2" xfId="20247" xr:uid="{00000000-0005-0000-0000-0000DF050000}"/>
    <cellStyle name="20% - Accent1 2 5 2 3 5 2 2 2" xfId="39647" xr:uid="{00000000-0005-0000-0000-0000E0050000}"/>
    <cellStyle name="20% - Accent1 2 5 2 3 5 2 3" xfId="29949" xr:uid="{00000000-0005-0000-0000-0000E1050000}"/>
    <cellStyle name="20% - Accent1 2 5 2 3 5 3" xfId="15792" xr:uid="{00000000-0005-0000-0000-0000E2050000}"/>
    <cellStyle name="20% - Accent1 2 5 2 3 5 3 2" xfId="35192" xr:uid="{00000000-0005-0000-0000-0000E3050000}"/>
    <cellStyle name="20% - Accent1 2 5 2 3 5 4" xfId="25494" xr:uid="{00000000-0005-0000-0000-0000E4050000}"/>
    <cellStyle name="20% - Accent1 2 5 2 3 6" xfId="6353" xr:uid="{00000000-0005-0000-0000-0000E5050000}"/>
    <cellStyle name="20% - Accent1 2 5 2 3 6 2" xfId="10808" xr:uid="{00000000-0005-0000-0000-0000E6050000}"/>
    <cellStyle name="20% - Accent1 2 5 2 3 6 2 2" xfId="20804" xr:uid="{00000000-0005-0000-0000-0000E7050000}"/>
    <cellStyle name="20% - Accent1 2 5 2 3 6 2 2 2" xfId="40204" xr:uid="{00000000-0005-0000-0000-0000E8050000}"/>
    <cellStyle name="20% - Accent1 2 5 2 3 6 2 3" xfId="30506" xr:uid="{00000000-0005-0000-0000-0000E9050000}"/>
    <cellStyle name="20% - Accent1 2 5 2 3 6 3" xfId="16349" xr:uid="{00000000-0005-0000-0000-0000EA050000}"/>
    <cellStyle name="20% - Accent1 2 5 2 3 6 3 2" xfId="35749" xr:uid="{00000000-0005-0000-0000-0000EB050000}"/>
    <cellStyle name="20% - Accent1 2 5 2 3 6 4" xfId="26051" xr:uid="{00000000-0005-0000-0000-0000EC050000}"/>
    <cellStyle name="20% - Accent1 2 5 2 3 7" xfId="6910" xr:uid="{00000000-0005-0000-0000-0000ED050000}"/>
    <cellStyle name="20% - Accent1 2 5 2 3 7 2" xfId="16906" xr:uid="{00000000-0005-0000-0000-0000EE050000}"/>
    <cellStyle name="20% - Accent1 2 5 2 3 7 2 2" xfId="36306" xr:uid="{00000000-0005-0000-0000-0000EF050000}"/>
    <cellStyle name="20% - Accent1 2 5 2 3 7 3" xfId="26608" xr:uid="{00000000-0005-0000-0000-0000F0050000}"/>
    <cellStyle name="20% - Accent1 2 5 2 3 8" xfId="12450" xr:uid="{00000000-0005-0000-0000-0000F1050000}"/>
    <cellStyle name="20% - Accent1 2 5 2 3 8 2" xfId="31851" xr:uid="{00000000-0005-0000-0000-0000F2050000}"/>
    <cellStyle name="20% - Accent1 2 5 2 3 9" xfId="22153" xr:uid="{00000000-0005-0000-0000-0000F3050000}"/>
    <cellStyle name="20% - Accent1 2 5 2 4" xfId="2959" xr:uid="{00000000-0005-0000-0000-0000F4050000}"/>
    <cellStyle name="20% - Accent1 2 5 2 4 2" xfId="5228" xr:uid="{00000000-0005-0000-0000-0000F5050000}"/>
    <cellStyle name="20% - Accent1 2 5 2 4 2 2" xfId="9692" xr:uid="{00000000-0005-0000-0000-0000F6050000}"/>
    <cellStyle name="20% - Accent1 2 5 2 4 2 2 2" xfId="19688" xr:uid="{00000000-0005-0000-0000-0000F7050000}"/>
    <cellStyle name="20% - Accent1 2 5 2 4 2 2 2 2" xfId="39088" xr:uid="{00000000-0005-0000-0000-0000F8050000}"/>
    <cellStyle name="20% - Accent1 2 5 2 4 2 2 3" xfId="29390" xr:uid="{00000000-0005-0000-0000-0000F9050000}"/>
    <cellStyle name="20% - Accent1 2 5 2 4 2 3" xfId="15233" xr:uid="{00000000-0005-0000-0000-0000FA050000}"/>
    <cellStyle name="20% - Accent1 2 5 2 4 2 3 2" xfId="34633" xr:uid="{00000000-0005-0000-0000-0000FB050000}"/>
    <cellStyle name="20% - Accent1 2 5 2 4 2 4" xfId="24935" xr:uid="{00000000-0005-0000-0000-0000FC050000}"/>
    <cellStyle name="20% - Accent1 2 5 2 4 3" xfId="7464" xr:uid="{00000000-0005-0000-0000-0000FD050000}"/>
    <cellStyle name="20% - Accent1 2 5 2 4 3 2" xfId="17460" xr:uid="{00000000-0005-0000-0000-0000FE050000}"/>
    <cellStyle name="20% - Accent1 2 5 2 4 3 2 2" xfId="36860" xr:uid="{00000000-0005-0000-0000-0000FF050000}"/>
    <cellStyle name="20% - Accent1 2 5 2 4 3 3" xfId="27162" xr:uid="{00000000-0005-0000-0000-000000060000}"/>
    <cellStyle name="20% - Accent1 2 5 2 4 4" xfId="13005" xr:uid="{00000000-0005-0000-0000-000001060000}"/>
    <cellStyle name="20% - Accent1 2 5 2 4 4 2" xfId="32405" xr:uid="{00000000-0005-0000-0000-000002060000}"/>
    <cellStyle name="20% - Accent1 2 5 2 4 5" xfId="22707" xr:uid="{00000000-0005-0000-0000-000003060000}"/>
    <cellStyle name="20% - Accent1 2 5 2 5" xfId="3542" xr:uid="{00000000-0005-0000-0000-000004060000}"/>
    <cellStyle name="20% - Accent1 2 5 2 5 2" xfId="4672" xr:uid="{00000000-0005-0000-0000-000005060000}"/>
    <cellStyle name="20% - Accent1 2 5 2 5 2 2" xfId="9136" xr:uid="{00000000-0005-0000-0000-000006060000}"/>
    <cellStyle name="20% - Accent1 2 5 2 5 2 2 2" xfId="19132" xr:uid="{00000000-0005-0000-0000-000007060000}"/>
    <cellStyle name="20% - Accent1 2 5 2 5 2 2 2 2" xfId="38532" xr:uid="{00000000-0005-0000-0000-000008060000}"/>
    <cellStyle name="20% - Accent1 2 5 2 5 2 2 3" xfId="28834" xr:uid="{00000000-0005-0000-0000-000009060000}"/>
    <cellStyle name="20% - Accent1 2 5 2 5 2 3" xfId="14677" xr:uid="{00000000-0005-0000-0000-00000A060000}"/>
    <cellStyle name="20% - Accent1 2 5 2 5 2 3 2" xfId="34077" xr:uid="{00000000-0005-0000-0000-00000B060000}"/>
    <cellStyle name="20% - Accent1 2 5 2 5 2 4" xfId="24379" xr:uid="{00000000-0005-0000-0000-00000C060000}"/>
    <cellStyle name="20% - Accent1 2 5 2 5 3" xfId="8021" xr:uid="{00000000-0005-0000-0000-00000D060000}"/>
    <cellStyle name="20% - Accent1 2 5 2 5 3 2" xfId="18017" xr:uid="{00000000-0005-0000-0000-00000E060000}"/>
    <cellStyle name="20% - Accent1 2 5 2 5 3 2 2" xfId="37417" xr:uid="{00000000-0005-0000-0000-00000F060000}"/>
    <cellStyle name="20% - Accent1 2 5 2 5 3 3" xfId="27719" xr:uid="{00000000-0005-0000-0000-000010060000}"/>
    <cellStyle name="20% - Accent1 2 5 2 5 4" xfId="13562" xr:uid="{00000000-0005-0000-0000-000011060000}"/>
    <cellStyle name="20% - Accent1 2 5 2 5 4 2" xfId="32962" xr:uid="{00000000-0005-0000-0000-000012060000}"/>
    <cellStyle name="20% - Accent1 2 5 2 5 5" xfId="23264" xr:uid="{00000000-0005-0000-0000-000013060000}"/>
    <cellStyle name="20% - Accent1 2 5 2 6" xfId="4115" xr:uid="{00000000-0005-0000-0000-000014060000}"/>
    <cellStyle name="20% - Accent1 2 5 2 6 2" xfId="8579" xr:uid="{00000000-0005-0000-0000-000015060000}"/>
    <cellStyle name="20% - Accent1 2 5 2 6 2 2" xfId="18575" xr:uid="{00000000-0005-0000-0000-000016060000}"/>
    <cellStyle name="20% - Accent1 2 5 2 6 2 2 2" xfId="37975" xr:uid="{00000000-0005-0000-0000-000017060000}"/>
    <cellStyle name="20% - Accent1 2 5 2 6 2 3" xfId="28277" xr:uid="{00000000-0005-0000-0000-000018060000}"/>
    <cellStyle name="20% - Accent1 2 5 2 6 3" xfId="14120" xr:uid="{00000000-0005-0000-0000-000019060000}"/>
    <cellStyle name="20% - Accent1 2 5 2 6 3 2" xfId="33520" xr:uid="{00000000-0005-0000-0000-00001A060000}"/>
    <cellStyle name="20% - Accent1 2 5 2 6 4" xfId="23822" xr:uid="{00000000-0005-0000-0000-00001B060000}"/>
    <cellStyle name="20% - Accent1 2 5 2 7" xfId="5785" xr:uid="{00000000-0005-0000-0000-00001C060000}"/>
    <cellStyle name="20% - Accent1 2 5 2 7 2" xfId="10249" xr:uid="{00000000-0005-0000-0000-00001D060000}"/>
    <cellStyle name="20% - Accent1 2 5 2 7 2 2" xfId="20245" xr:uid="{00000000-0005-0000-0000-00001E060000}"/>
    <cellStyle name="20% - Accent1 2 5 2 7 2 2 2" xfId="39645" xr:uid="{00000000-0005-0000-0000-00001F060000}"/>
    <cellStyle name="20% - Accent1 2 5 2 7 2 3" xfId="29947" xr:uid="{00000000-0005-0000-0000-000020060000}"/>
    <cellStyle name="20% - Accent1 2 5 2 7 3" xfId="15790" xr:uid="{00000000-0005-0000-0000-000021060000}"/>
    <cellStyle name="20% - Accent1 2 5 2 7 3 2" xfId="35190" xr:uid="{00000000-0005-0000-0000-000022060000}"/>
    <cellStyle name="20% - Accent1 2 5 2 7 4" xfId="25492" xr:uid="{00000000-0005-0000-0000-000023060000}"/>
    <cellStyle name="20% - Accent1 2 5 2 8" xfId="6351" xr:uid="{00000000-0005-0000-0000-000024060000}"/>
    <cellStyle name="20% - Accent1 2 5 2 8 2" xfId="10806" xr:uid="{00000000-0005-0000-0000-000025060000}"/>
    <cellStyle name="20% - Accent1 2 5 2 8 2 2" xfId="20802" xr:uid="{00000000-0005-0000-0000-000026060000}"/>
    <cellStyle name="20% - Accent1 2 5 2 8 2 2 2" xfId="40202" xr:uid="{00000000-0005-0000-0000-000027060000}"/>
    <cellStyle name="20% - Accent1 2 5 2 8 2 3" xfId="30504" xr:uid="{00000000-0005-0000-0000-000028060000}"/>
    <cellStyle name="20% - Accent1 2 5 2 8 3" xfId="16347" xr:uid="{00000000-0005-0000-0000-000029060000}"/>
    <cellStyle name="20% - Accent1 2 5 2 8 3 2" xfId="35747" xr:uid="{00000000-0005-0000-0000-00002A060000}"/>
    <cellStyle name="20% - Accent1 2 5 2 8 4" xfId="26049" xr:uid="{00000000-0005-0000-0000-00002B060000}"/>
    <cellStyle name="20% - Accent1 2 5 2 9" xfId="6908" xr:uid="{00000000-0005-0000-0000-00002C060000}"/>
    <cellStyle name="20% - Accent1 2 5 2 9 2" xfId="16904" xr:uid="{00000000-0005-0000-0000-00002D060000}"/>
    <cellStyle name="20% - Accent1 2 5 2 9 2 2" xfId="36304" xr:uid="{00000000-0005-0000-0000-00002E060000}"/>
    <cellStyle name="20% - Accent1 2 5 2 9 3" xfId="26606" xr:uid="{00000000-0005-0000-0000-00002F060000}"/>
    <cellStyle name="20% - Accent1 2 5 3" xfId="1959" xr:uid="{00000000-0005-0000-0000-000030060000}"/>
    <cellStyle name="20% - Accent1 2 5 3 2" xfId="2962" xr:uid="{00000000-0005-0000-0000-000031060000}"/>
    <cellStyle name="20% - Accent1 2 5 3 2 2" xfId="5231" xr:uid="{00000000-0005-0000-0000-000032060000}"/>
    <cellStyle name="20% - Accent1 2 5 3 2 2 2" xfId="9695" xr:uid="{00000000-0005-0000-0000-000033060000}"/>
    <cellStyle name="20% - Accent1 2 5 3 2 2 2 2" xfId="19691" xr:uid="{00000000-0005-0000-0000-000034060000}"/>
    <cellStyle name="20% - Accent1 2 5 3 2 2 2 2 2" xfId="39091" xr:uid="{00000000-0005-0000-0000-000035060000}"/>
    <cellStyle name="20% - Accent1 2 5 3 2 2 2 3" xfId="29393" xr:uid="{00000000-0005-0000-0000-000036060000}"/>
    <cellStyle name="20% - Accent1 2 5 3 2 2 3" xfId="15236" xr:uid="{00000000-0005-0000-0000-000037060000}"/>
    <cellStyle name="20% - Accent1 2 5 3 2 2 3 2" xfId="34636" xr:uid="{00000000-0005-0000-0000-000038060000}"/>
    <cellStyle name="20% - Accent1 2 5 3 2 2 4" xfId="24938" xr:uid="{00000000-0005-0000-0000-000039060000}"/>
    <cellStyle name="20% - Accent1 2 5 3 2 3" xfId="7467" xr:uid="{00000000-0005-0000-0000-00003A060000}"/>
    <cellStyle name="20% - Accent1 2 5 3 2 3 2" xfId="17463" xr:uid="{00000000-0005-0000-0000-00003B060000}"/>
    <cellStyle name="20% - Accent1 2 5 3 2 3 2 2" xfId="36863" xr:uid="{00000000-0005-0000-0000-00003C060000}"/>
    <cellStyle name="20% - Accent1 2 5 3 2 3 3" xfId="27165" xr:uid="{00000000-0005-0000-0000-00003D060000}"/>
    <cellStyle name="20% - Accent1 2 5 3 2 4" xfId="13008" xr:uid="{00000000-0005-0000-0000-00003E060000}"/>
    <cellStyle name="20% - Accent1 2 5 3 2 4 2" xfId="32408" xr:uid="{00000000-0005-0000-0000-00003F060000}"/>
    <cellStyle name="20% - Accent1 2 5 3 2 5" xfId="22710" xr:uid="{00000000-0005-0000-0000-000040060000}"/>
    <cellStyle name="20% - Accent1 2 5 3 3" xfId="3545" xr:uid="{00000000-0005-0000-0000-000041060000}"/>
    <cellStyle name="20% - Accent1 2 5 3 3 2" xfId="4675" xr:uid="{00000000-0005-0000-0000-000042060000}"/>
    <cellStyle name="20% - Accent1 2 5 3 3 2 2" xfId="9139" xr:uid="{00000000-0005-0000-0000-000043060000}"/>
    <cellStyle name="20% - Accent1 2 5 3 3 2 2 2" xfId="19135" xr:uid="{00000000-0005-0000-0000-000044060000}"/>
    <cellStyle name="20% - Accent1 2 5 3 3 2 2 2 2" xfId="38535" xr:uid="{00000000-0005-0000-0000-000045060000}"/>
    <cellStyle name="20% - Accent1 2 5 3 3 2 2 3" xfId="28837" xr:uid="{00000000-0005-0000-0000-000046060000}"/>
    <cellStyle name="20% - Accent1 2 5 3 3 2 3" xfId="14680" xr:uid="{00000000-0005-0000-0000-000047060000}"/>
    <cellStyle name="20% - Accent1 2 5 3 3 2 3 2" xfId="34080" xr:uid="{00000000-0005-0000-0000-000048060000}"/>
    <cellStyle name="20% - Accent1 2 5 3 3 2 4" xfId="24382" xr:uid="{00000000-0005-0000-0000-000049060000}"/>
    <cellStyle name="20% - Accent1 2 5 3 3 3" xfId="8024" xr:uid="{00000000-0005-0000-0000-00004A060000}"/>
    <cellStyle name="20% - Accent1 2 5 3 3 3 2" xfId="18020" xr:uid="{00000000-0005-0000-0000-00004B060000}"/>
    <cellStyle name="20% - Accent1 2 5 3 3 3 2 2" xfId="37420" xr:uid="{00000000-0005-0000-0000-00004C060000}"/>
    <cellStyle name="20% - Accent1 2 5 3 3 3 3" xfId="27722" xr:uid="{00000000-0005-0000-0000-00004D060000}"/>
    <cellStyle name="20% - Accent1 2 5 3 3 4" xfId="13565" xr:uid="{00000000-0005-0000-0000-00004E060000}"/>
    <cellStyle name="20% - Accent1 2 5 3 3 4 2" xfId="32965" xr:uid="{00000000-0005-0000-0000-00004F060000}"/>
    <cellStyle name="20% - Accent1 2 5 3 3 5" xfId="23267" xr:uid="{00000000-0005-0000-0000-000050060000}"/>
    <cellStyle name="20% - Accent1 2 5 3 4" xfId="4118" xr:uid="{00000000-0005-0000-0000-000051060000}"/>
    <cellStyle name="20% - Accent1 2 5 3 4 2" xfId="8582" xr:uid="{00000000-0005-0000-0000-000052060000}"/>
    <cellStyle name="20% - Accent1 2 5 3 4 2 2" xfId="18578" xr:uid="{00000000-0005-0000-0000-000053060000}"/>
    <cellStyle name="20% - Accent1 2 5 3 4 2 2 2" xfId="37978" xr:uid="{00000000-0005-0000-0000-000054060000}"/>
    <cellStyle name="20% - Accent1 2 5 3 4 2 3" xfId="28280" xr:uid="{00000000-0005-0000-0000-000055060000}"/>
    <cellStyle name="20% - Accent1 2 5 3 4 3" xfId="14123" xr:uid="{00000000-0005-0000-0000-000056060000}"/>
    <cellStyle name="20% - Accent1 2 5 3 4 3 2" xfId="33523" xr:uid="{00000000-0005-0000-0000-000057060000}"/>
    <cellStyle name="20% - Accent1 2 5 3 4 4" xfId="23825" xr:uid="{00000000-0005-0000-0000-000058060000}"/>
    <cellStyle name="20% - Accent1 2 5 3 5" xfId="5788" xr:uid="{00000000-0005-0000-0000-000059060000}"/>
    <cellStyle name="20% - Accent1 2 5 3 5 2" xfId="10252" xr:uid="{00000000-0005-0000-0000-00005A060000}"/>
    <cellStyle name="20% - Accent1 2 5 3 5 2 2" xfId="20248" xr:uid="{00000000-0005-0000-0000-00005B060000}"/>
    <cellStyle name="20% - Accent1 2 5 3 5 2 2 2" xfId="39648" xr:uid="{00000000-0005-0000-0000-00005C060000}"/>
    <cellStyle name="20% - Accent1 2 5 3 5 2 3" xfId="29950" xr:uid="{00000000-0005-0000-0000-00005D060000}"/>
    <cellStyle name="20% - Accent1 2 5 3 5 3" xfId="15793" xr:uid="{00000000-0005-0000-0000-00005E060000}"/>
    <cellStyle name="20% - Accent1 2 5 3 5 3 2" xfId="35193" xr:uid="{00000000-0005-0000-0000-00005F060000}"/>
    <cellStyle name="20% - Accent1 2 5 3 5 4" xfId="25495" xr:uid="{00000000-0005-0000-0000-000060060000}"/>
    <cellStyle name="20% - Accent1 2 5 3 6" xfId="6354" xr:uid="{00000000-0005-0000-0000-000061060000}"/>
    <cellStyle name="20% - Accent1 2 5 3 6 2" xfId="10809" xr:uid="{00000000-0005-0000-0000-000062060000}"/>
    <cellStyle name="20% - Accent1 2 5 3 6 2 2" xfId="20805" xr:uid="{00000000-0005-0000-0000-000063060000}"/>
    <cellStyle name="20% - Accent1 2 5 3 6 2 2 2" xfId="40205" xr:uid="{00000000-0005-0000-0000-000064060000}"/>
    <cellStyle name="20% - Accent1 2 5 3 6 2 3" xfId="30507" xr:uid="{00000000-0005-0000-0000-000065060000}"/>
    <cellStyle name="20% - Accent1 2 5 3 6 3" xfId="16350" xr:uid="{00000000-0005-0000-0000-000066060000}"/>
    <cellStyle name="20% - Accent1 2 5 3 6 3 2" xfId="35750" xr:uid="{00000000-0005-0000-0000-000067060000}"/>
    <cellStyle name="20% - Accent1 2 5 3 6 4" xfId="26052" xr:uid="{00000000-0005-0000-0000-000068060000}"/>
    <cellStyle name="20% - Accent1 2 5 3 7" xfId="6911" xr:uid="{00000000-0005-0000-0000-000069060000}"/>
    <cellStyle name="20% - Accent1 2 5 3 7 2" xfId="16907" xr:uid="{00000000-0005-0000-0000-00006A060000}"/>
    <cellStyle name="20% - Accent1 2 5 3 7 2 2" xfId="36307" xr:uid="{00000000-0005-0000-0000-00006B060000}"/>
    <cellStyle name="20% - Accent1 2 5 3 7 3" xfId="26609" xr:uid="{00000000-0005-0000-0000-00006C060000}"/>
    <cellStyle name="20% - Accent1 2 5 3 8" xfId="12451" xr:uid="{00000000-0005-0000-0000-00006D060000}"/>
    <cellStyle name="20% - Accent1 2 5 3 8 2" xfId="31852" xr:uid="{00000000-0005-0000-0000-00006E060000}"/>
    <cellStyle name="20% - Accent1 2 5 3 9" xfId="22154" xr:uid="{00000000-0005-0000-0000-00006F060000}"/>
    <cellStyle name="20% - Accent1 2 5 4" xfId="1960" xr:uid="{00000000-0005-0000-0000-000070060000}"/>
    <cellStyle name="20% - Accent1 2 5 4 2" xfId="2963" xr:uid="{00000000-0005-0000-0000-000071060000}"/>
    <cellStyle name="20% - Accent1 2 5 4 2 2" xfId="5232" xr:uid="{00000000-0005-0000-0000-000072060000}"/>
    <cellStyle name="20% - Accent1 2 5 4 2 2 2" xfId="9696" xr:uid="{00000000-0005-0000-0000-000073060000}"/>
    <cellStyle name="20% - Accent1 2 5 4 2 2 2 2" xfId="19692" xr:uid="{00000000-0005-0000-0000-000074060000}"/>
    <cellStyle name="20% - Accent1 2 5 4 2 2 2 2 2" xfId="39092" xr:uid="{00000000-0005-0000-0000-000075060000}"/>
    <cellStyle name="20% - Accent1 2 5 4 2 2 2 3" xfId="29394" xr:uid="{00000000-0005-0000-0000-000076060000}"/>
    <cellStyle name="20% - Accent1 2 5 4 2 2 3" xfId="15237" xr:uid="{00000000-0005-0000-0000-000077060000}"/>
    <cellStyle name="20% - Accent1 2 5 4 2 2 3 2" xfId="34637" xr:uid="{00000000-0005-0000-0000-000078060000}"/>
    <cellStyle name="20% - Accent1 2 5 4 2 2 4" xfId="24939" xr:uid="{00000000-0005-0000-0000-000079060000}"/>
    <cellStyle name="20% - Accent1 2 5 4 2 3" xfId="7468" xr:uid="{00000000-0005-0000-0000-00007A060000}"/>
    <cellStyle name="20% - Accent1 2 5 4 2 3 2" xfId="17464" xr:uid="{00000000-0005-0000-0000-00007B060000}"/>
    <cellStyle name="20% - Accent1 2 5 4 2 3 2 2" xfId="36864" xr:uid="{00000000-0005-0000-0000-00007C060000}"/>
    <cellStyle name="20% - Accent1 2 5 4 2 3 3" xfId="27166" xr:uid="{00000000-0005-0000-0000-00007D060000}"/>
    <cellStyle name="20% - Accent1 2 5 4 2 4" xfId="13009" xr:uid="{00000000-0005-0000-0000-00007E060000}"/>
    <cellStyle name="20% - Accent1 2 5 4 2 4 2" xfId="32409" xr:uid="{00000000-0005-0000-0000-00007F060000}"/>
    <cellStyle name="20% - Accent1 2 5 4 2 5" xfId="22711" xr:uid="{00000000-0005-0000-0000-000080060000}"/>
    <cellStyle name="20% - Accent1 2 5 4 3" xfId="3546" xr:uid="{00000000-0005-0000-0000-000081060000}"/>
    <cellStyle name="20% - Accent1 2 5 4 3 2" xfId="4676" xr:uid="{00000000-0005-0000-0000-000082060000}"/>
    <cellStyle name="20% - Accent1 2 5 4 3 2 2" xfId="9140" xr:uid="{00000000-0005-0000-0000-000083060000}"/>
    <cellStyle name="20% - Accent1 2 5 4 3 2 2 2" xfId="19136" xr:uid="{00000000-0005-0000-0000-000084060000}"/>
    <cellStyle name="20% - Accent1 2 5 4 3 2 2 2 2" xfId="38536" xr:uid="{00000000-0005-0000-0000-000085060000}"/>
    <cellStyle name="20% - Accent1 2 5 4 3 2 2 3" xfId="28838" xr:uid="{00000000-0005-0000-0000-000086060000}"/>
    <cellStyle name="20% - Accent1 2 5 4 3 2 3" xfId="14681" xr:uid="{00000000-0005-0000-0000-000087060000}"/>
    <cellStyle name="20% - Accent1 2 5 4 3 2 3 2" xfId="34081" xr:uid="{00000000-0005-0000-0000-000088060000}"/>
    <cellStyle name="20% - Accent1 2 5 4 3 2 4" xfId="24383" xr:uid="{00000000-0005-0000-0000-000089060000}"/>
    <cellStyle name="20% - Accent1 2 5 4 3 3" xfId="8025" xr:uid="{00000000-0005-0000-0000-00008A060000}"/>
    <cellStyle name="20% - Accent1 2 5 4 3 3 2" xfId="18021" xr:uid="{00000000-0005-0000-0000-00008B060000}"/>
    <cellStyle name="20% - Accent1 2 5 4 3 3 2 2" xfId="37421" xr:uid="{00000000-0005-0000-0000-00008C060000}"/>
    <cellStyle name="20% - Accent1 2 5 4 3 3 3" xfId="27723" xr:uid="{00000000-0005-0000-0000-00008D060000}"/>
    <cellStyle name="20% - Accent1 2 5 4 3 4" xfId="13566" xr:uid="{00000000-0005-0000-0000-00008E060000}"/>
    <cellStyle name="20% - Accent1 2 5 4 3 4 2" xfId="32966" xr:uid="{00000000-0005-0000-0000-00008F060000}"/>
    <cellStyle name="20% - Accent1 2 5 4 3 5" xfId="23268" xr:uid="{00000000-0005-0000-0000-000090060000}"/>
    <cellStyle name="20% - Accent1 2 5 4 4" xfId="4119" xr:uid="{00000000-0005-0000-0000-000091060000}"/>
    <cellStyle name="20% - Accent1 2 5 4 4 2" xfId="8583" xr:uid="{00000000-0005-0000-0000-000092060000}"/>
    <cellStyle name="20% - Accent1 2 5 4 4 2 2" xfId="18579" xr:uid="{00000000-0005-0000-0000-000093060000}"/>
    <cellStyle name="20% - Accent1 2 5 4 4 2 2 2" xfId="37979" xr:uid="{00000000-0005-0000-0000-000094060000}"/>
    <cellStyle name="20% - Accent1 2 5 4 4 2 3" xfId="28281" xr:uid="{00000000-0005-0000-0000-000095060000}"/>
    <cellStyle name="20% - Accent1 2 5 4 4 3" xfId="14124" xr:uid="{00000000-0005-0000-0000-000096060000}"/>
    <cellStyle name="20% - Accent1 2 5 4 4 3 2" xfId="33524" xr:uid="{00000000-0005-0000-0000-000097060000}"/>
    <cellStyle name="20% - Accent1 2 5 4 4 4" xfId="23826" xr:uid="{00000000-0005-0000-0000-000098060000}"/>
    <cellStyle name="20% - Accent1 2 5 4 5" xfId="5789" xr:uid="{00000000-0005-0000-0000-000099060000}"/>
    <cellStyle name="20% - Accent1 2 5 4 5 2" xfId="10253" xr:uid="{00000000-0005-0000-0000-00009A060000}"/>
    <cellStyle name="20% - Accent1 2 5 4 5 2 2" xfId="20249" xr:uid="{00000000-0005-0000-0000-00009B060000}"/>
    <cellStyle name="20% - Accent1 2 5 4 5 2 2 2" xfId="39649" xr:uid="{00000000-0005-0000-0000-00009C060000}"/>
    <cellStyle name="20% - Accent1 2 5 4 5 2 3" xfId="29951" xr:uid="{00000000-0005-0000-0000-00009D060000}"/>
    <cellStyle name="20% - Accent1 2 5 4 5 3" xfId="15794" xr:uid="{00000000-0005-0000-0000-00009E060000}"/>
    <cellStyle name="20% - Accent1 2 5 4 5 3 2" xfId="35194" xr:uid="{00000000-0005-0000-0000-00009F060000}"/>
    <cellStyle name="20% - Accent1 2 5 4 5 4" xfId="25496" xr:uid="{00000000-0005-0000-0000-0000A0060000}"/>
    <cellStyle name="20% - Accent1 2 5 4 6" xfId="6355" xr:uid="{00000000-0005-0000-0000-0000A1060000}"/>
    <cellStyle name="20% - Accent1 2 5 4 6 2" xfId="10810" xr:uid="{00000000-0005-0000-0000-0000A2060000}"/>
    <cellStyle name="20% - Accent1 2 5 4 6 2 2" xfId="20806" xr:uid="{00000000-0005-0000-0000-0000A3060000}"/>
    <cellStyle name="20% - Accent1 2 5 4 6 2 2 2" xfId="40206" xr:uid="{00000000-0005-0000-0000-0000A4060000}"/>
    <cellStyle name="20% - Accent1 2 5 4 6 2 3" xfId="30508" xr:uid="{00000000-0005-0000-0000-0000A5060000}"/>
    <cellStyle name="20% - Accent1 2 5 4 6 3" xfId="16351" xr:uid="{00000000-0005-0000-0000-0000A6060000}"/>
    <cellStyle name="20% - Accent1 2 5 4 6 3 2" xfId="35751" xr:uid="{00000000-0005-0000-0000-0000A7060000}"/>
    <cellStyle name="20% - Accent1 2 5 4 6 4" xfId="26053" xr:uid="{00000000-0005-0000-0000-0000A8060000}"/>
    <cellStyle name="20% - Accent1 2 5 4 7" xfId="6912" xr:uid="{00000000-0005-0000-0000-0000A9060000}"/>
    <cellStyle name="20% - Accent1 2 5 4 7 2" xfId="16908" xr:uid="{00000000-0005-0000-0000-0000AA060000}"/>
    <cellStyle name="20% - Accent1 2 5 4 7 2 2" xfId="36308" xr:uid="{00000000-0005-0000-0000-0000AB060000}"/>
    <cellStyle name="20% - Accent1 2 5 4 7 3" xfId="26610" xr:uid="{00000000-0005-0000-0000-0000AC060000}"/>
    <cellStyle name="20% - Accent1 2 5 4 8" xfId="12452" xr:uid="{00000000-0005-0000-0000-0000AD060000}"/>
    <cellStyle name="20% - Accent1 2 5 4 8 2" xfId="31853" xr:uid="{00000000-0005-0000-0000-0000AE060000}"/>
    <cellStyle name="20% - Accent1 2 5 4 9" xfId="22155" xr:uid="{00000000-0005-0000-0000-0000AF060000}"/>
    <cellStyle name="20% - Accent1 2 6" xfId="1266" xr:uid="{00000000-0005-0000-0000-0000B0060000}"/>
    <cellStyle name="20% - Accent1 2 6 2" xfId="1961" xr:uid="{00000000-0005-0000-0000-0000B1060000}"/>
    <cellStyle name="20% - Accent1 2 6 2 2" xfId="2964" xr:uid="{00000000-0005-0000-0000-0000B2060000}"/>
    <cellStyle name="20% - Accent1 2 6 2 2 2" xfId="5233" xr:uid="{00000000-0005-0000-0000-0000B3060000}"/>
    <cellStyle name="20% - Accent1 2 6 2 2 2 2" xfId="9697" xr:uid="{00000000-0005-0000-0000-0000B4060000}"/>
    <cellStyle name="20% - Accent1 2 6 2 2 2 2 2" xfId="19693" xr:uid="{00000000-0005-0000-0000-0000B5060000}"/>
    <cellStyle name="20% - Accent1 2 6 2 2 2 2 2 2" xfId="39093" xr:uid="{00000000-0005-0000-0000-0000B6060000}"/>
    <cellStyle name="20% - Accent1 2 6 2 2 2 2 3" xfId="29395" xr:uid="{00000000-0005-0000-0000-0000B7060000}"/>
    <cellStyle name="20% - Accent1 2 6 2 2 2 3" xfId="15238" xr:uid="{00000000-0005-0000-0000-0000B8060000}"/>
    <cellStyle name="20% - Accent1 2 6 2 2 2 3 2" xfId="34638" xr:uid="{00000000-0005-0000-0000-0000B9060000}"/>
    <cellStyle name="20% - Accent1 2 6 2 2 2 4" xfId="24940" xr:uid="{00000000-0005-0000-0000-0000BA060000}"/>
    <cellStyle name="20% - Accent1 2 6 2 2 3" xfId="7469" xr:uid="{00000000-0005-0000-0000-0000BB060000}"/>
    <cellStyle name="20% - Accent1 2 6 2 2 3 2" xfId="17465" xr:uid="{00000000-0005-0000-0000-0000BC060000}"/>
    <cellStyle name="20% - Accent1 2 6 2 2 3 2 2" xfId="36865" xr:uid="{00000000-0005-0000-0000-0000BD060000}"/>
    <cellStyle name="20% - Accent1 2 6 2 2 3 3" xfId="27167" xr:uid="{00000000-0005-0000-0000-0000BE060000}"/>
    <cellStyle name="20% - Accent1 2 6 2 2 4" xfId="13010" xr:uid="{00000000-0005-0000-0000-0000BF060000}"/>
    <cellStyle name="20% - Accent1 2 6 2 2 4 2" xfId="32410" xr:uid="{00000000-0005-0000-0000-0000C0060000}"/>
    <cellStyle name="20% - Accent1 2 6 2 2 5" xfId="22712" xr:uid="{00000000-0005-0000-0000-0000C1060000}"/>
    <cellStyle name="20% - Accent1 2 6 2 3" xfId="3547" xr:uid="{00000000-0005-0000-0000-0000C2060000}"/>
    <cellStyle name="20% - Accent1 2 6 2 3 2" xfId="4677" xr:uid="{00000000-0005-0000-0000-0000C3060000}"/>
    <cellStyle name="20% - Accent1 2 6 2 3 2 2" xfId="9141" xr:uid="{00000000-0005-0000-0000-0000C4060000}"/>
    <cellStyle name="20% - Accent1 2 6 2 3 2 2 2" xfId="19137" xr:uid="{00000000-0005-0000-0000-0000C5060000}"/>
    <cellStyle name="20% - Accent1 2 6 2 3 2 2 2 2" xfId="38537" xr:uid="{00000000-0005-0000-0000-0000C6060000}"/>
    <cellStyle name="20% - Accent1 2 6 2 3 2 2 3" xfId="28839" xr:uid="{00000000-0005-0000-0000-0000C7060000}"/>
    <cellStyle name="20% - Accent1 2 6 2 3 2 3" xfId="14682" xr:uid="{00000000-0005-0000-0000-0000C8060000}"/>
    <cellStyle name="20% - Accent1 2 6 2 3 2 3 2" xfId="34082" xr:uid="{00000000-0005-0000-0000-0000C9060000}"/>
    <cellStyle name="20% - Accent1 2 6 2 3 2 4" xfId="24384" xr:uid="{00000000-0005-0000-0000-0000CA060000}"/>
    <cellStyle name="20% - Accent1 2 6 2 3 3" xfId="8026" xr:uid="{00000000-0005-0000-0000-0000CB060000}"/>
    <cellStyle name="20% - Accent1 2 6 2 3 3 2" xfId="18022" xr:uid="{00000000-0005-0000-0000-0000CC060000}"/>
    <cellStyle name="20% - Accent1 2 6 2 3 3 2 2" xfId="37422" xr:uid="{00000000-0005-0000-0000-0000CD060000}"/>
    <cellStyle name="20% - Accent1 2 6 2 3 3 3" xfId="27724" xr:uid="{00000000-0005-0000-0000-0000CE060000}"/>
    <cellStyle name="20% - Accent1 2 6 2 3 4" xfId="13567" xr:uid="{00000000-0005-0000-0000-0000CF060000}"/>
    <cellStyle name="20% - Accent1 2 6 2 3 4 2" xfId="32967" xr:uid="{00000000-0005-0000-0000-0000D0060000}"/>
    <cellStyle name="20% - Accent1 2 6 2 3 5" xfId="23269" xr:uid="{00000000-0005-0000-0000-0000D1060000}"/>
    <cellStyle name="20% - Accent1 2 6 2 4" xfId="4120" xr:uid="{00000000-0005-0000-0000-0000D2060000}"/>
    <cellStyle name="20% - Accent1 2 6 2 4 2" xfId="8584" xr:uid="{00000000-0005-0000-0000-0000D3060000}"/>
    <cellStyle name="20% - Accent1 2 6 2 4 2 2" xfId="18580" xr:uid="{00000000-0005-0000-0000-0000D4060000}"/>
    <cellStyle name="20% - Accent1 2 6 2 4 2 2 2" xfId="37980" xr:uid="{00000000-0005-0000-0000-0000D5060000}"/>
    <cellStyle name="20% - Accent1 2 6 2 4 2 3" xfId="28282" xr:uid="{00000000-0005-0000-0000-0000D6060000}"/>
    <cellStyle name="20% - Accent1 2 6 2 4 3" xfId="14125" xr:uid="{00000000-0005-0000-0000-0000D7060000}"/>
    <cellStyle name="20% - Accent1 2 6 2 4 3 2" xfId="33525" xr:uid="{00000000-0005-0000-0000-0000D8060000}"/>
    <cellStyle name="20% - Accent1 2 6 2 4 4" xfId="23827" xr:uid="{00000000-0005-0000-0000-0000D9060000}"/>
    <cellStyle name="20% - Accent1 2 6 2 5" xfId="5790" xr:uid="{00000000-0005-0000-0000-0000DA060000}"/>
    <cellStyle name="20% - Accent1 2 6 2 5 2" xfId="10254" xr:uid="{00000000-0005-0000-0000-0000DB060000}"/>
    <cellStyle name="20% - Accent1 2 6 2 5 2 2" xfId="20250" xr:uid="{00000000-0005-0000-0000-0000DC060000}"/>
    <cellStyle name="20% - Accent1 2 6 2 5 2 2 2" xfId="39650" xr:uid="{00000000-0005-0000-0000-0000DD060000}"/>
    <cellStyle name="20% - Accent1 2 6 2 5 2 3" xfId="29952" xr:uid="{00000000-0005-0000-0000-0000DE060000}"/>
    <cellStyle name="20% - Accent1 2 6 2 5 3" xfId="15795" xr:uid="{00000000-0005-0000-0000-0000DF060000}"/>
    <cellStyle name="20% - Accent1 2 6 2 5 3 2" xfId="35195" xr:uid="{00000000-0005-0000-0000-0000E0060000}"/>
    <cellStyle name="20% - Accent1 2 6 2 5 4" xfId="25497" xr:uid="{00000000-0005-0000-0000-0000E1060000}"/>
    <cellStyle name="20% - Accent1 2 6 2 6" xfId="6356" xr:uid="{00000000-0005-0000-0000-0000E2060000}"/>
    <cellStyle name="20% - Accent1 2 6 2 6 2" xfId="10811" xr:uid="{00000000-0005-0000-0000-0000E3060000}"/>
    <cellStyle name="20% - Accent1 2 6 2 6 2 2" xfId="20807" xr:uid="{00000000-0005-0000-0000-0000E4060000}"/>
    <cellStyle name="20% - Accent1 2 6 2 6 2 2 2" xfId="40207" xr:uid="{00000000-0005-0000-0000-0000E5060000}"/>
    <cellStyle name="20% - Accent1 2 6 2 6 2 3" xfId="30509" xr:uid="{00000000-0005-0000-0000-0000E6060000}"/>
    <cellStyle name="20% - Accent1 2 6 2 6 3" xfId="16352" xr:uid="{00000000-0005-0000-0000-0000E7060000}"/>
    <cellStyle name="20% - Accent1 2 6 2 6 3 2" xfId="35752" xr:uid="{00000000-0005-0000-0000-0000E8060000}"/>
    <cellStyle name="20% - Accent1 2 6 2 6 4" xfId="26054" xr:uid="{00000000-0005-0000-0000-0000E9060000}"/>
    <cellStyle name="20% - Accent1 2 6 2 7" xfId="6913" xr:uid="{00000000-0005-0000-0000-0000EA060000}"/>
    <cellStyle name="20% - Accent1 2 6 2 7 2" xfId="16909" xr:uid="{00000000-0005-0000-0000-0000EB060000}"/>
    <cellStyle name="20% - Accent1 2 6 2 7 2 2" xfId="36309" xr:uid="{00000000-0005-0000-0000-0000EC060000}"/>
    <cellStyle name="20% - Accent1 2 6 2 7 3" xfId="26611" xr:uid="{00000000-0005-0000-0000-0000ED060000}"/>
    <cellStyle name="20% - Accent1 2 6 2 8" xfId="12453" xr:uid="{00000000-0005-0000-0000-0000EE060000}"/>
    <cellStyle name="20% - Accent1 2 6 2 8 2" xfId="31854" xr:uid="{00000000-0005-0000-0000-0000EF060000}"/>
    <cellStyle name="20% - Accent1 2 6 2 9" xfId="22156" xr:uid="{00000000-0005-0000-0000-0000F0060000}"/>
    <cellStyle name="20% - Accent1 2 6 3" xfId="1962" xr:uid="{00000000-0005-0000-0000-0000F1060000}"/>
    <cellStyle name="20% - Accent1 2 6 3 2" xfId="2965" xr:uid="{00000000-0005-0000-0000-0000F2060000}"/>
    <cellStyle name="20% - Accent1 2 6 3 2 2" xfId="5234" xr:uid="{00000000-0005-0000-0000-0000F3060000}"/>
    <cellStyle name="20% - Accent1 2 6 3 2 2 2" xfId="9698" xr:uid="{00000000-0005-0000-0000-0000F4060000}"/>
    <cellStyle name="20% - Accent1 2 6 3 2 2 2 2" xfId="19694" xr:uid="{00000000-0005-0000-0000-0000F5060000}"/>
    <cellStyle name="20% - Accent1 2 6 3 2 2 2 2 2" xfId="39094" xr:uid="{00000000-0005-0000-0000-0000F6060000}"/>
    <cellStyle name="20% - Accent1 2 6 3 2 2 2 3" xfId="29396" xr:uid="{00000000-0005-0000-0000-0000F7060000}"/>
    <cellStyle name="20% - Accent1 2 6 3 2 2 3" xfId="15239" xr:uid="{00000000-0005-0000-0000-0000F8060000}"/>
    <cellStyle name="20% - Accent1 2 6 3 2 2 3 2" xfId="34639" xr:uid="{00000000-0005-0000-0000-0000F9060000}"/>
    <cellStyle name="20% - Accent1 2 6 3 2 2 4" xfId="24941" xr:uid="{00000000-0005-0000-0000-0000FA060000}"/>
    <cellStyle name="20% - Accent1 2 6 3 2 3" xfId="7470" xr:uid="{00000000-0005-0000-0000-0000FB060000}"/>
    <cellStyle name="20% - Accent1 2 6 3 2 3 2" xfId="17466" xr:uid="{00000000-0005-0000-0000-0000FC060000}"/>
    <cellStyle name="20% - Accent1 2 6 3 2 3 2 2" xfId="36866" xr:uid="{00000000-0005-0000-0000-0000FD060000}"/>
    <cellStyle name="20% - Accent1 2 6 3 2 3 3" xfId="27168" xr:uid="{00000000-0005-0000-0000-0000FE060000}"/>
    <cellStyle name="20% - Accent1 2 6 3 2 4" xfId="13011" xr:uid="{00000000-0005-0000-0000-0000FF060000}"/>
    <cellStyle name="20% - Accent1 2 6 3 2 4 2" xfId="32411" xr:uid="{00000000-0005-0000-0000-000000070000}"/>
    <cellStyle name="20% - Accent1 2 6 3 2 5" xfId="22713" xr:uid="{00000000-0005-0000-0000-000001070000}"/>
    <cellStyle name="20% - Accent1 2 6 3 3" xfId="3548" xr:uid="{00000000-0005-0000-0000-000002070000}"/>
    <cellStyle name="20% - Accent1 2 6 3 3 2" xfId="4678" xr:uid="{00000000-0005-0000-0000-000003070000}"/>
    <cellStyle name="20% - Accent1 2 6 3 3 2 2" xfId="9142" xr:uid="{00000000-0005-0000-0000-000004070000}"/>
    <cellStyle name="20% - Accent1 2 6 3 3 2 2 2" xfId="19138" xr:uid="{00000000-0005-0000-0000-000005070000}"/>
    <cellStyle name="20% - Accent1 2 6 3 3 2 2 2 2" xfId="38538" xr:uid="{00000000-0005-0000-0000-000006070000}"/>
    <cellStyle name="20% - Accent1 2 6 3 3 2 2 3" xfId="28840" xr:uid="{00000000-0005-0000-0000-000007070000}"/>
    <cellStyle name="20% - Accent1 2 6 3 3 2 3" xfId="14683" xr:uid="{00000000-0005-0000-0000-000008070000}"/>
    <cellStyle name="20% - Accent1 2 6 3 3 2 3 2" xfId="34083" xr:uid="{00000000-0005-0000-0000-000009070000}"/>
    <cellStyle name="20% - Accent1 2 6 3 3 2 4" xfId="24385" xr:uid="{00000000-0005-0000-0000-00000A070000}"/>
    <cellStyle name="20% - Accent1 2 6 3 3 3" xfId="8027" xr:uid="{00000000-0005-0000-0000-00000B070000}"/>
    <cellStyle name="20% - Accent1 2 6 3 3 3 2" xfId="18023" xr:uid="{00000000-0005-0000-0000-00000C070000}"/>
    <cellStyle name="20% - Accent1 2 6 3 3 3 2 2" xfId="37423" xr:uid="{00000000-0005-0000-0000-00000D070000}"/>
    <cellStyle name="20% - Accent1 2 6 3 3 3 3" xfId="27725" xr:uid="{00000000-0005-0000-0000-00000E070000}"/>
    <cellStyle name="20% - Accent1 2 6 3 3 4" xfId="13568" xr:uid="{00000000-0005-0000-0000-00000F070000}"/>
    <cellStyle name="20% - Accent1 2 6 3 3 4 2" xfId="32968" xr:uid="{00000000-0005-0000-0000-000010070000}"/>
    <cellStyle name="20% - Accent1 2 6 3 3 5" xfId="23270" xr:uid="{00000000-0005-0000-0000-000011070000}"/>
    <cellStyle name="20% - Accent1 2 6 3 4" xfId="4121" xr:uid="{00000000-0005-0000-0000-000012070000}"/>
    <cellStyle name="20% - Accent1 2 6 3 4 2" xfId="8585" xr:uid="{00000000-0005-0000-0000-000013070000}"/>
    <cellStyle name="20% - Accent1 2 6 3 4 2 2" xfId="18581" xr:uid="{00000000-0005-0000-0000-000014070000}"/>
    <cellStyle name="20% - Accent1 2 6 3 4 2 2 2" xfId="37981" xr:uid="{00000000-0005-0000-0000-000015070000}"/>
    <cellStyle name="20% - Accent1 2 6 3 4 2 3" xfId="28283" xr:uid="{00000000-0005-0000-0000-000016070000}"/>
    <cellStyle name="20% - Accent1 2 6 3 4 3" xfId="14126" xr:uid="{00000000-0005-0000-0000-000017070000}"/>
    <cellStyle name="20% - Accent1 2 6 3 4 3 2" xfId="33526" xr:uid="{00000000-0005-0000-0000-000018070000}"/>
    <cellStyle name="20% - Accent1 2 6 3 4 4" xfId="23828" xr:uid="{00000000-0005-0000-0000-000019070000}"/>
    <cellStyle name="20% - Accent1 2 6 3 5" xfId="5791" xr:uid="{00000000-0005-0000-0000-00001A070000}"/>
    <cellStyle name="20% - Accent1 2 6 3 5 2" xfId="10255" xr:uid="{00000000-0005-0000-0000-00001B070000}"/>
    <cellStyle name="20% - Accent1 2 6 3 5 2 2" xfId="20251" xr:uid="{00000000-0005-0000-0000-00001C070000}"/>
    <cellStyle name="20% - Accent1 2 6 3 5 2 2 2" xfId="39651" xr:uid="{00000000-0005-0000-0000-00001D070000}"/>
    <cellStyle name="20% - Accent1 2 6 3 5 2 3" xfId="29953" xr:uid="{00000000-0005-0000-0000-00001E070000}"/>
    <cellStyle name="20% - Accent1 2 6 3 5 3" xfId="15796" xr:uid="{00000000-0005-0000-0000-00001F070000}"/>
    <cellStyle name="20% - Accent1 2 6 3 5 3 2" xfId="35196" xr:uid="{00000000-0005-0000-0000-000020070000}"/>
    <cellStyle name="20% - Accent1 2 6 3 5 4" xfId="25498" xr:uid="{00000000-0005-0000-0000-000021070000}"/>
    <cellStyle name="20% - Accent1 2 6 3 6" xfId="6357" xr:uid="{00000000-0005-0000-0000-000022070000}"/>
    <cellStyle name="20% - Accent1 2 6 3 6 2" xfId="10812" xr:uid="{00000000-0005-0000-0000-000023070000}"/>
    <cellStyle name="20% - Accent1 2 6 3 6 2 2" xfId="20808" xr:uid="{00000000-0005-0000-0000-000024070000}"/>
    <cellStyle name="20% - Accent1 2 6 3 6 2 2 2" xfId="40208" xr:uid="{00000000-0005-0000-0000-000025070000}"/>
    <cellStyle name="20% - Accent1 2 6 3 6 2 3" xfId="30510" xr:uid="{00000000-0005-0000-0000-000026070000}"/>
    <cellStyle name="20% - Accent1 2 6 3 6 3" xfId="16353" xr:uid="{00000000-0005-0000-0000-000027070000}"/>
    <cellStyle name="20% - Accent1 2 6 3 6 3 2" xfId="35753" xr:uid="{00000000-0005-0000-0000-000028070000}"/>
    <cellStyle name="20% - Accent1 2 6 3 6 4" xfId="26055" xr:uid="{00000000-0005-0000-0000-000029070000}"/>
    <cellStyle name="20% - Accent1 2 6 3 7" xfId="6914" xr:uid="{00000000-0005-0000-0000-00002A070000}"/>
    <cellStyle name="20% - Accent1 2 6 3 7 2" xfId="16910" xr:uid="{00000000-0005-0000-0000-00002B070000}"/>
    <cellStyle name="20% - Accent1 2 6 3 7 2 2" xfId="36310" xr:uid="{00000000-0005-0000-0000-00002C070000}"/>
    <cellStyle name="20% - Accent1 2 6 3 7 3" xfId="26612" xr:uid="{00000000-0005-0000-0000-00002D070000}"/>
    <cellStyle name="20% - Accent1 2 6 3 8" xfId="12454" xr:uid="{00000000-0005-0000-0000-00002E070000}"/>
    <cellStyle name="20% - Accent1 2 6 3 8 2" xfId="31855" xr:uid="{00000000-0005-0000-0000-00002F070000}"/>
    <cellStyle name="20% - Accent1 2 6 3 9" xfId="22157" xr:uid="{00000000-0005-0000-0000-000030070000}"/>
    <cellStyle name="20% - Accent1 2 7" xfId="1721" xr:uid="{00000000-0005-0000-0000-000031070000}"/>
    <cellStyle name="20% - Accent1 2 7 2" xfId="2893" xr:uid="{00000000-0005-0000-0000-000032070000}"/>
    <cellStyle name="20% - Accent1 2 7 2 2" xfId="5162" xr:uid="{00000000-0005-0000-0000-000033070000}"/>
    <cellStyle name="20% - Accent1 2 7 2 2 2" xfId="9626" xr:uid="{00000000-0005-0000-0000-000034070000}"/>
    <cellStyle name="20% - Accent1 2 7 2 2 2 2" xfId="19622" xr:uid="{00000000-0005-0000-0000-000035070000}"/>
    <cellStyle name="20% - Accent1 2 7 2 2 2 2 2" xfId="39022" xr:uid="{00000000-0005-0000-0000-000036070000}"/>
    <cellStyle name="20% - Accent1 2 7 2 2 2 3" xfId="29324" xr:uid="{00000000-0005-0000-0000-000037070000}"/>
    <cellStyle name="20% - Accent1 2 7 2 2 3" xfId="15167" xr:uid="{00000000-0005-0000-0000-000038070000}"/>
    <cellStyle name="20% - Accent1 2 7 2 2 3 2" xfId="34567" xr:uid="{00000000-0005-0000-0000-000039070000}"/>
    <cellStyle name="20% - Accent1 2 7 2 2 4" xfId="24869" xr:uid="{00000000-0005-0000-0000-00003A070000}"/>
    <cellStyle name="20% - Accent1 2 7 2 3" xfId="7398" xr:uid="{00000000-0005-0000-0000-00003B070000}"/>
    <cellStyle name="20% - Accent1 2 7 2 3 2" xfId="17394" xr:uid="{00000000-0005-0000-0000-00003C070000}"/>
    <cellStyle name="20% - Accent1 2 7 2 3 2 2" xfId="36794" xr:uid="{00000000-0005-0000-0000-00003D070000}"/>
    <cellStyle name="20% - Accent1 2 7 2 3 3" xfId="27096" xr:uid="{00000000-0005-0000-0000-00003E070000}"/>
    <cellStyle name="20% - Accent1 2 7 2 4" xfId="12939" xr:uid="{00000000-0005-0000-0000-00003F070000}"/>
    <cellStyle name="20% - Accent1 2 7 2 4 2" xfId="32339" xr:uid="{00000000-0005-0000-0000-000040070000}"/>
    <cellStyle name="20% - Accent1 2 7 2 5" xfId="22641" xr:uid="{00000000-0005-0000-0000-000041070000}"/>
    <cellStyle name="20% - Accent1 2 7 3" xfId="3476" xr:uid="{00000000-0005-0000-0000-000042070000}"/>
    <cellStyle name="20% - Accent1 2 7 3 2" xfId="4606" xr:uid="{00000000-0005-0000-0000-000043070000}"/>
    <cellStyle name="20% - Accent1 2 7 3 2 2" xfId="9070" xr:uid="{00000000-0005-0000-0000-000044070000}"/>
    <cellStyle name="20% - Accent1 2 7 3 2 2 2" xfId="19066" xr:uid="{00000000-0005-0000-0000-000045070000}"/>
    <cellStyle name="20% - Accent1 2 7 3 2 2 2 2" xfId="38466" xr:uid="{00000000-0005-0000-0000-000046070000}"/>
    <cellStyle name="20% - Accent1 2 7 3 2 2 3" xfId="28768" xr:uid="{00000000-0005-0000-0000-000047070000}"/>
    <cellStyle name="20% - Accent1 2 7 3 2 3" xfId="14611" xr:uid="{00000000-0005-0000-0000-000048070000}"/>
    <cellStyle name="20% - Accent1 2 7 3 2 3 2" xfId="34011" xr:uid="{00000000-0005-0000-0000-000049070000}"/>
    <cellStyle name="20% - Accent1 2 7 3 2 4" xfId="24313" xr:uid="{00000000-0005-0000-0000-00004A070000}"/>
    <cellStyle name="20% - Accent1 2 7 3 3" xfId="7955" xr:uid="{00000000-0005-0000-0000-00004B070000}"/>
    <cellStyle name="20% - Accent1 2 7 3 3 2" xfId="17951" xr:uid="{00000000-0005-0000-0000-00004C070000}"/>
    <cellStyle name="20% - Accent1 2 7 3 3 2 2" xfId="37351" xr:uid="{00000000-0005-0000-0000-00004D070000}"/>
    <cellStyle name="20% - Accent1 2 7 3 3 3" xfId="27653" xr:uid="{00000000-0005-0000-0000-00004E070000}"/>
    <cellStyle name="20% - Accent1 2 7 3 4" xfId="13496" xr:uid="{00000000-0005-0000-0000-00004F070000}"/>
    <cellStyle name="20% - Accent1 2 7 3 4 2" xfId="32896" xr:uid="{00000000-0005-0000-0000-000050070000}"/>
    <cellStyle name="20% - Accent1 2 7 3 5" xfId="23198" xr:uid="{00000000-0005-0000-0000-000051070000}"/>
    <cellStyle name="20% - Accent1 2 7 4" xfId="4049" xr:uid="{00000000-0005-0000-0000-000052070000}"/>
    <cellStyle name="20% - Accent1 2 7 4 2" xfId="8513" xr:uid="{00000000-0005-0000-0000-000053070000}"/>
    <cellStyle name="20% - Accent1 2 7 4 2 2" xfId="18509" xr:uid="{00000000-0005-0000-0000-000054070000}"/>
    <cellStyle name="20% - Accent1 2 7 4 2 2 2" xfId="37909" xr:uid="{00000000-0005-0000-0000-000055070000}"/>
    <cellStyle name="20% - Accent1 2 7 4 2 3" xfId="28211" xr:uid="{00000000-0005-0000-0000-000056070000}"/>
    <cellStyle name="20% - Accent1 2 7 4 3" xfId="14054" xr:uid="{00000000-0005-0000-0000-000057070000}"/>
    <cellStyle name="20% - Accent1 2 7 4 3 2" xfId="33454" xr:uid="{00000000-0005-0000-0000-000058070000}"/>
    <cellStyle name="20% - Accent1 2 7 4 4" xfId="23756" xr:uid="{00000000-0005-0000-0000-000059070000}"/>
    <cellStyle name="20% - Accent1 2 7 5" xfId="5719" xr:uid="{00000000-0005-0000-0000-00005A070000}"/>
    <cellStyle name="20% - Accent1 2 7 5 2" xfId="10183" xr:uid="{00000000-0005-0000-0000-00005B070000}"/>
    <cellStyle name="20% - Accent1 2 7 5 2 2" xfId="20179" xr:uid="{00000000-0005-0000-0000-00005C070000}"/>
    <cellStyle name="20% - Accent1 2 7 5 2 2 2" xfId="39579" xr:uid="{00000000-0005-0000-0000-00005D070000}"/>
    <cellStyle name="20% - Accent1 2 7 5 2 3" xfId="29881" xr:uid="{00000000-0005-0000-0000-00005E070000}"/>
    <cellStyle name="20% - Accent1 2 7 5 3" xfId="15724" xr:uid="{00000000-0005-0000-0000-00005F070000}"/>
    <cellStyle name="20% - Accent1 2 7 5 3 2" xfId="35124" xr:uid="{00000000-0005-0000-0000-000060070000}"/>
    <cellStyle name="20% - Accent1 2 7 5 4" xfId="25426" xr:uid="{00000000-0005-0000-0000-000061070000}"/>
    <cellStyle name="20% - Accent1 2 7 6" xfId="6285" xr:uid="{00000000-0005-0000-0000-000062070000}"/>
    <cellStyle name="20% - Accent1 2 7 6 2" xfId="10740" xr:uid="{00000000-0005-0000-0000-000063070000}"/>
    <cellStyle name="20% - Accent1 2 7 6 2 2" xfId="20736" xr:uid="{00000000-0005-0000-0000-000064070000}"/>
    <cellStyle name="20% - Accent1 2 7 6 2 2 2" xfId="40136" xr:uid="{00000000-0005-0000-0000-000065070000}"/>
    <cellStyle name="20% - Accent1 2 7 6 2 3" xfId="30438" xr:uid="{00000000-0005-0000-0000-000066070000}"/>
    <cellStyle name="20% - Accent1 2 7 6 3" xfId="16281" xr:uid="{00000000-0005-0000-0000-000067070000}"/>
    <cellStyle name="20% - Accent1 2 7 6 3 2" xfId="35681" xr:uid="{00000000-0005-0000-0000-000068070000}"/>
    <cellStyle name="20% - Accent1 2 7 6 4" xfId="25983" xr:uid="{00000000-0005-0000-0000-000069070000}"/>
    <cellStyle name="20% - Accent1 2 7 7" xfId="6842" xr:uid="{00000000-0005-0000-0000-00006A070000}"/>
    <cellStyle name="20% - Accent1 2 7 7 2" xfId="16838" xr:uid="{00000000-0005-0000-0000-00006B070000}"/>
    <cellStyle name="20% - Accent1 2 7 7 2 2" xfId="36238" xr:uid="{00000000-0005-0000-0000-00006C070000}"/>
    <cellStyle name="20% - Accent1 2 7 7 3" xfId="26540" xr:uid="{00000000-0005-0000-0000-00006D070000}"/>
    <cellStyle name="20% - Accent1 2 7 8" xfId="12382" xr:uid="{00000000-0005-0000-0000-00006E070000}"/>
    <cellStyle name="20% - Accent1 2 7 8 2" xfId="31783" xr:uid="{00000000-0005-0000-0000-00006F070000}"/>
    <cellStyle name="20% - Accent1 2 7 9" xfId="22085" xr:uid="{00000000-0005-0000-0000-000070070000}"/>
    <cellStyle name="20% - Accent1 2 8" xfId="1824" xr:uid="{00000000-0005-0000-0000-000071070000}"/>
    <cellStyle name="20% - Accent1 2 8 2" xfId="2907" xr:uid="{00000000-0005-0000-0000-000072070000}"/>
    <cellStyle name="20% - Accent1 2 8 2 2" xfId="5176" xr:uid="{00000000-0005-0000-0000-000073070000}"/>
    <cellStyle name="20% - Accent1 2 8 2 2 2" xfId="9640" xr:uid="{00000000-0005-0000-0000-000074070000}"/>
    <cellStyle name="20% - Accent1 2 8 2 2 2 2" xfId="19636" xr:uid="{00000000-0005-0000-0000-000075070000}"/>
    <cellStyle name="20% - Accent1 2 8 2 2 2 2 2" xfId="39036" xr:uid="{00000000-0005-0000-0000-000076070000}"/>
    <cellStyle name="20% - Accent1 2 8 2 2 2 3" xfId="29338" xr:uid="{00000000-0005-0000-0000-000077070000}"/>
    <cellStyle name="20% - Accent1 2 8 2 2 3" xfId="15181" xr:uid="{00000000-0005-0000-0000-000078070000}"/>
    <cellStyle name="20% - Accent1 2 8 2 2 3 2" xfId="34581" xr:uid="{00000000-0005-0000-0000-000079070000}"/>
    <cellStyle name="20% - Accent1 2 8 2 2 4" xfId="24883" xr:uid="{00000000-0005-0000-0000-00007A070000}"/>
    <cellStyle name="20% - Accent1 2 8 2 3" xfId="7412" xr:uid="{00000000-0005-0000-0000-00007B070000}"/>
    <cellStyle name="20% - Accent1 2 8 2 3 2" xfId="17408" xr:uid="{00000000-0005-0000-0000-00007C070000}"/>
    <cellStyle name="20% - Accent1 2 8 2 3 2 2" xfId="36808" xr:uid="{00000000-0005-0000-0000-00007D070000}"/>
    <cellStyle name="20% - Accent1 2 8 2 3 3" xfId="27110" xr:uid="{00000000-0005-0000-0000-00007E070000}"/>
    <cellStyle name="20% - Accent1 2 8 2 4" xfId="12953" xr:uid="{00000000-0005-0000-0000-00007F070000}"/>
    <cellStyle name="20% - Accent1 2 8 2 4 2" xfId="32353" xr:uid="{00000000-0005-0000-0000-000080070000}"/>
    <cellStyle name="20% - Accent1 2 8 2 5" xfId="22655" xr:uid="{00000000-0005-0000-0000-000081070000}"/>
    <cellStyle name="20% - Accent1 2 8 3" xfId="3490" xr:uid="{00000000-0005-0000-0000-000082070000}"/>
    <cellStyle name="20% - Accent1 2 8 3 2" xfId="4620" xr:uid="{00000000-0005-0000-0000-000083070000}"/>
    <cellStyle name="20% - Accent1 2 8 3 2 2" xfId="9084" xr:uid="{00000000-0005-0000-0000-000084070000}"/>
    <cellStyle name="20% - Accent1 2 8 3 2 2 2" xfId="19080" xr:uid="{00000000-0005-0000-0000-000085070000}"/>
    <cellStyle name="20% - Accent1 2 8 3 2 2 2 2" xfId="38480" xr:uid="{00000000-0005-0000-0000-000086070000}"/>
    <cellStyle name="20% - Accent1 2 8 3 2 2 3" xfId="28782" xr:uid="{00000000-0005-0000-0000-000087070000}"/>
    <cellStyle name="20% - Accent1 2 8 3 2 3" xfId="14625" xr:uid="{00000000-0005-0000-0000-000088070000}"/>
    <cellStyle name="20% - Accent1 2 8 3 2 3 2" xfId="34025" xr:uid="{00000000-0005-0000-0000-000089070000}"/>
    <cellStyle name="20% - Accent1 2 8 3 2 4" xfId="24327" xr:uid="{00000000-0005-0000-0000-00008A070000}"/>
    <cellStyle name="20% - Accent1 2 8 3 3" xfId="7969" xr:uid="{00000000-0005-0000-0000-00008B070000}"/>
    <cellStyle name="20% - Accent1 2 8 3 3 2" xfId="17965" xr:uid="{00000000-0005-0000-0000-00008C070000}"/>
    <cellStyle name="20% - Accent1 2 8 3 3 2 2" xfId="37365" xr:uid="{00000000-0005-0000-0000-00008D070000}"/>
    <cellStyle name="20% - Accent1 2 8 3 3 3" xfId="27667" xr:uid="{00000000-0005-0000-0000-00008E070000}"/>
    <cellStyle name="20% - Accent1 2 8 3 4" xfId="13510" xr:uid="{00000000-0005-0000-0000-00008F070000}"/>
    <cellStyle name="20% - Accent1 2 8 3 4 2" xfId="32910" xr:uid="{00000000-0005-0000-0000-000090070000}"/>
    <cellStyle name="20% - Accent1 2 8 3 5" xfId="23212" xr:uid="{00000000-0005-0000-0000-000091070000}"/>
    <cellStyle name="20% - Accent1 2 8 4" xfId="4063" xr:uid="{00000000-0005-0000-0000-000092070000}"/>
    <cellStyle name="20% - Accent1 2 8 4 2" xfId="8527" xr:uid="{00000000-0005-0000-0000-000093070000}"/>
    <cellStyle name="20% - Accent1 2 8 4 2 2" xfId="18523" xr:uid="{00000000-0005-0000-0000-000094070000}"/>
    <cellStyle name="20% - Accent1 2 8 4 2 2 2" xfId="37923" xr:uid="{00000000-0005-0000-0000-000095070000}"/>
    <cellStyle name="20% - Accent1 2 8 4 2 3" xfId="28225" xr:uid="{00000000-0005-0000-0000-000096070000}"/>
    <cellStyle name="20% - Accent1 2 8 4 3" xfId="14068" xr:uid="{00000000-0005-0000-0000-000097070000}"/>
    <cellStyle name="20% - Accent1 2 8 4 3 2" xfId="33468" xr:uid="{00000000-0005-0000-0000-000098070000}"/>
    <cellStyle name="20% - Accent1 2 8 4 4" xfId="23770" xr:uid="{00000000-0005-0000-0000-000099070000}"/>
    <cellStyle name="20% - Accent1 2 8 5" xfId="5733" xr:uid="{00000000-0005-0000-0000-00009A070000}"/>
    <cellStyle name="20% - Accent1 2 8 5 2" xfId="10197" xr:uid="{00000000-0005-0000-0000-00009B070000}"/>
    <cellStyle name="20% - Accent1 2 8 5 2 2" xfId="20193" xr:uid="{00000000-0005-0000-0000-00009C070000}"/>
    <cellStyle name="20% - Accent1 2 8 5 2 2 2" xfId="39593" xr:uid="{00000000-0005-0000-0000-00009D070000}"/>
    <cellStyle name="20% - Accent1 2 8 5 2 3" xfId="29895" xr:uid="{00000000-0005-0000-0000-00009E070000}"/>
    <cellStyle name="20% - Accent1 2 8 5 3" xfId="15738" xr:uid="{00000000-0005-0000-0000-00009F070000}"/>
    <cellStyle name="20% - Accent1 2 8 5 3 2" xfId="35138" xr:uid="{00000000-0005-0000-0000-0000A0070000}"/>
    <cellStyle name="20% - Accent1 2 8 5 4" xfId="25440" xr:uid="{00000000-0005-0000-0000-0000A1070000}"/>
    <cellStyle name="20% - Accent1 2 8 6" xfId="6299" xr:uid="{00000000-0005-0000-0000-0000A2070000}"/>
    <cellStyle name="20% - Accent1 2 8 6 2" xfId="10754" xr:uid="{00000000-0005-0000-0000-0000A3070000}"/>
    <cellStyle name="20% - Accent1 2 8 6 2 2" xfId="20750" xr:uid="{00000000-0005-0000-0000-0000A4070000}"/>
    <cellStyle name="20% - Accent1 2 8 6 2 2 2" xfId="40150" xr:uid="{00000000-0005-0000-0000-0000A5070000}"/>
    <cellStyle name="20% - Accent1 2 8 6 2 3" xfId="30452" xr:uid="{00000000-0005-0000-0000-0000A6070000}"/>
    <cellStyle name="20% - Accent1 2 8 6 3" xfId="16295" xr:uid="{00000000-0005-0000-0000-0000A7070000}"/>
    <cellStyle name="20% - Accent1 2 8 6 3 2" xfId="35695" xr:uid="{00000000-0005-0000-0000-0000A8070000}"/>
    <cellStyle name="20% - Accent1 2 8 6 4" xfId="25997" xr:uid="{00000000-0005-0000-0000-0000A9070000}"/>
    <cellStyle name="20% - Accent1 2 8 7" xfId="6856" xr:uid="{00000000-0005-0000-0000-0000AA070000}"/>
    <cellStyle name="20% - Accent1 2 8 7 2" xfId="16852" xr:uid="{00000000-0005-0000-0000-0000AB070000}"/>
    <cellStyle name="20% - Accent1 2 8 7 2 2" xfId="36252" xr:uid="{00000000-0005-0000-0000-0000AC070000}"/>
    <cellStyle name="20% - Accent1 2 8 7 3" xfId="26554" xr:uid="{00000000-0005-0000-0000-0000AD070000}"/>
    <cellStyle name="20% - Accent1 2 8 8" xfId="12396" xr:uid="{00000000-0005-0000-0000-0000AE070000}"/>
    <cellStyle name="20% - Accent1 2 8 8 2" xfId="31797" xr:uid="{00000000-0005-0000-0000-0000AF070000}"/>
    <cellStyle name="20% - Accent1 2 8 9" xfId="22099" xr:uid="{00000000-0005-0000-0000-0000B0070000}"/>
    <cellStyle name="20% - Accent1 2 9" xfId="1963" xr:uid="{00000000-0005-0000-0000-0000B1070000}"/>
    <cellStyle name="20% - Accent1 20" xfId="1079" xr:uid="{00000000-0005-0000-0000-0000B2070000}"/>
    <cellStyle name="20% - Accent1 20 2" xfId="11950" xr:uid="{00000000-0005-0000-0000-0000B3070000}"/>
    <cellStyle name="20% - Accent1 20 2 2" xfId="21654" xr:uid="{00000000-0005-0000-0000-0000B4070000}"/>
    <cellStyle name="20% - Accent1 20 2 2 2" xfId="41054" xr:uid="{00000000-0005-0000-0000-0000B5070000}"/>
    <cellStyle name="20% - Accent1 20 2 3" xfId="31356" xr:uid="{00000000-0005-0000-0000-0000B6070000}"/>
    <cellStyle name="20% - Accent1 20 3" xfId="12306" xr:uid="{00000000-0005-0000-0000-0000B7070000}"/>
    <cellStyle name="20% - Accent1 20 3 2" xfId="31709" xr:uid="{00000000-0005-0000-0000-0000B8070000}"/>
    <cellStyle name="20% - Accent1 20 4" xfId="22011" xr:uid="{00000000-0005-0000-0000-0000B9070000}"/>
    <cellStyle name="20% - Accent1 21" xfId="11833" xr:uid="{00000000-0005-0000-0000-0000BA070000}"/>
    <cellStyle name="20% - Accent1 21 2" xfId="21537" xr:uid="{00000000-0005-0000-0000-0000BB070000}"/>
    <cellStyle name="20% - Accent1 21 2 2" xfId="40937" xr:uid="{00000000-0005-0000-0000-0000BC070000}"/>
    <cellStyle name="20% - Accent1 21 3" xfId="31239" xr:uid="{00000000-0005-0000-0000-0000BD070000}"/>
    <cellStyle name="20% - Accent1 22" xfId="12189" xr:uid="{00000000-0005-0000-0000-0000BE070000}"/>
    <cellStyle name="20% - Accent1 22 2" xfId="31592" xr:uid="{00000000-0005-0000-0000-0000BF070000}"/>
    <cellStyle name="20% - Accent1 23" xfId="21894" xr:uid="{00000000-0005-0000-0000-0000C0070000}"/>
    <cellStyle name="20% - Accent1 3" xfId="8" xr:uid="{00000000-0005-0000-0000-0000C1070000}"/>
    <cellStyle name="20% - Accent1 3 2" xfId="1964" xr:uid="{00000000-0005-0000-0000-0000C2070000}"/>
    <cellStyle name="20% - Accent1 3 3" xfId="2604" xr:uid="{00000000-0005-0000-0000-0000C3070000}"/>
    <cellStyle name="20% - Accent1 3 4" xfId="11371" xr:uid="{00000000-0005-0000-0000-0000C4070000}"/>
    <cellStyle name="20% - Accent1 3 5" xfId="1265" xr:uid="{00000000-0005-0000-0000-0000C5070000}"/>
    <cellStyle name="20% - Accent1 4" xfId="9" xr:uid="{00000000-0005-0000-0000-0000C6070000}"/>
    <cellStyle name="20% - Accent1 4 2" xfId="2770" xr:uid="{00000000-0005-0000-0000-0000C7070000}"/>
    <cellStyle name="20% - Accent1 4 3" xfId="11372" xr:uid="{00000000-0005-0000-0000-0000C8070000}"/>
    <cellStyle name="20% - Accent1 4 4" xfId="1264" xr:uid="{00000000-0005-0000-0000-0000C9070000}"/>
    <cellStyle name="20% - Accent1 5" xfId="10" xr:uid="{00000000-0005-0000-0000-0000CA070000}"/>
    <cellStyle name="20% - Accent1 5 2" xfId="11373" xr:uid="{00000000-0005-0000-0000-0000CB070000}"/>
    <cellStyle name="20% - Accent1 5 3" xfId="1662" xr:uid="{00000000-0005-0000-0000-0000CC070000}"/>
    <cellStyle name="20% - Accent1 6" xfId="11" xr:uid="{00000000-0005-0000-0000-0000CD070000}"/>
    <cellStyle name="20% - Accent1 6 2" xfId="11374" xr:uid="{00000000-0005-0000-0000-0000CE070000}"/>
    <cellStyle name="20% - Accent1 6 3" xfId="1823" xr:uid="{00000000-0005-0000-0000-0000CF070000}"/>
    <cellStyle name="20% - Accent1 7" xfId="12" xr:uid="{00000000-0005-0000-0000-0000D0070000}"/>
    <cellStyle name="20% - Accent1 8" xfId="13" xr:uid="{00000000-0005-0000-0000-0000D1070000}"/>
    <cellStyle name="20% - Accent1 9" xfId="14" xr:uid="{00000000-0005-0000-0000-0000D2070000}"/>
    <cellStyle name="20% - Accent2" xfId="945" builtinId="34" customBuiltin="1"/>
    <cellStyle name="20% - Accent2 10" xfId="15" xr:uid="{00000000-0005-0000-0000-0000D4070000}"/>
    <cellStyle name="20% - Accent2 11" xfId="16" xr:uid="{00000000-0005-0000-0000-0000D5070000}"/>
    <cellStyle name="20% - Accent2 12" xfId="17" xr:uid="{00000000-0005-0000-0000-0000D6070000}"/>
    <cellStyle name="20% - Accent2 13" xfId="18" xr:uid="{00000000-0005-0000-0000-0000D7070000}"/>
    <cellStyle name="20% - Accent2 14" xfId="19" xr:uid="{00000000-0005-0000-0000-0000D8070000}"/>
    <cellStyle name="20% - Accent2 15" xfId="20" xr:uid="{00000000-0005-0000-0000-0000D9070000}"/>
    <cellStyle name="20% - Accent2 16" xfId="671" xr:uid="{00000000-0005-0000-0000-0000DA070000}"/>
    <cellStyle name="20% - Accent2 17" xfId="991" xr:uid="{00000000-0005-0000-0000-0000DB070000}"/>
    <cellStyle name="20% - Accent2 17 2" xfId="11862" xr:uid="{00000000-0005-0000-0000-0000DC070000}"/>
    <cellStyle name="20% - Accent2 17 2 2" xfId="21566" xr:uid="{00000000-0005-0000-0000-0000DD070000}"/>
    <cellStyle name="20% - Accent2 17 2 2 2" xfId="40966" xr:uid="{00000000-0005-0000-0000-0000DE070000}"/>
    <cellStyle name="20% - Accent2 17 2 3" xfId="31268" xr:uid="{00000000-0005-0000-0000-0000DF070000}"/>
    <cellStyle name="20% - Accent2 17 3" xfId="12218" xr:uid="{00000000-0005-0000-0000-0000E0070000}"/>
    <cellStyle name="20% - Accent2 17 3 2" xfId="31621" xr:uid="{00000000-0005-0000-0000-0000E1070000}"/>
    <cellStyle name="20% - Accent2 17 4" xfId="21923" xr:uid="{00000000-0005-0000-0000-0000E2070000}"/>
    <cellStyle name="20% - Accent2 18" xfId="1018" xr:uid="{00000000-0005-0000-0000-0000E3070000}"/>
    <cellStyle name="20% - Accent2 18 2" xfId="11889" xr:uid="{00000000-0005-0000-0000-0000E4070000}"/>
    <cellStyle name="20% - Accent2 18 2 2" xfId="21593" xr:uid="{00000000-0005-0000-0000-0000E5070000}"/>
    <cellStyle name="20% - Accent2 18 2 2 2" xfId="40993" xr:uid="{00000000-0005-0000-0000-0000E6070000}"/>
    <cellStyle name="20% - Accent2 18 2 3" xfId="31295" xr:uid="{00000000-0005-0000-0000-0000E7070000}"/>
    <cellStyle name="20% - Accent2 18 3" xfId="12245" xr:uid="{00000000-0005-0000-0000-0000E8070000}"/>
    <cellStyle name="20% - Accent2 18 3 2" xfId="31648" xr:uid="{00000000-0005-0000-0000-0000E9070000}"/>
    <cellStyle name="20% - Accent2 18 4" xfId="21950" xr:uid="{00000000-0005-0000-0000-0000EA070000}"/>
    <cellStyle name="20% - Accent2 19" xfId="1066" xr:uid="{00000000-0005-0000-0000-0000EB070000}"/>
    <cellStyle name="20% - Accent2 19 2" xfId="11937" xr:uid="{00000000-0005-0000-0000-0000EC070000}"/>
    <cellStyle name="20% - Accent2 19 2 2" xfId="21641" xr:uid="{00000000-0005-0000-0000-0000ED070000}"/>
    <cellStyle name="20% - Accent2 19 2 2 2" xfId="41041" xr:uid="{00000000-0005-0000-0000-0000EE070000}"/>
    <cellStyle name="20% - Accent2 19 2 3" xfId="31343" xr:uid="{00000000-0005-0000-0000-0000EF070000}"/>
    <cellStyle name="20% - Accent2 19 3" xfId="12293" xr:uid="{00000000-0005-0000-0000-0000F0070000}"/>
    <cellStyle name="20% - Accent2 19 3 2" xfId="31696" xr:uid="{00000000-0005-0000-0000-0000F1070000}"/>
    <cellStyle name="20% - Accent2 19 4" xfId="21998" xr:uid="{00000000-0005-0000-0000-0000F2070000}"/>
    <cellStyle name="20% - Accent2 2" xfId="21" xr:uid="{00000000-0005-0000-0000-0000F3070000}"/>
    <cellStyle name="20% - Accent2 2 10" xfId="1965" xr:uid="{00000000-0005-0000-0000-0000F4070000}"/>
    <cellStyle name="20% - Accent2 2 10 2" xfId="2966" xr:uid="{00000000-0005-0000-0000-0000F5070000}"/>
    <cellStyle name="20% - Accent2 2 10 2 2" xfId="5235" xr:uid="{00000000-0005-0000-0000-0000F6070000}"/>
    <cellStyle name="20% - Accent2 2 10 2 2 2" xfId="9699" xr:uid="{00000000-0005-0000-0000-0000F7070000}"/>
    <cellStyle name="20% - Accent2 2 10 2 2 2 2" xfId="19695" xr:uid="{00000000-0005-0000-0000-0000F8070000}"/>
    <cellStyle name="20% - Accent2 2 10 2 2 2 2 2" xfId="39095" xr:uid="{00000000-0005-0000-0000-0000F9070000}"/>
    <cellStyle name="20% - Accent2 2 10 2 2 2 3" xfId="29397" xr:uid="{00000000-0005-0000-0000-0000FA070000}"/>
    <cellStyle name="20% - Accent2 2 10 2 2 3" xfId="15240" xr:uid="{00000000-0005-0000-0000-0000FB070000}"/>
    <cellStyle name="20% - Accent2 2 10 2 2 3 2" xfId="34640" xr:uid="{00000000-0005-0000-0000-0000FC070000}"/>
    <cellStyle name="20% - Accent2 2 10 2 2 4" xfId="24942" xr:uid="{00000000-0005-0000-0000-0000FD070000}"/>
    <cellStyle name="20% - Accent2 2 10 2 3" xfId="7471" xr:uid="{00000000-0005-0000-0000-0000FE070000}"/>
    <cellStyle name="20% - Accent2 2 10 2 3 2" xfId="17467" xr:uid="{00000000-0005-0000-0000-0000FF070000}"/>
    <cellStyle name="20% - Accent2 2 10 2 3 2 2" xfId="36867" xr:uid="{00000000-0005-0000-0000-000000080000}"/>
    <cellStyle name="20% - Accent2 2 10 2 3 3" xfId="27169" xr:uid="{00000000-0005-0000-0000-000001080000}"/>
    <cellStyle name="20% - Accent2 2 10 2 4" xfId="13012" xr:uid="{00000000-0005-0000-0000-000002080000}"/>
    <cellStyle name="20% - Accent2 2 10 2 4 2" xfId="32412" xr:uid="{00000000-0005-0000-0000-000003080000}"/>
    <cellStyle name="20% - Accent2 2 10 2 5" xfId="22714" xr:uid="{00000000-0005-0000-0000-000004080000}"/>
    <cellStyle name="20% - Accent2 2 10 3" xfId="3549" xr:uid="{00000000-0005-0000-0000-000005080000}"/>
    <cellStyle name="20% - Accent2 2 10 3 2" xfId="4679" xr:uid="{00000000-0005-0000-0000-000006080000}"/>
    <cellStyle name="20% - Accent2 2 10 3 2 2" xfId="9143" xr:uid="{00000000-0005-0000-0000-000007080000}"/>
    <cellStyle name="20% - Accent2 2 10 3 2 2 2" xfId="19139" xr:uid="{00000000-0005-0000-0000-000008080000}"/>
    <cellStyle name="20% - Accent2 2 10 3 2 2 2 2" xfId="38539" xr:uid="{00000000-0005-0000-0000-000009080000}"/>
    <cellStyle name="20% - Accent2 2 10 3 2 2 3" xfId="28841" xr:uid="{00000000-0005-0000-0000-00000A080000}"/>
    <cellStyle name="20% - Accent2 2 10 3 2 3" xfId="14684" xr:uid="{00000000-0005-0000-0000-00000B080000}"/>
    <cellStyle name="20% - Accent2 2 10 3 2 3 2" xfId="34084" xr:uid="{00000000-0005-0000-0000-00000C080000}"/>
    <cellStyle name="20% - Accent2 2 10 3 2 4" xfId="24386" xr:uid="{00000000-0005-0000-0000-00000D080000}"/>
    <cellStyle name="20% - Accent2 2 10 3 3" xfId="8028" xr:uid="{00000000-0005-0000-0000-00000E080000}"/>
    <cellStyle name="20% - Accent2 2 10 3 3 2" xfId="18024" xr:uid="{00000000-0005-0000-0000-00000F080000}"/>
    <cellStyle name="20% - Accent2 2 10 3 3 2 2" xfId="37424" xr:uid="{00000000-0005-0000-0000-000010080000}"/>
    <cellStyle name="20% - Accent2 2 10 3 3 3" xfId="27726" xr:uid="{00000000-0005-0000-0000-000011080000}"/>
    <cellStyle name="20% - Accent2 2 10 3 4" xfId="13569" xr:uid="{00000000-0005-0000-0000-000012080000}"/>
    <cellStyle name="20% - Accent2 2 10 3 4 2" xfId="32969" xr:uid="{00000000-0005-0000-0000-000013080000}"/>
    <cellStyle name="20% - Accent2 2 10 3 5" xfId="23271" xr:uid="{00000000-0005-0000-0000-000014080000}"/>
    <cellStyle name="20% - Accent2 2 10 4" xfId="4122" xr:uid="{00000000-0005-0000-0000-000015080000}"/>
    <cellStyle name="20% - Accent2 2 10 4 2" xfId="8586" xr:uid="{00000000-0005-0000-0000-000016080000}"/>
    <cellStyle name="20% - Accent2 2 10 4 2 2" xfId="18582" xr:uid="{00000000-0005-0000-0000-000017080000}"/>
    <cellStyle name="20% - Accent2 2 10 4 2 2 2" xfId="37982" xr:uid="{00000000-0005-0000-0000-000018080000}"/>
    <cellStyle name="20% - Accent2 2 10 4 2 3" xfId="28284" xr:uid="{00000000-0005-0000-0000-000019080000}"/>
    <cellStyle name="20% - Accent2 2 10 4 3" xfId="14127" xr:uid="{00000000-0005-0000-0000-00001A080000}"/>
    <cellStyle name="20% - Accent2 2 10 4 3 2" xfId="33527" xr:uid="{00000000-0005-0000-0000-00001B080000}"/>
    <cellStyle name="20% - Accent2 2 10 4 4" xfId="23829" xr:uid="{00000000-0005-0000-0000-00001C080000}"/>
    <cellStyle name="20% - Accent2 2 10 5" xfId="5792" xr:uid="{00000000-0005-0000-0000-00001D080000}"/>
    <cellStyle name="20% - Accent2 2 10 5 2" xfId="10256" xr:uid="{00000000-0005-0000-0000-00001E080000}"/>
    <cellStyle name="20% - Accent2 2 10 5 2 2" xfId="20252" xr:uid="{00000000-0005-0000-0000-00001F080000}"/>
    <cellStyle name="20% - Accent2 2 10 5 2 2 2" xfId="39652" xr:uid="{00000000-0005-0000-0000-000020080000}"/>
    <cellStyle name="20% - Accent2 2 10 5 2 3" xfId="29954" xr:uid="{00000000-0005-0000-0000-000021080000}"/>
    <cellStyle name="20% - Accent2 2 10 5 3" xfId="15797" xr:uid="{00000000-0005-0000-0000-000022080000}"/>
    <cellStyle name="20% - Accent2 2 10 5 3 2" xfId="35197" xr:uid="{00000000-0005-0000-0000-000023080000}"/>
    <cellStyle name="20% - Accent2 2 10 5 4" xfId="25499" xr:uid="{00000000-0005-0000-0000-000024080000}"/>
    <cellStyle name="20% - Accent2 2 10 6" xfId="6358" xr:uid="{00000000-0005-0000-0000-000025080000}"/>
    <cellStyle name="20% - Accent2 2 10 6 2" xfId="10813" xr:uid="{00000000-0005-0000-0000-000026080000}"/>
    <cellStyle name="20% - Accent2 2 10 6 2 2" xfId="20809" xr:uid="{00000000-0005-0000-0000-000027080000}"/>
    <cellStyle name="20% - Accent2 2 10 6 2 2 2" xfId="40209" xr:uid="{00000000-0005-0000-0000-000028080000}"/>
    <cellStyle name="20% - Accent2 2 10 6 2 3" xfId="30511" xr:uid="{00000000-0005-0000-0000-000029080000}"/>
    <cellStyle name="20% - Accent2 2 10 6 3" xfId="16354" xr:uid="{00000000-0005-0000-0000-00002A080000}"/>
    <cellStyle name="20% - Accent2 2 10 6 3 2" xfId="35754" xr:uid="{00000000-0005-0000-0000-00002B080000}"/>
    <cellStyle name="20% - Accent2 2 10 6 4" xfId="26056" xr:uid="{00000000-0005-0000-0000-00002C080000}"/>
    <cellStyle name="20% - Accent2 2 10 7" xfId="6915" xr:uid="{00000000-0005-0000-0000-00002D080000}"/>
    <cellStyle name="20% - Accent2 2 10 7 2" xfId="16911" xr:uid="{00000000-0005-0000-0000-00002E080000}"/>
    <cellStyle name="20% - Accent2 2 10 7 2 2" xfId="36311" xr:uid="{00000000-0005-0000-0000-00002F080000}"/>
    <cellStyle name="20% - Accent2 2 10 7 3" xfId="26613" xr:uid="{00000000-0005-0000-0000-000030080000}"/>
    <cellStyle name="20% - Accent2 2 10 8" xfId="12455" xr:uid="{00000000-0005-0000-0000-000031080000}"/>
    <cellStyle name="20% - Accent2 2 10 8 2" xfId="31856" xr:uid="{00000000-0005-0000-0000-000032080000}"/>
    <cellStyle name="20% - Accent2 2 10 9" xfId="22158" xr:uid="{00000000-0005-0000-0000-000033080000}"/>
    <cellStyle name="20% - Accent2 2 11" xfId="11306" xr:uid="{00000000-0005-0000-0000-000034080000}"/>
    <cellStyle name="20% - Accent2 2 11 2" xfId="21291" xr:uid="{00000000-0005-0000-0000-000035080000}"/>
    <cellStyle name="20% - Accent2 2 11 2 2" xfId="40691" xr:uid="{00000000-0005-0000-0000-000036080000}"/>
    <cellStyle name="20% - Accent2 2 11 3" xfId="30993" xr:uid="{00000000-0005-0000-0000-000037080000}"/>
    <cellStyle name="20% - Accent2 2 12" xfId="11335" xr:uid="{00000000-0005-0000-0000-000038080000}"/>
    <cellStyle name="20% - Accent2 2 12 2" xfId="21317" xr:uid="{00000000-0005-0000-0000-000039080000}"/>
    <cellStyle name="20% - Accent2 2 12 2 2" xfId="40717" xr:uid="{00000000-0005-0000-0000-00003A080000}"/>
    <cellStyle name="20% - Accent2 2 12 3" xfId="31019" xr:uid="{00000000-0005-0000-0000-00003B080000}"/>
    <cellStyle name="20% - Accent2 2 13" xfId="1263" xr:uid="{00000000-0005-0000-0000-00003C080000}"/>
    <cellStyle name="20% - Accent2 2 14" xfId="1131" xr:uid="{00000000-0005-0000-0000-00003D080000}"/>
    <cellStyle name="20% - Accent2 2 14 2" xfId="12350" xr:uid="{00000000-0005-0000-0000-00003E080000}"/>
    <cellStyle name="20% - Accent2 2 14 2 2" xfId="31752" xr:uid="{00000000-0005-0000-0000-00003F080000}"/>
    <cellStyle name="20% - Accent2 2 14 3" xfId="22054" xr:uid="{00000000-0005-0000-0000-000040080000}"/>
    <cellStyle name="20% - Accent2 2 2" xfId="721" xr:uid="{00000000-0005-0000-0000-000041080000}"/>
    <cellStyle name="20% - Accent2 2 2 2" xfId="1745" xr:uid="{00000000-0005-0000-0000-000042080000}"/>
    <cellStyle name="20% - Accent2 2 2 3" xfId="1262" xr:uid="{00000000-0005-0000-0000-000043080000}"/>
    <cellStyle name="20% - Accent2 2 2 4" xfId="11678" xr:uid="{00000000-0005-0000-0000-000044080000}"/>
    <cellStyle name="20% - Accent2 2 2 4 2" xfId="21400" xr:uid="{00000000-0005-0000-0000-000045080000}"/>
    <cellStyle name="20% - Accent2 2 2 4 2 2" xfId="40800" xr:uid="{00000000-0005-0000-0000-000046080000}"/>
    <cellStyle name="20% - Accent2 2 2 4 3" xfId="31102" xr:uid="{00000000-0005-0000-0000-000047080000}"/>
    <cellStyle name="20% - Accent2 2 2 5" xfId="1161" xr:uid="{00000000-0005-0000-0000-000048080000}"/>
    <cellStyle name="20% - Accent2 2 2 6" xfId="12052" xr:uid="{00000000-0005-0000-0000-000049080000}"/>
    <cellStyle name="20% - Accent2 2 2 6 2" xfId="31455" xr:uid="{00000000-0005-0000-0000-00004A080000}"/>
    <cellStyle name="20% - Accent2 2 2 7" xfId="21757" xr:uid="{00000000-0005-0000-0000-00004B080000}"/>
    <cellStyle name="20% - Accent2 2 3" xfId="1101" xr:uid="{00000000-0005-0000-0000-00004C080000}"/>
    <cellStyle name="20% - Accent2 2 3 2" xfId="1966" xr:uid="{00000000-0005-0000-0000-00004D080000}"/>
    <cellStyle name="20% - Accent2 2 3 2 10" xfId="6916" xr:uid="{00000000-0005-0000-0000-00004E080000}"/>
    <cellStyle name="20% - Accent2 2 3 2 10 2" xfId="16912" xr:uid="{00000000-0005-0000-0000-00004F080000}"/>
    <cellStyle name="20% - Accent2 2 3 2 10 2 2" xfId="36312" xr:uid="{00000000-0005-0000-0000-000050080000}"/>
    <cellStyle name="20% - Accent2 2 3 2 10 3" xfId="26614" xr:uid="{00000000-0005-0000-0000-000051080000}"/>
    <cellStyle name="20% - Accent2 2 3 2 11" xfId="12456" xr:uid="{00000000-0005-0000-0000-000052080000}"/>
    <cellStyle name="20% - Accent2 2 3 2 11 2" xfId="31857" xr:uid="{00000000-0005-0000-0000-000053080000}"/>
    <cellStyle name="20% - Accent2 2 3 2 12" xfId="22159" xr:uid="{00000000-0005-0000-0000-000054080000}"/>
    <cellStyle name="20% - Accent2 2 3 2 2" xfId="1967" xr:uid="{00000000-0005-0000-0000-000055080000}"/>
    <cellStyle name="20% - Accent2 2 3 2 2 10" xfId="12457" xr:uid="{00000000-0005-0000-0000-000056080000}"/>
    <cellStyle name="20% - Accent2 2 3 2 2 10 2" xfId="31858" xr:uid="{00000000-0005-0000-0000-000057080000}"/>
    <cellStyle name="20% - Accent2 2 3 2 2 11" xfId="22160" xr:uid="{00000000-0005-0000-0000-000058080000}"/>
    <cellStyle name="20% - Accent2 2 3 2 2 2" xfId="1968" xr:uid="{00000000-0005-0000-0000-000059080000}"/>
    <cellStyle name="20% - Accent2 2 3 2 2 2 2" xfId="2969" xr:uid="{00000000-0005-0000-0000-00005A080000}"/>
    <cellStyle name="20% - Accent2 2 3 2 2 2 2 2" xfId="5238" xr:uid="{00000000-0005-0000-0000-00005B080000}"/>
    <cellStyle name="20% - Accent2 2 3 2 2 2 2 2 2" xfId="9702" xr:uid="{00000000-0005-0000-0000-00005C080000}"/>
    <cellStyle name="20% - Accent2 2 3 2 2 2 2 2 2 2" xfId="19698" xr:uid="{00000000-0005-0000-0000-00005D080000}"/>
    <cellStyle name="20% - Accent2 2 3 2 2 2 2 2 2 2 2" xfId="39098" xr:uid="{00000000-0005-0000-0000-00005E080000}"/>
    <cellStyle name="20% - Accent2 2 3 2 2 2 2 2 2 3" xfId="29400" xr:uid="{00000000-0005-0000-0000-00005F080000}"/>
    <cellStyle name="20% - Accent2 2 3 2 2 2 2 2 3" xfId="15243" xr:uid="{00000000-0005-0000-0000-000060080000}"/>
    <cellStyle name="20% - Accent2 2 3 2 2 2 2 2 3 2" xfId="34643" xr:uid="{00000000-0005-0000-0000-000061080000}"/>
    <cellStyle name="20% - Accent2 2 3 2 2 2 2 2 4" xfId="24945" xr:uid="{00000000-0005-0000-0000-000062080000}"/>
    <cellStyle name="20% - Accent2 2 3 2 2 2 2 3" xfId="7474" xr:uid="{00000000-0005-0000-0000-000063080000}"/>
    <cellStyle name="20% - Accent2 2 3 2 2 2 2 3 2" xfId="17470" xr:uid="{00000000-0005-0000-0000-000064080000}"/>
    <cellStyle name="20% - Accent2 2 3 2 2 2 2 3 2 2" xfId="36870" xr:uid="{00000000-0005-0000-0000-000065080000}"/>
    <cellStyle name="20% - Accent2 2 3 2 2 2 2 3 3" xfId="27172" xr:uid="{00000000-0005-0000-0000-000066080000}"/>
    <cellStyle name="20% - Accent2 2 3 2 2 2 2 4" xfId="13015" xr:uid="{00000000-0005-0000-0000-000067080000}"/>
    <cellStyle name="20% - Accent2 2 3 2 2 2 2 4 2" xfId="32415" xr:uid="{00000000-0005-0000-0000-000068080000}"/>
    <cellStyle name="20% - Accent2 2 3 2 2 2 2 5" xfId="22717" xr:uid="{00000000-0005-0000-0000-000069080000}"/>
    <cellStyle name="20% - Accent2 2 3 2 2 2 3" xfId="3552" xr:uid="{00000000-0005-0000-0000-00006A080000}"/>
    <cellStyle name="20% - Accent2 2 3 2 2 2 3 2" xfId="4682" xr:uid="{00000000-0005-0000-0000-00006B080000}"/>
    <cellStyle name="20% - Accent2 2 3 2 2 2 3 2 2" xfId="9146" xr:uid="{00000000-0005-0000-0000-00006C080000}"/>
    <cellStyle name="20% - Accent2 2 3 2 2 2 3 2 2 2" xfId="19142" xr:uid="{00000000-0005-0000-0000-00006D080000}"/>
    <cellStyle name="20% - Accent2 2 3 2 2 2 3 2 2 2 2" xfId="38542" xr:uid="{00000000-0005-0000-0000-00006E080000}"/>
    <cellStyle name="20% - Accent2 2 3 2 2 2 3 2 2 3" xfId="28844" xr:uid="{00000000-0005-0000-0000-00006F080000}"/>
    <cellStyle name="20% - Accent2 2 3 2 2 2 3 2 3" xfId="14687" xr:uid="{00000000-0005-0000-0000-000070080000}"/>
    <cellStyle name="20% - Accent2 2 3 2 2 2 3 2 3 2" xfId="34087" xr:uid="{00000000-0005-0000-0000-000071080000}"/>
    <cellStyle name="20% - Accent2 2 3 2 2 2 3 2 4" xfId="24389" xr:uid="{00000000-0005-0000-0000-000072080000}"/>
    <cellStyle name="20% - Accent2 2 3 2 2 2 3 3" xfId="8031" xr:uid="{00000000-0005-0000-0000-000073080000}"/>
    <cellStyle name="20% - Accent2 2 3 2 2 2 3 3 2" xfId="18027" xr:uid="{00000000-0005-0000-0000-000074080000}"/>
    <cellStyle name="20% - Accent2 2 3 2 2 2 3 3 2 2" xfId="37427" xr:uid="{00000000-0005-0000-0000-000075080000}"/>
    <cellStyle name="20% - Accent2 2 3 2 2 2 3 3 3" xfId="27729" xr:uid="{00000000-0005-0000-0000-000076080000}"/>
    <cellStyle name="20% - Accent2 2 3 2 2 2 3 4" xfId="13572" xr:uid="{00000000-0005-0000-0000-000077080000}"/>
    <cellStyle name="20% - Accent2 2 3 2 2 2 3 4 2" xfId="32972" xr:uid="{00000000-0005-0000-0000-000078080000}"/>
    <cellStyle name="20% - Accent2 2 3 2 2 2 3 5" xfId="23274" xr:uid="{00000000-0005-0000-0000-000079080000}"/>
    <cellStyle name="20% - Accent2 2 3 2 2 2 4" xfId="4125" xr:uid="{00000000-0005-0000-0000-00007A080000}"/>
    <cellStyle name="20% - Accent2 2 3 2 2 2 4 2" xfId="8589" xr:uid="{00000000-0005-0000-0000-00007B080000}"/>
    <cellStyle name="20% - Accent2 2 3 2 2 2 4 2 2" xfId="18585" xr:uid="{00000000-0005-0000-0000-00007C080000}"/>
    <cellStyle name="20% - Accent2 2 3 2 2 2 4 2 2 2" xfId="37985" xr:uid="{00000000-0005-0000-0000-00007D080000}"/>
    <cellStyle name="20% - Accent2 2 3 2 2 2 4 2 3" xfId="28287" xr:uid="{00000000-0005-0000-0000-00007E080000}"/>
    <cellStyle name="20% - Accent2 2 3 2 2 2 4 3" xfId="14130" xr:uid="{00000000-0005-0000-0000-00007F080000}"/>
    <cellStyle name="20% - Accent2 2 3 2 2 2 4 3 2" xfId="33530" xr:uid="{00000000-0005-0000-0000-000080080000}"/>
    <cellStyle name="20% - Accent2 2 3 2 2 2 4 4" xfId="23832" xr:uid="{00000000-0005-0000-0000-000081080000}"/>
    <cellStyle name="20% - Accent2 2 3 2 2 2 5" xfId="5795" xr:uid="{00000000-0005-0000-0000-000082080000}"/>
    <cellStyle name="20% - Accent2 2 3 2 2 2 5 2" xfId="10259" xr:uid="{00000000-0005-0000-0000-000083080000}"/>
    <cellStyle name="20% - Accent2 2 3 2 2 2 5 2 2" xfId="20255" xr:uid="{00000000-0005-0000-0000-000084080000}"/>
    <cellStyle name="20% - Accent2 2 3 2 2 2 5 2 2 2" xfId="39655" xr:uid="{00000000-0005-0000-0000-000085080000}"/>
    <cellStyle name="20% - Accent2 2 3 2 2 2 5 2 3" xfId="29957" xr:uid="{00000000-0005-0000-0000-000086080000}"/>
    <cellStyle name="20% - Accent2 2 3 2 2 2 5 3" xfId="15800" xr:uid="{00000000-0005-0000-0000-000087080000}"/>
    <cellStyle name="20% - Accent2 2 3 2 2 2 5 3 2" xfId="35200" xr:uid="{00000000-0005-0000-0000-000088080000}"/>
    <cellStyle name="20% - Accent2 2 3 2 2 2 5 4" xfId="25502" xr:uid="{00000000-0005-0000-0000-000089080000}"/>
    <cellStyle name="20% - Accent2 2 3 2 2 2 6" xfId="6361" xr:uid="{00000000-0005-0000-0000-00008A080000}"/>
    <cellStyle name="20% - Accent2 2 3 2 2 2 6 2" xfId="10816" xr:uid="{00000000-0005-0000-0000-00008B080000}"/>
    <cellStyle name="20% - Accent2 2 3 2 2 2 6 2 2" xfId="20812" xr:uid="{00000000-0005-0000-0000-00008C080000}"/>
    <cellStyle name="20% - Accent2 2 3 2 2 2 6 2 2 2" xfId="40212" xr:uid="{00000000-0005-0000-0000-00008D080000}"/>
    <cellStyle name="20% - Accent2 2 3 2 2 2 6 2 3" xfId="30514" xr:uid="{00000000-0005-0000-0000-00008E080000}"/>
    <cellStyle name="20% - Accent2 2 3 2 2 2 6 3" xfId="16357" xr:uid="{00000000-0005-0000-0000-00008F080000}"/>
    <cellStyle name="20% - Accent2 2 3 2 2 2 6 3 2" xfId="35757" xr:uid="{00000000-0005-0000-0000-000090080000}"/>
    <cellStyle name="20% - Accent2 2 3 2 2 2 6 4" xfId="26059" xr:uid="{00000000-0005-0000-0000-000091080000}"/>
    <cellStyle name="20% - Accent2 2 3 2 2 2 7" xfId="6918" xr:uid="{00000000-0005-0000-0000-000092080000}"/>
    <cellStyle name="20% - Accent2 2 3 2 2 2 7 2" xfId="16914" xr:uid="{00000000-0005-0000-0000-000093080000}"/>
    <cellStyle name="20% - Accent2 2 3 2 2 2 7 2 2" xfId="36314" xr:uid="{00000000-0005-0000-0000-000094080000}"/>
    <cellStyle name="20% - Accent2 2 3 2 2 2 7 3" xfId="26616" xr:uid="{00000000-0005-0000-0000-000095080000}"/>
    <cellStyle name="20% - Accent2 2 3 2 2 2 8" xfId="12458" xr:uid="{00000000-0005-0000-0000-000096080000}"/>
    <cellStyle name="20% - Accent2 2 3 2 2 2 8 2" xfId="31859" xr:uid="{00000000-0005-0000-0000-000097080000}"/>
    <cellStyle name="20% - Accent2 2 3 2 2 2 9" xfId="22161" xr:uid="{00000000-0005-0000-0000-000098080000}"/>
    <cellStyle name="20% - Accent2 2 3 2 2 3" xfId="1969" xr:uid="{00000000-0005-0000-0000-000099080000}"/>
    <cellStyle name="20% - Accent2 2 3 2 2 3 2" xfId="2970" xr:uid="{00000000-0005-0000-0000-00009A080000}"/>
    <cellStyle name="20% - Accent2 2 3 2 2 3 2 2" xfId="5239" xr:uid="{00000000-0005-0000-0000-00009B080000}"/>
    <cellStyle name="20% - Accent2 2 3 2 2 3 2 2 2" xfId="9703" xr:uid="{00000000-0005-0000-0000-00009C080000}"/>
    <cellStyle name="20% - Accent2 2 3 2 2 3 2 2 2 2" xfId="19699" xr:uid="{00000000-0005-0000-0000-00009D080000}"/>
    <cellStyle name="20% - Accent2 2 3 2 2 3 2 2 2 2 2" xfId="39099" xr:uid="{00000000-0005-0000-0000-00009E080000}"/>
    <cellStyle name="20% - Accent2 2 3 2 2 3 2 2 2 3" xfId="29401" xr:uid="{00000000-0005-0000-0000-00009F080000}"/>
    <cellStyle name="20% - Accent2 2 3 2 2 3 2 2 3" xfId="15244" xr:uid="{00000000-0005-0000-0000-0000A0080000}"/>
    <cellStyle name="20% - Accent2 2 3 2 2 3 2 2 3 2" xfId="34644" xr:uid="{00000000-0005-0000-0000-0000A1080000}"/>
    <cellStyle name="20% - Accent2 2 3 2 2 3 2 2 4" xfId="24946" xr:uid="{00000000-0005-0000-0000-0000A2080000}"/>
    <cellStyle name="20% - Accent2 2 3 2 2 3 2 3" xfId="7475" xr:uid="{00000000-0005-0000-0000-0000A3080000}"/>
    <cellStyle name="20% - Accent2 2 3 2 2 3 2 3 2" xfId="17471" xr:uid="{00000000-0005-0000-0000-0000A4080000}"/>
    <cellStyle name="20% - Accent2 2 3 2 2 3 2 3 2 2" xfId="36871" xr:uid="{00000000-0005-0000-0000-0000A5080000}"/>
    <cellStyle name="20% - Accent2 2 3 2 2 3 2 3 3" xfId="27173" xr:uid="{00000000-0005-0000-0000-0000A6080000}"/>
    <cellStyle name="20% - Accent2 2 3 2 2 3 2 4" xfId="13016" xr:uid="{00000000-0005-0000-0000-0000A7080000}"/>
    <cellStyle name="20% - Accent2 2 3 2 2 3 2 4 2" xfId="32416" xr:uid="{00000000-0005-0000-0000-0000A8080000}"/>
    <cellStyle name="20% - Accent2 2 3 2 2 3 2 5" xfId="22718" xr:uid="{00000000-0005-0000-0000-0000A9080000}"/>
    <cellStyle name="20% - Accent2 2 3 2 2 3 3" xfId="3553" xr:uid="{00000000-0005-0000-0000-0000AA080000}"/>
    <cellStyle name="20% - Accent2 2 3 2 2 3 3 2" xfId="4683" xr:uid="{00000000-0005-0000-0000-0000AB080000}"/>
    <cellStyle name="20% - Accent2 2 3 2 2 3 3 2 2" xfId="9147" xr:uid="{00000000-0005-0000-0000-0000AC080000}"/>
    <cellStyle name="20% - Accent2 2 3 2 2 3 3 2 2 2" xfId="19143" xr:uid="{00000000-0005-0000-0000-0000AD080000}"/>
    <cellStyle name="20% - Accent2 2 3 2 2 3 3 2 2 2 2" xfId="38543" xr:uid="{00000000-0005-0000-0000-0000AE080000}"/>
    <cellStyle name="20% - Accent2 2 3 2 2 3 3 2 2 3" xfId="28845" xr:uid="{00000000-0005-0000-0000-0000AF080000}"/>
    <cellStyle name="20% - Accent2 2 3 2 2 3 3 2 3" xfId="14688" xr:uid="{00000000-0005-0000-0000-0000B0080000}"/>
    <cellStyle name="20% - Accent2 2 3 2 2 3 3 2 3 2" xfId="34088" xr:uid="{00000000-0005-0000-0000-0000B1080000}"/>
    <cellStyle name="20% - Accent2 2 3 2 2 3 3 2 4" xfId="24390" xr:uid="{00000000-0005-0000-0000-0000B2080000}"/>
    <cellStyle name="20% - Accent2 2 3 2 2 3 3 3" xfId="8032" xr:uid="{00000000-0005-0000-0000-0000B3080000}"/>
    <cellStyle name="20% - Accent2 2 3 2 2 3 3 3 2" xfId="18028" xr:uid="{00000000-0005-0000-0000-0000B4080000}"/>
    <cellStyle name="20% - Accent2 2 3 2 2 3 3 3 2 2" xfId="37428" xr:uid="{00000000-0005-0000-0000-0000B5080000}"/>
    <cellStyle name="20% - Accent2 2 3 2 2 3 3 3 3" xfId="27730" xr:uid="{00000000-0005-0000-0000-0000B6080000}"/>
    <cellStyle name="20% - Accent2 2 3 2 2 3 3 4" xfId="13573" xr:uid="{00000000-0005-0000-0000-0000B7080000}"/>
    <cellStyle name="20% - Accent2 2 3 2 2 3 3 4 2" xfId="32973" xr:uid="{00000000-0005-0000-0000-0000B8080000}"/>
    <cellStyle name="20% - Accent2 2 3 2 2 3 3 5" xfId="23275" xr:uid="{00000000-0005-0000-0000-0000B9080000}"/>
    <cellStyle name="20% - Accent2 2 3 2 2 3 4" xfId="4126" xr:uid="{00000000-0005-0000-0000-0000BA080000}"/>
    <cellStyle name="20% - Accent2 2 3 2 2 3 4 2" xfId="8590" xr:uid="{00000000-0005-0000-0000-0000BB080000}"/>
    <cellStyle name="20% - Accent2 2 3 2 2 3 4 2 2" xfId="18586" xr:uid="{00000000-0005-0000-0000-0000BC080000}"/>
    <cellStyle name="20% - Accent2 2 3 2 2 3 4 2 2 2" xfId="37986" xr:uid="{00000000-0005-0000-0000-0000BD080000}"/>
    <cellStyle name="20% - Accent2 2 3 2 2 3 4 2 3" xfId="28288" xr:uid="{00000000-0005-0000-0000-0000BE080000}"/>
    <cellStyle name="20% - Accent2 2 3 2 2 3 4 3" xfId="14131" xr:uid="{00000000-0005-0000-0000-0000BF080000}"/>
    <cellStyle name="20% - Accent2 2 3 2 2 3 4 3 2" xfId="33531" xr:uid="{00000000-0005-0000-0000-0000C0080000}"/>
    <cellStyle name="20% - Accent2 2 3 2 2 3 4 4" xfId="23833" xr:uid="{00000000-0005-0000-0000-0000C1080000}"/>
    <cellStyle name="20% - Accent2 2 3 2 2 3 5" xfId="5796" xr:uid="{00000000-0005-0000-0000-0000C2080000}"/>
    <cellStyle name="20% - Accent2 2 3 2 2 3 5 2" xfId="10260" xr:uid="{00000000-0005-0000-0000-0000C3080000}"/>
    <cellStyle name="20% - Accent2 2 3 2 2 3 5 2 2" xfId="20256" xr:uid="{00000000-0005-0000-0000-0000C4080000}"/>
    <cellStyle name="20% - Accent2 2 3 2 2 3 5 2 2 2" xfId="39656" xr:uid="{00000000-0005-0000-0000-0000C5080000}"/>
    <cellStyle name="20% - Accent2 2 3 2 2 3 5 2 3" xfId="29958" xr:uid="{00000000-0005-0000-0000-0000C6080000}"/>
    <cellStyle name="20% - Accent2 2 3 2 2 3 5 3" xfId="15801" xr:uid="{00000000-0005-0000-0000-0000C7080000}"/>
    <cellStyle name="20% - Accent2 2 3 2 2 3 5 3 2" xfId="35201" xr:uid="{00000000-0005-0000-0000-0000C8080000}"/>
    <cellStyle name="20% - Accent2 2 3 2 2 3 5 4" xfId="25503" xr:uid="{00000000-0005-0000-0000-0000C9080000}"/>
    <cellStyle name="20% - Accent2 2 3 2 2 3 6" xfId="6362" xr:uid="{00000000-0005-0000-0000-0000CA080000}"/>
    <cellStyle name="20% - Accent2 2 3 2 2 3 6 2" xfId="10817" xr:uid="{00000000-0005-0000-0000-0000CB080000}"/>
    <cellStyle name="20% - Accent2 2 3 2 2 3 6 2 2" xfId="20813" xr:uid="{00000000-0005-0000-0000-0000CC080000}"/>
    <cellStyle name="20% - Accent2 2 3 2 2 3 6 2 2 2" xfId="40213" xr:uid="{00000000-0005-0000-0000-0000CD080000}"/>
    <cellStyle name="20% - Accent2 2 3 2 2 3 6 2 3" xfId="30515" xr:uid="{00000000-0005-0000-0000-0000CE080000}"/>
    <cellStyle name="20% - Accent2 2 3 2 2 3 6 3" xfId="16358" xr:uid="{00000000-0005-0000-0000-0000CF080000}"/>
    <cellStyle name="20% - Accent2 2 3 2 2 3 6 3 2" xfId="35758" xr:uid="{00000000-0005-0000-0000-0000D0080000}"/>
    <cellStyle name="20% - Accent2 2 3 2 2 3 6 4" xfId="26060" xr:uid="{00000000-0005-0000-0000-0000D1080000}"/>
    <cellStyle name="20% - Accent2 2 3 2 2 3 7" xfId="6919" xr:uid="{00000000-0005-0000-0000-0000D2080000}"/>
    <cellStyle name="20% - Accent2 2 3 2 2 3 7 2" xfId="16915" xr:uid="{00000000-0005-0000-0000-0000D3080000}"/>
    <cellStyle name="20% - Accent2 2 3 2 2 3 7 2 2" xfId="36315" xr:uid="{00000000-0005-0000-0000-0000D4080000}"/>
    <cellStyle name="20% - Accent2 2 3 2 2 3 7 3" xfId="26617" xr:uid="{00000000-0005-0000-0000-0000D5080000}"/>
    <cellStyle name="20% - Accent2 2 3 2 2 3 8" xfId="12459" xr:uid="{00000000-0005-0000-0000-0000D6080000}"/>
    <cellStyle name="20% - Accent2 2 3 2 2 3 8 2" xfId="31860" xr:uid="{00000000-0005-0000-0000-0000D7080000}"/>
    <cellStyle name="20% - Accent2 2 3 2 2 3 9" xfId="22162" xr:uid="{00000000-0005-0000-0000-0000D8080000}"/>
    <cellStyle name="20% - Accent2 2 3 2 2 4" xfId="2968" xr:uid="{00000000-0005-0000-0000-0000D9080000}"/>
    <cellStyle name="20% - Accent2 2 3 2 2 4 2" xfId="5237" xr:uid="{00000000-0005-0000-0000-0000DA080000}"/>
    <cellStyle name="20% - Accent2 2 3 2 2 4 2 2" xfId="9701" xr:uid="{00000000-0005-0000-0000-0000DB080000}"/>
    <cellStyle name="20% - Accent2 2 3 2 2 4 2 2 2" xfId="19697" xr:uid="{00000000-0005-0000-0000-0000DC080000}"/>
    <cellStyle name="20% - Accent2 2 3 2 2 4 2 2 2 2" xfId="39097" xr:uid="{00000000-0005-0000-0000-0000DD080000}"/>
    <cellStyle name="20% - Accent2 2 3 2 2 4 2 2 3" xfId="29399" xr:uid="{00000000-0005-0000-0000-0000DE080000}"/>
    <cellStyle name="20% - Accent2 2 3 2 2 4 2 3" xfId="15242" xr:uid="{00000000-0005-0000-0000-0000DF080000}"/>
    <cellStyle name="20% - Accent2 2 3 2 2 4 2 3 2" xfId="34642" xr:uid="{00000000-0005-0000-0000-0000E0080000}"/>
    <cellStyle name="20% - Accent2 2 3 2 2 4 2 4" xfId="24944" xr:uid="{00000000-0005-0000-0000-0000E1080000}"/>
    <cellStyle name="20% - Accent2 2 3 2 2 4 3" xfId="7473" xr:uid="{00000000-0005-0000-0000-0000E2080000}"/>
    <cellStyle name="20% - Accent2 2 3 2 2 4 3 2" xfId="17469" xr:uid="{00000000-0005-0000-0000-0000E3080000}"/>
    <cellStyle name="20% - Accent2 2 3 2 2 4 3 2 2" xfId="36869" xr:uid="{00000000-0005-0000-0000-0000E4080000}"/>
    <cellStyle name="20% - Accent2 2 3 2 2 4 3 3" xfId="27171" xr:uid="{00000000-0005-0000-0000-0000E5080000}"/>
    <cellStyle name="20% - Accent2 2 3 2 2 4 4" xfId="13014" xr:uid="{00000000-0005-0000-0000-0000E6080000}"/>
    <cellStyle name="20% - Accent2 2 3 2 2 4 4 2" xfId="32414" xr:uid="{00000000-0005-0000-0000-0000E7080000}"/>
    <cellStyle name="20% - Accent2 2 3 2 2 4 5" xfId="22716" xr:uid="{00000000-0005-0000-0000-0000E8080000}"/>
    <cellStyle name="20% - Accent2 2 3 2 2 5" xfId="3551" xr:uid="{00000000-0005-0000-0000-0000E9080000}"/>
    <cellStyle name="20% - Accent2 2 3 2 2 5 2" xfId="4681" xr:uid="{00000000-0005-0000-0000-0000EA080000}"/>
    <cellStyle name="20% - Accent2 2 3 2 2 5 2 2" xfId="9145" xr:uid="{00000000-0005-0000-0000-0000EB080000}"/>
    <cellStyle name="20% - Accent2 2 3 2 2 5 2 2 2" xfId="19141" xr:uid="{00000000-0005-0000-0000-0000EC080000}"/>
    <cellStyle name="20% - Accent2 2 3 2 2 5 2 2 2 2" xfId="38541" xr:uid="{00000000-0005-0000-0000-0000ED080000}"/>
    <cellStyle name="20% - Accent2 2 3 2 2 5 2 2 3" xfId="28843" xr:uid="{00000000-0005-0000-0000-0000EE080000}"/>
    <cellStyle name="20% - Accent2 2 3 2 2 5 2 3" xfId="14686" xr:uid="{00000000-0005-0000-0000-0000EF080000}"/>
    <cellStyle name="20% - Accent2 2 3 2 2 5 2 3 2" xfId="34086" xr:uid="{00000000-0005-0000-0000-0000F0080000}"/>
    <cellStyle name="20% - Accent2 2 3 2 2 5 2 4" xfId="24388" xr:uid="{00000000-0005-0000-0000-0000F1080000}"/>
    <cellStyle name="20% - Accent2 2 3 2 2 5 3" xfId="8030" xr:uid="{00000000-0005-0000-0000-0000F2080000}"/>
    <cellStyle name="20% - Accent2 2 3 2 2 5 3 2" xfId="18026" xr:uid="{00000000-0005-0000-0000-0000F3080000}"/>
    <cellStyle name="20% - Accent2 2 3 2 2 5 3 2 2" xfId="37426" xr:uid="{00000000-0005-0000-0000-0000F4080000}"/>
    <cellStyle name="20% - Accent2 2 3 2 2 5 3 3" xfId="27728" xr:uid="{00000000-0005-0000-0000-0000F5080000}"/>
    <cellStyle name="20% - Accent2 2 3 2 2 5 4" xfId="13571" xr:uid="{00000000-0005-0000-0000-0000F6080000}"/>
    <cellStyle name="20% - Accent2 2 3 2 2 5 4 2" xfId="32971" xr:uid="{00000000-0005-0000-0000-0000F7080000}"/>
    <cellStyle name="20% - Accent2 2 3 2 2 5 5" xfId="23273" xr:uid="{00000000-0005-0000-0000-0000F8080000}"/>
    <cellStyle name="20% - Accent2 2 3 2 2 6" xfId="4124" xr:uid="{00000000-0005-0000-0000-0000F9080000}"/>
    <cellStyle name="20% - Accent2 2 3 2 2 6 2" xfId="8588" xr:uid="{00000000-0005-0000-0000-0000FA080000}"/>
    <cellStyle name="20% - Accent2 2 3 2 2 6 2 2" xfId="18584" xr:uid="{00000000-0005-0000-0000-0000FB080000}"/>
    <cellStyle name="20% - Accent2 2 3 2 2 6 2 2 2" xfId="37984" xr:uid="{00000000-0005-0000-0000-0000FC080000}"/>
    <cellStyle name="20% - Accent2 2 3 2 2 6 2 3" xfId="28286" xr:uid="{00000000-0005-0000-0000-0000FD080000}"/>
    <cellStyle name="20% - Accent2 2 3 2 2 6 3" xfId="14129" xr:uid="{00000000-0005-0000-0000-0000FE080000}"/>
    <cellStyle name="20% - Accent2 2 3 2 2 6 3 2" xfId="33529" xr:uid="{00000000-0005-0000-0000-0000FF080000}"/>
    <cellStyle name="20% - Accent2 2 3 2 2 6 4" xfId="23831" xr:uid="{00000000-0005-0000-0000-000000090000}"/>
    <cellStyle name="20% - Accent2 2 3 2 2 7" xfId="5794" xr:uid="{00000000-0005-0000-0000-000001090000}"/>
    <cellStyle name="20% - Accent2 2 3 2 2 7 2" xfId="10258" xr:uid="{00000000-0005-0000-0000-000002090000}"/>
    <cellStyle name="20% - Accent2 2 3 2 2 7 2 2" xfId="20254" xr:uid="{00000000-0005-0000-0000-000003090000}"/>
    <cellStyle name="20% - Accent2 2 3 2 2 7 2 2 2" xfId="39654" xr:uid="{00000000-0005-0000-0000-000004090000}"/>
    <cellStyle name="20% - Accent2 2 3 2 2 7 2 3" xfId="29956" xr:uid="{00000000-0005-0000-0000-000005090000}"/>
    <cellStyle name="20% - Accent2 2 3 2 2 7 3" xfId="15799" xr:uid="{00000000-0005-0000-0000-000006090000}"/>
    <cellStyle name="20% - Accent2 2 3 2 2 7 3 2" xfId="35199" xr:uid="{00000000-0005-0000-0000-000007090000}"/>
    <cellStyle name="20% - Accent2 2 3 2 2 7 4" xfId="25501" xr:uid="{00000000-0005-0000-0000-000008090000}"/>
    <cellStyle name="20% - Accent2 2 3 2 2 8" xfId="6360" xr:uid="{00000000-0005-0000-0000-000009090000}"/>
    <cellStyle name="20% - Accent2 2 3 2 2 8 2" xfId="10815" xr:uid="{00000000-0005-0000-0000-00000A090000}"/>
    <cellStyle name="20% - Accent2 2 3 2 2 8 2 2" xfId="20811" xr:uid="{00000000-0005-0000-0000-00000B090000}"/>
    <cellStyle name="20% - Accent2 2 3 2 2 8 2 2 2" xfId="40211" xr:uid="{00000000-0005-0000-0000-00000C090000}"/>
    <cellStyle name="20% - Accent2 2 3 2 2 8 2 3" xfId="30513" xr:uid="{00000000-0005-0000-0000-00000D090000}"/>
    <cellStyle name="20% - Accent2 2 3 2 2 8 3" xfId="16356" xr:uid="{00000000-0005-0000-0000-00000E090000}"/>
    <cellStyle name="20% - Accent2 2 3 2 2 8 3 2" xfId="35756" xr:uid="{00000000-0005-0000-0000-00000F090000}"/>
    <cellStyle name="20% - Accent2 2 3 2 2 8 4" xfId="26058" xr:uid="{00000000-0005-0000-0000-000010090000}"/>
    <cellStyle name="20% - Accent2 2 3 2 2 9" xfId="6917" xr:uid="{00000000-0005-0000-0000-000011090000}"/>
    <cellStyle name="20% - Accent2 2 3 2 2 9 2" xfId="16913" xr:uid="{00000000-0005-0000-0000-000012090000}"/>
    <cellStyle name="20% - Accent2 2 3 2 2 9 2 2" xfId="36313" xr:uid="{00000000-0005-0000-0000-000013090000}"/>
    <cellStyle name="20% - Accent2 2 3 2 2 9 3" xfId="26615" xr:uid="{00000000-0005-0000-0000-000014090000}"/>
    <cellStyle name="20% - Accent2 2 3 2 3" xfId="1970" xr:uid="{00000000-0005-0000-0000-000015090000}"/>
    <cellStyle name="20% - Accent2 2 3 2 3 2" xfId="2971" xr:uid="{00000000-0005-0000-0000-000016090000}"/>
    <cellStyle name="20% - Accent2 2 3 2 3 2 2" xfId="5240" xr:uid="{00000000-0005-0000-0000-000017090000}"/>
    <cellStyle name="20% - Accent2 2 3 2 3 2 2 2" xfId="9704" xr:uid="{00000000-0005-0000-0000-000018090000}"/>
    <cellStyle name="20% - Accent2 2 3 2 3 2 2 2 2" xfId="19700" xr:uid="{00000000-0005-0000-0000-000019090000}"/>
    <cellStyle name="20% - Accent2 2 3 2 3 2 2 2 2 2" xfId="39100" xr:uid="{00000000-0005-0000-0000-00001A090000}"/>
    <cellStyle name="20% - Accent2 2 3 2 3 2 2 2 3" xfId="29402" xr:uid="{00000000-0005-0000-0000-00001B090000}"/>
    <cellStyle name="20% - Accent2 2 3 2 3 2 2 3" xfId="15245" xr:uid="{00000000-0005-0000-0000-00001C090000}"/>
    <cellStyle name="20% - Accent2 2 3 2 3 2 2 3 2" xfId="34645" xr:uid="{00000000-0005-0000-0000-00001D090000}"/>
    <cellStyle name="20% - Accent2 2 3 2 3 2 2 4" xfId="24947" xr:uid="{00000000-0005-0000-0000-00001E090000}"/>
    <cellStyle name="20% - Accent2 2 3 2 3 2 3" xfId="7476" xr:uid="{00000000-0005-0000-0000-00001F090000}"/>
    <cellStyle name="20% - Accent2 2 3 2 3 2 3 2" xfId="17472" xr:uid="{00000000-0005-0000-0000-000020090000}"/>
    <cellStyle name="20% - Accent2 2 3 2 3 2 3 2 2" xfId="36872" xr:uid="{00000000-0005-0000-0000-000021090000}"/>
    <cellStyle name="20% - Accent2 2 3 2 3 2 3 3" xfId="27174" xr:uid="{00000000-0005-0000-0000-000022090000}"/>
    <cellStyle name="20% - Accent2 2 3 2 3 2 4" xfId="13017" xr:uid="{00000000-0005-0000-0000-000023090000}"/>
    <cellStyle name="20% - Accent2 2 3 2 3 2 4 2" xfId="32417" xr:uid="{00000000-0005-0000-0000-000024090000}"/>
    <cellStyle name="20% - Accent2 2 3 2 3 2 5" xfId="22719" xr:uid="{00000000-0005-0000-0000-000025090000}"/>
    <cellStyle name="20% - Accent2 2 3 2 3 3" xfId="3554" xr:uid="{00000000-0005-0000-0000-000026090000}"/>
    <cellStyle name="20% - Accent2 2 3 2 3 3 2" xfId="4684" xr:uid="{00000000-0005-0000-0000-000027090000}"/>
    <cellStyle name="20% - Accent2 2 3 2 3 3 2 2" xfId="9148" xr:uid="{00000000-0005-0000-0000-000028090000}"/>
    <cellStyle name="20% - Accent2 2 3 2 3 3 2 2 2" xfId="19144" xr:uid="{00000000-0005-0000-0000-000029090000}"/>
    <cellStyle name="20% - Accent2 2 3 2 3 3 2 2 2 2" xfId="38544" xr:uid="{00000000-0005-0000-0000-00002A090000}"/>
    <cellStyle name="20% - Accent2 2 3 2 3 3 2 2 3" xfId="28846" xr:uid="{00000000-0005-0000-0000-00002B090000}"/>
    <cellStyle name="20% - Accent2 2 3 2 3 3 2 3" xfId="14689" xr:uid="{00000000-0005-0000-0000-00002C090000}"/>
    <cellStyle name="20% - Accent2 2 3 2 3 3 2 3 2" xfId="34089" xr:uid="{00000000-0005-0000-0000-00002D090000}"/>
    <cellStyle name="20% - Accent2 2 3 2 3 3 2 4" xfId="24391" xr:uid="{00000000-0005-0000-0000-00002E090000}"/>
    <cellStyle name="20% - Accent2 2 3 2 3 3 3" xfId="8033" xr:uid="{00000000-0005-0000-0000-00002F090000}"/>
    <cellStyle name="20% - Accent2 2 3 2 3 3 3 2" xfId="18029" xr:uid="{00000000-0005-0000-0000-000030090000}"/>
    <cellStyle name="20% - Accent2 2 3 2 3 3 3 2 2" xfId="37429" xr:uid="{00000000-0005-0000-0000-000031090000}"/>
    <cellStyle name="20% - Accent2 2 3 2 3 3 3 3" xfId="27731" xr:uid="{00000000-0005-0000-0000-000032090000}"/>
    <cellStyle name="20% - Accent2 2 3 2 3 3 4" xfId="13574" xr:uid="{00000000-0005-0000-0000-000033090000}"/>
    <cellStyle name="20% - Accent2 2 3 2 3 3 4 2" xfId="32974" xr:uid="{00000000-0005-0000-0000-000034090000}"/>
    <cellStyle name="20% - Accent2 2 3 2 3 3 5" xfId="23276" xr:uid="{00000000-0005-0000-0000-000035090000}"/>
    <cellStyle name="20% - Accent2 2 3 2 3 4" xfId="4127" xr:uid="{00000000-0005-0000-0000-000036090000}"/>
    <cellStyle name="20% - Accent2 2 3 2 3 4 2" xfId="8591" xr:uid="{00000000-0005-0000-0000-000037090000}"/>
    <cellStyle name="20% - Accent2 2 3 2 3 4 2 2" xfId="18587" xr:uid="{00000000-0005-0000-0000-000038090000}"/>
    <cellStyle name="20% - Accent2 2 3 2 3 4 2 2 2" xfId="37987" xr:uid="{00000000-0005-0000-0000-000039090000}"/>
    <cellStyle name="20% - Accent2 2 3 2 3 4 2 3" xfId="28289" xr:uid="{00000000-0005-0000-0000-00003A090000}"/>
    <cellStyle name="20% - Accent2 2 3 2 3 4 3" xfId="14132" xr:uid="{00000000-0005-0000-0000-00003B090000}"/>
    <cellStyle name="20% - Accent2 2 3 2 3 4 3 2" xfId="33532" xr:uid="{00000000-0005-0000-0000-00003C090000}"/>
    <cellStyle name="20% - Accent2 2 3 2 3 4 4" xfId="23834" xr:uid="{00000000-0005-0000-0000-00003D090000}"/>
    <cellStyle name="20% - Accent2 2 3 2 3 5" xfId="5797" xr:uid="{00000000-0005-0000-0000-00003E090000}"/>
    <cellStyle name="20% - Accent2 2 3 2 3 5 2" xfId="10261" xr:uid="{00000000-0005-0000-0000-00003F090000}"/>
    <cellStyle name="20% - Accent2 2 3 2 3 5 2 2" xfId="20257" xr:uid="{00000000-0005-0000-0000-000040090000}"/>
    <cellStyle name="20% - Accent2 2 3 2 3 5 2 2 2" xfId="39657" xr:uid="{00000000-0005-0000-0000-000041090000}"/>
    <cellStyle name="20% - Accent2 2 3 2 3 5 2 3" xfId="29959" xr:uid="{00000000-0005-0000-0000-000042090000}"/>
    <cellStyle name="20% - Accent2 2 3 2 3 5 3" xfId="15802" xr:uid="{00000000-0005-0000-0000-000043090000}"/>
    <cellStyle name="20% - Accent2 2 3 2 3 5 3 2" xfId="35202" xr:uid="{00000000-0005-0000-0000-000044090000}"/>
    <cellStyle name="20% - Accent2 2 3 2 3 5 4" xfId="25504" xr:uid="{00000000-0005-0000-0000-000045090000}"/>
    <cellStyle name="20% - Accent2 2 3 2 3 6" xfId="6363" xr:uid="{00000000-0005-0000-0000-000046090000}"/>
    <cellStyle name="20% - Accent2 2 3 2 3 6 2" xfId="10818" xr:uid="{00000000-0005-0000-0000-000047090000}"/>
    <cellStyle name="20% - Accent2 2 3 2 3 6 2 2" xfId="20814" xr:uid="{00000000-0005-0000-0000-000048090000}"/>
    <cellStyle name="20% - Accent2 2 3 2 3 6 2 2 2" xfId="40214" xr:uid="{00000000-0005-0000-0000-000049090000}"/>
    <cellStyle name="20% - Accent2 2 3 2 3 6 2 3" xfId="30516" xr:uid="{00000000-0005-0000-0000-00004A090000}"/>
    <cellStyle name="20% - Accent2 2 3 2 3 6 3" xfId="16359" xr:uid="{00000000-0005-0000-0000-00004B090000}"/>
    <cellStyle name="20% - Accent2 2 3 2 3 6 3 2" xfId="35759" xr:uid="{00000000-0005-0000-0000-00004C090000}"/>
    <cellStyle name="20% - Accent2 2 3 2 3 6 4" xfId="26061" xr:uid="{00000000-0005-0000-0000-00004D090000}"/>
    <cellStyle name="20% - Accent2 2 3 2 3 7" xfId="6920" xr:uid="{00000000-0005-0000-0000-00004E090000}"/>
    <cellStyle name="20% - Accent2 2 3 2 3 7 2" xfId="16916" xr:uid="{00000000-0005-0000-0000-00004F090000}"/>
    <cellStyle name="20% - Accent2 2 3 2 3 7 2 2" xfId="36316" xr:uid="{00000000-0005-0000-0000-000050090000}"/>
    <cellStyle name="20% - Accent2 2 3 2 3 7 3" xfId="26618" xr:uid="{00000000-0005-0000-0000-000051090000}"/>
    <cellStyle name="20% - Accent2 2 3 2 3 8" xfId="12460" xr:uid="{00000000-0005-0000-0000-000052090000}"/>
    <cellStyle name="20% - Accent2 2 3 2 3 8 2" xfId="31861" xr:uid="{00000000-0005-0000-0000-000053090000}"/>
    <cellStyle name="20% - Accent2 2 3 2 3 9" xfId="22163" xr:uid="{00000000-0005-0000-0000-000054090000}"/>
    <cellStyle name="20% - Accent2 2 3 2 4" xfId="1971" xr:uid="{00000000-0005-0000-0000-000055090000}"/>
    <cellStyle name="20% - Accent2 2 3 2 4 2" xfId="2972" xr:uid="{00000000-0005-0000-0000-000056090000}"/>
    <cellStyle name="20% - Accent2 2 3 2 4 2 2" xfId="5241" xr:uid="{00000000-0005-0000-0000-000057090000}"/>
    <cellStyle name="20% - Accent2 2 3 2 4 2 2 2" xfId="9705" xr:uid="{00000000-0005-0000-0000-000058090000}"/>
    <cellStyle name="20% - Accent2 2 3 2 4 2 2 2 2" xfId="19701" xr:uid="{00000000-0005-0000-0000-000059090000}"/>
    <cellStyle name="20% - Accent2 2 3 2 4 2 2 2 2 2" xfId="39101" xr:uid="{00000000-0005-0000-0000-00005A090000}"/>
    <cellStyle name="20% - Accent2 2 3 2 4 2 2 2 3" xfId="29403" xr:uid="{00000000-0005-0000-0000-00005B090000}"/>
    <cellStyle name="20% - Accent2 2 3 2 4 2 2 3" xfId="15246" xr:uid="{00000000-0005-0000-0000-00005C090000}"/>
    <cellStyle name="20% - Accent2 2 3 2 4 2 2 3 2" xfId="34646" xr:uid="{00000000-0005-0000-0000-00005D090000}"/>
    <cellStyle name="20% - Accent2 2 3 2 4 2 2 4" xfId="24948" xr:uid="{00000000-0005-0000-0000-00005E090000}"/>
    <cellStyle name="20% - Accent2 2 3 2 4 2 3" xfId="7477" xr:uid="{00000000-0005-0000-0000-00005F090000}"/>
    <cellStyle name="20% - Accent2 2 3 2 4 2 3 2" xfId="17473" xr:uid="{00000000-0005-0000-0000-000060090000}"/>
    <cellStyle name="20% - Accent2 2 3 2 4 2 3 2 2" xfId="36873" xr:uid="{00000000-0005-0000-0000-000061090000}"/>
    <cellStyle name="20% - Accent2 2 3 2 4 2 3 3" xfId="27175" xr:uid="{00000000-0005-0000-0000-000062090000}"/>
    <cellStyle name="20% - Accent2 2 3 2 4 2 4" xfId="13018" xr:uid="{00000000-0005-0000-0000-000063090000}"/>
    <cellStyle name="20% - Accent2 2 3 2 4 2 4 2" xfId="32418" xr:uid="{00000000-0005-0000-0000-000064090000}"/>
    <cellStyle name="20% - Accent2 2 3 2 4 2 5" xfId="22720" xr:uid="{00000000-0005-0000-0000-000065090000}"/>
    <cellStyle name="20% - Accent2 2 3 2 4 3" xfId="3555" xr:uid="{00000000-0005-0000-0000-000066090000}"/>
    <cellStyle name="20% - Accent2 2 3 2 4 3 2" xfId="4685" xr:uid="{00000000-0005-0000-0000-000067090000}"/>
    <cellStyle name="20% - Accent2 2 3 2 4 3 2 2" xfId="9149" xr:uid="{00000000-0005-0000-0000-000068090000}"/>
    <cellStyle name="20% - Accent2 2 3 2 4 3 2 2 2" xfId="19145" xr:uid="{00000000-0005-0000-0000-000069090000}"/>
    <cellStyle name="20% - Accent2 2 3 2 4 3 2 2 2 2" xfId="38545" xr:uid="{00000000-0005-0000-0000-00006A090000}"/>
    <cellStyle name="20% - Accent2 2 3 2 4 3 2 2 3" xfId="28847" xr:uid="{00000000-0005-0000-0000-00006B090000}"/>
    <cellStyle name="20% - Accent2 2 3 2 4 3 2 3" xfId="14690" xr:uid="{00000000-0005-0000-0000-00006C090000}"/>
    <cellStyle name="20% - Accent2 2 3 2 4 3 2 3 2" xfId="34090" xr:uid="{00000000-0005-0000-0000-00006D090000}"/>
    <cellStyle name="20% - Accent2 2 3 2 4 3 2 4" xfId="24392" xr:uid="{00000000-0005-0000-0000-00006E090000}"/>
    <cellStyle name="20% - Accent2 2 3 2 4 3 3" xfId="8034" xr:uid="{00000000-0005-0000-0000-00006F090000}"/>
    <cellStyle name="20% - Accent2 2 3 2 4 3 3 2" xfId="18030" xr:uid="{00000000-0005-0000-0000-000070090000}"/>
    <cellStyle name="20% - Accent2 2 3 2 4 3 3 2 2" xfId="37430" xr:uid="{00000000-0005-0000-0000-000071090000}"/>
    <cellStyle name="20% - Accent2 2 3 2 4 3 3 3" xfId="27732" xr:uid="{00000000-0005-0000-0000-000072090000}"/>
    <cellStyle name="20% - Accent2 2 3 2 4 3 4" xfId="13575" xr:uid="{00000000-0005-0000-0000-000073090000}"/>
    <cellStyle name="20% - Accent2 2 3 2 4 3 4 2" xfId="32975" xr:uid="{00000000-0005-0000-0000-000074090000}"/>
    <cellStyle name="20% - Accent2 2 3 2 4 3 5" xfId="23277" xr:uid="{00000000-0005-0000-0000-000075090000}"/>
    <cellStyle name="20% - Accent2 2 3 2 4 4" xfId="4128" xr:uid="{00000000-0005-0000-0000-000076090000}"/>
    <cellStyle name="20% - Accent2 2 3 2 4 4 2" xfId="8592" xr:uid="{00000000-0005-0000-0000-000077090000}"/>
    <cellStyle name="20% - Accent2 2 3 2 4 4 2 2" xfId="18588" xr:uid="{00000000-0005-0000-0000-000078090000}"/>
    <cellStyle name="20% - Accent2 2 3 2 4 4 2 2 2" xfId="37988" xr:uid="{00000000-0005-0000-0000-000079090000}"/>
    <cellStyle name="20% - Accent2 2 3 2 4 4 2 3" xfId="28290" xr:uid="{00000000-0005-0000-0000-00007A090000}"/>
    <cellStyle name="20% - Accent2 2 3 2 4 4 3" xfId="14133" xr:uid="{00000000-0005-0000-0000-00007B090000}"/>
    <cellStyle name="20% - Accent2 2 3 2 4 4 3 2" xfId="33533" xr:uid="{00000000-0005-0000-0000-00007C090000}"/>
    <cellStyle name="20% - Accent2 2 3 2 4 4 4" xfId="23835" xr:uid="{00000000-0005-0000-0000-00007D090000}"/>
    <cellStyle name="20% - Accent2 2 3 2 4 5" xfId="5798" xr:uid="{00000000-0005-0000-0000-00007E090000}"/>
    <cellStyle name="20% - Accent2 2 3 2 4 5 2" xfId="10262" xr:uid="{00000000-0005-0000-0000-00007F090000}"/>
    <cellStyle name="20% - Accent2 2 3 2 4 5 2 2" xfId="20258" xr:uid="{00000000-0005-0000-0000-000080090000}"/>
    <cellStyle name="20% - Accent2 2 3 2 4 5 2 2 2" xfId="39658" xr:uid="{00000000-0005-0000-0000-000081090000}"/>
    <cellStyle name="20% - Accent2 2 3 2 4 5 2 3" xfId="29960" xr:uid="{00000000-0005-0000-0000-000082090000}"/>
    <cellStyle name="20% - Accent2 2 3 2 4 5 3" xfId="15803" xr:uid="{00000000-0005-0000-0000-000083090000}"/>
    <cellStyle name="20% - Accent2 2 3 2 4 5 3 2" xfId="35203" xr:uid="{00000000-0005-0000-0000-000084090000}"/>
    <cellStyle name="20% - Accent2 2 3 2 4 5 4" xfId="25505" xr:uid="{00000000-0005-0000-0000-000085090000}"/>
    <cellStyle name="20% - Accent2 2 3 2 4 6" xfId="6364" xr:uid="{00000000-0005-0000-0000-000086090000}"/>
    <cellStyle name="20% - Accent2 2 3 2 4 6 2" xfId="10819" xr:uid="{00000000-0005-0000-0000-000087090000}"/>
    <cellStyle name="20% - Accent2 2 3 2 4 6 2 2" xfId="20815" xr:uid="{00000000-0005-0000-0000-000088090000}"/>
    <cellStyle name="20% - Accent2 2 3 2 4 6 2 2 2" xfId="40215" xr:uid="{00000000-0005-0000-0000-000089090000}"/>
    <cellStyle name="20% - Accent2 2 3 2 4 6 2 3" xfId="30517" xr:uid="{00000000-0005-0000-0000-00008A090000}"/>
    <cellStyle name="20% - Accent2 2 3 2 4 6 3" xfId="16360" xr:uid="{00000000-0005-0000-0000-00008B090000}"/>
    <cellStyle name="20% - Accent2 2 3 2 4 6 3 2" xfId="35760" xr:uid="{00000000-0005-0000-0000-00008C090000}"/>
    <cellStyle name="20% - Accent2 2 3 2 4 6 4" xfId="26062" xr:uid="{00000000-0005-0000-0000-00008D090000}"/>
    <cellStyle name="20% - Accent2 2 3 2 4 7" xfId="6921" xr:uid="{00000000-0005-0000-0000-00008E090000}"/>
    <cellStyle name="20% - Accent2 2 3 2 4 7 2" xfId="16917" xr:uid="{00000000-0005-0000-0000-00008F090000}"/>
    <cellStyle name="20% - Accent2 2 3 2 4 7 2 2" xfId="36317" xr:uid="{00000000-0005-0000-0000-000090090000}"/>
    <cellStyle name="20% - Accent2 2 3 2 4 7 3" xfId="26619" xr:uid="{00000000-0005-0000-0000-000091090000}"/>
    <cellStyle name="20% - Accent2 2 3 2 4 8" xfId="12461" xr:uid="{00000000-0005-0000-0000-000092090000}"/>
    <cellStyle name="20% - Accent2 2 3 2 4 8 2" xfId="31862" xr:uid="{00000000-0005-0000-0000-000093090000}"/>
    <cellStyle name="20% - Accent2 2 3 2 4 9" xfId="22164" xr:uid="{00000000-0005-0000-0000-000094090000}"/>
    <cellStyle name="20% - Accent2 2 3 2 5" xfId="2967" xr:uid="{00000000-0005-0000-0000-000095090000}"/>
    <cellStyle name="20% - Accent2 2 3 2 5 2" xfId="5236" xr:uid="{00000000-0005-0000-0000-000096090000}"/>
    <cellStyle name="20% - Accent2 2 3 2 5 2 2" xfId="9700" xr:uid="{00000000-0005-0000-0000-000097090000}"/>
    <cellStyle name="20% - Accent2 2 3 2 5 2 2 2" xfId="19696" xr:uid="{00000000-0005-0000-0000-000098090000}"/>
    <cellStyle name="20% - Accent2 2 3 2 5 2 2 2 2" xfId="39096" xr:uid="{00000000-0005-0000-0000-000099090000}"/>
    <cellStyle name="20% - Accent2 2 3 2 5 2 2 3" xfId="29398" xr:uid="{00000000-0005-0000-0000-00009A090000}"/>
    <cellStyle name="20% - Accent2 2 3 2 5 2 3" xfId="15241" xr:uid="{00000000-0005-0000-0000-00009B090000}"/>
    <cellStyle name="20% - Accent2 2 3 2 5 2 3 2" xfId="34641" xr:uid="{00000000-0005-0000-0000-00009C090000}"/>
    <cellStyle name="20% - Accent2 2 3 2 5 2 4" xfId="24943" xr:uid="{00000000-0005-0000-0000-00009D090000}"/>
    <cellStyle name="20% - Accent2 2 3 2 5 3" xfId="7472" xr:uid="{00000000-0005-0000-0000-00009E090000}"/>
    <cellStyle name="20% - Accent2 2 3 2 5 3 2" xfId="17468" xr:uid="{00000000-0005-0000-0000-00009F090000}"/>
    <cellStyle name="20% - Accent2 2 3 2 5 3 2 2" xfId="36868" xr:uid="{00000000-0005-0000-0000-0000A0090000}"/>
    <cellStyle name="20% - Accent2 2 3 2 5 3 3" xfId="27170" xr:uid="{00000000-0005-0000-0000-0000A1090000}"/>
    <cellStyle name="20% - Accent2 2 3 2 5 4" xfId="13013" xr:uid="{00000000-0005-0000-0000-0000A2090000}"/>
    <cellStyle name="20% - Accent2 2 3 2 5 4 2" xfId="32413" xr:uid="{00000000-0005-0000-0000-0000A3090000}"/>
    <cellStyle name="20% - Accent2 2 3 2 5 5" xfId="22715" xr:uid="{00000000-0005-0000-0000-0000A4090000}"/>
    <cellStyle name="20% - Accent2 2 3 2 6" xfId="3550" xr:uid="{00000000-0005-0000-0000-0000A5090000}"/>
    <cellStyle name="20% - Accent2 2 3 2 6 2" xfId="4680" xr:uid="{00000000-0005-0000-0000-0000A6090000}"/>
    <cellStyle name="20% - Accent2 2 3 2 6 2 2" xfId="9144" xr:uid="{00000000-0005-0000-0000-0000A7090000}"/>
    <cellStyle name="20% - Accent2 2 3 2 6 2 2 2" xfId="19140" xr:uid="{00000000-0005-0000-0000-0000A8090000}"/>
    <cellStyle name="20% - Accent2 2 3 2 6 2 2 2 2" xfId="38540" xr:uid="{00000000-0005-0000-0000-0000A9090000}"/>
    <cellStyle name="20% - Accent2 2 3 2 6 2 2 3" xfId="28842" xr:uid="{00000000-0005-0000-0000-0000AA090000}"/>
    <cellStyle name="20% - Accent2 2 3 2 6 2 3" xfId="14685" xr:uid="{00000000-0005-0000-0000-0000AB090000}"/>
    <cellStyle name="20% - Accent2 2 3 2 6 2 3 2" xfId="34085" xr:uid="{00000000-0005-0000-0000-0000AC090000}"/>
    <cellStyle name="20% - Accent2 2 3 2 6 2 4" xfId="24387" xr:uid="{00000000-0005-0000-0000-0000AD090000}"/>
    <cellStyle name="20% - Accent2 2 3 2 6 3" xfId="8029" xr:uid="{00000000-0005-0000-0000-0000AE090000}"/>
    <cellStyle name="20% - Accent2 2 3 2 6 3 2" xfId="18025" xr:uid="{00000000-0005-0000-0000-0000AF090000}"/>
    <cellStyle name="20% - Accent2 2 3 2 6 3 2 2" xfId="37425" xr:uid="{00000000-0005-0000-0000-0000B0090000}"/>
    <cellStyle name="20% - Accent2 2 3 2 6 3 3" xfId="27727" xr:uid="{00000000-0005-0000-0000-0000B1090000}"/>
    <cellStyle name="20% - Accent2 2 3 2 6 4" xfId="13570" xr:uid="{00000000-0005-0000-0000-0000B2090000}"/>
    <cellStyle name="20% - Accent2 2 3 2 6 4 2" xfId="32970" xr:uid="{00000000-0005-0000-0000-0000B3090000}"/>
    <cellStyle name="20% - Accent2 2 3 2 6 5" xfId="23272" xr:uid="{00000000-0005-0000-0000-0000B4090000}"/>
    <cellStyle name="20% - Accent2 2 3 2 7" xfId="4123" xr:uid="{00000000-0005-0000-0000-0000B5090000}"/>
    <cellStyle name="20% - Accent2 2 3 2 7 2" xfId="8587" xr:uid="{00000000-0005-0000-0000-0000B6090000}"/>
    <cellStyle name="20% - Accent2 2 3 2 7 2 2" xfId="18583" xr:uid="{00000000-0005-0000-0000-0000B7090000}"/>
    <cellStyle name="20% - Accent2 2 3 2 7 2 2 2" xfId="37983" xr:uid="{00000000-0005-0000-0000-0000B8090000}"/>
    <cellStyle name="20% - Accent2 2 3 2 7 2 3" xfId="28285" xr:uid="{00000000-0005-0000-0000-0000B9090000}"/>
    <cellStyle name="20% - Accent2 2 3 2 7 3" xfId="14128" xr:uid="{00000000-0005-0000-0000-0000BA090000}"/>
    <cellStyle name="20% - Accent2 2 3 2 7 3 2" xfId="33528" xr:uid="{00000000-0005-0000-0000-0000BB090000}"/>
    <cellStyle name="20% - Accent2 2 3 2 7 4" xfId="23830" xr:uid="{00000000-0005-0000-0000-0000BC090000}"/>
    <cellStyle name="20% - Accent2 2 3 2 8" xfId="5793" xr:uid="{00000000-0005-0000-0000-0000BD090000}"/>
    <cellStyle name="20% - Accent2 2 3 2 8 2" xfId="10257" xr:uid="{00000000-0005-0000-0000-0000BE090000}"/>
    <cellStyle name="20% - Accent2 2 3 2 8 2 2" xfId="20253" xr:uid="{00000000-0005-0000-0000-0000BF090000}"/>
    <cellStyle name="20% - Accent2 2 3 2 8 2 2 2" xfId="39653" xr:uid="{00000000-0005-0000-0000-0000C0090000}"/>
    <cellStyle name="20% - Accent2 2 3 2 8 2 3" xfId="29955" xr:uid="{00000000-0005-0000-0000-0000C1090000}"/>
    <cellStyle name="20% - Accent2 2 3 2 8 3" xfId="15798" xr:uid="{00000000-0005-0000-0000-0000C2090000}"/>
    <cellStyle name="20% - Accent2 2 3 2 8 3 2" xfId="35198" xr:uid="{00000000-0005-0000-0000-0000C3090000}"/>
    <cellStyle name="20% - Accent2 2 3 2 8 4" xfId="25500" xr:uid="{00000000-0005-0000-0000-0000C4090000}"/>
    <cellStyle name="20% - Accent2 2 3 2 9" xfId="6359" xr:uid="{00000000-0005-0000-0000-0000C5090000}"/>
    <cellStyle name="20% - Accent2 2 3 2 9 2" xfId="10814" xr:uid="{00000000-0005-0000-0000-0000C6090000}"/>
    <cellStyle name="20% - Accent2 2 3 2 9 2 2" xfId="20810" xr:uid="{00000000-0005-0000-0000-0000C7090000}"/>
    <cellStyle name="20% - Accent2 2 3 2 9 2 2 2" xfId="40210" xr:uid="{00000000-0005-0000-0000-0000C8090000}"/>
    <cellStyle name="20% - Accent2 2 3 2 9 2 3" xfId="30512" xr:uid="{00000000-0005-0000-0000-0000C9090000}"/>
    <cellStyle name="20% - Accent2 2 3 2 9 3" xfId="16355" xr:uid="{00000000-0005-0000-0000-0000CA090000}"/>
    <cellStyle name="20% - Accent2 2 3 2 9 3 2" xfId="35755" xr:uid="{00000000-0005-0000-0000-0000CB090000}"/>
    <cellStyle name="20% - Accent2 2 3 2 9 4" xfId="26057" xr:uid="{00000000-0005-0000-0000-0000CC090000}"/>
    <cellStyle name="20% - Accent2 2 3 3" xfId="1972" xr:uid="{00000000-0005-0000-0000-0000CD090000}"/>
    <cellStyle name="20% - Accent2 2 3 3 10" xfId="12462" xr:uid="{00000000-0005-0000-0000-0000CE090000}"/>
    <cellStyle name="20% - Accent2 2 3 3 10 2" xfId="31863" xr:uid="{00000000-0005-0000-0000-0000CF090000}"/>
    <cellStyle name="20% - Accent2 2 3 3 11" xfId="22165" xr:uid="{00000000-0005-0000-0000-0000D0090000}"/>
    <cellStyle name="20% - Accent2 2 3 3 2" xfId="1973" xr:uid="{00000000-0005-0000-0000-0000D1090000}"/>
    <cellStyle name="20% - Accent2 2 3 3 2 2" xfId="2974" xr:uid="{00000000-0005-0000-0000-0000D2090000}"/>
    <cellStyle name="20% - Accent2 2 3 3 2 2 2" xfId="5243" xr:uid="{00000000-0005-0000-0000-0000D3090000}"/>
    <cellStyle name="20% - Accent2 2 3 3 2 2 2 2" xfId="9707" xr:uid="{00000000-0005-0000-0000-0000D4090000}"/>
    <cellStyle name="20% - Accent2 2 3 3 2 2 2 2 2" xfId="19703" xr:uid="{00000000-0005-0000-0000-0000D5090000}"/>
    <cellStyle name="20% - Accent2 2 3 3 2 2 2 2 2 2" xfId="39103" xr:uid="{00000000-0005-0000-0000-0000D6090000}"/>
    <cellStyle name="20% - Accent2 2 3 3 2 2 2 2 3" xfId="29405" xr:uid="{00000000-0005-0000-0000-0000D7090000}"/>
    <cellStyle name="20% - Accent2 2 3 3 2 2 2 3" xfId="15248" xr:uid="{00000000-0005-0000-0000-0000D8090000}"/>
    <cellStyle name="20% - Accent2 2 3 3 2 2 2 3 2" xfId="34648" xr:uid="{00000000-0005-0000-0000-0000D9090000}"/>
    <cellStyle name="20% - Accent2 2 3 3 2 2 2 4" xfId="24950" xr:uid="{00000000-0005-0000-0000-0000DA090000}"/>
    <cellStyle name="20% - Accent2 2 3 3 2 2 3" xfId="7479" xr:uid="{00000000-0005-0000-0000-0000DB090000}"/>
    <cellStyle name="20% - Accent2 2 3 3 2 2 3 2" xfId="17475" xr:uid="{00000000-0005-0000-0000-0000DC090000}"/>
    <cellStyle name="20% - Accent2 2 3 3 2 2 3 2 2" xfId="36875" xr:uid="{00000000-0005-0000-0000-0000DD090000}"/>
    <cellStyle name="20% - Accent2 2 3 3 2 2 3 3" xfId="27177" xr:uid="{00000000-0005-0000-0000-0000DE090000}"/>
    <cellStyle name="20% - Accent2 2 3 3 2 2 4" xfId="13020" xr:uid="{00000000-0005-0000-0000-0000DF090000}"/>
    <cellStyle name="20% - Accent2 2 3 3 2 2 4 2" xfId="32420" xr:uid="{00000000-0005-0000-0000-0000E0090000}"/>
    <cellStyle name="20% - Accent2 2 3 3 2 2 5" xfId="22722" xr:uid="{00000000-0005-0000-0000-0000E1090000}"/>
    <cellStyle name="20% - Accent2 2 3 3 2 3" xfId="3557" xr:uid="{00000000-0005-0000-0000-0000E2090000}"/>
    <cellStyle name="20% - Accent2 2 3 3 2 3 2" xfId="4687" xr:uid="{00000000-0005-0000-0000-0000E3090000}"/>
    <cellStyle name="20% - Accent2 2 3 3 2 3 2 2" xfId="9151" xr:uid="{00000000-0005-0000-0000-0000E4090000}"/>
    <cellStyle name="20% - Accent2 2 3 3 2 3 2 2 2" xfId="19147" xr:uid="{00000000-0005-0000-0000-0000E5090000}"/>
    <cellStyle name="20% - Accent2 2 3 3 2 3 2 2 2 2" xfId="38547" xr:uid="{00000000-0005-0000-0000-0000E6090000}"/>
    <cellStyle name="20% - Accent2 2 3 3 2 3 2 2 3" xfId="28849" xr:uid="{00000000-0005-0000-0000-0000E7090000}"/>
    <cellStyle name="20% - Accent2 2 3 3 2 3 2 3" xfId="14692" xr:uid="{00000000-0005-0000-0000-0000E8090000}"/>
    <cellStyle name="20% - Accent2 2 3 3 2 3 2 3 2" xfId="34092" xr:uid="{00000000-0005-0000-0000-0000E9090000}"/>
    <cellStyle name="20% - Accent2 2 3 3 2 3 2 4" xfId="24394" xr:uid="{00000000-0005-0000-0000-0000EA090000}"/>
    <cellStyle name="20% - Accent2 2 3 3 2 3 3" xfId="8036" xr:uid="{00000000-0005-0000-0000-0000EB090000}"/>
    <cellStyle name="20% - Accent2 2 3 3 2 3 3 2" xfId="18032" xr:uid="{00000000-0005-0000-0000-0000EC090000}"/>
    <cellStyle name="20% - Accent2 2 3 3 2 3 3 2 2" xfId="37432" xr:uid="{00000000-0005-0000-0000-0000ED090000}"/>
    <cellStyle name="20% - Accent2 2 3 3 2 3 3 3" xfId="27734" xr:uid="{00000000-0005-0000-0000-0000EE090000}"/>
    <cellStyle name="20% - Accent2 2 3 3 2 3 4" xfId="13577" xr:uid="{00000000-0005-0000-0000-0000EF090000}"/>
    <cellStyle name="20% - Accent2 2 3 3 2 3 4 2" xfId="32977" xr:uid="{00000000-0005-0000-0000-0000F0090000}"/>
    <cellStyle name="20% - Accent2 2 3 3 2 3 5" xfId="23279" xr:uid="{00000000-0005-0000-0000-0000F1090000}"/>
    <cellStyle name="20% - Accent2 2 3 3 2 4" xfId="4130" xr:uid="{00000000-0005-0000-0000-0000F2090000}"/>
    <cellStyle name="20% - Accent2 2 3 3 2 4 2" xfId="8594" xr:uid="{00000000-0005-0000-0000-0000F3090000}"/>
    <cellStyle name="20% - Accent2 2 3 3 2 4 2 2" xfId="18590" xr:uid="{00000000-0005-0000-0000-0000F4090000}"/>
    <cellStyle name="20% - Accent2 2 3 3 2 4 2 2 2" xfId="37990" xr:uid="{00000000-0005-0000-0000-0000F5090000}"/>
    <cellStyle name="20% - Accent2 2 3 3 2 4 2 3" xfId="28292" xr:uid="{00000000-0005-0000-0000-0000F6090000}"/>
    <cellStyle name="20% - Accent2 2 3 3 2 4 3" xfId="14135" xr:uid="{00000000-0005-0000-0000-0000F7090000}"/>
    <cellStyle name="20% - Accent2 2 3 3 2 4 3 2" xfId="33535" xr:uid="{00000000-0005-0000-0000-0000F8090000}"/>
    <cellStyle name="20% - Accent2 2 3 3 2 4 4" xfId="23837" xr:uid="{00000000-0005-0000-0000-0000F9090000}"/>
    <cellStyle name="20% - Accent2 2 3 3 2 5" xfId="5800" xr:uid="{00000000-0005-0000-0000-0000FA090000}"/>
    <cellStyle name="20% - Accent2 2 3 3 2 5 2" xfId="10264" xr:uid="{00000000-0005-0000-0000-0000FB090000}"/>
    <cellStyle name="20% - Accent2 2 3 3 2 5 2 2" xfId="20260" xr:uid="{00000000-0005-0000-0000-0000FC090000}"/>
    <cellStyle name="20% - Accent2 2 3 3 2 5 2 2 2" xfId="39660" xr:uid="{00000000-0005-0000-0000-0000FD090000}"/>
    <cellStyle name="20% - Accent2 2 3 3 2 5 2 3" xfId="29962" xr:uid="{00000000-0005-0000-0000-0000FE090000}"/>
    <cellStyle name="20% - Accent2 2 3 3 2 5 3" xfId="15805" xr:uid="{00000000-0005-0000-0000-0000FF090000}"/>
    <cellStyle name="20% - Accent2 2 3 3 2 5 3 2" xfId="35205" xr:uid="{00000000-0005-0000-0000-0000000A0000}"/>
    <cellStyle name="20% - Accent2 2 3 3 2 5 4" xfId="25507" xr:uid="{00000000-0005-0000-0000-0000010A0000}"/>
    <cellStyle name="20% - Accent2 2 3 3 2 6" xfId="6366" xr:uid="{00000000-0005-0000-0000-0000020A0000}"/>
    <cellStyle name="20% - Accent2 2 3 3 2 6 2" xfId="10821" xr:uid="{00000000-0005-0000-0000-0000030A0000}"/>
    <cellStyle name="20% - Accent2 2 3 3 2 6 2 2" xfId="20817" xr:uid="{00000000-0005-0000-0000-0000040A0000}"/>
    <cellStyle name="20% - Accent2 2 3 3 2 6 2 2 2" xfId="40217" xr:uid="{00000000-0005-0000-0000-0000050A0000}"/>
    <cellStyle name="20% - Accent2 2 3 3 2 6 2 3" xfId="30519" xr:uid="{00000000-0005-0000-0000-0000060A0000}"/>
    <cellStyle name="20% - Accent2 2 3 3 2 6 3" xfId="16362" xr:uid="{00000000-0005-0000-0000-0000070A0000}"/>
    <cellStyle name="20% - Accent2 2 3 3 2 6 3 2" xfId="35762" xr:uid="{00000000-0005-0000-0000-0000080A0000}"/>
    <cellStyle name="20% - Accent2 2 3 3 2 6 4" xfId="26064" xr:uid="{00000000-0005-0000-0000-0000090A0000}"/>
    <cellStyle name="20% - Accent2 2 3 3 2 7" xfId="6923" xr:uid="{00000000-0005-0000-0000-00000A0A0000}"/>
    <cellStyle name="20% - Accent2 2 3 3 2 7 2" xfId="16919" xr:uid="{00000000-0005-0000-0000-00000B0A0000}"/>
    <cellStyle name="20% - Accent2 2 3 3 2 7 2 2" xfId="36319" xr:uid="{00000000-0005-0000-0000-00000C0A0000}"/>
    <cellStyle name="20% - Accent2 2 3 3 2 7 3" xfId="26621" xr:uid="{00000000-0005-0000-0000-00000D0A0000}"/>
    <cellStyle name="20% - Accent2 2 3 3 2 8" xfId="12463" xr:uid="{00000000-0005-0000-0000-00000E0A0000}"/>
    <cellStyle name="20% - Accent2 2 3 3 2 8 2" xfId="31864" xr:uid="{00000000-0005-0000-0000-00000F0A0000}"/>
    <cellStyle name="20% - Accent2 2 3 3 2 9" xfId="22166" xr:uid="{00000000-0005-0000-0000-0000100A0000}"/>
    <cellStyle name="20% - Accent2 2 3 3 3" xfId="1974" xr:uid="{00000000-0005-0000-0000-0000110A0000}"/>
    <cellStyle name="20% - Accent2 2 3 3 3 2" xfId="2975" xr:uid="{00000000-0005-0000-0000-0000120A0000}"/>
    <cellStyle name="20% - Accent2 2 3 3 3 2 2" xfId="5244" xr:uid="{00000000-0005-0000-0000-0000130A0000}"/>
    <cellStyle name="20% - Accent2 2 3 3 3 2 2 2" xfId="9708" xr:uid="{00000000-0005-0000-0000-0000140A0000}"/>
    <cellStyle name="20% - Accent2 2 3 3 3 2 2 2 2" xfId="19704" xr:uid="{00000000-0005-0000-0000-0000150A0000}"/>
    <cellStyle name="20% - Accent2 2 3 3 3 2 2 2 2 2" xfId="39104" xr:uid="{00000000-0005-0000-0000-0000160A0000}"/>
    <cellStyle name="20% - Accent2 2 3 3 3 2 2 2 3" xfId="29406" xr:uid="{00000000-0005-0000-0000-0000170A0000}"/>
    <cellStyle name="20% - Accent2 2 3 3 3 2 2 3" xfId="15249" xr:uid="{00000000-0005-0000-0000-0000180A0000}"/>
    <cellStyle name="20% - Accent2 2 3 3 3 2 2 3 2" xfId="34649" xr:uid="{00000000-0005-0000-0000-0000190A0000}"/>
    <cellStyle name="20% - Accent2 2 3 3 3 2 2 4" xfId="24951" xr:uid="{00000000-0005-0000-0000-00001A0A0000}"/>
    <cellStyle name="20% - Accent2 2 3 3 3 2 3" xfId="7480" xr:uid="{00000000-0005-0000-0000-00001B0A0000}"/>
    <cellStyle name="20% - Accent2 2 3 3 3 2 3 2" xfId="17476" xr:uid="{00000000-0005-0000-0000-00001C0A0000}"/>
    <cellStyle name="20% - Accent2 2 3 3 3 2 3 2 2" xfId="36876" xr:uid="{00000000-0005-0000-0000-00001D0A0000}"/>
    <cellStyle name="20% - Accent2 2 3 3 3 2 3 3" xfId="27178" xr:uid="{00000000-0005-0000-0000-00001E0A0000}"/>
    <cellStyle name="20% - Accent2 2 3 3 3 2 4" xfId="13021" xr:uid="{00000000-0005-0000-0000-00001F0A0000}"/>
    <cellStyle name="20% - Accent2 2 3 3 3 2 4 2" xfId="32421" xr:uid="{00000000-0005-0000-0000-0000200A0000}"/>
    <cellStyle name="20% - Accent2 2 3 3 3 2 5" xfId="22723" xr:uid="{00000000-0005-0000-0000-0000210A0000}"/>
    <cellStyle name="20% - Accent2 2 3 3 3 3" xfId="3558" xr:uid="{00000000-0005-0000-0000-0000220A0000}"/>
    <cellStyle name="20% - Accent2 2 3 3 3 3 2" xfId="4688" xr:uid="{00000000-0005-0000-0000-0000230A0000}"/>
    <cellStyle name="20% - Accent2 2 3 3 3 3 2 2" xfId="9152" xr:uid="{00000000-0005-0000-0000-0000240A0000}"/>
    <cellStyle name="20% - Accent2 2 3 3 3 3 2 2 2" xfId="19148" xr:uid="{00000000-0005-0000-0000-0000250A0000}"/>
    <cellStyle name="20% - Accent2 2 3 3 3 3 2 2 2 2" xfId="38548" xr:uid="{00000000-0005-0000-0000-0000260A0000}"/>
    <cellStyle name="20% - Accent2 2 3 3 3 3 2 2 3" xfId="28850" xr:uid="{00000000-0005-0000-0000-0000270A0000}"/>
    <cellStyle name="20% - Accent2 2 3 3 3 3 2 3" xfId="14693" xr:uid="{00000000-0005-0000-0000-0000280A0000}"/>
    <cellStyle name="20% - Accent2 2 3 3 3 3 2 3 2" xfId="34093" xr:uid="{00000000-0005-0000-0000-0000290A0000}"/>
    <cellStyle name="20% - Accent2 2 3 3 3 3 2 4" xfId="24395" xr:uid="{00000000-0005-0000-0000-00002A0A0000}"/>
    <cellStyle name="20% - Accent2 2 3 3 3 3 3" xfId="8037" xr:uid="{00000000-0005-0000-0000-00002B0A0000}"/>
    <cellStyle name="20% - Accent2 2 3 3 3 3 3 2" xfId="18033" xr:uid="{00000000-0005-0000-0000-00002C0A0000}"/>
    <cellStyle name="20% - Accent2 2 3 3 3 3 3 2 2" xfId="37433" xr:uid="{00000000-0005-0000-0000-00002D0A0000}"/>
    <cellStyle name="20% - Accent2 2 3 3 3 3 3 3" xfId="27735" xr:uid="{00000000-0005-0000-0000-00002E0A0000}"/>
    <cellStyle name="20% - Accent2 2 3 3 3 3 4" xfId="13578" xr:uid="{00000000-0005-0000-0000-00002F0A0000}"/>
    <cellStyle name="20% - Accent2 2 3 3 3 3 4 2" xfId="32978" xr:uid="{00000000-0005-0000-0000-0000300A0000}"/>
    <cellStyle name="20% - Accent2 2 3 3 3 3 5" xfId="23280" xr:uid="{00000000-0005-0000-0000-0000310A0000}"/>
    <cellStyle name="20% - Accent2 2 3 3 3 4" xfId="4131" xr:uid="{00000000-0005-0000-0000-0000320A0000}"/>
    <cellStyle name="20% - Accent2 2 3 3 3 4 2" xfId="8595" xr:uid="{00000000-0005-0000-0000-0000330A0000}"/>
    <cellStyle name="20% - Accent2 2 3 3 3 4 2 2" xfId="18591" xr:uid="{00000000-0005-0000-0000-0000340A0000}"/>
    <cellStyle name="20% - Accent2 2 3 3 3 4 2 2 2" xfId="37991" xr:uid="{00000000-0005-0000-0000-0000350A0000}"/>
    <cellStyle name="20% - Accent2 2 3 3 3 4 2 3" xfId="28293" xr:uid="{00000000-0005-0000-0000-0000360A0000}"/>
    <cellStyle name="20% - Accent2 2 3 3 3 4 3" xfId="14136" xr:uid="{00000000-0005-0000-0000-0000370A0000}"/>
    <cellStyle name="20% - Accent2 2 3 3 3 4 3 2" xfId="33536" xr:uid="{00000000-0005-0000-0000-0000380A0000}"/>
    <cellStyle name="20% - Accent2 2 3 3 3 4 4" xfId="23838" xr:uid="{00000000-0005-0000-0000-0000390A0000}"/>
    <cellStyle name="20% - Accent2 2 3 3 3 5" xfId="5801" xr:uid="{00000000-0005-0000-0000-00003A0A0000}"/>
    <cellStyle name="20% - Accent2 2 3 3 3 5 2" xfId="10265" xr:uid="{00000000-0005-0000-0000-00003B0A0000}"/>
    <cellStyle name="20% - Accent2 2 3 3 3 5 2 2" xfId="20261" xr:uid="{00000000-0005-0000-0000-00003C0A0000}"/>
    <cellStyle name="20% - Accent2 2 3 3 3 5 2 2 2" xfId="39661" xr:uid="{00000000-0005-0000-0000-00003D0A0000}"/>
    <cellStyle name="20% - Accent2 2 3 3 3 5 2 3" xfId="29963" xr:uid="{00000000-0005-0000-0000-00003E0A0000}"/>
    <cellStyle name="20% - Accent2 2 3 3 3 5 3" xfId="15806" xr:uid="{00000000-0005-0000-0000-00003F0A0000}"/>
    <cellStyle name="20% - Accent2 2 3 3 3 5 3 2" xfId="35206" xr:uid="{00000000-0005-0000-0000-0000400A0000}"/>
    <cellStyle name="20% - Accent2 2 3 3 3 5 4" xfId="25508" xr:uid="{00000000-0005-0000-0000-0000410A0000}"/>
    <cellStyle name="20% - Accent2 2 3 3 3 6" xfId="6367" xr:uid="{00000000-0005-0000-0000-0000420A0000}"/>
    <cellStyle name="20% - Accent2 2 3 3 3 6 2" xfId="10822" xr:uid="{00000000-0005-0000-0000-0000430A0000}"/>
    <cellStyle name="20% - Accent2 2 3 3 3 6 2 2" xfId="20818" xr:uid="{00000000-0005-0000-0000-0000440A0000}"/>
    <cellStyle name="20% - Accent2 2 3 3 3 6 2 2 2" xfId="40218" xr:uid="{00000000-0005-0000-0000-0000450A0000}"/>
    <cellStyle name="20% - Accent2 2 3 3 3 6 2 3" xfId="30520" xr:uid="{00000000-0005-0000-0000-0000460A0000}"/>
    <cellStyle name="20% - Accent2 2 3 3 3 6 3" xfId="16363" xr:uid="{00000000-0005-0000-0000-0000470A0000}"/>
    <cellStyle name="20% - Accent2 2 3 3 3 6 3 2" xfId="35763" xr:uid="{00000000-0005-0000-0000-0000480A0000}"/>
    <cellStyle name="20% - Accent2 2 3 3 3 6 4" xfId="26065" xr:uid="{00000000-0005-0000-0000-0000490A0000}"/>
    <cellStyle name="20% - Accent2 2 3 3 3 7" xfId="6924" xr:uid="{00000000-0005-0000-0000-00004A0A0000}"/>
    <cellStyle name="20% - Accent2 2 3 3 3 7 2" xfId="16920" xr:uid="{00000000-0005-0000-0000-00004B0A0000}"/>
    <cellStyle name="20% - Accent2 2 3 3 3 7 2 2" xfId="36320" xr:uid="{00000000-0005-0000-0000-00004C0A0000}"/>
    <cellStyle name="20% - Accent2 2 3 3 3 7 3" xfId="26622" xr:uid="{00000000-0005-0000-0000-00004D0A0000}"/>
    <cellStyle name="20% - Accent2 2 3 3 3 8" xfId="12464" xr:uid="{00000000-0005-0000-0000-00004E0A0000}"/>
    <cellStyle name="20% - Accent2 2 3 3 3 8 2" xfId="31865" xr:uid="{00000000-0005-0000-0000-00004F0A0000}"/>
    <cellStyle name="20% - Accent2 2 3 3 3 9" xfId="22167" xr:uid="{00000000-0005-0000-0000-0000500A0000}"/>
    <cellStyle name="20% - Accent2 2 3 3 4" xfId="2973" xr:uid="{00000000-0005-0000-0000-0000510A0000}"/>
    <cellStyle name="20% - Accent2 2 3 3 4 2" xfId="5242" xr:uid="{00000000-0005-0000-0000-0000520A0000}"/>
    <cellStyle name="20% - Accent2 2 3 3 4 2 2" xfId="9706" xr:uid="{00000000-0005-0000-0000-0000530A0000}"/>
    <cellStyle name="20% - Accent2 2 3 3 4 2 2 2" xfId="19702" xr:uid="{00000000-0005-0000-0000-0000540A0000}"/>
    <cellStyle name="20% - Accent2 2 3 3 4 2 2 2 2" xfId="39102" xr:uid="{00000000-0005-0000-0000-0000550A0000}"/>
    <cellStyle name="20% - Accent2 2 3 3 4 2 2 3" xfId="29404" xr:uid="{00000000-0005-0000-0000-0000560A0000}"/>
    <cellStyle name="20% - Accent2 2 3 3 4 2 3" xfId="15247" xr:uid="{00000000-0005-0000-0000-0000570A0000}"/>
    <cellStyle name="20% - Accent2 2 3 3 4 2 3 2" xfId="34647" xr:uid="{00000000-0005-0000-0000-0000580A0000}"/>
    <cellStyle name="20% - Accent2 2 3 3 4 2 4" xfId="24949" xr:uid="{00000000-0005-0000-0000-0000590A0000}"/>
    <cellStyle name="20% - Accent2 2 3 3 4 3" xfId="7478" xr:uid="{00000000-0005-0000-0000-00005A0A0000}"/>
    <cellStyle name="20% - Accent2 2 3 3 4 3 2" xfId="17474" xr:uid="{00000000-0005-0000-0000-00005B0A0000}"/>
    <cellStyle name="20% - Accent2 2 3 3 4 3 2 2" xfId="36874" xr:uid="{00000000-0005-0000-0000-00005C0A0000}"/>
    <cellStyle name="20% - Accent2 2 3 3 4 3 3" xfId="27176" xr:uid="{00000000-0005-0000-0000-00005D0A0000}"/>
    <cellStyle name="20% - Accent2 2 3 3 4 4" xfId="13019" xr:uid="{00000000-0005-0000-0000-00005E0A0000}"/>
    <cellStyle name="20% - Accent2 2 3 3 4 4 2" xfId="32419" xr:uid="{00000000-0005-0000-0000-00005F0A0000}"/>
    <cellStyle name="20% - Accent2 2 3 3 4 5" xfId="22721" xr:uid="{00000000-0005-0000-0000-0000600A0000}"/>
    <cellStyle name="20% - Accent2 2 3 3 5" xfId="3556" xr:uid="{00000000-0005-0000-0000-0000610A0000}"/>
    <cellStyle name="20% - Accent2 2 3 3 5 2" xfId="4686" xr:uid="{00000000-0005-0000-0000-0000620A0000}"/>
    <cellStyle name="20% - Accent2 2 3 3 5 2 2" xfId="9150" xr:uid="{00000000-0005-0000-0000-0000630A0000}"/>
    <cellStyle name="20% - Accent2 2 3 3 5 2 2 2" xfId="19146" xr:uid="{00000000-0005-0000-0000-0000640A0000}"/>
    <cellStyle name="20% - Accent2 2 3 3 5 2 2 2 2" xfId="38546" xr:uid="{00000000-0005-0000-0000-0000650A0000}"/>
    <cellStyle name="20% - Accent2 2 3 3 5 2 2 3" xfId="28848" xr:uid="{00000000-0005-0000-0000-0000660A0000}"/>
    <cellStyle name="20% - Accent2 2 3 3 5 2 3" xfId="14691" xr:uid="{00000000-0005-0000-0000-0000670A0000}"/>
    <cellStyle name="20% - Accent2 2 3 3 5 2 3 2" xfId="34091" xr:uid="{00000000-0005-0000-0000-0000680A0000}"/>
    <cellStyle name="20% - Accent2 2 3 3 5 2 4" xfId="24393" xr:uid="{00000000-0005-0000-0000-0000690A0000}"/>
    <cellStyle name="20% - Accent2 2 3 3 5 3" xfId="8035" xr:uid="{00000000-0005-0000-0000-00006A0A0000}"/>
    <cellStyle name="20% - Accent2 2 3 3 5 3 2" xfId="18031" xr:uid="{00000000-0005-0000-0000-00006B0A0000}"/>
    <cellStyle name="20% - Accent2 2 3 3 5 3 2 2" xfId="37431" xr:uid="{00000000-0005-0000-0000-00006C0A0000}"/>
    <cellStyle name="20% - Accent2 2 3 3 5 3 3" xfId="27733" xr:uid="{00000000-0005-0000-0000-00006D0A0000}"/>
    <cellStyle name="20% - Accent2 2 3 3 5 4" xfId="13576" xr:uid="{00000000-0005-0000-0000-00006E0A0000}"/>
    <cellStyle name="20% - Accent2 2 3 3 5 4 2" xfId="32976" xr:uid="{00000000-0005-0000-0000-00006F0A0000}"/>
    <cellStyle name="20% - Accent2 2 3 3 5 5" xfId="23278" xr:uid="{00000000-0005-0000-0000-0000700A0000}"/>
    <cellStyle name="20% - Accent2 2 3 3 6" xfId="4129" xr:uid="{00000000-0005-0000-0000-0000710A0000}"/>
    <cellStyle name="20% - Accent2 2 3 3 6 2" xfId="8593" xr:uid="{00000000-0005-0000-0000-0000720A0000}"/>
    <cellStyle name="20% - Accent2 2 3 3 6 2 2" xfId="18589" xr:uid="{00000000-0005-0000-0000-0000730A0000}"/>
    <cellStyle name="20% - Accent2 2 3 3 6 2 2 2" xfId="37989" xr:uid="{00000000-0005-0000-0000-0000740A0000}"/>
    <cellStyle name="20% - Accent2 2 3 3 6 2 3" xfId="28291" xr:uid="{00000000-0005-0000-0000-0000750A0000}"/>
    <cellStyle name="20% - Accent2 2 3 3 6 3" xfId="14134" xr:uid="{00000000-0005-0000-0000-0000760A0000}"/>
    <cellStyle name="20% - Accent2 2 3 3 6 3 2" xfId="33534" xr:uid="{00000000-0005-0000-0000-0000770A0000}"/>
    <cellStyle name="20% - Accent2 2 3 3 6 4" xfId="23836" xr:uid="{00000000-0005-0000-0000-0000780A0000}"/>
    <cellStyle name="20% - Accent2 2 3 3 7" xfId="5799" xr:uid="{00000000-0005-0000-0000-0000790A0000}"/>
    <cellStyle name="20% - Accent2 2 3 3 7 2" xfId="10263" xr:uid="{00000000-0005-0000-0000-00007A0A0000}"/>
    <cellStyle name="20% - Accent2 2 3 3 7 2 2" xfId="20259" xr:uid="{00000000-0005-0000-0000-00007B0A0000}"/>
    <cellStyle name="20% - Accent2 2 3 3 7 2 2 2" xfId="39659" xr:uid="{00000000-0005-0000-0000-00007C0A0000}"/>
    <cellStyle name="20% - Accent2 2 3 3 7 2 3" xfId="29961" xr:uid="{00000000-0005-0000-0000-00007D0A0000}"/>
    <cellStyle name="20% - Accent2 2 3 3 7 3" xfId="15804" xr:uid="{00000000-0005-0000-0000-00007E0A0000}"/>
    <cellStyle name="20% - Accent2 2 3 3 7 3 2" xfId="35204" xr:uid="{00000000-0005-0000-0000-00007F0A0000}"/>
    <cellStyle name="20% - Accent2 2 3 3 7 4" xfId="25506" xr:uid="{00000000-0005-0000-0000-0000800A0000}"/>
    <cellStyle name="20% - Accent2 2 3 3 8" xfId="6365" xr:uid="{00000000-0005-0000-0000-0000810A0000}"/>
    <cellStyle name="20% - Accent2 2 3 3 8 2" xfId="10820" xr:uid="{00000000-0005-0000-0000-0000820A0000}"/>
    <cellStyle name="20% - Accent2 2 3 3 8 2 2" xfId="20816" xr:uid="{00000000-0005-0000-0000-0000830A0000}"/>
    <cellStyle name="20% - Accent2 2 3 3 8 2 2 2" xfId="40216" xr:uid="{00000000-0005-0000-0000-0000840A0000}"/>
    <cellStyle name="20% - Accent2 2 3 3 8 2 3" xfId="30518" xr:uid="{00000000-0005-0000-0000-0000850A0000}"/>
    <cellStyle name="20% - Accent2 2 3 3 8 3" xfId="16361" xr:uid="{00000000-0005-0000-0000-0000860A0000}"/>
    <cellStyle name="20% - Accent2 2 3 3 8 3 2" xfId="35761" xr:uid="{00000000-0005-0000-0000-0000870A0000}"/>
    <cellStyle name="20% - Accent2 2 3 3 8 4" xfId="26063" xr:uid="{00000000-0005-0000-0000-0000880A0000}"/>
    <cellStyle name="20% - Accent2 2 3 3 9" xfId="6922" xr:uid="{00000000-0005-0000-0000-0000890A0000}"/>
    <cellStyle name="20% - Accent2 2 3 3 9 2" xfId="16918" xr:uid="{00000000-0005-0000-0000-00008A0A0000}"/>
    <cellStyle name="20% - Accent2 2 3 3 9 2 2" xfId="36318" xr:uid="{00000000-0005-0000-0000-00008B0A0000}"/>
    <cellStyle name="20% - Accent2 2 3 3 9 3" xfId="26620" xr:uid="{00000000-0005-0000-0000-00008C0A0000}"/>
    <cellStyle name="20% - Accent2 2 3 4" xfId="1975" xr:uid="{00000000-0005-0000-0000-00008D0A0000}"/>
    <cellStyle name="20% - Accent2 2 3 4 2" xfId="2976" xr:uid="{00000000-0005-0000-0000-00008E0A0000}"/>
    <cellStyle name="20% - Accent2 2 3 4 2 2" xfId="5245" xr:uid="{00000000-0005-0000-0000-00008F0A0000}"/>
    <cellStyle name="20% - Accent2 2 3 4 2 2 2" xfId="9709" xr:uid="{00000000-0005-0000-0000-0000900A0000}"/>
    <cellStyle name="20% - Accent2 2 3 4 2 2 2 2" xfId="19705" xr:uid="{00000000-0005-0000-0000-0000910A0000}"/>
    <cellStyle name="20% - Accent2 2 3 4 2 2 2 2 2" xfId="39105" xr:uid="{00000000-0005-0000-0000-0000920A0000}"/>
    <cellStyle name="20% - Accent2 2 3 4 2 2 2 3" xfId="29407" xr:uid="{00000000-0005-0000-0000-0000930A0000}"/>
    <cellStyle name="20% - Accent2 2 3 4 2 2 3" xfId="15250" xr:uid="{00000000-0005-0000-0000-0000940A0000}"/>
    <cellStyle name="20% - Accent2 2 3 4 2 2 3 2" xfId="34650" xr:uid="{00000000-0005-0000-0000-0000950A0000}"/>
    <cellStyle name="20% - Accent2 2 3 4 2 2 4" xfId="24952" xr:uid="{00000000-0005-0000-0000-0000960A0000}"/>
    <cellStyle name="20% - Accent2 2 3 4 2 3" xfId="7481" xr:uid="{00000000-0005-0000-0000-0000970A0000}"/>
    <cellStyle name="20% - Accent2 2 3 4 2 3 2" xfId="17477" xr:uid="{00000000-0005-0000-0000-0000980A0000}"/>
    <cellStyle name="20% - Accent2 2 3 4 2 3 2 2" xfId="36877" xr:uid="{00000000-0005-0000-0000-0000990A0000}"/>
    <cellStyle name="20% - Accent2 2 3 4 2 3 3" xfId="27179" xr:uid="{00000000-0005-0000-0000-00009A0A0000}"/>
    <cellStyle name="20% - Accent2 2 3 4 2 4" xfId="13022" xr:uid="{00000000-0005-0000-0000-00009B0A0000}"/>
    <cellStyle name="20% - Accent2 2 3 4 2 4 2" xfId="32422" xr:uid="{00000000-0005-0000-0000-00009C0A0000}"/>
    <cellStyle name="20% - Accent2 2 3 4 2 5" xfId="22724" xr:uid="{00000000-0005-0000-0000-00009D0A0000}"/>
    <cellStyle name="20% - Accent2 2 3 4 3" xfId="3559" xr:uid="{00000000-0005-0000-0000-00009E0A0000}"/>
    <cellStyle name="20% - Accent2 2 3 4 3 2" xfId="4689" xr:uid="{00000000-0005-0000-0000-00009F0A0000}"/>
    <cellStyle name="20% - Accent2 2 3 4 3 2 2" xfId="9153" xr:uid="{00000000-0005-0000-0000-0000A00A0000}"/>
    <cellStyle name="20% - Accent2 2 3 4 3 2 2 2" xfId="19149" xr:uid="{00000000-0005-0000-0000-0000A10A0000}"/>
    <cellStyle name="20% - Accent2 2 3 4 3 2 2 2 2" xfId="38549" xr:uid="{00000000-0005-0000-0000-0000A20A0000}"/>
    <cellStyle name="20% - Accent2 2 3 4 3 2 2 3" xfId="28851" xr:uid="{00000000-0005-0000-0000-0000A30A0000}"/>
    <cellStyle name="20% - Accent2 2 3 4 3 2 3" xfId="14694" xr:uid="{00000000-0005-0000-0000-0000A40A0000}"/>
    <cellStyle name="20% - Accent2 2 3 4 3 2 3 2" xfId="34094" xr:uid="{00000000-0005-0000-0000-0000A50A0000}"/>
    <cellStyle name="20% - Accent2 2 3 4 3 2 4" xfId="24396" xr:uid="{00000000-0005-0000-0000-0000A60A0000}"/>
    <cellStyle name="20% - Accent2 2 3 4 3 3" xfId="8038" xr:uid="{00000000-0005-0000-0000-0000A70A0000}"/>
    <cellStyle name="20% - Accent2 2 3 4 3 3 2" xfId="18034" xr:uid="{00000000-0005-0000-0000-0000A80A0000}"/>
    <cellStyle name="20% - Accent2 2 3 4 3 3 2 2" xfId="37434" xr:uid="{00000000-0005-0000-0000-0000A90A0000}"/>
    <cellStyle name="20% - Accent2 2 3 4 3 3 3" xfId="27736" xr:uid="{00000000-0005-0000-0000-0000AA0A0000}"/>
    <cellStyle name="20% - Accent2 2 3 4 3 4" xfId="13579" xr:uid="{00000000-0005-0000-0000-0000AB0A0000}"/>
    <cellStyle name="20% - Accent2 2 3 4 3 4 2" xfId="32979" xr:uid="{00000000-0005-0000-0000-0000AC0A0000}"/>
    <cellStyle name="20% - Accent2 2 3 4 3 5" xfId="23281" xr:uid="{00000000-0005-0000-0000-0000AD0A0000}"/>
    <cellStyle name="20% - Accent2 2 3 4 4" xfId="4132" xr:uid="{00000000-0005-0000-0000-0000AE0A0000}"/>
    <cellStyle name="20% - Accent2 2 3 4 4 2" xfId="8596" xr:uid="{00000000-0005-0000-0000-0000AF0A0000}"/>
    <cellStyle name="20% - Accent2 2 3 4 4 2 2" xfId="18592" xr:uid="{00000000-0005-0000-0000-0000B00A0000}"/>
    <cellStyle name="20% - Accent2 2 3 4 4 2 2 2" xfId="37992" xr:uid="{00000000-0005-0000-0000-0000B10A0000}"/>
    <cellStyle name="20% - Accent2 2 3 4 4 2 3" xfId="28294" xr:uid="{00000000-0005-0000-0000-0000B20A0000}"/>
    <cellStyle name="20% - Accent2 2 3 4 4 3" xfId="14137" xr:uid="{00000000-0005-0000-0000-0000B30A0000}"/>
    <cellStyle name="20% - Accent2 2 3 4 4 3 2" xfId="33537" xr:uid="{00000000-0005-0000-0000-0000B40A0000}"/>
    <cellStyle name="20% - Accent2 2 3 4 4 4" xfId="23839" xr:uid="{00000000-0005-0000-0000-0000B50A0000}"/>
    <cellStyle name="20% - Accent2 2 3 4 5" xfId="5802" xr:uid="{00000000-0005-0000-0000-0000B60A0000}"/>
    <cellStyle name="20% - Accent2 2 3 4 5 2" xfId="10266" xr:uid="{00000000-0005-0000-0000-0000B70A0000}"/>
    <cellStyle name="20% - Accent2 2 3 4 5 2 2" xfId="20262" xr:uid="{00000000-0005-0000-0000-0000B80A0000}"/>
    <cellStyle name="20% - Accent2 2 3 4 5 2 2 2" xfId="39662" xr:uid="{00000000-0005-0000-0000-0000B90A0000}"/>
    <cellStyle name="20% - Accent2 2 3 4 5 2 3" xfId="29964" xr:uid="{00000000-0005-0000-0000-0000BA0A0000}"/>
    <cellStyle name="20% - Accent2 2 3 4 5 3" xfId="15807" xr:uid="{00000000-0005-0000-0000-0000BB0A0000}"/>
    <cellStyle name="20% - Accent2 2 3 4 5 3 2" xfId="35207" xr:uid="{00000000-0005-0000-0000-0000BC0A0000}"/>
    <cellStyle name="20% - Accent2 2 3 4 5 4" xfId="25509" xr:uid="{00000000-0005-0000-0000-0000BD0A0000}"/>
    <cellStyle name="20% - Accent2 2 3 4 6" xfId="6368" xr:uid="{00000000-0005-0000-0000-0000BE0A0000}"/>
    <cellStyle name="20% - Accent2 2 3 4 6 2" xfId="10823" xr:uid="{00000000-0005-0000-0000-0000BF0A0000}"/>
    <cellStyle name="20% - Accent2 2 3 4 6 2 2" xfId="20819" xr:uid="{00000000-0005-0000-0000-0000C00A0000}"/>
    <cellStyle name="20% - Accent2 2 3 4 6 2 2 2" xfId="40219" xr:uid="{00000000-0005-0000-0000-0000C10A0000}"/>
    <cellStyle name="20% - Accent2 2 3 4 6 2 3" xfId="30521" xr:uid="{00000000-0005-0000-0000-0000C20A0000}"/>
    <cellStyle name="20% - Accent2 2 3 4 6 3" xfId="16364" xr:uid="{00000000-0005-0000-0000-0000C30A0000}"/>
    <cellStyle name="20% - Accent2 2 3 4 6 3 2" xfId="35764" xr:uid="{00000000-0005-0000-0000-0000C40A0000}"/>
    <cellStyle name="20% - Accent2 2 3 4 6 4" xfId="26066" xr:uid="{00000000-0005-0000-0000-0000C50A0000}"/>
    <cellStyle name="20% - Accent2 2 3 4 7" xfId="6925" xr:uid="{00000000-0005-0000-0000-0000C60A0000}"/>
    <cellStyle name="20% - Accent2 2 3 4 7 2" xfId="16921" xr:uid="{00000000-0005-0000-0000-0000C70A0000}"/>
    <cellStyle name="20% - Accent2 2 3 4 7 2 2" xfId="36321" xr:uid="{00000000-0005-0000-0000-0000C80A0000}"/>
    <cellStyle name="20% - Accent2 2 3 4 7 3" xfId="26623" xr:uid="{00000000-0005-0000-0000-0000C90A0000}"/>
    <cellStyle name="20% - Accent2 2 3 4 8" xfId="12465" xr:uid="{00000000-0005-0000-0000-0000CA0A0000}"/>
    <cellStyle name="20% - Accent2 2 3 4 8 2" xfId="31866" xr:uid="{00000000-0005-0000-0000-0000CB0A0000}"/>
    <cellStyle name="20% - Accent2 2 3 4 9" xfId="22168" xr:uid="{00000000-0005-0000-0000-0000CC0A0000}"/>
    <cellStyle name="20% - Accent2 2 3 5" xfId="1976" xr:uid="{00000000-0005-0000-0000-0000CD0A0000}"/>
    <cellStyle name="20% - Accent2 2 3 5 2" xfId="2977" xr:uid="{00000000-0005-0000-0000-0000CE0A0000}"/>
    <cellStyle name="20% - Accent2 2 3 5 2 2" xfId="5246" xr:uid="{00000000-0005-0000-0000-0000CF0A0000}"/>
    <cellStyle name="20% - Accent2 2 3 5 2 2 2" xfId="9710" xr:uid="{00000000-0005-0000-0000-0000D00A0000}"/>
    <cellStyle name="20% - Accent2 2 3 5 2 2 2 2" xfId="19706" xr:uid="{00000000-0005-0000-0000-0000D10A0000}"/>
    <cellStyle name="20% - Accent2 2 3 5 2 2 2 2 2" xfId="39106" xr:uid="{00000000-0005-0000-0000-0000D20A0000}"/>
    <cellStyle name="20% - Accent2 2 3 5 2 2 2 3" xfId="29408" xr:uid="{00000000-0005-0000-0000-0000D30A0000}"/>
    <cellStyle name="20% - Accent2 2 3 5 2 2 3" xfId="15251" xr:uid="{00000000-0005-0000-0000-0000D40A0000}"/>
    <cellStyle name="20% - Accent2 2 3 5 2 2 3 2" xfId="34651" xr:uid="{00000000-0005-0000-0000-0000D50A0000}"/>
    <cellStyle name="20% - Accent2 2 3 5 2 2 4" xfId="24953" xr:uid="{00000000-0005-0000-0000-0000D60A0000}"/>
    <cellStyle name="20% - Accent2 2 3 5 2 3" xfId="7482" xr:uid="{00000000-0005-0000-0000-0000D70A0000}"/>
    <cellStyle name="20% - Accent2 2 3 5 2 3 2" xfId="17478" xr:uid="{00000000-0005-0000-0000-0000D80A0000}"/>
    <cellStyle name="20% - Accent2 2 3 5 2 3 2 2" xfId="36878" xr:uid="{00000000-0005-0000-0000-0000D90A0000}"/>
    <cellStyle name="20% - Accent2 2 3 5 2 3 3" xfId="27180" xr:uid="{00000000-0005-0000-0000-0000DA0A0000}"/>
    <cellStyle name="20% - Accent2 2 3 5 2 4" xfId="13023" xr:uid="{00000000-0005-0000-0000-0000DB0A0000}"/>
    <cellStyle name="20% - Accent2 2 3 5 2 4 2" xfId="32423" xr:uid="{00000000-0005-0000-0000-0000DC0A0000}"/>
    <cellStyle name="20% - Accent2 2 3 5 2 5" xfId="22725" xr:uid="{00000000-0005-0000-0000-0000DD0A0000}"/>
    <cellStyle name="20% - Accent2 2 3 5 3" xfId="3560" xr:uid="{00000000-0005-0000-0000-0000DE0A0000}"/>
    <cellStyle name="20% - Accent2 2 3 5 3 2" xfId="4690" xr:uid="{00000000-0005-0000-0000-0000DF0A0000}"/>
    <cellStyle name="20% - Accent2 2 3 5 3 2 2" xfId="9154" xr:uid="{00000000-0005-0000-0000-0000E00A0000}"/>
    <cellStyle name="20% - Accent2 2 3 5 3 2 2 2" xfId="19150" xr:uid="{00000000-0005-0000-0000-0000E10A0000}"/>
    <cellStyle name="20% - Accent2 2 3 5 3 2 2 2 2" xfId="38550" xr:uid="{00000000-0005-0000-0000-0000E20A0000}"/>
    <cellStyle name="20% - Accent2 2 3 5 3 2 2 3" xfId="28852" xr:uid="{00000000-0005-0000-0000-0000E30A0000}"/>
    <cellStyle name="20% - Accent2 2 3 5 3 2 3" xfId="14695" xr:uid="{00000000-0005-0000-0000-0000E40A0000}"/>
    <cellStyle name="20% - Accent2 2 3 5 3 2 3 2" xfId="34095" xr:uid="{00000000-0005-0000-0000-0000E50A0000}"/>
    <cellStyle name="20% - Accent2 2 3 5 3 2 4" xfId="24397" xr:uid="{00000000-0005-0000-0000-0000E60A0000}"/>
    <cellStyle name="20% - Accent2 2 3 5 3 3" xfId="8039" xr:uid="{00000000-0005-0000-0000-0000E70A0000}"/>
    <cellStyle name="20% - Accent2 2 3 5 3 3 2" xfId="18035" xr:uid="{00000000-0005-0000-0000-0000E80A0000}"/>
    <cellStyle name="20% - Accent2 2 3 5 3 3 2 2" xfId="37435" xr:uid="{00000000-0005-0000-0000-0000E90A0000}"/>
    <cellStyle name="20% - Accent2 2 3 5 3 3 3" xfId="27737" xr:uid="{00000000-0005-0000-0000-0000EA0A0000}"/>
    <cellStyle name="20% - Accent2 2 3 5 3 4" xfId="13580" xr:uid="{00000000-0005-0000-0000-0000EB0A0000}"/>
    <cellStyle name="20% - Accent2 2 3 5 3 4 2" xfId="32980" xr:uid="{00000000-0005-0000-0000-0000EC0A0000}"/>
    <cellStyle name="20% - Accent2 2 3 5 3 5" xfId="23282" xr:uid="{00000000-0005-0000-0000-0000ED0A0000}"/>
    <cellStyle name="20% - Accent2 2 3 5 4" xfId="4133" xr:uid="{00000000-0005-0000-0000-0000EE0A0000}"/>
    <cellStyle name="20% - Accent2 2 3 5 4 2" xfId="8597" xr:uid="{00000000-0005-0000-0000-0000EF0A0000}"/>
    <cellStyle name="20% - Accent2 2 3 5 4 2 2" xfId="18593" xr:uid="{00000000-0005-0000-0000-0000F00A0000}"/>
    <cellStyle name="20% - Accent2 2 3 5 4 2 2 2" xfId="37993" xr:uid="{00000000-0005-0000-0000-0000F10A0000}"/>
    <cellStyle name="20% - Accent2 2 3 5 4 2 3" xfId="28295" xr:uid="{00000000-0005-0000-0000-0000F20A0000}"/>
    <cellStyle name="20% - Accent2 2 3 5 4 3" xfId="14138" xr:uid="{00000000-0005-0000-0000-0000F30A0000}"/>
    <cellStyle name="20% - Accent2 2 3 5 4 3 2" xfId="33538" xr:uid="{00000000-0005-0000-0000-0000F40A0000}"/>
    <cellStyle name="20% - Accent2 2 3 5 4 4" xfId="23840" xr:uid="{00000000-0005-0000-0000-0000F50A0000}"/>
    <cellStyle name="20% - Accent2 2 3 5 5" xfId="5803" xr:uid="{00000000-0005-0000-0000-0000F60A0000}"/>
    <cellStyle name="20% - Accent2 2 3 5 5 2" xfId="10267" xr:uid="{00000000-0005-0000-0000-0000F70A0000}"/>
    <cellStyle name="20% - Accent2 2 3 5 5 2 2" xfId="20263" xr:uid="{00000000-0005-0000-0000-0000F80A0000}"/>
    <cellStyle name="20% - Accent2 2 3 5 5 2 2 2" xfId="39663" xr:uid="{00000000-0005-0000-0000-0000F90A0000}"/>
    <cellStyle name="20% - Accent2 2 3 5 5 2 3" xfId="29965" xr:uid="{00000000-0005-0000-0000-0000FA0A0000}"/>
    <cellStyle name="20% - Accent2 2 3 5 5 3" xfId="15808" xr:uid="{00000000-0005-0000-0000-0000FB0A0000}"/>
    <cellStyle name="20% - Accent2 2 3 5 5 3 2" xfId="35208" xr:uid="{00000000-0005-0000-0000-0000FC0A0000}"/>
    <cellStyle name="20% - Accent2 2 3 5 5 4" xfId="25510" xr:uid="{00000000-0005-0000-0000-0000FD0A0000}"/>
    <cellStyle name="20% - Accent2 2 3 5 6" xfId="6369" xr:uid="{00000000-0005-0000-0000-0000FE0A0000}"/>
    <cellStyle name="20% - Accent2 2 3 5 6 2" xfId="10824" xr:uid="{00000000-0005-0000-0000-0000FF0A0000}"/>
    <cellStyle name="20% - Accent2 2 3 5 6 2 2" xfId="20820" xr:uid="{00000000-0005-0000-0000-0000000B0000}"/>
    <cellStyle name="20% - Accent2 2 3 5 6 2 2 2" xfId="40220" xr:uid="{00000000-0005-0000-0000-0000010B0000}"/>
    <cellStyle name="20% - Accent2 2 3 5 6 2 3" xfId="30522" xr:uid="{00000000-0005-0000-0000-0000020B0000}"/>
    <cellStyle name="20% - Accent2 2 3 5 6 3" xfId="16365" xr:uid="{00000000-0005-0000-0000-0000030B0000}"/>
    <cellStyle name="20% - Accent2 2 3 5 6 3 2" xfId="35765" xr:uid="{00000000-0005-0000-0000-0000040B0000}"/>
    <cellStyle name="20% - Accent2 2 3 5 6 4" xfId="26067" xr:uid="{00000000-0005-0000-0000-0000050B0000}"/>
    <cellStyle name="20% - Accent2 2 3 5 7" xfId="6926" xr:uid="{00000000-0005-0000-0000-0000060B0000}"/>
    <cellStyle name="20% - Accent2 2 3 5 7 2" xfId="16922" xr:uid="{00000000-0005-0000-0000-0000070B0000}"/>
    <cellStyle name="20% - Accent2 2 3 5 7 2 2" xfId="36322" xr:uid="{00000000-0005-0000-0000-0000080B0000}"/>
    <cellStyle name="20% - Accent2 2 3 5 7 3" xfId="26624" xr:uid="{00000000-0005-0000-0000-0000090B0000}"/>
    <cellStyle name="20% - Accent2 2 3 5 8" xfId="12466" xr:uid="{00000000-0005-0000-0000-00000A0B0000}"/>
    <cellStyle name="20% - Accent2 2 3 5 8 2" xfId="31867" xr:uid="{00000000-0005-0000-0000-00000B0B0000}"/>
    <cellStyle name="20% - Accent2 2 3 5 9" xfId="22169" xr:uid="{00000000-0005-0000-0000-00000C0B0000}"/>
    <cellStyle name="20% - Accent2 2 3 6" xfId="11966" xr:uid="{00000000-0005-0000-0000-00000D0B0000}"/>
    <cellStyle name="20% - Accent2 2 3 6 2" xfId="21670" xr:uid="{00000000-0005-0000-0000-00000E0B0000}"/>
    <cellStyle name="20% - Accent2 2 3 6 2 2" xfId="41070" xr:uid="{00000000-0005-0000-0000-00000F0B0000}"/>
    <cellStyle name="20% - Accent2 2 3 6 3" xfId="31372" xr:uid="{00000000-0005-0000-0000-0000100B0000}"/>
    <cellStyle name="20% - Accent2 2 3 7" xfId="1261" xr:uid="{00000000-0005-0000-0000-0000110B0000}"/>
    <cellStyle name="20% - Accent2 2 3 8" xfId="12322" xr:uid="{00000000-0005-0000-0000-0000120B0000}"/>
    <cellStyle name="20% - Accent2 2 3 8 2" xfId="31725" xr:uid="{00000000-0005-0000-0000-0000130B0000}"/>
    <cellStyle name="20% - Accent2 2 3 9" xfId="22027" xr:uid="{00000000-0005-0000-0000-0000140B0000}"/>
    <cellStyle name="20% - Accent2 2 4" xfId="1260" xr:uid="{00000000-0005-0000-0000-0000150B0000}"/>
    <cellStyle name="20% - Accent2 2 4 2" xfId="1977" xr:uid="{00000000-0005-0000-0000-0000160B0000}"/>
    <cellStyle name="20% - Accent2 2 4 2 10" xfId="12467" xr:uid="{00000000-0005-0000-0000-0000170B0000}"/>
    <cellStyle name="20% - Accent2 2 4 2 10 2" xfId="31868" xr:uid="{00000000-0005-0000-0000-0000180B0000}"/>
    <cellStyle name="20% - Accent2 2 4 2 11" xfId="22170" xr:uid="{00000000-0005-0000-0000-0000190B0000}"/>
    <cellStyle name="20% - Accent2 2 4 2 2" xfId="1978" xr:uid="{00000000-0005-0000-0000-00001A0B0000}"/>
    <cellStyle name="20% - Accent2 2 4 2 2 2" xfId="2979" xr:uid="{00000000-0005-0000-0000-00001B0B0000}"/>
    <cellStyle name="20% - Accent2 2 4 2 2 2 2" xfId="5248" xr:uid="{00000000-0005-0000-0000-00001C0B0000}"/>
    <cellStyle name="20% - Accent2 2 4 2 2 2 2 2" xfId="9712" xr:uid="{00000000-0005-0000-0000-00001D0B0000}"/>
    <cellStyle name="20% - Accent2 2 4 2 2 2 2 2 2" xfId="19708" xr:uid="{00000000-0005-0000-0000-00001E0B0000}"/>
    <cellStyle name="20% - Accent2 2 4 2 2 2 2 2 2 2" xfId="39108" xr:uid="{00000000-0005-0000-0000-00001F0B0000}"/>
    <cellStyle name="20% - Accent2 2 4 2 2 2 2 2 3" xfId="29410" xr:uid="{00000000-0005-0000-0000-0000200B0000}"/>
    <cellStyle name="20% - Accent2 2 4 2 2 2 2 3" xfId="15253" xr:uid="{00000000-0005-0000-0000-0000210B0000}"/>
    <cellStyle name="20% - Accent2 2 4 2 2 2 2 3 2" xfId="34653" xr:uid="{00000000-0005-0000-0000-0000220B0000}"/>
    <cellStyle name="20% - Accent2 2 4 2 2 2 2 4" xfId="24955" xr:uid="{00000000-0005-0000-0000-0000230B0000}"/>
    <cellStyle name="20% - Accent2 2 4 2 2 2 3" xfId="7484" xr:uid="{00000000-0005-0000-0000-0000240B0000}"/>
    <cellStyle name="20% - Accent2 2 4 2 2 2 3 2" xfId="17480" xr:uid="{00000000-0005-0000-0000-0000250B0000}"/>
    <cellStyle name="20% - Accent2 2 4 2 2 2 3 2 2" xfId="36880" xr:uid="{00000000-0005-0000-0000-0000260B0000}"/>
    <cellStyle name="20% - Accent2 2 4 2 2 2 3 3" xfId="27182" xr:uid="{00000000-0005-0000-0000-0000270B0000}"/>
    <cellStyle name="20% - Accent2 2 4 2 2 2 4" xfId="13025" xr:uid="{00000000-0005-0000-0000-0000280B0000}"/>
    <cellStyle name="20% - Accent2 2 4 2 2 2 4 2" xfId="32425" xr:uid="{00000000-0005-0000-0000-0000290B0000}"/>
    <cellStyle name="20% - Accent2 2 4 2 2 2 5" xfId="22727" xr:uid="{00000000-0005-0000-0000-00002A0B0000}"/>
    <cellStyle name="20% - Accent2 2 4 2 2 3" xfId="3562" xr:uid="{00000000-0005-0000-0000-00002B0B0000}"/>
    <cellStyle name="20% - Accent2 2 4 2 2 3 2" xfId="4692" xr:uid="{00000000-0005-0000-0000-00002C0B0000}"/>
    <cellStyle name="20% - Accent2 2 4 2 2 3 2 2" xfId="9156" xr:uid="{00000000-0005-0000-0000-00002D0B0000}"/>
    <cellStyle name="20% - Accent2 2 4 2 2 3 2 2 2" xfId="19152" xr:uid="{00000000-0005-0000-0000-00002E0B0000}"/>
    <cellStyle name="20% - Accent2 2 4 2 2 3 2 2 2 2" xfId="38552" xr:uid="{00000000-0005-0000-0000-00002F0B0000}"/>
    <cellStyle name="20% - Accent2 2 4 2 2 3 2 2 3" xfId="28854" xr:uid="{00000000-0005-0000-0000-0000300B0000}"/>
    <cellStyle name="20% - Accent2 2 4 2 2 3 2 3" xfId="14697" xr:uid="{00000000-0005-0000-0000-0000310B0000}"/>
    <cellStyle name="20% - Accent2 2 4 2 2 3 2 3 2" xfId="34097" xr:uid="{00000000-0005-0000-0000-0000320B0000}"/>
    <cellStyle name="20% - Accent2 2 4 2 2 3 2 4" xfId="24399" xr:uid="{00000000-0005-0000-0000-0000330B0000}"/>
    <cellStyle name="20% - Accent2 2 4 2 2 3 3" xfId="8041" xr:uid="{00000000-0005-0000-0000-0000340B0000}"/>
    <cellStyle name="20% - Accent2 2 4 2 2 3 3 2" xfId="18037" xr:uid="{00000000-0005-0000-0000-0000350B0000}"/>
    <cellStyle name="20% - Accent2 2 4 2 2 3 3 2 2" xfId="37437" xr:uid="{00000000-0005-0000-0000-0000360B0000}"/>
    <cellStyle name="20% - Accent2 2 4 2 2 3 3 3" xfId="27739" xr:uid="{00000000-0005-0000-0000-0000370B0000}"/>
    <cellStyle name="20% - Accent2 2 4 2 2 3 4" xfId="13582" xr:uid="{00000000-0005-0000-0000-0000380B0000}"/>
    <cellStyle name="20% - Accent2 2 4 2 2 3 4 2" xfId="32982" xr:uid="{00000000-0005-0000-0000-0000390B0000}"/>
    <cellStyle name="20% - Accent2 2 4 2 2 3 5" xfId="23284" xr:uid="{00000000-0005-0000-0000-00003A0B0000}"/>
    <cellStyle name="20% - Accent2 2 4 2 2 4" xfId="4135" xr:uid="{00000000-0005-0000-0000-00003B0B0000}"/>
    <cellStyle name="20% - Accent2 2 4 2 2 4 2" xfId="8599" xr:uid="{00000000-0005-0000-0000-00003C0B0000}"/>
    <cellStyle name="20% - Accent2 2 4 2 2 4 2 2" xfId="18595" xr:uid="{00000000-0005-0000-0000-00003D0B0000}"/>
    <cellStyle name="20% - Accent2 2 4 2 2 4 2 2 2" xfId="37995" xr:uid="{00000000-0005-0000-0000-00003E0B0000}"/>
    <cellStyle name="20% - Accent2 2 4 2 2 4 2 3" xfId="28297" xr:uid="{00000000-0005-0000-0000-00003F0B0000}"/>
    <cellStyle name="20% - Accent2 2 4 2 2 4 3" xfId="14140" xr:uid="{00000000-0005-0000-0000-0000400B0000}"/>
    <cellStyle name="20% - Accent2 2 4 2 2 4 3 2" xfId="33540" xr:uid="{00000000-0005-0000-0000-0000410B0000}"/>
    <cellStyle name="20% - Accent2 2 4 2 2 4 4" xfId="23842" xr:uid="{00000000-0005-0000-0000-0000420B0000}"/>
    <cellStyle name="20% - Accent2 2 4 2 2 5" xfId="5805" xr:uid="{00000000-0005-0000-0000-0000430B0000}"/>
    <cellStyle name="20% - Accent2 2 4 2 2 5 2" xfId="10269" xr:uid="{00000000-0005-0000-0000-0000440B0000}"/>
    <cellStyle name="20% - Accent2 2 4 2 2 5 2 2" xfId="20265" xr:uid="{00000000-0005-0000-0000-0000450B0000}"/>
    <cellStyle name="20% - Accent2 2 4 2 2 5 2 2 2" xfId="39665" xr:uid="{00000000-0005-0000-0000-0000460B0000}"/>
    <cellStyle name="20% - Accent2 2 4 2 2 5 2 3" xfId="29967" xr:uid="{00000000-0005-0000-0000-0000470B0000}"/>
    <cellStyle name="20% - Accent2 2 4 2 2 5 3" xfId="15810" xr:uid="{00000000-0005-0000-0000-0000480B0000}"/>
    <cellStyle name="20% - Accent2 2 4 2 2 5 3 2" xfId="35210" xr:uid="{00000000-0005-0000-0000-0000490B0000}"/>
    <cellStyle name="20% - Accent2 2 4 2 2 5 4" xfId="25512" xr:uid="{00000000-0005-0000-0000-00004A0B0000}"/>
    <cellStyle name="20% - Accent2 2 4 2 2 6" xfId="6371" xr:uid="{00000000-0005-0000-0000-00004B0B0000}"/>
    <cellStyle name="20% - Accent2 2 4 2 2 6 2" xfId="10826" xr:uid="{00000000-0005-0000-0000-00004C0B0000}"/>
    <cellStyle name="20% - Accent2 2 4 2 2 6 2 2" xfId="20822" xr:uid="{00000000-0005-0000-0000-00004D0B0000}"/>
    <cellStyle name="20% - Accent2 2 4 2 2 6 2 2 2" xfId="40222" xr:uid="{00000000-0005-0000-0000-00004E0B0000}"/>
    <cellStyle name="20% - Accent2 2 4 2 2 6 2 3" xfId="30524" xr:uid="{00000000-0005-0000-0000-00004F0B0000}"/>
    <cellStyle name="20% - Accent2 2 4 2 2 6 3" xfId="16367" xr:uid="{00000000-0005-0000-0000-0000500B0000}"/>
    <cellStyle name="20% - Accent2 2 4 2 2 6 3 2" xfId="35767" xr:uid="{00000000-0005-0000-0000-0000510B0000}"/>
    <cellStyle name="20% - Accent2 2 4 2 2 6 4" xfId="26069" xr:uid="{00000000-0005-0000-0000-0000520B0000}"/>
    <cellStyle name="20% - Accent2 2 4 2 2 7" xfId="6928" xr:uid="{00000000-0005-0000-0000-0000530B0000}"/>
    <cellStyle name="20% - Accent2 2 4 2 2 7 2" xfId="16924" xr:uid="{00000000-0005-0000-0000-0000540B0000}"/>
    <cellStyle name="20% - Accent2 2 4 2 2 7 2 2" xfId="36324" xr:uid="{00000000-0005-0000-0000-0000550B0000}"/>
    <cellStyle name="20% - Accent2 2 4 2 2 7 3" xfId="26626" xr:uid="{00000000-0005-0000-0000-0000560B0000}"/>
    <cellStyle name="20% - Accent2 2 4 2 2 8" xfId="12468" xr:uid="{00000000-0005-0000-0000-0000570B0000}"/>
    <cellStyle name="20% - Accent2 2 4 2 2 8 2" xfId="31869" xr:uid="{00000000-0005-0000-0000-0000580B0000}"/>
    <cellStyle name="20% - Accent2 2 4 2 2 9" xfId="22171" xr:uid="{00000000-0005-0000-0000-0000590B0000}"/>
    <cellStyle name="20% - Accent2 2 4 2 3" xfId="1979" xr:uid="{00000000-0005-0000-0000-00005A0B0000}"/>
    <cellStyle name="20% - Accent2 2 4 2 3 2" xfId="2980" xr:uid="{00000000-0005-0000-0000-00005B0B0000}"/>
    <cellStyle name="20% - Accent2 2 4 2 3 2 2" xfId="5249" xr:uid="{00000000-0005-0000-0000-00005C0B0000}"/>
    <cellStyle name="20% - Accent2 2 4 2 3 2 2 2" xfId="9713" xr:uid="{00000000-0005-0000-0000-00005D0B0000}"/>
    <cellStyle name="20% - Accent2 2 4 2 3 2 2 2 2" xfId="19709" xr:uid="{00000000-0005-0000-0000-00005E0B0000}"/>
    <cellStyle name="20% - Accent2 2 4 2 3 2 2 2 2 2" xfId="39109" xr:uid="{00000000-0005-0000-0000-00005F0B0000}"/>
    <cellStyle name="20% - Accent2 2 4 2 3 2 2 2 3" xfId="29411" xr:uid="{00000000-0005-0000-0000-0000600B0000}"/>
    <cellStyle name="20% - Accent2 2 4 2 3 2 2 3" xfId="15254" xr:uid="{00000000-0005-0000-0000-0000610B0000}"/>
    <cellStyle name="20% - Accent2 2 4 2 3 2 2 3 2" xfId="34654" xr:uid="{00000000-0005-0000-0000-0000620B0000}"/>
    <cellStyle name="20% - Accent2 2 4 2 3 2 2 4" xfId="24956" xr:uid="{00000000-0005-0000-0000-0000630B0000}"/>
    <cellStyle name="20% - Accent2 2 4 2 3 2 3" xfId="7485" xr:uid="{00000000-0005-0000-0000-0000640B0000}"/>
    <cellStyle name="20% - Accent2 2 4 2 3 2 3 2" xfId="17481" xr:uid="{00000000-0005-0000-0000-0000650B0000}"/>
    <cellStyle name="20% - Accent2 2 4 2 3 2 3 2 2" xfId="36881" xr:uid="{00000000-0005-0000-0000-0000660B0000}"/>
    <cellStyle name="20% - Accent2 2 4 2 3 2 3 3" xfId="27183" xr:uid="{00000000-0005-0000-0000-0000670B0000}"/>
    <cellStyle name="20% - Accent2 2 4 2 3 2 4" xfId="13026" xr:uid="{00000000-0005-0000-0000-0000680B0000}"/>
    <cellStyle name="20% - Accent2 2 4 2 3 2 4 2" xfId="32426" xr:uid="{00000000-0005-0000-0000-0000690B0000}"/>
    <cellStyle name="20% - Accent2 2 4 2 3 2 5" xfId="22728" xr:uid="{00000000-0005-0000-0000-00006A0B0000}"/>
    <cellStyle name="20% - Accent2 2 4 2 3 3" xfId="3563" xr:uid="{00000000-0005-0000-0000-00006B0B0000}"/>
    <cellStyle name="20% - Accent2 2 4 2 3 3 2" xfId="4693" xr:uid="{00000000-0005-0000-0000-00006C0B0000}"/>
    <cellStyle name="20% - Accent2 2 4 2 3 3 2 2" xfId="9157" xr:uid="{00000000-0005-0000-0000-00006D0B0000}"/>
    <cellStyle name="20% - Accent2 2 4 2 3 3 2 2 2" xfId="19153" xr:uid="{00000000-0005-0000-0000-00006E0B0000}"/>
    <cellStyle name="20% - Accent2 2 4 2 3 3 2 2 2 2" xfId="38553" xr:uid="{00000000-0005-0000-0000-00006F0B0000}"/>
    <cellStyle name="20% - Accent2 2 4 2 3 3 2 2 3" xfId="28855" xr:uid="{00000000-0005-0000-0000-0000700B0000}"/>
    <cellStyle name="20% - Accent2 2 4 2 3 3 2 3" xfId="14698" xr:uid="{00000000-0005-0000-0000-0000710B0000}"/>
    <cellStyle name="20% - Accent2 2 4 2 3 3 2 3 2" xfId="34098" xr:uid="{00000000-0005-0000-0000-0000720B0000}"/>
    <cellStyle name="20% - Accent2 2 4 2 3 3 2 4" xfId="24400" xr:uid="{00000000-0005-0000-0000-0000730B0000}"/>
    <cellStyle name="20% - Accent2 2 4 2 3 3 3" xfId="8042" xr:uid="{00000000-0005-0000-0000-0000740B0000}"/>
    <cellStyle name="20% - Accent2 2 4 2 3 3 3 2" xfId="18038" xr:uid="{00000000-0005-0000-0000-0000750B0000}"/>
    <cellStyle name="20% - Accent2 2 4 2 3 3 3 2 2" xfId="37438" xr:uid="{00000000-0005-0000-0000-0000760B0000}"/>
    <cellStyle name="20% - Accent2 2 4 2 3 3 3 3" xfId="27740" xr:uid="{00000000-0005-0000-0000-0000770B0000}"/>
    <cellStyle name="20% - Accent2 2 4 2 3 3 4" xfId="13583" xr:uid="{00000000-0005-0000-0000-0000780B0000}"/>
    <cellStyle name="20% - Accent2 2 4 2 3 3 4 2" xfId="32983" xr:uid="{00000000-0005-0000-0000-0000790B0000}"/>
    <cellStyle name="20% - Accent2 2 4 2 3 3 5" xfId="23285" xr:uid="{00000000-0005-0000-0000-00007A0B0000}"/>
    <cellStyle name="20% - Accent2 2 4 2 3 4" xfId="4136" xr:uid="{00000000-0005-0000-0000-00007B0B0000}"/>
    <cellStyle name="20% - Accent2 2 4 2 3 4 2" xfId="8600" xr:uid="{00000000-0005-0000-0000-00007C0B0000}"/>
    <cellStyle name="20% - Accent2 2 4 2 3 4 2 2" xfId="18596" xr:uid="{00000000-0005-0000-0000-00007D0B0000}"/>
    <cellStyle name="20% - Accent2 2 4 2 3 4 2 2 2" xfId="37996" xr:uid="{00000000-0005-0000-0000-00007E0B0000}"/>
    <cellStyle name="20% - Accent2 2 4 2 3 4 2 3" xfId="28298" xr:uid="{00000000-0005-0000-0000-00007F0B0000}"/>
    <cellStyle name="20% - Accent2 2 4 2 3 4 3" xfId="14141" xr:uid="{00000000-0005-0000-0000-0000800B0000}"/>
    <cellStyle name="20% - Accent2 2 4 2 3 4 3 2" xfId="33541" xr:uid="{00000000-0005-0000-0000-0000810B0000}"/>
    <cellStyle name="20% - Accent2 2 4 2 3 4 4" xfId="23843" xr:uid="{00000000-0005-0000-0000-0000820B0000}"/>
    <cellStyle name="20% - Accent2 2 4 2 3 5" xfId="5806" xr:uid="{00000000-0005-0000-0000-0000830B0000}"/>
    <cellStyle name="20% - Accent2 2 4 2 3 5 2" xfId="10270" xr:uid="{00000000-0005-0000-0000-0000840B0000}"/>
    <cellStyle name="20% - Accent2 2 4 2 3 5 2 2" xfId="20266" xr:uid="{00000000-0005-0000-0000-0000850B0000}"/>
    <cellStyle name="20% - Accent2 2 4 2 3 5 2 2 2" xfId="39666" xr:uid="{00000000-0005-0000-0000-0000860B0000}"/>
    <cellStyle name="20% - Accent2 2 4 2 3 5 2 3" xfId="29968" xr:uid="{00000000-0005-0000-0000-0000870B0000}"/>
    <cellStyle name="20% - Accent2 2 4 2 3 5 3" xfId="15811" xr:uid="{00000000-0005-0000-0000-0000880B0000}"/>
    <cellStyle name="20% - Accent2 2 4 2 3 5 3 2" xfId="35211" xr:uid="{00000000-0005-0000-0000-0000890B0000}"/>
    <cellStyle name="20% - Accent2 2 4 2 3 5 4" xfId="25513" xr:uid="{00000000-0005-0000-0000-00008A0B0000}"/>
    <cellStyle name="20% - Accent2 2 4 2 3 6" xfId="6372" xr:uid="{00000000-0005-0000-0000-00008B0B0000}"/>
    <cellStyle name="20% - Accent2 2 4 2 3 6 2" xfId="10827" xr:uid="{00000000-0005-0000-0000-00008C0B0000}"/>
    <cellStyle name="20% - Accent2 2 4 2 3 6 2 2" xfId="20823" xr:uid="{00000000-0005-0000-0000-00008D0B0000}"/>
    <cellStyle name="20% - Accent2 2 4 2 3 6 2 2 2" xfId="40223" xr:uid="{00000000-0005-0000-0000-00008E0B0000}"/>
    <cellStyle name="20% - Accent2 2 4 2 3 6 2 3" xfId="30525" xr:uid="{00000000-0005-0000-0000-00008F0B0000}"/>
    <cellStyle name="20% - Accent2 2 4 2 3 6 3" xfId="16368" xr:uid="{00000000-0005-0000-0000-0000900B0000}"/>
    <cellStyle name="20% - Accent2 2 4 2 3 6 3 2" xfId="35768" xr:uid="{00000000-0005-0000-0000-0000910B0000}"/>
    <cellStyle name="20% - Accent2 2 4 2 3 6 4" xfId="26070" xr:uid="{00000000-0005-0000-0000-0000920B0000}"/>
    <cellStyle name="20% - Accent2 2 4 2 3 7" xfId="6929" xr:uid="{00000000-0005-0000-0000-0000930B0000}"/>
    <cellStyle name="20% - Accent2 2 4 2 3 7 2" xfId="16925" xr:uid="{00000000-0005-0000-0000-0000940B0000}"/>
    <cellStyle name="20% - Accent2 2 4 2 3 7 2 2" xfId="36325" xr:uid="{00000000-0005-0000-0000-0000950B0000}"/>
    <cellStyle name="20% - Accent2 2 4 2 3 7 3" xfId="26627" xr:uid="{00000000-0005-0000-0000-0000960B0000}"/>
    <cellStyle name="20% - Accent2 2 4 2 3 8" xfId="12469" xr:uid="{00000000-0005-0000-0000-0000970B0000}"/>
    <cellStyle name="20% - Accent2 2 4 2 3 8 2" xfId="31870" xr:uid="{00000000-0005-0000-0000-0000980B0000}"/>
    <cellStyle name="20% - Accent2 2 4 2 3 9" xfId="22172" xr:uid="{00000000-0005-0000-0000-0000990B0000}"/>
    <cellStyle name="20% - Accent2 2 4 2 4" xfId="2978" xr:uid="{00000000-0005-0000-0000-00009A0B0000}"/>
    <cellStyle name="20% - Accent2 2 4 2 4 2" xfId="5247" xr:uid="{00000000-0005-0000-0000-00009B0B0000}"/>
    <cellStyle name="20% - Accent2 2 4 2 4 2 2" xfId="9711" xr:uid="{00000000-0005-0000-0000-00009C0B0000}"/>
    <cellStyle name="20% - Accent2 2 4 2 4 2 2 2" xfId="19707" xr:uid="{00000000-0005-0000-0000-00009D0B0000}"/>
    <cellStyle name="20% - Accent2 2 4 2 4 2 2 2 2" xfId="39107" xr:uid="{00000000-0005-0000-0000-00009E0B0000}"/>
    <cellStyle name="20% - Accent2 2 4 2 4 2 2 3" xfId="29409" xr:uid="{00000000-0005-0000-0000-00009F0B0000}"/>
    <cellStyle name="20% - Accent2 2 4 2 4 2 3" xfId="15252" xr:uid="{00000000-0005-0000-0000-0000A00B0000}"/>
    <cellStyle name="20% - Accent2 2 4 2 4 2 3 2" xfId="34652" xr:uid="{00000000-0005-0000-0000-0000A10B0000}"/>
    <cellStyle name="20% - Accent2 2 4 2 4 2 4" xfId="24954" xr:uid="{00000000-0005-0000-0000-0000A20B0000}"/>
    <cellStyle name="20% - Accent2 2 4 2 4 3" xfId="7483" xr:uid="{00000000-0005-0000-0000-0000A30B0000}"/>
    <cellStyle name="20% - Accent2 2 4 2 4 3 2" xfId="17479" xr:uid="{00000000-0005-0000-0000-0000A40B0000}"/>
    <cellStyle name="20% - Accent2 2 4 2 4 3 2 2" xfId="36879" xr:uid="{00000000-0005-0000-0000-0000A50B0000}"/>
    <cellStyle name="20% - Accent2 2 4 2 4 3 3" xfId="27181" xr:uid="{00000000-0005-0000-0000-0000A60B0000}"/>
    <cellStyle name="20% - Accent2 2 4 2 4 4" xfId="13024" xr:uid="{00000000-0005-0000-0000-0000A70B0000}"/>
    <cellStyle name="20% - Accent2 2 4 2 4 4 2" xfId="32424" xr:uid="{00000000-0005-0000-0000-0000A80B0000}"/>
    <cellStyle name="20% - Accent2 2 4 2 4 5" xfId="22726" xr:uid="{00000000-0005-0000-0000-0000A90B0000}"/>
    <cellStyle name="20% - Accent2 2 4 2 5" xfId="3561" xr:uid="{00000000-0005-0000-0000-0000AA0B0000}"/>
    <cellStyle name="20% - Accent2 2 4 2 5 2" xfId="4691" xr:uid="{00000000-0005-0000-0000-0000AB0B0000}"/>
    <cellStyle name="20% - Accent2 2 4 2 5 2 2" xfId="9155" xr:uid="{00000000-0005-0000-0000-0000AC0B0000}"/>
    <cellStyle name="20% - Accent2 2 4 2 5 2 2 2" xfId="19151" xr:uid="{00000000-0005-0000-0000-0000AD0B0000}"/>
    <cellStyle name="20% - Accent2 2 4 2 5 2 2 2 2" xfId="38551" xr:uid="{00000000-0005-0000-0000-0000AE0B0000}"/>
    <cellStyle name="20% - Accent2 2 4 2 5 2 2 3" xfId="28853" xr:uid="{00000000-0005-0000-0000-0000AF0B0000}"/>
    <cellStyle name="20% - Accent2 2 4 2 5 2 3" xfId="14696" xr:uid="{00000000-0005-0000-0000-0000B00B0000}"/>
    <cellStyle name="20% - Accent2 2 4 2 5 2 3 2" xfId="34096" xr:uid="{00000000-0005-0000-0000-0000B10B0000}"/>
    <cellStyle name="20% - Accent2 2 4 2 5 2 4" xfId="24398" xr:uid="{00000000-0005-0000-0000-0000B20B0000}"/>
    <cellStyle name="20% - Accent2 2 4 2 5 3" xfId="8040" xr:uid="{00000000-0005-0000-0000-0000B30B0000}"/>
    <cellStyle name="20% - Accent2 2 4 2 5 3 2" xfId="18036" xr:uid="{00000000-0005-0000-0000-0000B40B0000}"/>
    <cellStyle name="20% - Accent2 2 4 2 5 3 2 2" xfId="37436" xr:uid="{00000000-0005-0000-0000-0000B50B0000}"/>
    <cellStyle name="20% - Accent2 2 4 2 5 3 3" xfId="27738" xr:uid="{00000000-0005-0000-0000-0000B60B0000}"/>
    <cellStyle name="20% - Accent2 2 4 2 5 4" xfId="13581" xr:uid="{00000000-0005-0000-0000-0000B70B0000}"/>
    <cellStyle name="20% - Accent2 2 4 2 5 4 2" xfId="32981" xr:uid="{00000000-0005-0000-0000-0000B80B0000}"/>
    <cellStyle name="20% - Accent2 2 4 2 5 5" xfId="23283" xr:uid="{00000000-0005-0000-0000-0000B90B0000}"/>
    <cellStyle name="20% - Accent2 2 4 2 6" xfId="4134" xr:uid="{00000000-0005-0000-0000-0000BA0B0000}"/>
    <cellStyle name="20% - Accent2 2 4 2 6 2" xfId="8598" xr:uid="{00000000-0005-0000-0000-0000BB0B0000}"/>
    <cellStyle name="20% - Accent2 2 4 2 6 2 2" xfId="18594" xr:uid="{00000000-0005-0000-0000-0000BC0B0000}"/>
    <cellStyle name="20% - Accent2 2 4 2 6 2 2 2" xfId="37994" xr:uid="{00000000-0005-0000-0000-0000BD0B0000}"/>
    <cellStyle name="20% - Accent2 2 4 2 6 2 3" xfId="28296" xr:uid="{00000000-0005-0000-0000-0000BE0B0000}"/>
    <cellStyle name="20% - Accent2 2 4 2 6 3" xfId="14139" xr:uid="{00000000-0005-0000-0000-0000BF0B0000}"/>
    <cellStyle name="20% - Accent2 2 4 2 6 3 2" xfId="33539" xr:uid="{00000000-0005-0000-0000-0000C00B0000}"/>
    <cellStyle name="20% - Accent2 2 4 2 6 4" xfId="23841" xr:uid="{00000000-0005-0000-0000-0000C10B0000}"/>
    <cellStyle name="20% - Accent2 2 4 2 7" xfId="5804" xr:uid="{00000000-0005-0000-0000-0000C20B0000}"/>
    <cellStyle name="20% - Accent2 2 4 2 7 2" xfId="10268" xr:uid="{00000000-0005-0000-0000-0000C30B0000}"/>
    <cellStyle name="20% - Accent2 2 4 2 7 2 2" xfId="20264" xr:uid="{00000000-0005-0000-0000-0000C40B0000}"/>
    <cellStyle name="20% - Accent2 2 4 2 7 2 2 2" xfId="39664" xr:uid="{00000000-0005-0000-0000-0000C50B0000}"/>
    <cellStyle name="20% - Accent2 2 4 2 7 2 3" xfId="29966" xr:uid="{00000000-0005-0000-0000-0000C60B0000}"/>
    <cellStyle name="20% - Accent2 2 4 2 7 3" xfId="15809" xr:uid="{00000000-0005-0000-0000-0000C70B0000}"/>
    <cellStyle name="20% - Accent2 2 4 2 7 3 2" xfId="35209" xr:uid="{00000000-0005-0000-0000-0000C80B0000}"/>
    <cellStyle name="20% - Accent2 2 4 2 7 4" xfId="25511" xr:uid="{00000000-0005-0000-0000-0000C90B0000}"/>
    <cellStyle name="20% - Accent2 2 4 2 8" xfId="6370" xr:uid="{00000000-0005-0000-0000-0000CA0B0000}"/>
    <cellStyle name="20% - Accent2 2 4 2 8 2" xfId="10825" xr:uid="{00000000-0005-0000-0000-0000CB0B0000}"/>
    <cellStyle name="20% - Accent2 2 4 2 8 2 2" xfId="20821" xr:uid="{00000000-0005-0000-0000-0000CC0B0000}"/>
    <cellStyle name="20% - Accent2 2 4 2 8 2 2 2" xfId="40221" xr:uid="{00000000-0005-0000-0000-0000CD0B0000}"/>
    <cellStyle name="20% - Accent2 2 4 2 8 2 3" xfId="30523" xr:uid="{00000000-0005-0000-0000-0000CE0B0000}"/>
    <cellStyle name="20% - Accent2 2 4 2 8 3" xfId="16366" xr:uid="{00000000-0005-0000-0000-0000CF0B0000}"/>
    <cellStyle name="20% - Accent2 2 4 2 8 3 2" xfId="35766" xr:uid="{00000000-0005-0000-0000-0000D00B0000}"/>
    <cellStyle name="20% - Accent2 2 4 2 8 4" xfId="26068" xr:uid="{00000000-0005-0000-0000-0000D10B0000}"/>
    <cellStyle name="20% - Accent2 2 4 2 9" xfId="6927" xr:uid="{00000000-0005-0000-0000-0000D20B0000}"/>
    <cellStyle name="20% - Accent2 2 4 2 9 2" xfId="16923" xr:uid="{00000000-0005-0000-0000-0000D30B0000}"/>
    <cellStyle name="20% - Accent2 2 4 2 9 2 2" xfId="36323" xr:uid="{00000000-0005-0000-0000-0000D40B0000}"/>
    <cellStyle name="20% - Accent2 2 4 2 9 3" xfId="26625" xr:uid="{00000000-0005-0000-0000-0000D50B0000}"/>
    <cellStyle name="20% - Accent2 2 4 3" xfId="1980" xr:uid="{00000000-0005-0000-0000-0000D60B0000}"/>
    <cellStyle name="20% - Accent2 2 4 3 10" xfId="12470" xr:uid="{00000000-0005-0000-0000-0000D70B0000}"/>
    <cellStyle name="20% - Accent2 2 4 3 10 2" xfId="31871" xr:uid="{00000000-0005-0000-0000-0000D80B0000}"/>
    <cellStyle name="20% - Accent2 2 4 3 11" xfId="22173" xr:uid="{00000000-0005-0000-0000-0000D90B0000}"/>
    <cellStyle name="20% - Accent2 2 4 3 2" xfId="1981" xr:uid="{00000000-0005-0000-0000-0000DA0B0000}"/>
    <cellStyle name="20% - Accent2 2 4 3 2 2" xfId="2982" xr:uid="{00000000-0005-0000-0000-0000DB0B0000}"/>
    <cellStyle name="20% - Accent2 2 4 3 2 2 2" xfId="5251" xr:uid="{00000000-0005-0000-0000-0000DC0B0000}"/>
    <cellStyle name="20% - Accent2 2 4 3 2 2 2 2" xfId="9715" xr:uid="{00000000-0005-0000-0000-0000DD0B0000}"/>
    <cellStyle name="20% - Accent2 2 4 3 2 2 2 2 2" xfId="19711" xr:uid="{00000000-0005-0000-0000-0000DE0B0000}"/>
    <cellStyle name="20% - Accent2 2 4 3 2 2 2 2 2 2" xfId="39111" xr:uid="{00000000-0005-0000-0000-0000DF0B0000}"/>
    <cellStyle name="20% - Accent2 2 4 3 2 2 2 2 3" xfId="29413" xr:uid="{00000000-0005-0000-0000-0000E00B0000}"/>
    <cellStyle name="20% - Accent2 2 4 3 2 2 2 3" xfId="15256" xr:uid="{00000000-0005-0000-0000-0000E10B0000}"/>
    <cellStyle name="20% - Accent2 2 4 3 2 2 2 3 2" xfId="34656" xr:uid="{00000000-0005-0000-0000-0000E20B0000}"/>
    <cellStyle name="20% - Accent2 2 4 3 2 2 2 4" xfId="24958" xr:uid="{00000000-0005-0000-0000-0000E30B0000}"/>
    <cellStyle name="20% - Accent2 2 4 3 2 2 3" xfId="7487" xr:uid="{00000000-0005-0000-0000-0000E40B0000}"/>
    <cellStyle name="20% - Accent2 2 4 3 2 2 3 2" xfId="17483" xr:uid="{00000000-0005-0000-0000-0000E50B0000}"/>
    <cellStyle name="20% - Accent2 2 4 3 2 2 3 2 2" xfId="36883" xr:uid="{00000000-0005-0000-0000-0000E60B0000}"/>
    <cellStyle name="20% - Accent2 2 4 3 2 2 3 3" xfId="27185" xr:uid="{00000000-0005-0000-0000-0000E70B0000}"/>
    <cellStyle name="20% - Accent2 2 4 3 2 2 4" xfId="13028" xr:uid="{00000000-0005-0000-0000-0000E80B0000}"/>
    <cellStyle name="20% - Accent2 2 4 3 2 2 4 2" xfId="32428" xr:uid="{00000000-0005-0000-0000-0000E90B0000}"/>
    <cellStyle name="20% - Accent2 2 4 3 2 2 5" xfId="22730" xr:uid="{00000000-0005-0000-0000-0000EA0B0000}"/>
    <cellStyle name="20% - Accent2 2 4 3 2 3" xfId="3565" xr:uid="{00000000-0005-0000-0000-0000EB0B0000}"/>
    <cellStyle name="20% - Accent2 2 4 3 2 3 2" xfId="4695" xr:uid="{00000000-0005-0000-0000-0000EC0B0000}"/>
    <cellStyle name="20% - Accent2 2 4 3 2 3 2 2" xfId="9159" xr:uid="{00000000-0005-0000-0000-0000ED0B0000}"/>
    <cellStyle name="20% - Accent2 2 4 3 2 3 2 2 2" xfId="19155" xr:uid="{00000000-0005-0000-0000-0000EE0B0000}"/>
    <cellStyle name="20% - Accent2 2 4 3 2 3 2 2 2 2" xfId="38555" xr:uid="{00000000-0005-0000-0000-0000EF0B0000}"/>
    <cellStyle name="20% - Accent2 2 4 3 2 3 2 2 3" xfId="28857" xr:uid="{00000000-0005-0000-0000-0000F00B0000}"/>
    <cellStyle name="20% - Accent2 2 4 3 2 3 2 3" xfId="14700" xr:uid="{00000000-0005-0000-0000-0000F10B0000}"/>
    <cellStyle name="20% - Accent2 2 4 3 2 3 2 3 2" xfId="34100" xr:uid="{00000000-0005-0000-0000-0000F20B0000}"/>
    <cellStyle name="20% - Accent2 2 4 3 2 3 2 4" xfId="24402" xr:uid="{00000000-0005-0000-0000-0000F30B0000}"/>
    <cellStyle name="20% - Accent2 2 4 3 2 3 3" xfId="8044" xr:uid="{00000000-0005-0000-0000-0000F40B0000}"/>
    <cellStyle name="20% - Accent2 2 4 3 2 3 3 2" xfId="18040" xr:uid="{00000000-0005-0000-0000-0000F50B0000}"/>
    <cellStyle name="20% - Accent2 2 4 3 2 3 3 2 2" xfId="37440" xr:uid="{00000000-0005-0000-0000-0000F60B0000}"/>
    <cellStyle name="20% - Accent2 2 4 3 2 3 3 3" xfId="27742" xr:uid="{00000000-0005-0000-0000-0000F70B0000}"/>
    <cellStyle name="20% - Accent2 2 4 3 2 3 4" xfId="13585" xr:uid="{00000000-0005-0000-0000-0000F80B0000}"/>
    <cellStyle name="20% - Accent2 2 4 3 2 3 4 2" xfId="32985" xr:uid="{00000000-0005-0000-0000-0000F90B0000}"/>
    <cellStyle name="20% - Accent2 2 4 3 2 3 5" xfId="23287" xr:uid="{00000000-0005-0000-0000-0000FA0B0000}"/>
    <cellStyle name="20% - Accent2 2 4 3 2 4" xfId="4138" xr:uid="{00000000-0005-0000-0000-0000FB0B0000}"/>
    <cellStyle name="20% - Accent2 2 4 3 2 4 2" xfId="8602" xr:uid="{00000000-0005-0000-0000-0000FC0B0000}"/>
    <cellStyle name="20% - Accent2 2 4 3 2 4 2 2" xfId="18598" xr:uid="{00000000-0005-0000-0000-0000FD0B0000}"/>
    <cellStyle name="20% - Accent2 2 4 3 2 4 2 2 2" xfId="37998" xr:uid="{00000000-0005-0000-0000-0000FE0B0000}"/>
    <cellStyle name="20% - Accent2 2 4 3 2 4 2 3" xfId="28300" xr:uid="{00000000-0005-0000-0000-0000FF0B0000}"/>
    <cellStyle name="20% - Accent2 2 4 3 2 4 3" xfId="14143" xr:uid="{00000000-0005-0000-0000-0000000C0000}"/>
    <cellStyle name="20% - Accent2 2 4 3 2 4 3 2" xfId="33543" xr:uid="{00000000-0005-0000-0000-0000010C0000}"/>
    <cellStyle name="20% - Accent2 2 4 3 2 4 4" xfId="23845" xr:uid="{00000000-0005-0000-0000-0000020C0000}"/>
    <cellStyle name="20% - Accent2 2 4 3 2 5" xfId="5808" xr:uid="{00000000-0005-0000-0000-0000030C0000}"/>
    <cellStyle name="20% - Accent2 2 4 3 2 5 2" xfId="10272" xr:uid="{00000000-0005-0000-0000-0000040C0000}"/>
    <cellStyle name="20% - Accent2 2 4 3 2 5 2 2" xfId="20268" xr:uid="{00000000-0005-0000-0000-0000050C0000}"/>
    <cellStyle name="20% - Accent2 2 4 3 2 5 2 2 2" xfId="39668" xr:uid="{00000000-0005-0000-0000-0000060C0000}"/>
    <cellStyle name="20% - Accent2 2 4 3 2 5 2 3" xfId="29970" xr:uid="{00000000-0005-0000-0000-0000070C0000}"/>
    <cellStyle name="20% - Accent2 2 4 3 2 5 3" xfId="15813" xr:uid="{00000000-0005-0000-0000-0000080C0000}"/>
    <cellStyle name="20% - Accent2 2 4 3 2 5 3 2" xfId="35213" xr:uid="{00000000-0005-0000-0000-0000090C0000}"/>
    <cellStyle name="20% - Accent2 2 4 3 2 5 4" xfId="25515" xr:uid="{00000000-0005-0000-0000-00000A0C0000}"/>
    <cellStyle name="20% - Accent2 2 4 3 2 6" xfId="6374" xr:uid="{00000000-0005-0000-0000-00000B0C0000}"/>
    <cellStyle name="20% - Accent2 2 4 3 2 6 2" xfId="10829" xr:uid="{00000000-0005-0000-0000-00000C0C0000}"/>
    <cellStyle name="20% - Accent2 2 4 3 2 6 2 2" xfId="20825" xr:uid="{00000000-0005-0000-0000-00000D0C0000}"/>
    <cellStyle name="20% - Accent2 2 4 3 2 6 2 2 2" xfId="40225" xr:uid="{00000000-0005-0000-0000-00000E0C0000}"/>
    <cellStyle name="20% - Accent2 2 4 3 2 6 2 3" xfId="30527" xr:uid="{00000000-0005-0000-0000-00000F0C0000}"/>
    <cellStyle name="20% - Accent2 2 4 3 2 6 3" xfId="16370" xr:uid="{00000000-0005-0000-0000-0000100C0000}"/>
    <cellStyle name="20% - Accent2 2 4 3 2 6 3 2" xfId="35770" xr:uid="{00000000-0005-0000-0000-0000110C0000}"/>
    <cellStyle name="20% - Accent2 2 4 3 2 6 4" xfId="26072" xr:uid="{00000000-0005-0000-0000-0000120C0000}"/>
    <cellStyle name="20% - Accent2 2 4 3 2 7" xfId="6931" xr:uid="{00000000-0005-0000-0000-0000130C0000}"/>
    <cellStyle name="20% - Accent2 2 4 3 2 7 2" xfId="16927" xr:uid="{00000000-0005-0000-0000-0000140C0000}"/>
    <cellStyle name="20% - Accent2 2 4 3 2 7 2 2" xfId="36327" xr:uid="{00000000-0005-0000-0000-0000150C0000}"/>
    <cellStyle name="20% - Accent2 2 4 3 2 7 3" xfId="26629" xr:uid="{00000000-0005-0000-0000-0000160C0000}"/>
    <cellStyle name="20% - Accent2 2 4 3 2 8" xfId="12471" xr:uid="{00000000-0005-0000-0000-0000170C0000}"/>
    <cellStyle name="20% - Accent2 2 4 3 2 8 2" xfId="31872" xr:uid="{00000000-0005-0000-0000-0000180C0000}"/>
    <cellStyle name="20% - Accent2 2 4 3 2 9" xfId="22174" xr:uid="{00000000-0005-0000-0000-0000190C0000}"/>
    <cellStyle name="20% - Accent2 2 4 3 3" xfId="1982" xr:uid="{00000000-0005-0000-0000-00001A0C0000}"/>
    <cellStyle name="20% - Accent2 2 4 3 3 2" xfId="2983" xr:uid="{00000000-0005-0000-0000-00001B0C0000}"/>
    <cellStyle name="20% - Accent2 2 4 3 3 2 2" xfId="5252" xr:uid="{00000000-0005-0000-0000-00001C0C0000}"/>
    <cellStyle name="20% - Accent2 2 4 3 3 2 2 2" xfId="9716" xr:uid="{00000000-0005-0000-0000-00001D0C0000}"/>
    <cellStyle name="20% - Accent2 2 4 3 3 2 2 2 2" xfId="19712" xr:uid="{00000000-0005-0000-0000-00001E0C0000}"/>
    <cellStyle name="20% - Accent2 2 4 3 3 2 2 2 2 2" xfId="39112" xr:uid="{00000000-0005-0000-0000-00001F0C0000}"/>
    <cellStyle name="20% - Accent2 2 4 3 3 2 2 2 3" xfId="29414" xr:uid="{00000000-0005-0000-0000-0000200C0000}"/>
    <cellStyle name="20% - Accent2 2 4 3 3 2 2 3" xfId="15257" xr:uid="{00000000-0005-0000-0000-0000210C0000}"/>
    <cellStyle name="20% - Accent2 2 4 3 3 2 2 3 2" xfId="34657" xr:uid="{00000000-0005-0000-0000-0000220C0000}"/>
    <cellStyle name="20% - Accent2 2 4 3 3 2 2 4" xfId="24959" xr:uid="{00000000-0005-0000-0000-0000230C0000}"/>
    <cellStyle name="20% - Accent2 2 4 3 3 2 3" xfId="7488" xr:uid="{00000000-0005-0000-0000-0000240C0000}"/>
    <cellStyle name="20% - Accent2 2 4 3 3 2 3 2" xfId="17484" xr:uid="{00000000-0005-0000-0000-0000250C0000}"/>
    <cellStyle name="20% - Accent2 2 4 3 3 2 3 2 2" xfId="36884" xr:uid="{00000000-0005-0000-0000-0000260C0000}"/>
    <cellStyle name="20% - Accent2 2 4 3 3 2 3 3" xfId="27186" xr:uid="{00000000-0005-0000-0000-0000270C0000}"/>
    <cellStyle name="20% - Accent2 2 4 3 3 2 4" xfId="13029" xr:uid="{00000000-0005-0000-0000-0000280C0000}"/>
    <cellStyle name="20% - Accent2 2 4 3 3 2 4 2" xfId="32429" xr:uid="{00000000-0005-0000-0000-0000290C0000}"/>
    <cellStyle name="20% - Accent2 2 4 3 3 2 5" xfId="22731" xr:uid="{00000000-0005-0000-0000-00002A0C0000}"/>
    <cellStyle name="20% - Accent2 2 4 3 3 3" xfId="3566" xr:uid="{00000000-0005-0000-0000-00002B0C0000}"/>
    <cellStyle name="20% - Accent2 2 4 3 3 3 2" xfId="4696" xr:uid="{00000000-0005-0000-0000-00002C0C0000}"/>
    <cellStyle name="20% - Accent2 2 4 3 3 3 2 2" xfId="9160" xr:uid="{00000000-0005-0000-0000-00002D0C0000}"/>
    <cellStyle name="20% - Accent2 2 4 3 3 3 2 2 2" xfId="19156" xr:uid="{00000000-0005-0000-0000-00002E0C0000}"/>
    <cellStyle name="20% - Accent2 2 4 3 3 3 2 2 2 2" xfId="38556" xr:uid="{00000000-0005-0000-0000-00002F0C0000}"/>
    <cellStyle name="20% - Accent2 2 4 3 3 3 2 2 3" xfId="28858" xr:uid="{00000000-0005-0000-0000-0000300C0000}"/>
    <cellStyle name="20% - Accent2 2 4 3 3 3 2 3" xfId="14701" xr:uid="{00000000-0005-0000-0000-0000310C0000}"/>
    <cellStyle name="20% - Accent2 2 4 3 3 3 2 3 2" xfId="34101" xr:uid="{00000000-0005-0000-0000-0000320C0000}"/>
    <cellStyle name="20% - Accent2 2 4 3 3 3 2 4" xfId="24403" xr:uid="{00000000-0005-0000-0000-0000330C0000}"/>
    <cellStyle name="20% - Accent2 2 4 3 3 3 3" xfId="8045" xr:uid="{00000000-0005-0000-0000-0000340C0000}"/>
    <cellStyle name="20% - Accent2 2 4 3 3 3 3 2" xfId="18041" xr:uid="{00000000-0005-0000-0000-0000350C0000}"/>
    <cellStyle name="20% - Accent2 2 4 3 3 3 3 2 2" xfId="37441" xr:uid="{00000000-0005-0000-0000-0000360C0000}"/>
    <cellStyle name="20% - Accent2 2 4 3 3 3 3 3" xfId="27743" xr:uid="{00000000-0005-0000-0000-0000370C0000}"/>
    <cellStyle name="20% - Accent2 2 4 3 3 3 4" xfId="13586" xr:uid="{00000000-0005-0000-0000-0000380C0000}"/>
    <cellStyle name="20% - Accent2 2 4 3 3 3 4 2" xfId="32986" xr:uid="{00000000-0005-0000-0000-0000390C0000}"/>
    <cellStyle name="20% - Accent2 2 4 3 3 3 5" xfId="23288" xr:uid="{00000000-0005-0000-0000-00003A0C0000}"/>
    <cellStyle name="20% - Accent2 2 4 3 3 4" xfId="4139" xr:uid="{00000000-0005-0000-0000-00003B0C0000}"/>
    <cellStyle name="20% - Accent2 2 4 3 3 4 2" xfId="8603" xr:uid="{00000000-0005-0000-0000-00003C0C0000}"/>
    <cellStyle name="20% - Accent2 2 4 3 3 4 2 2" xfId="18599" xr:uid="{00000000-0005-0000-0000-00003D0C0000}"/>
    <cellStyle name="20% - Accent2 2 4 3 3 4 2 2 2" xfId="37999" xr:uid="{00000000-0005-0000-0000-00003E0C0000}"/>
    <cellStyle name="20% - Accent2 2 4 3 3 4 2 3" xfId="28301" xr:uid="{00000000-0005-0000-0000-00003F0C0000}"/>
    <cellStyle name="20% - Accent2 2 4 3 3 4 3" xfId="14144" xr:uid="{00000000-0005-0000-0000-0000400C0000}"/>
    <cellStyle name="20% - Accent2 2 4 3 3 4 3 2" xfId="33544" xr:uid="{00000000-0005-0000-0000-0000410C0000}"/>
    <cellStyle name="20% - Accent2 2 4 3 3 4 4" xfId="23846" xr:uid="{00000000-0005-0000-0000-0000420C0000}"/>
    <cellStyle name="20% - Accent2 2 4 3 3 5" xfId="5809" xr:uid="{00000000-0005-0000-0000-0000430C0000}"/>
    <cellStyle name="20% - Accent2 2 4 3 3 5 2" xfId="10273" xr:uid="{00000000-0005-0000-0000-0000440C0000}"/>
    <cellStyle name="20% - Accent2 2 4 3 3 5 2 2" xfId="20269" xr:uid="{00000000-0005-0000-0000-0000450C0000}"/>
    <cellStyle name="20% - Accent2 2 4 3 3 5 2 2 2" xfId="39669" xr:uid="{00000000-0005-0000-0000-0000460C0000}"/>
    <cellStyle name="20% - Accent2 2 4 3 3 5 2 3" xfId="29971" xr:uid="{00000000-0005-0000-0000-0000470C0000}"/>
    <cellStyle name="20% - Accent2 2 4 3 3 5 3" xfId="15814" xr:uid="{00000000-0005-0000-0000-0000480C0000}"/>
    <cellStyle name="20% - Accent2 2 4 3 3 5 3 2" xfId="35214" xr:uid="{00000000-0005-0000-0000-0000490C0000}"/>
    <cellStyle name="20% - Accent2 2 4 3 3 5 4" xfId="25516" xr:uid="{00000000-0005-0000-0000-00004A0C0000}"/>
    <cellStyle name="20% - Accent2 2 4 3 3 6" xfId="6375" xr:uid="{00000000-0005-0000-0000-00004B0C0000}"/>
    <cellStyle name="20% - Accent2 2 4 3 3 6 2" xfId="10830" xr:uid="{00000000-0005-0000-0000-00004C0C0000}"/>
    <cellStyle name="20% - Accent2 2 4 3 3 6 2 2" xfId="20826" xr:uid="{00000000-0005-0000-0000-00004D0C0000}"/>
    <cellStyle name="20% - Accent2 2 4 3 3 6 2 2 2" xfId="40226" xr:uid="{00000000-0005-0000-0000-00004E0C0000}"/>
    <cellStyle name="20% - Accent2 2 4 3 3 6 2 3" xfId="30528" xr:uid="{00000000-0005-0000-0000-00004F0C0000}"/>
    <cellStyle name="20% - Accent2 2 4 3 3 6 3" xfId="16371" xr:uid="{00000000-0005-0000-0000-0000500C0000}"/>
    <cellStyle name="20% - Accent2 2 4 3 3 6 3 2" xfId="35771" xr:uid="{00000000-0005-0000-0000-0000510C0000}"/>
    <cellStyle name="20% - Accent2 2 4 3 3 6 4" xfId="26073" xr:uid="{00000000-0005-0000-0000-0000520C0000}"/>
    <cellStyle name="20% - Accent2 2 4 3 3 7" xfId="6932" xr:uid="{00000000-0005-0000-0000-0000530C0000}"/>
    <cellStyle name="20% - Accent2 2 4 3 3 7 2" xfId="16928" xr:uid="{00000000-0005-0000-0000-0000540C0000}"/>
    <cellStyle name="20% - Accent2 2 4 3 3 7 2 2" xfId="36328" xr:uid="{00000000-0005-0000-0000-0000550C0000}"/>
    <cellStyle name="20% - Accent2 2 4 3 3 7 3" xfId="26630" xr:uid="{00000000-0005-0000-0000-0000560C0000}"/>
    <cellStyle name="20% - Accent2 2 4 3 3 8" xfId="12472" xr:uid="{00000000-0005-0000-0000-0000570C0000}"/>
    <cellStyle name="20% - Accent2 2 4 3 3 8 2" xfId="31873" xr:uid="{00000000-0005-0000-0000-0000580C0000}"/>
    <cellStyle name="20% - Accent2 2 4 3 3 9" xfId="22175" xr:uid="{00000000-0005-0000-0000-0000590C0000}"/>
    <cellStyle name="20% - Accent2 2 4 3 4" xfId="2981" xr:uid="{00000000-0005-0000-0000-00005A0C0000}"/>
    <cellStyle name="20% - Accent2 2 4 3 4 2" xfId="5250" xr:uid="{00000000-0005-0000-0000-00005B0C0000}"/>
    <cellStyle name="20% - Accent2 2 4 3 4 2 2" xfId="9714" xr:uid="{00000000-0005-0000-0000-00005C0C0000}"/>
    <cellStyle name="20% - Accent2 2 4 3 4 2 2 2" xfId="19710" xr:uid="{00000000-0005-0000-0000-00005D0C0000}"/>
    <cellStyle name="20% - Accent2 2 4 3 4 2 2 2 2" xfId="39110" xr:uid="{00000000-0005-0000-0000-00005E0C0000}"/>
    <cellStyle name="20% - Accent2 2 4 3 4 2 2 3" xfId="29412" xr:uid="{00000000-0005-0000-0000-00005F0C0000}"/>
    <cellStyle name="20% - Accent2 2 4 3 4 2 3" xfId="15255" xr:uid="{00000000-0005-0000-0000-0000600C0000}"/>
    <cellStyle name="20% - Accent2 2 4 3 4 2 3 2" xfId="34655" xr:uid="{00000000-0005-0000-0000-0000610C0000}"/>
    <cellStyle name="20% - Accent2 2 4 3 4 2 4" xfId="24957" xr:uid="{00000000-0005-0000-0000-0000620C0000}"/>
    <cellStyle name="20% - Accent2 2 4 3 4 3" xfId="7486" xr:uid="{00000000-0005-0000-0000-0000630C0000}"/>
    <cellStyle name="20% - Accent2 2 4 3 4 3 2" xfId="17482" xr:uid="{00000000-0005-0000-0000-0000640C0000}"/>
    <cellStyle name="20% - Accent2 2 4 3 4 3 2 2" xfId="36882" xr:uid="{00000000-0005-0000-0000-0000650C0000}"/>
    <cellStyle name="20% - Accent2 2 4 3 4 3 3" xfId="27184" xr:uid="{00000000-0005-0000-0000-0000660C0000}"/>
    <cellStyle name="20% - Accent2 2 4 3 4 4" xfId="13027" xr:uid="{00000000-0005-0000-0000-0000670C0000}"/>
    <cellStyle name="20% - Accent2 2 4 3 4 4 2" xfId="32427" xr:uid="{00000000-0005-0000-0000-0000680C0000}"/>
    <cellStyle name="20% - Accent2 2 4 3 4 5" xfId="22729" xr:uid="{00000000-0005-0000-0000-0000690C0000}"/>
    <cellStyle name="20% - Accent2 2 4 3 5" xfId="3564" xr:uid="{00000000-0005-0000-0000-00006A0C0000}"/>
    <cellStyle name="20% - Accent2 2 4 3 5 2" xfId="4694" xr:uid="{00000000-0005-0000-0000-00006B0C0000}"/>
    <cellStyle name="20% - Accent2 2 4 3 5 2 2" xfId="9158" xr:uid="{00000000-0005-0000-0000-00006C0C0000}"/>
    <cellStyle name="20% - Accent2 2 4 3 5 2 2 2" xfId="19154" xr:uid="{00000000-0005-0000-0000-00006D0C0000}"/>
    <cellStyle name="20% - Accent2 2 4 3 5 2 2 2 2" xfId="38554" xr:uid="{00000000-0005-0000-0000-00006E0C0000}"/>
    <cellStyle name="20% - Accent2 2 4 3 5 2 2 3" xfId="28856" xr:uid="{00000000-0005-0000-0000-00006F0C0000}"/>
    <cellStyle name="20% - Accent2 2 4 3 5 2 3" xfId="14699" xr:uid="{00000000-0005-0000-0000-0000700C0000}"/>
    <cellStyle name="20% - Accent2 2 4 3 5 2 3 2" xfId="34099" xr:uid="{00000000-0005-0000-0000-0000710C0000}"/>
    <cellStyle name="20% - Accent2 2 4 3 5 2 4" xfId="24401" xr:uid="{00000000-0005-0000-0000-0000720C0000}"/>
    <cellStyle name="20% - Accent2 2 4 3 5 3" xfId="8043" xr:uid="{00000000-0005-0000-0000-0000730C0000}"/>
    <cellStyle name="20% - Accent2 2 4 3 5 3 2" xfId="18039" xr:uid="{00000000-0005-0000-0000-0000740C0000}"/>
    <cellStyle name="20% - Accent2 2 4 3 5 3 2 2" xfId="37439" xr:uid="{00000000-0005-0000-0000-0000750C0000}"/>
    <cellStyle name="20% - Accent2 2 4 3 5 3 3" xfId="27741" xr:uid="{00000000-0005-0000-0000-0000760C0000}"/>
    <cellStyle name="20% - Accent2 2 4 3 5 4" xfId="13584" xr:uid="{00000000-0005-0000-0000-0000770C0000}"/>
    <cellStyle name="20% - Accent2 2 4 3 5 4 2" xfId="32984" xr:uid="{00000000-0005-0000-0000-0000780C0000}"/>
    <cellStyle name="20% - Accent2 2 4 3 5 5" xfId="23286" xr:uid="{00000000-0005-0000-0000-0000790C0000}"/>
    <cellStyle name="20% - Accent2 2 4 3 6" xfId="4137" xr:uid="{00000000-0005-0000-0000-00007A0C0000}"/>
    <cellStyle name="20% - Accent2 2 4 3 6 2" xfId="8601" xr:uid="{00000000-0005-0000-0000-00007B0C0000}"/>
    <cellStyle name="20% - Accent2 2 4 3 6 2 2" xfId="18597" xr:uid="{00000000-0005-0000-0000-00007C0C0000}"/>
    <cellStyle name="20% - Accent2 2 4 3 6 2 2 2" xfId="37997" xr:uid="{00000000-0005-0000-0000-00007D0C0000}"/>
    <cellStyle name="20% - Accent2 2 4 3 6 2 3" xfId="28299" xr:uid="{00000000-0005-0000-0000-00007E0C0000}"/>
    <cellStyle name="20% - Accent2 2 4 3 6 3" xfId="14142" xr:uid="{00000000-0005-0000-0000-00007F0C0000}"/>
    <cellStyle name="20% - Accent2 2 4 3 6 3 2" xfId="33542" xr:uid="{00000000-0005-0000-0000-0000800C0000}"/>
    <cellStyle name="20% - Accent2 2 4 3 6 4" xfId="23844" xr:uid="{00000000-0005-0000-0000-0000810C0000}"/>
    <cellStyle name="20% - Accent2 2 4 3 7" xfId="5807" xr:uid="{00000000-0005-0000-0000-0000820C0000}"/>
    <cellStyle name="20% - Accent2 2 4 3 7 2" xfId="10271" xr:uid="{00000000-0005-0000-0000-0000830C0000}"/>
    <cellStyle name="20% - Accent2 2 4 3 7 2 2" xfId="20267" xr:uid="{00000000-0005-0000-0000-0000840C0000}"/>
    <cellStyle name="20% - Accent2 2 4 3 7 2 2 2" xfId="39667" xr:uid="{00000000-0005-0000-0000-0000850C0000}"/>
    <cellStyle name="20% - Accent2 2 4 3 7 2 3" xfId="29969" xr:uid="{00000000-0005-0000-0000-0000860C0000}"/>
    <cellStyle name="20% - Accent2 2 4 3 7 3" xfId="15812" xr:uid="{00000000-0005-0000-0000-0000870C0000}"/>
    <cellStyle name="20% - Accent2 2 4 3 7 3 2" xfId="35212" xr:uid="{00000000-0005-0000-0000-0000880C0000}"/>
    <cellStyle name="20% - Accent2 2 4 3 7 4" xfId="25514" xr:uid="{00000000-0005-0000-0000-0000890C0000}"/>
    <cellStyle name="20% - Accent2 2 4 3 8" xfId="6373" xr:uid="{00000000-0005-0000-0000-00008A0C0000}"/>
    <cellStyle name="20% - Accent2 2 4 3 8 2" xfId="10828" xr:uid="{00000000-0005-0000-0000-00008B0C0000}"/>
    <cellStyle name="20% - Accent2 2 4 3 8 2 2" xfId="20824" xr:uid="{00000000-0005-0000-0000-00008C0C0000}"/>
    <cellStyle name="20% - Accent2 2 4 3 8 2 2 2" xfId="40224" xr:uid="{00000000-0005-0000-0000-00008D0C0000}"/>
    <cellStyle name="20% - Accent2 2 4 3 8 2 3" xfId="30526" xr:uid="{00000000-0005-0000-0000-00008E0C0000}"/>
    <cellStyle name="20% - Accent2 2 4 3 8 3" xfId="16369" xr:uid="{00000000-0005-0000-0000-00008F0C0000}"/>
    <cellStyle name="20% - Accent2 2 4 3 8 3 2" xfId="35769" xr:uid="{00000000-0005-0000-0000-0000900C0000}"/>
    <cellStyle name="20% - Accent2 2 4 3 8 4" xfId="26071" xr:uid="{00000000-0005-0000-0000-0000910C0000}"/>
    <cellStyle name="20% - Accent2 2 4 3 9" xfId="6930" xr:uid="{00000000-0005-0000-0000-0000920C0000}"/>
    <cellStyle name="20% - Accent2 2 4 3 9 2" xfId="16926" xr:uid="{00000000-0005-0000-0000-0000930C0000}"/>
    <cellStyle name="20% - Accent2 2 4 3 9 2 2" xfId="36326" xr:uid="{00000000-0005-0000-0000-0000940C0000}"/>
    <cellStyle name="20% - Accent2 2 4 3 9 3" xfId="26628" xr:uid="{00000000-0005-0000-0000-0000950C0000}"/>
    <cellStyle name="20% - Accent2 2 4 4" xfId="1983" xr:uid="{00000000-0005-0000-0000-0000960C0000}"/>
    <cellStyle name="20% - Accent2 2 4 4 2" xfId="2984" xr:uid="{00000000-0005-0000-0000-0000970C0000}"/>
    <cellStyle name="20% - Accent2 2 4 4 2 2" xfId="5253" xr:uid="{00000000-0005-0000-0000-0000980C0000}"/>
    <cellStyle name="20% - Accent2 2 4 4 2 2 2" xfId="9717" xr:uid="{00000000-0005-0000-0000-0000990C0000}"/>
    <cellStyle name="20% - Accent2 2 4 4 2 2 2 2" xfId="19713" xr:uid="{00000000-0005-0000-0000-00009A0C0000}"/>
    <cellStyle name="20% - Accent2 2 4 4 2 2 2 2 2" xfId="39113" xr:uid="{00000000-0005-0000-0000-00009B0C0000}"/>
    <cellStyle name="20% - Accent2 2 4 4 2 2 2 3" xfId="29415" xr:uid="{00000000-0005-0000-0000-00009C0C0000}"/>
    <cellStyle name="20% - Accent2 2 4 4 2 2 3" xfId="15258" xr:uid="{00000000-0005-0000-0000-00009D0C0000}"/>
    <cellStyle name="20% - Accent2 2 4 4 2 2 3 2" xfId="34658" xr:uid="{00000000-0005-0000-0000-00009E0C0000}"/>
    <cellStyle name="20% - Accent2 2 4 4 2 2 4" xfId="24960" xr:uid="{00000000-0005-0000-0000-00009F0C0000}"/>
    <cellStyle name="20% - Accent2 2 4 4 2 3" xfId="7489" xr:uid="{00000000-0005-0000-0000-0000A00C0000}"/>
    <cellStyle name="20% - Accent2 2 4 4 2 3 2" xfId="17485" xr:uid="{00000000-0005-0000-0000-0000A10C0000}"/>
    <cellStyle name="20% - Accent2 2 4 4 2 3 2 2" xfId="36885" xr:uid="{00000000-0005-0000-0000-0000A20C0000}"/>
    <cellStyle name="20% - Accent2 2 4 4 2 3 3" xfId="27187" xr:uid="{00000000-0005-0000-0000-0000A30C0000}"/>
    <cellStyle name="20% - Accent2 2 4 4 2 4" xfId="13030" xr:uid="{00000000-0005-0000-0000-0000A40C0000}"/>
    <cellStyle name="20% - Accent2 2 4 4 2 4 2" xfId="32430" xr:uid="{00000000-0005-0000-0000-0000A50C0000}"/>
    <cellStyle name="20% - Accent2 2 4 4 2 5" xfId="22732" xr:uid="{00000000-0005-0000-0000-0000A60C0000}"/>
    <cellStyle name="20% - Accent2 2 4 4 3" xfId="3567" xr:uid="{00000000-0005-0000-0000-0000A70C0000}"/>
    <cellStyle name="20% - Accent2 2 4 4 3 2" xfId="4697" xr:uid="{00000000-0005-0000-0000-0000A80C0000}"/>
    <cellStyle name="20% - Accent2 2 4 4 3 2 2" xfId="9161" xr:uid="{00000000-0005-0000-0000-0000A90C0000}"/>
    <cellStyle name="20% - Accent2 2 4 4 3 2 2 2" xfId="19157" xr:uid="{00000000-0005-0000-0000-0000AA0C0000}"/>
    <cellStyle name="20% - Accent2 2 4 4 3 2 2 2 2" xfId="38557" xr:uid="{00000000-0005-0000-0000-0000AB0C0000}"/>
    <cellStyle name="20% - Accent2 2 4 4 3 2 2 3" xfId="28859" xr:uid="{00000000-0005-0000-0000-0000AC0C0000}"/>
    <cellStyle name="20% - Accent2 2 4 4 3 2 3" xfId="14702" xr:uid="{00000000-0005-0000-0000-0000AD0C0000}"/>
    <cellStyle name="20% - Accent2 2 4 4 3 2 3 2" xfId="34102" xr:uid="{00000000-0005-0000-0000-0000AE0C0000}"/>
    <cellStyle name="20% - Accent2 2 4 4 3 2 4" xfId="24404" xr:uid="{00000000-0005-0000-0000-0000AF0C0000}"/>
    <cellStyle name="20% - Accent2 2 4 4 3 3" xfId="8046" xr:uid="{00000000-0005-0000-0000-0000B00C0000}"/>
    <cellStyle name="20% - Accent2 2 4 4 3 3 2" xfId="18042" xr:uid="{00000000-0005-0000-0000-0000B10C0000}"/>
    <cellStyle name="20% - Accent2 2 4 4 3 3 2 2" xfId="37442" xr:uid="{00000000-0005-0000-0000-0000B20C0000}"/>
    <cellStyle name="20% - Accent2 2 4 4 3 3 3" xfId="27744" xr:uid="{00000000-0005-0000-0000-0000B30C0000}"/>
    <cellStyle name="20% - Accent2 2 4 4 3 4" xfId="13587" xr:uid="{00000000-0005-0000-0000-0000B40C0000}"/>
    <cellStyle name="20% - Accent2 2 4 4 3 4 2" xfId="32987" xr:uid="{00000000-0005-0000-0000-0000B50C0000}"/>
    <cellStyle name="20% - Accent2 2 4 4 3 5" xfId="23289" xr:uid="{00000000-0005-0000-0000-0000B60C0000}"/>
    <cellStyle name="20% - Accent2 2 4 4 4" xfId="4140" xr:uid="{00000000-0005-0000-0000-0000B70C0000}"/>
    <cellStyle name="20% - Accent2 2 4 4 4 2" xfId="8604" xr:uid="{00000000-0005-0000-0000-0000B80C0000}"/>
    <cellStyle name="20% - Accent2 2 4 4 4 2 2" xfId="18600" xr:uid="{00000000-0005-0000-0000-0000B90C0000}"/>
    <cellStyle name="20% - Accent2 2 4 4 4 2 2 2" xfId="38000" xr:uid="{00000000-0005-0000-0000-0000BA0C0000}"/>
    <cellStyle name="20% - Accent2 2 4 4 4 2 3" xfId="28302" xr:uid="{00000000-0005-0000-0000-0000BB0C0000}"/>
    <cellStyle name="20% - Accent2 2 4 4 4 3" xfId="14145" xr:uid="{00000000-0005-0000-0000-0000BC0C0000}"/>
    <cellStyle name="20% - Accent2 2 4 4 4 3 2" xfId="33545" xr:uid="{00000000-0005-0000-0000-0000BD0C0000}"/>
    <cellStyle name="20% - Accent2 2 4 4 4 4" xfId="23847" xr:uid="{00000000-0005-0000-0000-0000BE0C0000}"/>
    <cellStyle name="20% - Accent2 2 4 4 5" xfId="5810" xr:uid="{00000000-0005-0000-0000-0000BF0C0000}"/>
    <cellStyle name="20% - Accent2 2 4 4 5 2" xfId="10274" xr:uid="{00000000-0005-0000-0000-0000C00C0000}"/>
    <cellStyle name="20% - Accent2 2 4 4 5 2 2" xfId="20270" xr:uid="{00000000-0005-0000-0000-0000C10C0000}"/>
    <cellStyle name="20% - Accent2 2 4 4 5 2 2 2" xfId="39670" xr:uid="{00000000-0005-0000-0000-0000C20C0000}"/>
    <cellStyle name="20% - Accent2 2 4 4 5 2 3" xfId="29972" xr:uid="{00000000-0005-0000-0000-0000C30C0000}"/>
    <cellStyle name="20% - Accent2 2 4 4 5 3" xfId="15815" xr:uid="{00000000-0005-0000-0000-0000C40C0000}"/>
    <cellStyle name="20% - Accent2 2 4 4 5 3 2" xfId="35215" xr:uid="{00000000-0005-0000-0000-0000C50C0000}"/>
    <cellStyle name="20% - Accent2 2 4 4 5 4" xfId="25517" xr:uid="{00000000-0005-0000-0000-0000C60C0000}"/>
    <cellStyle name="20% - Accent2 2 4 4 6" xfId="6376" xr:uid="{00000000-0005-0000-0000-0000C70C0000}"/>
    <cellStyle name="20% - Accent2 2 4 4 6 2" xfId="10831" xr:uid="{00000000-0005-0000-0000-0000C80C0000}"/>
    <cellStyle name="20% - Accent2 2 4 4 6 2 2" xfId="20827" xr:uid="{00000000-0005-0000-0000-0000C90C0000}"/>
    <cellStyle name="20% - Accent2 2 4 4 6 2 2 2" xfId="40227" xr:uid="{00000000-0005-0000-0000-0000CA0C0000}"/>
    <cellStyle name="20% - Accent2 2 4 4 6 2 3" xfId="30529" xr:uid="{00000000-0005-0000-0000-0000CB0C0000}"/>
    <cellStyle name="20% - Accent2 2 4 4 6 3" xfId="16372" xr:uid="{00000000-0005-0000-0000-0000CC0C0000}"/>
    <cellStyle name="20% - Accent2 2 4 4 6 3 2" xfId="35772" xr:uid="{00000000-0005-0000-0000-0000CD0C0000}"/>
    <cellStyle name="20% - Accent2 2 4 4 6 4" xfId="26074" xr:uid="{00000000-0005-0000-0000-0000CE0C0000}"/>
    <cellStyle name="20% - Accent2 2 4 4 7" xfId="6933" xr:uid="{00000000-0005-0000-0000-0000CF0C0000}"/>
    <cellStyle name="20% - Accent2 2 4 4 7 2" xfId="16929" xr:uid="{00000000-0005-0000-0000-0000D00C0000}"/>
    <cellStyle name="20% - Accent2 2 4 4 7 2 2" xfId="36329" xr:uid="{00000000-0005-0000-0000-0000D10C0000}"/>
    <cellStyle name="20% - Accent2 2 4 4 7 3" xfId="26631" xr:uid="{00000000-0005-0000-0000-0000D20C0000}"/>
    <cellStyle name="20% - Accent2 2 4 4 8" xfId="12473" xr:uid="{00000000-0005-0000-0000-0000D30C0000}"/>
    <cellStyle name="20% - Accent2 2 4 4 8 2" xfId="31874" xr:uid="{00000000-0005-0000-0000-0000D40C0000}"/>
    <cellStyle name="20% - Accent2 2 4 4 9" xfId="22176" xr:uid="{00000000-0005-0000-0000-0000D50C0000}"/>
    <cellStyle name="20% - Accent2 2 4 5" xfId="1984" xr:uid="{00000000-0005-0000-0000-0000D60C0000}"/>
    <cellStyle name="20% - Accent2 2 4 5 2" xfId="2985" xr:uid="{00000000-0005-0000-0000-0000D70C0000}"/>
    <cellStyle name="20% - Accent2 2 4 5 2 2" xfId="5254" xr:uid="{00000000-0005-0000-0000-0000D80C0000}"/>
    <cellStyle name="20% - Accent2 2 4 5 2 2 2" xfId="9718" xr:uid="{00000000-0005-0000-0000-0000D90C0000}"/>
    <cellStyle name="20% - Accent2 2 4 5 2 2 2 2" xfId="19714" xr:uid="{00000000-0005-0000-0000-0000DA0C0000}"/>
    <cellStyle name="20% - Accent2 2 4 5 2 2 2 2 2" xfId="39114" xr:uid="{00000000-0005-0000-0000-0000DB0C0000}"/>
    <cellStyle name="20% - Accent2 2 4 5 2 2 2 3" xfId="29416" xr:uid="{00000000-0005-0000-0000-0000DC0C0000}"/>
    <cellStyle name="20% - Accent2 2 4 5 2 2 3" xfId="15259" xr:uid="{00000000-0005-0000-0000-0000DD0C0000}"/>
    <cellStyle name="20% - Accent2 2 4 5 2 2 3 2" xfId="34659" xr:uid="{00000000-0005-0000-0000-0000DE0C0000}"/>
    <cellStyle name="20% - Accent2 2 4 5 2 2 4" xfId="24961" xr:uid="{00000000-0005-0000-0000-0000DF0C0000}"/>
    <cellStyle name="20% - Accent2 2 4 5 2 3" xfId="7490" xr:uid="{00000000-0005-0000-0000-0000E00C0000}"/>
    <cellStyle name="20% - Accent2 2 4 5 2 3 2" xfId="17486" xr:uid="{00000000-0005-0000-0000-0000E10C0000}"/>
    <cellStyle name="20% - Accent2 2 4 5 2 3 2 2" xfId="36886" xr:uid="{00000000-0005-0000-0000-0000E20C0000}"/>
    <cellStyle name="20% - Accent2 2 4 5 2 3 3" xfId="27188" xr:uid="{00000000-0005-0000-0000-0000E30C0000}"/>
    <cellStyle name="20% - Accent2 2 4 5 2 4" xfId="13031" xr:uid="{00000000-0005-0000-0000-0000E40C0000}"/>
    <cellStyle name="20% - Accent2 2 4 5 2 4 2" xfId="32431" xr:uid="{00000000-0005-0000-0000-0000E50C0000}"/>
    <cellStyle name="20% - Accent2 2 4 5 2 5" xfId="22733" xr:uid="{00000000-0005-0000-0000-0000E60C0000}"/>
    <cellStyle name="20% - Accent2 2 4 5 3" xfId="3568" xr:uid="{00000000-0005-0000-0000-0000E70C0000}"/>
    <cellStyle name="20% - Accent2 2 4 5 3 2" xfId="4698" xr:uid="{00000000-0005-0000-0000-0000E80C0000}"/>
    <cellStyle name="20% - Accent2 2 4 5 3 2 2" xfId="9162" xr:uid="{00000000-0005-0000-0000-0000E90C0000}"/>
    <cellStyle name="20% - Accent2 2 4 5 3 2 2 2" xfId="19158" xr:uid="{00000000-0005-0000-0000-0000EA0C0000}"/>
    <cellStyle name="20% - Accent2 2 4 5 3 2 2 2 2" xfId="38558" xr:uid="{00000000-0005-0000-0000-0000EB0C0000}"/>
    <cellStyle name="20% - Accent2 2 4 5 3 2 2 3" xfId="28860" xr:uid="{00000000-0005-0000-0000-0000EC0C0000}"/>
    <cellStyle name="20% - Accent2 2 4 5 3 2 3" xfId="14703" xr:uid="{00000000-0005-0000-0000-0000ED0C0000}"/>
    <cellStyle name="20% - Accent2 2 4 5 3 2 3 2" xfId="34103" xr:uid="{00000000-0005-0000-0000-0000EE0C0000}"/>
    <cellStyle name="20% - Accent2 2 4 5 3 2 4" xfId="24405" xr:uid="{00000000-0005-0000-0000-0000EF0C0000}"/>
    <cellStyle name="20% - Accent2 2 4 5 3 3" xfId="8047" xr:uid="{00000000-0005-0000-0000-0000F00C0000}"/>
    <cellStyle name="20% - Accent2 2 4 5 3 3 2" xfId="18043" xr:uid="{00000000-0005-0000-0000-0000F10C0000}"/>
    <cellStyle name="20% - Accent2 2 4 5 3 3 2 2" xfId="37443" xr:uid="{00000000-0005-0000-0000-0000F20C0000}"/>
    <cellStyle name="20% - Accent2 2 4 5 3 3 3" xfId="27745" xr:uid="{00000000-0005-0000-0000-0000F30C0000}"/>
    <cellStyle name="20% - Accent2 2 4 5 3 4" xfId="13588" xr:uid="{00000000-0005-0000-0000-0000F40C0000}"/>
    <cellStyle name="20% - Accent2 2 4 5 3 4 2" xfId="32988" xr:uid="{00000000-0005-0000-0000-0000F50C0000}"/>
    <cellStyle name="20% - Accent2 2 4 5 3 5" xfId="23290" xr:uid="{00000000-0005-0000-0000-0000F60C0000}"/>
    <cellStyle name="20% - Accent2 2 4 5 4" xfId="4141" xr:uid="{00000000-0005-0000-0000-0000F70C0000}"/>
    <cellStyle name="20% - Accent2 2 4 5 4 2" xfId="8605" xr:uid="{00000000-0005-0000-0000-0000F80C0000}"/>
    <cellStyle name="20% - Accent2 2 4 5 4 2 2" xfId="18601" xr:uid="{00000000-0005-0000-0000-0000F90C0000}"/>
    <cellStyle name="20% - Accent2 2 4 5 4 2 2 2" xfId="38001" xr:uid="{00000000-0005-0000-0000-0000FA0C0000}"/>
    <cellStyle name="20% - Accent2 2 4 5 4 2 3" xfId="28303" xr:uid="{00000000-0005-0000-0000-0000FB0C0000}"/>
    <cellStyle name="20% - Accent2 2 4 5 4 3" xfId="14146" xr:uid="{00000000-0005-0000-0000-0000FC0C0000}"/>
    <cellStyle name="20% - Accent2 2 4 5 4 3 2" xfId="33546" xr:uid="{00000000-0005-0000-0000-0000FD0C0000}"/>
    <cellStyle name="20% - Accent2 2 4 5 4 4" xfId="23848" xr:uid="{00000000-0005-0000-0000-0000FE0C0000}"/>
    <cellStyle name="20% - Accent2 2 4 5 5" xfId="5811" xr:uid="{00000000-0005-0000-0000-0000FF0C0000}"/>
    <cellStyle name="20% - Accent2 2 4 5 5 2" xfId="10275" xr:uid="{00000000-0005-0000-0000-0000000D0000}"/>
    <cellStyle name="20% - Accent2 2 4 5 5 2 2" xfId="20271" xr:uid="{00000000-0005-0000-0000-0000010D0000}"/>
    <cellStyle name="20% - Accent2 2 4 5 5 2 2 2" xfId="39671" xr:uid="{00000000-0005-0000-0000-0000020D0000}"/>
    <cellStyle name="20% - Accent2 2 4 5 5 2 3" xfId="29973" xr:uid="{00000000-0005-0000-0000-0000030D0000}"/>
    <cellStyle name="20% - Accent2 2 4 5 5 3" xfId="15816" xr:uid="{00000000-0005-0000-0000-0000040D0000}"/>
    <cellStyle name="20% - Accent2 2 4 5 5 3 2" xfId="35216" xr:uid="{00000000-0005-0000-0000-0000050D0000}"/>
    <cellStyle name="20% - Accent2 2 4 5 5 4" xfId="25518" xr:uid="{00000000-0005-0000-0000-0000060D0000}"/>
    <cellStyle name="20% - Accent2 2 4 5 6" xfId="6377" xr:uid="{00000000-0005-0000-0000-0000070D0000}"/>
    <cellStyle name="20% - Accent2 2 4 5 6 2" xfId="10832" xr:uid="{00000000-0005-0000-0000-0000080D0000}"/>
    <cellStyle name="20% - Accent2 2 4 5 6 2 2" xfId="20828" xr:uid="{00000000-0005-0000-0000-0000090D0000}"/>
    <cellStyle name="20% - Accent2 2 4 5 6 2 2 2" xfId="40228" xr:uid="{00000000-0005-0000-0000-00000A0D0000}"/>
    <cellStyle name="20% - Accent2 2 4 5 6 2 3" xfId="30530" xr:uid="{00000000-0005-0000-0000-00000B0D0000}"/>
    <cellStyle name="20% - Accent2 2 4 5 6 3" xfId="16373" xr:uid="{00000000-0005-0000-0000-00000C0D0000}"/>
    <cellStyle name="20% - Accent2 2 4 5 6 3 2" xfId="35773" xr:uid="{00000000-0005-0000-0000-00000D0D0000}"/>
    <cellStyle name="20% - Accent2 2 4 5 6 4" xfId="26075" xr:uid="{00000000-0005-0000-0000-00000E0D0000}"/>
    <cellStyle name="20% - Accent2 2 4 5 7" xfId="6934" xr:uid="{00000000-0005-0000-0000-00000F0D0000}"/>
    <cellStyle name="20% - Accent2 2 4 5 7 2" xfId="16930" xr:uid="{00000000-0005-0000-0000-0000100D0000}"/>
    <cellStyle name="20% - Accent2 2 4 5 7 2 2" xfId="36330" xr:uid="{00000000-0005-0000-0000-0000110D0000}"/>
    <cellStyle name="20% - Accent2 2 4 5 7 3" xfId="26632" xr:uid="{00000000-0005-0000-0000-0000120D0000}"/>
    <cellStyle name="20% - Accent2 2 4 5 8" xfId="12474" xr:uid="{00000000-0005-0000-0000-0000130D0000}"/>
    <cellStyle name="20% - Accent2 2 4 5 8 2" xfId="31875" xr:uid="{00000000-0005-0000-0000-0000140D0000}"/>
    <cellStyle name="20% - Accent2 2 4 5 9" xfId="22177" xr:uid="{00000000-0005-0000-0000-0000150D0000}"/>
    <cellStyle name="20% - Accent2 2 5" xfId="1259" xr:uid="{00000000-0005-0000-0000-0000160D0000}"/>
    <cellStyle name="20% - Accent2 2 5 2" xfId="1985" xr:uid="{00000000-0005-0000-0000-0000170D0000}"/>
    <cellStyle name="20% - Accent2 2 5 2 10" xfId="12475" xr:uid="{00000000-0005-0000-0000-0000180D0000}"/>
    <cellStyle name="20% - Accent2 2 5 2 10 2" xfId="31876" xr:uid="{00000000-0005-0000-0000-0000190D0000}"/>
    <cellStyle name="20% - Accent2 2 5 2 11" xfId="22178" xr:uid="{00000000-0005-0000-0000-00001A0D0000}"/>
    <cellStyle name="20% - Accent2 2 5 2 2" xfId="1986" xr:uid="{00000000-0005-0000-0000-00001B0D0000}"/>
    <cellStyle name="20% - Accent2 2 5 2 2 2" xfId="2987" xr:uid="{00000000-0005-0000-0000-00001C0D0000}"/>
    <cellStyle name="20% - Accent2 2 5 2 2 2 2" xfId="5256" xr:uid="{00000000-0005-0000-0000-00001D0D0000}"/>
    <cellStyle name="20% - Accent2 2 5 2 2 2 2 2" xfId="9720" xr:uid="{00000000-0005-0000-0000-00001E0D0000}"/>
    <cellStyle name="20% - Accent2 2 5 2 2 2 2 2 2" xfId="19716" xr:uid="{00000000-0005-0000-0000-00001F0D0000}"/>
    <cellStyle name="20% - Accent2 2 5 2 2 2 2 2 2 2" xfId="39116" xr:uid="{00000000-0005-0000-0000-0000200D0000}"/>
    <cellStyle name="20% - Accent2 2 5 2 2 2 2 2 3" xfId="29418" xr:uid="{00000000-0005-0000-0000-0000210D0000}"/>
    <cellStyle name="20% - Accent2 2 5 2 2 2 2 3" xfId="15261" xr:uid="{00000000-0005-0000-0000-0000220D0000}"/>
    <cellStyle name="20% - Accent2 2 5 2 2 2 2 3 2" xfId="34661" xr:uid="{00000000-0005-0000-0000-0000230D0000}"/>
    <cellStyle name="20% - Accent2 2 5 2 2 2 2 4" xfId="24963" xr:uid="{00000000-0005-0000-0000-0000240D0000}"/>
    <cellStyle name="20% - Accent2 2 5 2 2 2 3" xfId="7492" xr:uid="{00000000-0005-0000-0000-0000250D0000}"/>
    <cellStyle name="20% - Accent2 2 5 2 2 2 3 2" xfId="17488" xr:uid="{00000000-0005-0000-0000-0000260D0000}"/>
    <cellStyle name="20% - Accent2 2 5 2 2 2 3 2 2" xfId="36888" xr:uid="{00000000-0005-0000-0000-0000270D0000}"/>
    <cellStyle name="20% - Accent2 2 5 2 2 2 3 3" xfId="27190" xr:uid="{00000000-0005-0000-0000-0000280D0000}"/>
    <cellStyle name="20% - Accent2 2 5 2 2 2 4" xfId="13033" xr:uid="{00000000-0005-0000-0000-0000290D0000}"/>
    <cellStyle name="20% - Accent2 2 5 2 2 2 4 2" xfId="32433" xr:uid="{00000000-0005-0000-0000-00002A0D0000}"/>
    <cellStyle name="20% - Accent2 2 5 2 2 2 5" xfId="22735" xr:uid="{00000000-0005-0000-0000-00002B0D0000}"/>
    <cellStyle name="20% - Accent2 2 5 2 2 3" xfId="3570" xr:uid="{00000000-0005-0000-0000-00002C0D0000}"/>
    <cellStyle name="20% - Accent2 2 5 2 2 3 2" xfId="4700" xr:uid="{00000000-0005-0000-0000-00002D0D0000}"/>
    <cellStyle name="20% - Accent2 2 5 2 2 3 2 2" xfId="9164" xr:uid="{00000000-0005-0000-0000-00002E0D0000}"/>
    <cellStyle name="20% - Accent2 2 5 2 2 3 2 2 2" xfId="19160" xr:uid="{00000000-0005-0000-0000-00002F0D0000}"/>
    <cellStyle name="20% - Accent2 2 5 2 2 3 2 2 2 2" xfId="38560" xr:uid="{00000000-0005-0000-0000-0000300D0000}"/>
    <cellStyle name="20% - Accent2 2 5 2 2 3 2 2 3" xfId="28862" xr:uid="{00000000-0005-0000-0000-0000310D0000}"/>
    <cellStyle name="20% - Accent2 2 5 2 2 3 2 3" xfId="14705" xr:uid="{00000000-0005-0000-0000-0000320D0000}"/>
    <cellStyle name="20% - Accent2 2 5 2 2 3 2 3 2" xfId="34105" xr:uid="{00000000-0005-0000-0000-0000330D0000}"/>
    <cellStyle name="20% - Accent2 2 5 2 2 3 2 4" xfId="24407" xr:uid="{00000000-0005-0000-0000-0000340D0000}"/>
    <cellStyle name="20% - Accent2 2 5 2 2 3 3" xfId="8049" xr:uid="{00000000-0005-0000-0000-0000350D0000}"/>
    <cellStyle name="20% - Accent2 2 5 2 2 3 3 2" xfId="18045" xr:uid="{00000000-0005-0000-0000-0000360D0000}"/>
    <cellStyle name="20% - Accent2 2 5 2 2 3 3 2 2" xfId="37445" xr:uid="{00000000-0005-0000-0000-0000370D0000}"/>
    <cellStyle name="20% - Accent2 2 5 2 2 3 3 3" xfId="27747" xr:uid="{00000000-0005-0000-0000-0000380D0000}"/>
    <cellStyle name="20% - Accent2 2 5 2 2 3 4" xfId="13590" xr:uid="{00000000-0005-0000-0000-0000390D0000}"/>
    <cellStyle name="20% - Accent2 2 5 2 2 3 4 2" xfId="32990" xr:uid="{00000000-0005-0000-0000-00003A0D0000}"/>
    <cellStyle name="20% - Accent2 2 5 2 2 3 5" xfId="23292" xr:uid="{00000000-0005-0000-0000-00003B0D0000}"/>
    <cellStyle name="20% - Accent2 2 5 2 2 4" xfId="4143" xr:uid="{00000000-0005-0000-0000-00003C0D0000}"/>
    <cellStyle name="20% - Accent2 2 5 2 2 4 2" xfId="8607" xr:uid="{00000000-0005-0000-0000-00003D0D0000}"/>
    <cellStyle name="20% - Accent2 2 5 2 2 4 2 2" xfId="18603" xr:uid="{00000000-0005-0000-0000-00003E0D0000}"/>
    <cellStyle name="20% - Accent2 2 5 2 2 4 2 2 2" xfId="38003" xr:uid="{00000000-0005-0000-0000-00003F0D0000}"/>
    <cellStyle name="20% - Accent2 2 5 2 2 4 2 3" xfId="28305" xr:uid="{00000000-0005-0000-0000-0000400D0000}"/>
    <cellStyle name="20% - Accent2 2 5 2 2 4 3" xfId="14148" xr:uid="{00000000-0005-0000-0000-0000410D0000}"/>
    <cellStyle name="20% - Accent2 2 5 2 2 4 3 2" xfId="33548" xr:uid="{00000000-0005-0000-0000-0000420D0000}"/>
    <cellStyle name="20% - Accent2 2 5 2 2 4 4" xfId="23850" xr:uid="{00000000-0005-0000-0000-0000430D0000}"/>
    <cellStyle name="20% - Accent2 2 5 2 2 5" xfId="5813" xr:uid="{00000000-0005-0000-0000-0000440D0000}"/>
    <cellStyle name="20% - Accent2 2 5 2 2 5 2" xfId="10277" xr:uid="{00000000-0005-0000-0000-0000450D0000}"/>
    <cellStyle name="20% - Accent2 2 5 2 2 5 2 2" xfId="20273" xr:uid="{00000000-0005-0000-0000-0000460D0000}"/>
    <cellStyle name="20% - Accent2 2 5 2 2 5 2 2 2" xfId="39673" xr:uid="{00000000-0005-0000-0000-0000470D0000}"/>
    <cellStyle name="20% - Accent2 2 5 2 2 5 2 3" xfId="29975" xr:uid="{00000000-0005-0000-0000-0000480D0000}"/>
    <cellStyle name="20% - Accent2 2 5 2 2 5 3" xfId="15818" xr:uid="{00000000-0005-0000-0000-0000490D0000}"/>
    <cellStyle name="20% - Accent2 2 5 2 2 5 3 2" xfId="35218" xr:uid="{00000000-0005-0000-0000-00004A0D0000}"/>
    <cellStyle name="20% - Accent2 2 5 2 2 5 4" xfId="25520" xr:uid="{00000000-0005-0000-0000-00004B0D0000}"/>
    <cellStyle name="20% - Accent2 2 5 2 2 6" xfId="6379" xr:uid="{00000000-0005-0000-0000-00004C0D0000}"/>
    <cellStyle name="20% - Accent2 2 5 2 2 6 2" xfId="10834" xr:uid="{00000000-0005-0000-0000-00004D0D0000}"/>
    <cellStyle name="20% - Accent2 2 5 2 2 6 2 2" xfId="20830" xr:uid="{00000000-0005-0000-0000-00004E0D0000}"/>
    <cellStyle name="20% - Accent2 2 5 2 2 6 2 2 2" xfId="40230" xr:uid="{00000000-0005-0000-0000-00004F0D0000}"/>
    <cellStyle name="20% - Accent2 2 5 2 2 6 2 3" xfId="30532" xr:uid="{00000000-0005-0000-0000-0000500D0000}"/>
    <cellStyle name="20% - Accent2 2 5 2 2 6 3" xfId="16375" xr:uid="{00000000-0005-0000-0000-0000510D0000}"/>
    <cellStyle name="20% - Accent2 2 5 2 2 6 3 2" xfId="35775" xr:uid="{00000000-0005-0000-0000-0000520D0000}"/>
    <cellStyle name="20% - Accent2 2 5 2 2 6 4" xfId="26077" xr:uid="{00000000-0005-0000-0000-0000530D0000}"/>
    <cellStyle name="20% - Accent2 2 5 2 2 7" xfId="6936" xr:uid="{00000000-0005-0000-0000-0000540D0000}"/>
    <cellStyle name="20% - Accent2 2 5 2 2 7 2" xfId="16932" xr:uid="{00000000-0005-0000-0000-0000550D0000}"/>
    <cellStyle name="20% - Accent2 2 5 2 2 7 2 2" xfId="36332" xr:uid="{00000000-0005-0000-0000-0000560D0000}"/>
    <cellStyle name="20% - Accent2 2 5 2 2 7 3" xfId="26634" xr:uid="{00000000-0005-0000-0000-0000570D0000}"/>
    <cellStyle name="20% - Accent2 2 5 2 2 8" xfId="12476" xr:uid="{00000000-0005-0000-0000-0000580D0000}"/>
    <cellStyle name="20% - Accent2 2 5 2 2 8 2" xfId="31877" xr:uid="{00000000-0005-0000-0000-0000590D0000}"/>
    <cellStyle name="20% - Accent2 2 5 2 2 9" xfId="22179" xr:uid="{00000000-0005-0000-0000-00005A0D0000}"/>
    <cellStyle name="20% - Accent2 2 5 2 3" xfId="1987" xr:uid="{00000000-0005-0000-0000-00005B0D0000}"/>
    <cellStyle name="20% - Accent2 2 5 2 3 2" xfId="2988" xr:uid="{00000000-0005-0000-0000-00005C0D0000}"/>
    <cellStyle name="20% - Accent2 2 5 2 3 2 2" xfId="5257" xr:uid="{00000000-0005-0000-0000-00005D0D0000}"/>
    <cellStyle name="20% - Accent2 2 5 2 3 2 2 2" xfId="9721" xr:uid="{00000000-0005-0000-0000-00005E0D0000}"/>
    <cellStyle name="20% - Accent2 2 5 2 3 2 2 2 2" xfId="19717" xr:uid="{00000000-0005-0000-0000-00005F0D0000}"/>
    <cellStyle name="20% - Accent2 2 5 2 3 2 2 2 2 2" xfId="39117" xr:uid="{00000000-0005-0000-0000-0000600D0000}"/>
    <cellStyle name="20% - Accent2 2 5 2 3 2 2 2 3" xfId="29419" xr:uid="{00000000-0005-0000-0000-0000610D0000}"/>
    <cellStyle name="20% - Accent2 2 5 2 3 2 2 3" xfId="15262" xr:uid="{00000000-0005-0000-0000-0000620D0000}"/>
    <cellStyle name="20% - Accent2 2 5 2 3 2 2 3 2" xfId="34662" xr:uid="{00000000-0005-0000-0000-0000630D0000}"/>
    <cellStyle name="20% - Accent2 2 5 2 3 2 2 4" xfId="24964" xr:uid="{00000000-0005-0000-0000-0000640D0000}"/>
    <cellStyle name="20% - Accent2 2 5 2 3 2 3" xfId="7493" xr:uid="{00000000-0005-0000-0000-0000650D0000}"/>
    <cellStyle name="20% - Accent2 2 5 2 3 2 3 2" xfId="17489" xr:uid="{00000000-0005-0000-0000-0000660D0000}"/>
    <cellStyle name="20% - Accent2 2 5 2 3 2 3 2 2" xfId="36889" xr:uid="{00000000-0005-0000-0000-0000670D0000}"/>
    <cellStyle name="20% - Accent2 2 5 2 3 2 3 3" xfId="27191" xr:uid="{00000000-0005-0000-0000-0000680D0000}"/>
    <cellStyle name="20% - Accent2 2 5 2 3 2 4" xfId="13034" xr:uid="{00000000-0005-0000-0000-0000690D0000}"/>
    <cellStyle name="20% - Accent2 2 5 2 3 2 4 2" xfId="32434" xr:uid="{00000000-0005-0000-0000-00006A0D0000}"/>
    <cellStyle name="20% - Accent2 2 5 2 3 2 5" xfId="22736" xr:uid="{00000000-0005-0000-0000-00006B0D0000}"/>
    <cellStyle name="20% - Accent2 2 5 2 3 3" xfId="3571" xr:uid="{00000000-0005-0000-0000-00006C0D0000}"/>
    <cellStyle name="20% - Accent2 2 5 2 3 3 2" xfId="4701" xr:uid="{00000000-0005-0000-0000-00006D0D0000}"/>
    <cellStyle name="20% - Accent2 2 5 2 3 3 2 2" xfId="9165" xr:uid="{00000000-0005-0000-0000-00006E0D0000}"/>
    <cellStyle name="20% - Accent2 2 5 2 3 3 2 2 2" xfId="19161" xr:uid="{00000000-0005-0000-0000-00006F0D0000}"/>
    <cellStyle name="20% - Accent2 2 5 2 3 3 2 2 2 2" xfId="38561" xr:uid="{00000000-0005-0000-0000-0000700D0000}"/>
    <cellStyle name="20% - Accent2 2 5 2 3 3 2 2 3" xfId="28863" xr:uid="{00000000-0005-0000-0000-0000710D0000}"/>
    <cellStyle name="20% - Accent2 2 5 2 3 3 2 3" xfId="14706" xr:uid="{00000000-0005-0000-0000-0000720D0000}"/>
    <cellStyle name="20% - Accent2 2 5 2 3 3 2 3 2" xfId="34106" xr:uid="{00000000-0005-0000-0000-0000730D0000}"/>
    <cellStyle name="20% - Accent2 2 5 2 3 3 2 4" xfId="24408" xr:uid="{00000000-0005-0000-0000-0000740D0000}"/>
    <cellStyle name="20% - Accent2 2 5 2 3 3 3" xfId="8050" xr:uid="{00000000-0005-0000-0000-0000750D0000}"/>
    <cellStyle name="20% - Accent2 2 5 2 3 3 3 2" xfId="18046" xr:uid="{00000000-0005-0000-0000-0000760D0000}"/>
    <cellStyle name="20% - Accent2 2 5 2 3 3 3 2 2" xfId="37446" xr:uid="{00000000-0005-0000-0000-0000770D0000}"/>
    <cellStyle name="20% - Accent2 2 5 2 3 3 3 3" xfId="27748" xr:uid="{00000000-0005-0000-0000-0000780D0000}"/>
    <cellStyle name="20% - Accent2 2 5 2 3 3 4" xfId="13591" xr:uid="{00000000-0005-0000-0000-0000790D0000}"/>
    <cellStyle name="20% - Accent2 2 5 2 3 3 4 2" xfId="32991" xr:uid="{00000000-0005-0000-0000-00007A0D0000}"/>
    <cellStyle name="20% - Accent2 2 5 2 3 3 5" xfId="23293" xr:uid="{00000000-0005-0000-0000-00007B0D0000}"/>
    <cellStyle name="20% - Accent2 2 5 2 3 4" xfId="4144" xr:uid="{00000000-0005-0000-0000-00007C0D0000}"/>
    <cellStyle name="20% - Accent2 2 5 2 3 4 2" xfId="8608" xr:uid="{00000000-0005-0000-0000-00007D0D0000}"/>
    <cellStyle name="20% - Accent2 2 5 2 3 4 2 2" xfId="18604" xr:uid="{00000000-0005-0000-0000-00007E0D0000}"/>
    <cellStyle name="20% - Accent2 2 5 2 3 4 2 2 2" xfId="38004" xr:uid="{00000000-0005-0000-0000-00007F0D0000}"/>
    <cellStyle name="20% - Accent2 2 5 2 3 4 2 3" xfId="28306" xr:uid="{00000000-0005-0000-0000-0000800D0000}"/>
    <cellStyle name="20% - Accent2 2 5 2 3 4 3" xfId="14149" xr:uid="{00000000-0005-0000-0000-0000810D0000}"/>
    <cellStyle name="20% - Accent2 2 5 2 3 4 3 2" xfId="33549" xr:uid="{00000000-0005-0000-0000-0000820D0000}"/>
    <cellStyle name="20% - Accent2 2 5 2 3 4 4" xfId="23851" xr:uid="{00000000-0005-0000-0000-0000830D0000}"/>
    <cellStyle name="20% - Accent2 2 5 2 3 5" xfId="5814" xr:uid="{00000000-0005-0000-0000-0000840D0000}"/>
    <cellStyle name="20% - Accent2 2 5 2 3 5 2" xfId="10278" xr:uid="{00000000-0005-0000-0000-0000850D0000}"/>
    <cellStyle name="20% - Accent2 2 5 2 3 5 2 2" xfId="20274" xr:uid="{00000000-0005-0000-0000-0000860D0000}"/>
    <cellStyle name="20% - Accent2 2 5 2 3 5 2 2 2" xfId="39674" xr:uid="{00000000-0005-0000-0000-0000870D0000}"/>
    <cellStyle name="20% - Accent2 2 5 2 3 5 2 3" xfId="29976" xr:uid="{00000000-0005-0000-0000-0000880D0000}"/>
    <cellStyle name="20% - Accent2 2 5 2 3 5 3" xfId="15819" xr:uid="{00000000-0005-0000-0000-0000890D0000}"/>
    <cellStyle name="20% - Accent2 2 5 2 3 5 3 2" xfId="35219" xr:uid="{00000000-0005-0000-0000-00008A0D0000}"/>
    <cellStyle name="20% - Accent2 2 5 2 3 5 4" xfId="25521" xr:uid="{00000000-0005-0000-0000-00008B0D0000}"/>
    <cellStyle name="20% - Accent2 2 5 2 3 6" xfId="6380" xr:uid="{00000000-0005-0000-0000-00008C0D0000}"/>
    <cellStyle name="20% - Accent2 2 5 2 3 6 2" xfId="10835" xr:uid="{00000000-0005-0000-0000-00008D0D0000}"/>
    <cellStyle name="20% - Accent2 2 5 2 3 6 2 2" xfId="20831" xr:uid="{00000000-0005-0000-0000-00008E0D0000}"/>
    <cellStyle name="20% - Accent2 2 5 2 3 6 2 2 2" xfId="40231" xr:uid="{00000000-0005-0000-0000-00008F0D0000}"/>
    <cellStyle name="20% - Accent2 2 5 2 3 6 2 3" xfId="30533" xr:uid="{00000000-0005-0000-0000-0000900D0000}"/>
    <cellStyle name="20% - Accent2 2 5 2 3 6 3" xfId="16376" xr:uid="{00000000-0005-0000-0000-0000910D0000}"/>
    <cellStyle name="20% - Accent2 2 5 2 3 6 3 2" xfId="35776" xr:uid="{00000000-0005-0000-0000-0000920D0000}"/>
    <cellStyle name="20% - Accent2 2 5 2 3 6 4" xfId="26078" xr:uid="{00000000-0005-0000-0000-0000930D0000}"/>
    <cellStyle name="20% - Accent2 2 5 2 3 7" xfId="6937" xr:uid="{00000000-0005-0000-0000-0000940D0000}"/>
    <cellStyle name="20% - Accent2 2 5 2 3 7 2" xfId="16933" xr:uid="{00000000-0005-0000-0000-0000950D0000}"/>
    <cellStyle name="20% - Accent2 2 5 2 3 7 2 2" xfId="36333" xr:uid="{00000000-0005-0000-0000-0000960D0000}"/>
    <cellStyle name="20% - Accent2 2 5 2 3 7 3" xfId="26635" xr:uid="{00000000-0005-0000-0000-0000970D0000}"/>
    <cellStyle name="20% - Accent2 2 5 2 3 8" xfId="12477" xr:uid="{00000000-0005-0000-0000-0000980D0000}"/>
    <cellStyle name="20% - Accent2 2 5 2 3 8 2" xfId="31878" xr:uid="{00000000-0005-0000-0000-0000990D0000}"/>
    <cellStyle name="20% - Accent2 2 5 2 3 9" xfId="22180" xr:uid="{00000000-0005-0000-0000-00009A0D0000}"/>
    <cellStyle name="20% - Accent2 2 5 2 4" xfId="2986" xr:uid="{00000000-0005-0000-0000-00009B0D0000}"/>
    <cellStyle name="20% - Accent2 2 5 2 4 2" xfId="5255" xr:uid="{00000000-0005-0000-0000-00009C0D0000}"/>
    <cellStyle name="20% - Accent2 2 5 2 4 2 2" xfId="9719" xr:uid="{00000000-0005-0000-0000-00009D0D0000}"/>
    <cellStyle name="20% - Accent2 2 5 2 4 2 2 2" xfId="19715" xr:uid="{00000000-0005-0000-0000-00009E0D0000}"/>
    <cellStyle name="20% - Accent2 2 5 2 4 2 2 2 2" xfId="39115" xr:uid="{00000000-0005-0000-0000-00009F0D0000}"/>
    <cellStyle name="20% - Accent2 2 5 2 4 2 2 3" xfId="29417" xr:uid="{00000000-0005-0000-0000-0000A00D0000}"/>
    <cellStyle name="20% - Accent2 2 5 2 4 2 3" xfId="15260" xr:uid="{00000000-0005-0000-0000-0000A10D0000}"/>
    <cellStyle name="20% - Accent2 2 5 2 4 2 3 2" xfId="34660" xr:uid="{00000000-0005-0000-0000-0000A20D0000}"/>
    <cellStyle name="20% - Accent2 2 5 2 4 2 4" xfId="24962" xr:uid="{00000000-0005-0000-0000-0000A30D0000}"/>
    <cellStyle name="20% - Accent2 2 5 2 4 3" xfId="7491" xr:uid="{00000000-0005-0000-0000-0000A40D0000}"/>
    <cellStyle name="20% - Accent2 2 5 2 4 3 2" xfId="17487" xr:uid="{00000000-0005-0000-0000-0000A50D0000}"/>
    <cellStyle name="20% - Accent2 2 5 2 4 3 2 2" xfId="36887" xr:uid="{00000000-0005-0000-0000-0000A60D0000}"/>
    <cellStyle name="20% - Accent2 2 5 2 4 3 3" xfId="27189" xr:uid="{00000000-0005-0000-0000-0000A70D0000}"/>
    <cellStyle name="20% - Accent2 2 5 2 4 4" xfId="13032" xr:uid="{00000000-0005-0000-0000-0000A80D0000}"/>
    <cellStyle name="20% - Accent2 2 5 2 4 4 2" xfId="32432" xr:uid="{00000000-0005-0000-0000-0000A90D0000}"/>
    <cellStyle name="20% - Accent2 2 5 2 4 5" xfId="22734" xr:uid="{00000000-0005-0000-0000-0000AA0D0000}"/>
    <cellStyle name="20% - Accent2 2 5 2 5" xfId="3569" xr:uid="{00000000-0005-0000-0000-0000AB0D0000}"/>
    <cellStyle name="20% - Accent2 2 5 2 5 2" xfId="4699" xr:uid="{00000000-0005-0000-0000-0000AC0D0000}"/>
    <cellStyle name="20% - Accent2 2 5 2 5 2 2" xfId="9163" xr:uid="{00000000-0005-0000-0000-0000AD0D0000}"/>
    <cellStyle name="20% - Accent2 2 5 2 5 2 2 2" xfId="19159" xr:uid="{00000000-0005-0000-0000-0000AE0D0000}"/>
    <cellStyle name="20% - Accent2 2 5 2 5 2 2 2 2" xfId="38559" xr:uid="{00000000-0005-0000-0000-0000AF0D0000}"/>
    <cellStyle name="20% - Accent2 2 5 2 5 2 2 3" xfId="28861" xr:uid="{00000000-0005-0000-0000-0000B00D0000}"/>
    <cellStyle name="20% - Accent2 2 5 2 5 2 3" xfId="14704" xr:uid="{00000000-0005-0000-0000-0000B10D0000}"/>
    <cellStyle name="20% - Accent2 2 5 2 5 2 3 2" xfId="34104" xr:uid="{00000000-0005-0000-0000-0000B20D0000}"/>
    <cellStyle name="20% - Accent2 2 5 2 5 2 4" xfId="24406" xr:uid="{00000000-0005-0000-0000-0000B30D0000}"/>
    <cellStyle name="20% - Accent2 2 5 2 5 3" xfId="8048" xr:uid="{00000000-0005-0000-0000-0000B40D0000}"/>
    <cellStyle name="20% - Accent2 2 5 2 5 3 2" xfId="18044" xr:uid="{00000000-0005-0000-0000-0000B50D0000}"/>
    <cellStyle name="20% - Accent2 2 5 2 5 3 2 2" xfId="37444" xr:uid="{00000000-0005-0000-0000-0000B60D0000}"/>
    <cellStyle name="20% - Accent2 2 5 2 5 3 3" xfId="27746" xr:uid="{00000000-0005-0000-0000-0000B70D0000}"/>
    <cellStyle name="20% - Accent2 2 5 2 5 4" xfId="13589" xr:uid="{00000000-0005-0000-0000-0000B80D0000}"/>
    <cellStyle name="20% - Accent2 2 5 2 5 4 2" xfId="32989" xr:uid="{00000000-0005-0000-0000-0000B90D0000}"/>
    <cellStyle name="20% - Accent2 2 5 2 5 5" xfId="23291" xr:uid="{00000000-0005-0000-0000-0000BA0D0000}"/>
    <cellStyle name="20% - Accent2 2 5 2 6" xfId="4142" xr:uid="{00000000-0005-0000-0000-0000BB0D0000}"/>
    <cellStyle name="20% - Accent2 2 5 2 6 2" xfId="8606" xr:uid="{00000000-0005-0000-0000-0000BC0D0000}"/>
    <cellStyle name="20% - Accent2 2 5 2 6 2 2" xfId="18602" xr:uid="{00000000-0005-0000-0000-0000BD0D0000}"/>
    <cellStyle name="20% - Accent2 2 5 2 6 2 2 2" xfId="38002" xr:uid="{00000000-0005-0000-0000-0000BE0D0000}"/>
    <cellStyle name="20% - Accent2 2 5 2 6 2 3" xfId="28304" xr:uid="{00000000-0005-0000-0000-0000BF0D0000}"/>
    <cellStyle name="20% - Accent2 2 5 2 6 3" xfId="14147" xr:uid="{00000000-0005-0000-0000-0000C00D0000}"/>
    <cellStyle name="20% - Accent2 2 5 2 6 3 2" xfId="33547" xr:uid="{00000000-0005-0000-0000-0000C10D0000}"/>
    <cellStyle name="20% - Accent2 2 5 2 6 4" xfId="23849" xr:uid="{00000000-0005-0000-0000-0000C20D0000}"/>
    <cellStyle name="20% - Accent2 2 5 2 7" xfId="5812" xr:uid="{00000000-0005-0000-0000-0000C30D0000}"/>
    <cellStyle name="20% - Accent2 2 5 2 7 2" xfId="10276" xr:uid="{00000000-0005-0000-0000-0000C40D0000}"/>
    <cellStyle name="20% - Accent2 2 5 2 7 2 2" xfId="20272" xr:uid="{00000000-0005-0000-0000-0000C50D0000}"/>
    <cellStyle name="20% - Accent2 2 5 2 7 2 2 2" xfId="39672" xr:uid="{00000000-0005-0000-0000-0000C60D0000}"/>
    <cellStyle name="20% - Accent2 2 5 2 7 2 3" xfId="29974" xr:uid="{00000000-0005-0000-0000-0000C70D0000}"/>
    <cellStyle name="20% - Accent2 2 5 2 7 3" xfId="15817" xr:uid="{00000000-0005-0000-0000-0000C80D0000}"/>
    <cellStyle name="20% - Accent2 2 5 2 7 3 2" xfId="35217" xr:uid="{00000000-0005-0000-0000-0000C90D0000}"/>
    <cellStyle name="20% - Accent2 2 5 2 7 4" xfId="25519" xr:uid="{00000000-0005-0000-0000-0000CA0D0000}"/>
    <cellStyle name="20% - Accent2 2 5 2 8" xfId="6378" xr:uid="{00000000-0005-0000-0000-0000CB0D0000}"/>
    <cellStyle name="20% - Accent2 2 5 2 8 2" xfId="10833" xr:uid="{00000000-0005-0000-0000-0000CC0D0000}"/>
    <cellStyle name="20% - Accent2 2 5 2 8 2 2" xfId="20829" xr:uid="{00000000-0005-0000-0000-0000CD0D0000}"/>
    <cellStyle name="20% - Accent2 2 5 2 8 2 2 2" xfId="40229" xr:uid="{00000000-0005-0000-0000-0000CE0D0000}"/>
    <cellStyle name="20% - Accent2 2 5 2 8 2 3" xfId="30531" xr:uid="{00000000-0005-0000-0000-0000CF0D0000}"/>
    <cellStyle name="20% - Accent2 2 5 2 8 3" xfId="16374" xr:uid="{00000000-0005-0000-0000-0000D00D0000}"/>
    <cellStyle name="20% - Accent2 2 5 2 8 3 2" xfId="35774" xr:uid="{00000000-0005-0000-0000-0000D10D0000}"/>
    <cellStyle name="20% - Accent2 2 5 2 8 4" xfId="26076" xr:uid="{00000000-0005-0000-0000-0000D20D0000}"/>
    <cellStyle name="20% - Accent2 2 5 2 9" xfId="6935" xr:uid="{00000000-0005-0000-0000-0000D30D0000}"/>
    <cellStyle name="20% - Accent2 2 5 2 9 2" xfId="16931" xr:uid="{00000000-0005-0000-0000-0000D40D0000}"/>
    <cellStyle name="20% - Accent2 2 5 2 9 2 2" xfId="36331" xr:uid="{00000000-0005-0000-0000-0000D50D0000}"/>
    <cellStyle name="20% - Accent2 2 5 2 9 3" xfId="26633" xr:uid="{00000000-0005-0000-0000-0000D60D0000}"/>
    <cellStyle name="20% - Accent2 2 5 3" xfId="1988" xr:uid="{00000000-0005-0000-0000-0000D70D0000}"/>
    <cellStyle name="20% - Accent2 2 5 3 2" xfId="2989" xr:uid="{00000000-0005-0000-0000-0000D80D0000}"/>
    <cellStyle name="20% - Accent2 2 5 3 2 2" xfId="5258" xr:uid="{00000000-0005-0000-0000-0000D90D0000}"/>
    <cellStyle name="20% - Accent2 2 5 3 2 2 2" xfId="9722" xr:uid="{00000000-0005-0000-0000-0000DA0D0000}"/>
    <cellStyle name="20% - Accent2 2 5 3 2 2 2 2" xfId="19718" xr:uid="{00000000-0005-0000-0000-0000DB0D0000}"/>
    <cellStyle name="20% - Accent2 2 5 3 2 2 2 2 2" xfId="39118" xr:uid="{00000000-0005-0000-0000-0000DC0D0000}"/>
    <cellStyle name="20% - Accent2 2 5 3 2 2 2 3" xfId="29420" xr:uid="{00000000-0005-0000-0000-0000DD0D0000}"/>
    <cellStyle name="20% - Accent2 2 5 3 2 2 3" xfId="15263" xr:uid="{00000000-0005-0000-0000-0000DE0D0000}"/>
    <cellStyle name="20% - Accent2 2 5 3 2 2 3 2" xfId="34663" xr:uid="{00000000-0005-0000-0000-0000DF0D0000}"/>
    <cellStyle name="20% - Accent2 2 5 3 2 2 4" xfId="24965" xr:uid="{00000000-0005-0000-0000-0000E00D0000}"/>
    <cellStyle name="20% - Accent2 2 5 3 2 3" xfId="7494" xr:uid="{00000000-0005-0000-0000-0000E10D0000}"/>
    <cellStyle name="20% - Accent2 2 5 3 2 3 2" xfId="17490" xr:uid="{00000000-0005-0000-0000-0000E20D0000}"/>
    <cellStyle name="20% - Accent2 2 5 3 2 3 2 2" xfId="36890" xr:uid="{00000000-0005-0000-0000-0000E30D0000}"/>
    <cellStyle name="20% - Accent2 2 5 3 2 3 3" xfId="27192" xr:uid="{00000000-0005-0000-0000-0000E40D0000}"/>
    <cellStyle name="20% - Accent2 2 5 3 2 4" xfId="13035" xr:uid="{00000000-0005-0000-0000-0000E50D0000}"/>
    <cellStyle name="20% - Accent2 2 5 3 2 4 2" xfId="32435" xr:uid="{00000000-0005-0000-0000-0000E60D0000}"/>
    <cellStyle name="20% - Accent2 2 5 3 2 5" xfId="22737" xr:uid="{00000000-0005-0000-0000-0000E70D0000}"/>
    <cellStyle name="20% - Accent2 2 5 3 3" xfId="3572" xr:uid="{00000000-0005-0000-0000-0000E80D0000}"/>
    <cellStyle name="20% - Accent2 2 5 3 3 2" xfId="4702" xr:uid="{00000000-0005-0000-0000-0000E90D0000}"/>
    <cellStyle name="20% - Accent2 2 5 3 3 2 2" xfId="9166" xr:uid="{00000000-0005-0000-0000-0000EA0D0000}"/>
    <cellStyle name="20% - Accent2 2 5 3 3 2 2 2" xfId="19162" xr:uid="{00000000-0005-0000-0000-0000EB0D0000}"/>
    <cellStyle name="20% - Accent2 2 5 3 3 2 2 2 2" xfId="38562" xr:uid="{00000000-0005-0000-0000-0000EC0D0000}"/>
    <cellStyle name="20% - Accent2 2 5 3 3 2 2 3" xfId="28864" xr:uid="{00000000-0005-0000-0000-0000ED0D0000}"/>
    <cellStyle name="20% - Accent2 2 5 3 3 2 3" xfId="14707" xr:uid="{00000000-0005-0000-0000-0000EE0D0000}"/>
    <cellStyle name="20% - Accent2 2 5 3 3 2 3 2" xfId="34107" xr:uid="{00000000-0005-0000-0000-0000EF0D0000}"/>
    <cellStyle name="20% - Accent2 2 5 3 3 2 4" xfId="24409" xr:uid="{00000000-0005-0000-0000-0000F00D0000}"/>
    <cellStyle name="20% - Accent2 2 5 3 3 3" xfId="8051" xr:uid="{00000000-0005-0000-0000-0000F10D0000}"/>
    <cellStyle name="20% - Accent2 2 5 3 3 3 2" xfId="18047" xr:uid="{00000000-0005-0000-0000-0000F20D0000}"/>
    <cellStyle name="20% - Accent2 2 5 3 3 3 2 2" xfId="37447" xr:uid="{00000000-0005-0000-0000-0000F30D0000}"/>
    <cellStyle name="20% - Accent2 2 5 3 3 3 3" xfId="27749" xr:uid="{00000000-0005-0000-0000-0000F40D0000}"/>
    <cellStyle name="20% - Accent2 2 5 3 3 4" xfId="13592" xr:uid="{00000000-0005-0000-0000-0000F50D0000}"/>
    <cellStyle name="20% - Accent2 2 5 3 3 4 2" xfId="32992" xr:uid="{00000000-0005-0000-0000-0000F60D0000}"/>
    <cellStyle name="20% - Accent2 2 5 3 3 5" xfId="23294" xr:uid="{00000000-0005-0000-0000-0000F70D0000}"/>
    <cellStyle name="20% - Accent2 2 5 3 4" xfId="4145" xr:uid="{00000000-0005-0000-0000-0000F80D0000}"/>
    <cellStyle name="20% - Accent2 2 5 3 4 2" xfId="8609" xr:uid="{00000000-0005-0000-0000-0000F90D0000}"/>
    <cellStyle name="20% - Accent2 2 5 3 4 2 2" xfId="18605" xr:uid="{00000000-0005-0000-0000-0000FA0D0000}"/>
    <cellStyle name="20% - Accent2 2 5 3 4 2 2 2" xfId="38005" xr:uid="{00000000-0005-0000-0000-0000FB0D0000}"/>
    <cellStyle name="20% - Accent2 2 5 3 4 2 3" xfId="28307" xr:uid="{00000000-0005-0000-0000-0000FC0D0000}"/>
    <cellStyle name="20% - Accent2 2 5 3 4 3" xfId="14150" xr:uid="{00000000-0005-0000-0000-0000FD0D0000}"/>
    <cellStyle name="20% - Accent2 2 5 3 4 3 2" xfId="33550" xr:uid="{00000000-0005-0000-0000-0000FE0D0000}"/>
    <cellStyle name="20% - Accent2 2 5 3 4 4" xfId="23852" xr:uid="{00000000-0005-0000-0000-0000FF0D0000}"/>
    <cellStyle name="20% - Accent2 2 5 3 5" xfId="5815" xr:uid="{00000000-0005-0000-0000-0000000E0000}"/>
    <cellStyle name="20% - Accent2 2 5 3 5 2" xfId="10279" xr:uid="{00000000-0005-0000-0000-0000010E0000}"/>
    <cellStyle name="20% - Accent2 2 5 3 5 2 2" xfId="20275" xr:uid="{00000000-0005-0000-0000-0000020E0000}"/>
    <cellStyle name="20% - Accent2 2 5 3 5 2 2 2" xfId="39675" xr:uid="{00000000-0005-0000-0000-0000030E0000}"/>
    <cellStyle name="20% - Accent2 2 5 3 5 2 3" xfId="29977" xr:uid="{00000000-0005-0000-0000-0000040E0000}"/>
    <cellStyle name="20% - Accent2 2 5 3 5 3" xfId="15820" xr:uid="{00000000-0005-0000-0000-0000050E0000}"/>
    <cellStyle name="20% - Accent2 2 5 3 5 3 2" xfId="35220" xr:uid="{00000000-0005-0000-0000-0000060E0000}"/>
    <cellStyle name="20% - Accent2 2 5 3 5 4" xfId="25522" xr:uid="{00000000-0005-0000-0000-0000070E0000}"/>
    <cellStyle name="20% - Accent2 2 5 3 6" xfId="6381" xr:uid="{00000000-0005-0000-0000-0000080E0000}"/>
    <cellStyle name="20% - Accent2 2 5 3 6 2" xfId="10836" xr:uid="{00000000-0005-0000-0000-0000090E0000}"/>
    <cellStyle name="20% - Accent2 2 5 3 6 2 2" xfId="20832" xr:uid="{00000000-0005-0000-0000-00000A0E0000}"/>
    <cellStyle name="20% - Accent2 2 5 3 6 2 2 2" xfId="40232" xr:uid="{00000000-0005-0000-0000-00000B0E0000}"/>
    <cellStyle name="20% - Accent2 2 5 3 6 2 3" xfId="30534" xr:uid="{00000000-0005-0000-0000-00000C0E0000}"/>
    <cellStyle name="20% - Accent2 2 5 3 6 3" xfId="16377" xr:uid="{00000000-0005-0000-0000-00000D0E0000}"/>
    <cellStyle name="20% - Accent2 2 5 3 6 3 2" xfId="35777" xr:uid="{00000000-0005-0000-0000-00000E0E0000}"/>
    <cellStyle name="20% - Accent2 2 5 3 6 4" xfId="26079" xr:uid="{00000000-0005-0000-0000-00000F0E0000}"/>
    <cellStyle name="20% - Accent2 2 5 3 7" xfId="6938" xr:uid="{00000000-0005-0000-0000-0000100E0000}"/>
    <cellStyle name="20% - Accent2 2 5 3 7 2" xfId="16934" xr:uid="{00000000-0005-0000-0000-0000110E0000}"/>
    <cellStyle name="20% - Accent2 2 5 3 7 2 2" xfId="36334" xr:uid="{00000000-0005-0000-0000-0000120E0000}"/>
    <cellStyle name="20% - Accent2 2 5 3 7 3" xfId="26636" xr:uid="{00000000-0005-0000-0000-0000130E0000}"/>
    <cellStyle name="20% - Accent2 2 5 3 8" xfId="12478" xr:uid="{00000000-0005-0000-0000-0000140E0000}"/>
    <cellStyle name="20% - Accent2 2 5 3 8 2" xfId="31879" xr:uid="{00000000-0005-0000-0000-0000150E0000}"/>
    <cellStyle name="20% - Accent2 2 5 3 9" xfId="22181" xr:uid="{00000000-0005-0000-0000-0000160E0000}"/>
    <cellStyle name="20% - Accent2 2 5 4" xfId="1989" xr:uid="{00000000-0005-0000-0000-0000170E0000}"/>
    <cellStyle name="20% - Accent2 2 5 4 2" xfId="2990" xr:uid="{00000000-0005-0000-0000-0000180E0000}"/>
    <cellStyle name="20% - Accent2 2 5 4 2 2" xfId="5259" xr:uid="{00000000-0005-0000-0000-0000190E0000}"/>
    <cellStyle name="20% - Accent2 2 5 4 2 2 2" xfId="9723" xr:uid="{00000000-0005-0000-0000-00001A0E0000}"/>
    <cellStyle name="20% - Accent2 2 5 4 2 2 2 2" xfId="19719" xr:uid="{00000000-0005-0000-0000-00001B0E0000}"/>
    <cellStyle name="20% - Accent2 2 5 4 2 2 2 2 2" xfId="39119" xr:uid="{00000000-0005-0000-0000-00001C0E0000}"/>
    <cellStyle name="20% - Accent2 2 5 4 2 2 2 3" xfId="29421" xr:uid="{00000000-0005-0000-0000-00001D0E0000}"/>
    <cellStyle name="20% - Accent2 2 5 4 2 2 3" xfId="15264" xr:uid="{00000000-0005-0000-0000-00001E0E0000}"/>
    <cellStyle name="20% - Accent2 2 5 4 2 2 3 2" xfId="34664" xr:uid="{00000000-0005-0000-0000-00001F0E0000}"/>
    <cellStyle name="20% - Accent2 2 5 4 2 2 4" xfId="24966" xr:uid="{00000000-0005-0000-0000-0000200E0000}"/>
    <cellStyle name="20% - Accent2 2 5 4 2 3" xfId="7495" xr:uid="{00000000-0005-0000-0000-0000210E0000}"/>
    <cellStyle name="20% - Accent2 2 5 4 2 3 2" xfId="17491" xr:uid="{00000000-0005-0000-0000-0000220E0000}"/>
    <cellStyle name="20% - Accent2 2 5 4 2 3 2 2" xfId="36891" xr:uid="{00000000-0005-0000-0000-0000230E0000}"/>
    <cellStyle name="20% - Accent2 2 5 4 2 3 3" xfId="27193" xr:uid="{00000000-0005-0000-0000-0000240E0000}"/>
    <cellStyle name="20% - Accent2 2 5 4 2 4" xfId="13036" xr:uid="{00000000-0005-0000-0000-0000250E0000}"/>
    <cellStyle name="20% - Accent2 2 5 4 2 4 2" xfId="32436" xr:uid="{00000000-0005-0000-0000-0000260E0000}"/>
    <cellStyle name="20% - Accent2 2 5 4 2 5" xfId="22738" xr:uid="{00000000-0005-0000-0000-0000270E0000}"/>
    <cellStyle name="20% - Accent2 2 5 4 3" xfId="3573" xr:uid="{00000000-0005-0000-0000-0000280E0000}"/>
    <cellStyle name="20% - Accent2 2 5 4 3 2" xfId="4703" xr:uid="{00000000-0005-0000-0000-0000290E0000}"/>
    <cellStyle name="20% - Accent2 2 5 4 3 2 2" xfId="9167" xr:uid="{00000000-0005-0000-0000-00002A0E0000}"/>
    <cellStyle name="20% - Accent2 2 5 4 3 2 2 2" xfId="19163" xr:uid="{00000000-0005-0000-0000-00002B0E0000}"/>
    <cellStyle name="20% - Accent2 2 5 4 3 2 2 2 2" xfId="38563" xr:uid="{00000000-0005-0000-0000-00002C0E0000}"/>
    <cellStyle name="20% - Accent2 2 5 4 3 2 2 3" xfId="28865" xr:uid="{00000000-0005-0000-0000-00002D0E0000}"/>
    <cellStyle name="20% - Accent2 2 5 4 3 2 3" xfId="14708" xr:uid="{00000000-0005-0000-0000-00002E0E0000}"/>
    <cellStyle name="20% - Accent2 2 5 4 3 2 3 2" xfId="34108" xr:uid="{00000000-0005-0000-0000-00002F0E0000}"/>
    <cellStyle name="20% - Accent2 2 5 4 3 2 4" xfId="24410" xr:uid="{00000000-0005-0000-0000-0000300E0000}"/>
    <cellStyle name="20% - Accent2 2 5 4 3 3" xfId="8052" xr:uid="{00000000-0005-0000-0000-0000310E0000}"/>
    <cellStyle name="20% - Accent2 2 5 4 3 3 2" xfId="18048" xr:uid="{00000000-0005-0000-0000-0000320E0000}"/>
    <cellStyle name="20% - Accent2 2 5 4 3 3 2 2" xfId="37448" xr:uid="{00000000-0005-0000-0000-0000330E0000}"/>
    <cellStyle name="20% - Accent2 2 5 4 3 3 3" xfId="27750" xr:uid="{00000000-0005-0000-0000-0000340E0000}"/>
    <cellStyle name="20% - Accent2 2 5 4 3 4" xfId="13593" xr:uid="{00000000-0005-0000-0000-0000350E0000}"/>
    <cellStyle name="20% - Accent2 2 5 4 3 4 2" xfId="32993" xr:uid="{00000000-0005-0000-0000-0000360E0000}"/>
    <cellStyle name="20% - Accent2 2 5 4 3 5" xfId="23295" xr:uid="{00000000-0005-0000-0000-0000370E0000}"/>
    <cellStyle name="20% - Accent2 2 5 4 4" xfId="4146" xr:uid="{00000000-0005-0000-0000-0000380E0000}"/>
    <cellStyle name="20% - Accent2 2 5 4 4 2" xfId="8610" xr:uid="{00000000-0005-0000-0000-0000390E0000}"/>
    <cellStyle name="20% - Accent2 2 5 4 4 2 2" xfId="18606" xr:uid="{00000000-0005-0000-0000-00003A0E0000}"/>
    <cellStyle name="20% - Accent2 2 5 4 4 2 2 2" xfId="38006" xr:uid="{00000000-0005-0000-0000-00003B0E0000}"/>
    <cellStyle name="20% - Accent2 2 5 4 4 2 3" xfId="28308" xr:uid="{00000000-0005-0000-0000-00003C0E0000}"/>
    <cellStyle name="20% - Accent2 2 5 4 4 3" xfId="14151" xr:uid="{00000000-0005-0000-0000-00003D0E0000}"/>
    <cellStyle name="20% - Accent2 2 5 4 4 3 2" xfId="33551" xr:uid="{00000000-0005-0000-0000-00003E0E0000}"/>
    <cellStyle name="20% - Accent2 2 5 4 4 4" xfId="23853" xr:uid="{00000000-0005-0000-0000-00003F0E0000}"/>
    <cellStyle name="20% - Accent2 2 5 4 5" xfId="5816" xr:uid="{00000000-0005-0000-0000-0000400E0000}"/>
    <cellStyle name="20% - Accent2 2 5 4 5 2" xfId="10280" xr:uid="{00000000-0005-0000-0000-0000410E0000}"/>
    <cellStyle name="20% - Accent2 2 5 4 5 2 2" xfId="20276" xr:uid="{00000000-0005-0000-0000-0000420E0000}"/>
    <cellStyle name="20% - Accent2 2 5 4 5 2 2 2" xfId="39676" xr:uid="{00000000-0005-0000-0000-0000430E0000}"/>
    <cellStyle name="20% - Accent2 2 5 4 5 2 3" xfId="29978" xr:uid="{00000000-0005-0000-0000-0000440E0000}"/>
    <cellStyle name="20% - Accent2 2 5 4 5 3" xfId="15821" xr:uid="{00000000-0005-0000-0000-0000450E0000}"/>
    <cellStyle name="20% - Accent2 2 5 4 5 3 2" xfId="35221" xr:uid="{00000000-0005-0000-0000-0000460E0000}"/>
    <cellStyle name="20% - Accent2 2 5 4 5 4" xfId="25523" xr:uid="{00000000-0005-0000-0000-0000470E0000}"/>
    <cellStyle name="20% - Accent2 2 5 4 6" xfId="6382" xr:uid="{00000000-0005-0000-0000-0000480E0000}"/>
    <cellStyle name="20% - Accent2 2 5 4 6 2" xfId="10837" xr:uid="{00000000-0005-0000-0000-0000490E0000}"/>
    <cellStyle name="20% - Accent2 2 5 4 6 2 2" xfId="20833" xr:uid="{00000000-0005-0000-0000-00004A0E0000}"/>
    <cellStyle name="20% - Accent2 2 5 4 6 2 2 2" xfId="40233" xr:uid="{00000000-0005-0000-0000-00004B0E0000}"/>
    <cellStyle name="20% - Accent2 2 5 4 6 2 3" xfId="30535" xr:uid="{00000000-0005-0000-0000-00004C0E0000}"/>
    <cellStyle name="20% - Accent2 2 5 4 6 3" xfId="16378" xr:uid="{00000000-0005-0000-0000-00004D0E0000}"/>
    <cellStyle name="20% - Accent2 2 5 4 6 3 2" xfId="35778" xr:uid="{00000000-0005-0000-0000-00004E0E0000}"/>
    <cellStyle name="20% - Accent2 2 5 4 6 4" xfId="26080" xr:uid="{00000000-0005-0000-0000-00004F0E0000}"/>
    <cellStyle name="20% - Accent2 2 5 4 7" xfId="6939" xr:uid="{00000000-0005-0000-0000-0000500E0000}"/>
    <cellStyle name="20% - Accent2 2 5 4 7 2" xfId="16935" xr:uid="{00000000-0005-0000-0000-0000510E0000}"/>
    <cellStyle name="20% - Accent2 2 5 4 7 2 2" xfId="36335" xr:uid="{00000000-0005-0000-0000-0000520E0000}"/>
    <cellStyle name="20% - Accent2 2 5 4 7 3" xfId="26637" xr:uid="{00000000-0005-0000-0000-0000530E0000}"/>
    <cellStyle name="20% - Accent2 2 5 4 8" xfId="12479" xr:uid="{00000000-0005-0000-0000-0000540E0000}"/>
    <cellStyle name="20% - Accent2 2 5 4 8 2" xfId="31880" xr:uid="{00000000-0005-0000-0000-0000550E0000}"/>
    <cellStyle name="20% - Accent2 2 5 4 9" xfId="22182" xr:uid="{00000000-0005-0000-0000-0000560E0000}"/>
    <cellStyle name="20% - Accent2 2 6" xfId="1258" xr:uid="{00000000-0005-0000-0000-0000570E0000}"/>
    <cellStyle name="20% - Accent2 2 6 2" xfId="1990" xr:uid="{00000000-0005-0000-0000-0000580E0000}"/>
    <cellStyle name="20% - Accent2 2 6 2 2" xfId="2991" xr:uid="{00000000-0005-0000-0000-0000590E0000}"/>
    <cellStyle name="20% - Accent2 2 6 2 2 2" xfId="5260" xr:uid="{00000000-0005-0000-0000-00005A0E0000}"/>
    <cellStyle name="20% - Accent2 2 6 2 2 2 2" xfId="9724" xr:uid="{00000000-0005-0000-0000-00005B0E0000}"/>
    <cellStyle name="20% - Accent2 2 6 2 2 2 2 2" xfId="19720" xr:uid="{00000000-0005-0000-0000-00005C0E0000}"/>
    <cellStyle name="20% - Accent2 2 6 2 2 2 2 2 2" xfId="39120" xr:uid="{00000000-0005-0000-0000-00005D0E0000}"/>
    <cellStyle name="20% - Accent2 2 6 2 2 2 2 3" xfId="29422" xr:uid="{00000000-0005-0000-0000-00005E0E0000}"/>
    <cellStyle name="20% - Accent2 2 6 2 2 2 3" xfId="15265" xr:uid="{00000000-0005-0000-0000-00005F0E0000}"/>
    <cellStyle name="20% - Accent2 2 6 2 2 2 3 2" xfId="34665" xr:uid="{00000000-0005-0000-0000-0000600E0000}"/>
    <cellStyle name="20% - Accent2 2 6 2 2 2 4" xfId="24967" xr:uid="{00000000-0005-0000-0000-0000610E0000}"/>
    <cellStyle name="20% - Accent2 2 6 2 2 3" xfId="7496" xr:uid="{00000000-0005-0000-0000-0000620E0000}"/>
    <cellStyle name="20% - Accent2 2 6 2 2 3 2" xfId="17492" xr:uid="{00000000-0005-0000-0000-0000630E0000}"/>
    <cellStyle name="20% - Accent2 2 6 2 2 3 2 2" xfId="36892" xr:uid="{00000000-0005-0000-0000-0000640E0000}"/>
    <cellStyle name="20% - Accent2 2 6 2 2 3 3" xfId="27194" xr:uid="{00000000-0005-0000-0000-0000650E0000}"/>
    <cellStyle name="20% - Accent2 2 6 2 2 4" xfId="13037" xr:uid="{00000000-0005-0000-0000-0000660E0000}"/>
    <cellStyle name="20% - Accent2 2 6 2 2 4 2" xfId="32437" xr:uid="{00000000-0005-0000-0000-0000670E0000}"/>
    <cellStyle name="20% - Accent2 2 6 2 2 5" xfId="22739" xr:uid="{00000000-0005-0000-0000-0000680E0000}"/>
    <cellStyle name="20% - Accent2 2 6 2 3" xfId="3574" xr:uid="{00000000-0005-0000-0000-0000690E0000}"/>
    <cellStyle name="20% - Accent2 2 6 2 3 2" xfId="4704" xr:uid="{00000000-0005-0000-0000-00006A0E0000}"/>
    <cellStyle name="20% - Accent2 2 6 2 3 2 2" xfId="9168" xr:uid="{00000000-0005-0000-0000-00006B0E0000}"/>
    <cellStyle name="20% - Accent2 2 6 2 3 2 2 2" xfId="19164" xr:uid="{00000000-0005-0000-0000-00006C0E0000}"/>
    <cellStyle name="20% - Accent2 2 6 2 3 2 2 2 2" xfId="38564" xr:uid="{00000000-0005-0000-0000-00006D0E0000}"/>
    <cellStyle name="20% - Accent2 2 6 2 3 2 2 3" xfId="28866" xr:uid="{00000000-0005-0000-0000-00006E0E0000}"/>
    <cellStyle name="20% - Accent2 2 6 2 3 2 3" xfId="14709" xr:uid="{00000000-0005-0000-0000-00006F0E0000}"/>
    <cellStyle name="20% - Accent2 2 6 2 3 2 3 2" xfId="34109" xr:uid="{00000000-0005-0000-0000-0000700E0000}"/>
    <cellStyle name="20% - Accent2 2 6 2 3 2 4" xfId="24411" xr:uid="{00000000-0005-0000-0000-0000710E0000}"/>
    <cellStyle name="20% - Accent2 2 6 2 3 3" xfId="8053" xr:uid="{00000000-0005-0000-0000-0000720E0000}"/>
    <cellStyle name="20% - Accent2 2 6 2 3 3 2" xfId="18049" xr:uid="{00000000-0005-0000-0000-0000730E0000}"/>
    <cellStyle name="20% - Accent2 2 6 2 3 3 2 2" xfId="37449" xr:uid="{00000000-0005-0000-0000-0000740E0000}"/>
    <cellStyle name="20% - Accent2 2 6 2 3 3 3" xfId="27751" xr:uid="{00000000-0005-0000-0000-0000750E0000}"/>
    <cellStyle name="20% - Accent2 2 6 2 3 4" xfId="13594" xr:uid="{00000000-0005-0000-0000-0000760E0000}"/>
    <cellStyle name="20% - Accent2 2 6 2 3 4 2" xfId="32994" xr:uid="{00000000-0005-0000-0000-0000770E0000}"/>
    <cellStyle name="20% - Accent2 2 6 2 3 5" xfId="23296" xr:uid="{00000000-0005-0000-0000-0000780E0000}"/>
    <cellStyle name="20% - Accent2 2 6 2 4" xfId="4147" xr:uid="{00000000-0005-0000-0000-0000790E0000}"/>
    <cellStyle name="20% - Accent2 2 6 2 4 2" xfId="8611" xr:uid="{00000000-0005-0000-0000-00007A0E0000}"/>
    <cellStyle name="20% - Accent2 2 6 2 4 2 2" xfId="18607" xr:uid="{00000000-0005-0000-0000-00007B0E0000}"/>
    <cellStyle name="20% - Accent2 2 6 2 4 2 2 2" xfId="38007" xr:uid="{00000000-0005-0000-0000-00007C0E0000}"/>
    <cellStyle name="20% - Accent2 2 6 2 4 2 3" xfId="28309" xr:uid="{00000000-0005-0000-0000-00007D0E0000}"/>
    <cellStyle name="20% - Accent2 2 6 2 4 3" xfId="14152" xr:uid="{00000000-0005-0000-0000-00007E0E0000}"/>
    <cellStyle name="20% - Accent2 2 6 2 4 3 2" xfId="33552" xr:uid="{00000000-0005-0000-0000-00007F0E0000}"/>
    <cellStyle name="20% - Accent2 2 6 2 4 4" xfId="23854" xr:uid="{00000000-0005-0000-0000-0000800E0000}"/>
    <cellStyle name="20% - Accent2 2 6 2 5" xfId="5817" xr:uid="{00000000-0005-0000-0000-0000810E0000}"/>
    <cellStyle name="20% - Accent2 2 6 2 5 2" xfId="10281" xr:uid="{00000000-0005-0000-0000-0000820E0000}"/>
    <cellStyle name="20% - Accent2 2 6 2 5 2 2" xfId="20277" xr:uid="{00000000-0005-0000-0000-0000830E0000}"/>
    <cellStyle name="20% - Accent2 2 6 2 5 2 2 2" xfId="39677" xr:uid="{00000000-0005-0000-0000-0000840E0000}"/>
    <cellStyle name="20% - Accent2 2 6 2 5 2 3" xfId="29979" xr:uid="{00000000-0005-0000-0000-0000850E0000}"/>
    <cellStyle name="20% - Accent2 2 6 2 5 3" xfId="15822" xr:uid="{00000000-0005-0000-0000-0000860E0000}"/>
    <cellStyle name="20% - Accent2 2 6 2 5 3 2" xfId="35222" xr:uid="{00000000-0005-0000-0000-0000870E0000}"/>
    <cellStyle name="20% - Accent2 2 6 2 5 4" xfId="25524" xr:uid="{00000000-0005-0000-0000-0000880E0000}"/>
    <cellStyle name="20% - Accent2 2 6 2 6" xfId="6383" xr:uid="{00000000-0005-0000-0000-0000890E0000}"/>
    <cellStyle name="20% - Accent2 2 6 2 6 2" xfId="10838" xr:uid="{00000000-0005-0000-0000-00008A0E0000}"/>
    <cellStyle name="20% - Accent2 2 6 2 6 2 2" xfId="20834" xr:uid="{00000000-0005-0000-0000-00008B0E0000}"/>
    <cellStyle name="20% - Accent2 2 6 2 6 2 2 2" xfId="40234" xr:uid="{00000000-0005-0000-0000-00008C0E0000}"/>
    <cellStyle name="20% - Accent2 2 6 2 6 2 3" xfId="30536" xr:uid="{00000000-0005-0000-0000-00008D0E0000}"/>
    <cellStyle name="20% - Accent2 2 6 2 6 3" xfId="16379" xr:uid="{00000000-0005-0000-0000-00008E0E0000}"/>
    <cellStyle name="20% - Accent2 2 6 2 6 3 2" xfId="35779" xr:uid="{00000000-0005-0000-0000-00008F0E0000}"/>
    <cellStyle name="20% - Accent2 2 6 2 6 4" xfId="26081" xr:uid="{00000000-0005-0000-0000-0000900E0000}"/>
    <cellStyle name="20% - Accent2 2 6 2 7" xfId="6940" xr:uid="{00000000-0005-0000-0000-0000910E0000}"/>
    <cellStyle name="20% - Accent2 2 6 2 7 2" xfId="16936" xr:uid="{00000000-0005-0000-0000-0000920E0000}"/>
    <cellStyle name="20% - Accent2 2 6 2 7 2 2" xfId="36336" xr:uid="{00000000-0005-0000-0000-0000930E0000}"/>
    <cellStyle name="20% - Accent2 2 6 2 7 3" xfId="26638" xr:uid="{00000000-0005-0000-0000-0000940E0000}"/>
    <cellStyle name="20% - Accent2 2 6 2 8" xfId="12480" xr:uid="{00000000-0005-0000-0000-0000950E0000}"/>
    <cellStyle name="20% - Accent2 2 6 2 8 2" xfId="31881" xr:uid="{00000000-0005-0000-0000-0000960E0000}"/>
    <cellStyle name="20% - Accent2 2 6 2 9" xfId="22183" xr:uid="{00000000-0005-0000-0000-0000970E0000}"/>
    <cellStyle name="20% - Accent2 2 6 3" xfId="1991" xr:uid="{00000000-0005-0000-0000-0000980E0000}"/>
    <cellStyle name="20% - Accent2 2 6 3 2" xfId="2992" xr:uid="{00000000-0005-0000-0000-0000990E0000}"/>
    <cellStyle name="20% - Accent2 2 6 3 2 2" xfId="5261" xr:uid="{00000000-0005-0000-0000-00009A0E0000}"/>
    <cellStyle name="20% - Accent2 2 6 3 2 2 2" xfId="9725" xr:uid="{00000000-0005-0000-0000-00009B0E0000}"/>
    <cellStyle name="20% - Accent2 2 6 3 2 2 2 2" xfId="19721" xr:uid="{00000000-0005-0000-0000-00009C0E0000}"/>
    <cellStyle name="20% - Accent2 2 6 3 2 2 2 2 2" xfId="39121" xr:uid="{00000000-0005-0000-0000-00009D0E0000}"/>
    <cellStyle name="20% - Accent2 2 6 3 2 2 2 3" xfId="29423" xr:uid="{00000000-0005-0000-0000-00009E0E0000}"/>
    <cellStyle name="20% - Accent2 2 6 3 2 2 3" xfId="15266" xr:uid="{00000000-0005-0000-0000-00009F0E0000}"/>
    <cellStyle name="20% - Accent2 2 6 3 2 2 3 2" xfId="34666" xr:uid="{00000000-0005-0000-0000-0000A00E0000}"/>
    <cellStyle name="20% - Accent2 2 6 3 2 2 4" xfId="24968" xr:uid="{00000000-0005-0000-0000-0000A10E0000}"/>
    <cellStyle name="20% - Accent2 2 6 3 2 3" xfId="7497" xr:uid="{00000000-0005-0000-0000-0000A20E0000}"/>
    <cellStyle name="20% - Accent2 2 6 3 2 3 2" xfId="17493" xr:uid="{00000000-0005-0000-0000-0000A30E0000}"/>
    <cellStyle name="20% - Accent2 2 6 3 2 3 2 2" xfId="36893" xr:uid="{00000000-0005-0000-0000-0000A40E0000}"/>
    <cellStyle name="20% - Accent2 2 6 3 2 3 3" xfId="27195" xr:uid="{00000000-0005-0000-0000-0000A50E0000}"/>
    <cellStyle name="20% - Accent2 2 6 3 2 4" xfId="13038" xr:uid="{00000000-0005-0000-0000-0000A60E0000}"/>
    <cellStyle name="20% - Accent2 2 6 3 2 4 2" xfId="32438" xr:uid="{00000000-0005-0000-0000-0000A70E0000}"/>
    <cellStyle name="20% - Accent2 2 6 3 2 5" xfId="22740" xr:uid="{00000000-0005-0000-0000-0000A80E0000}"/>
    <cellStyle name="20% - Accent2 2 6 3 3" xfId="3575" xr:uid="{00000000-0005-0000-0000-0000A90E0000}"/>
    <cellStyle name="20% - Accent2 2 6 3 3 2" xfId="4705" xr:uid="{00000000-0005-0000-0000-0000AA0E0000}"/>
    <cellStyle name="20% - Accent2 2 6 3 3 2 2" xfId="9169" xr:uid="{00000000-0005-0000-0000-0000AB0E0000}"/>
    <cellStyle name="20% - Accent2 2 6 3 3 2 2 2" xfId="19165" xr:uid="{00000000-0005-0000-0000-0000AC0E0000}"/>
    <cellStyle name="20% - Accent2 2 6 3 3 2 2 2 2" xfId="38565" xr:uid="{00000000-0005-0000-0000-0000AD0E0000}"/>
    <cellStyle name="20% - Accent2 2 6 3 3 2 2 3" xfId="28867" xr:uid="{00000000-0005-0000-0000-0000AE0E0000}"/>
    <cellStyle name="20% - Accent2 2 6 3 3 2 3" xfId="14710" xr:uid="{00000000-0005-0000-0000-0000AF0E0000}"/>
    <cellStyle name="20% - Accent2 2 6 3 3 2 3 2" xfId="34110" xr:uid="{00000000-0005-0000-0000-0000B00E0000}"/>
    <cellStyle name="20% - Accent2 2 6 3 3 2 4" xfId="24412" xr:uid="{00000000-0005-0000-0000-0000B10E0000}"/>
    <cellStyle name="20% - Accent2 2 6 3 3 3" xfId="8054" xr:uid="{00000000-0005-0000-0000-0000B20E0000}"/>
    <cellStyle name="20% - Accent2 2 6 3 3 3 2" xfId="18050" xr:uid="{00000000-0005-0000-0000-0000B30E0000}"/>
    <cellStyle name="20% - Accent2 2 6 3 3 3 2 2" xfId="37450" xr:uid="{00000000-0005-0000-0000-0000B40E0000}"/>
    <cellStyle name="20% - Accent2 2 6 3 3 3 3" xfId="27752" xr:uid="{00000000-0005-0000-0000-0000B50E0000}"/>
    <cellStyle name="20% - Accent2 2 6 3 3 4" xfId="13595" xr:uid="{00000000-0005-0000-0000-0000B60E0000}"/>
    <cellStyle name="20% - Accent2 2 6 3 3 4 2" xfId="32995" xr:uid="{00000000-0005-0000-0000-0000B70E0000}"/>
    <cellStyle name="20% - Accent2 2 6 3 3 5" xfId="23297" xr:uid="{00000000-0005-0000-0000-0000B80E0000}"/>
    <cellStyle name="20% - Accent2 2 6 3 4" xfId="4148" xr:uid="{00000000-0005-0000-0000-0000B90E0000}"/>
    <cellStyle name="20% - Accent2 2 6 3 4 2" xfId="8612" xr:uid="{00000000-0005-0000-0000-0000BA0E0000}"/>
    <cellStyle name="20% - Accent2 2 6 3 4 2 2" xfId="18608" xr:uid="{00000000-0005-0000-0000-0000BB0E0000}"/>
    <cellStyle name="20% - Accent2 2 6 3 4 2 2 2" xfId="38008" xr:uid="{00000000-0005-0000-0000-0000BC0E0000}"/>
    <cellStyle name="20% - Accent2 2 6 3 4 2 3" xfId="28310" xr:uid="{00000000-0005-0000-0000-0000BD0E0000}"/>
    <cellStyle name="20% - Accent2 2 6 3 4 3" xfId="14153" xr:uid="{00000000-0005-0000-0000-0000BE0E0000}"/>
    <cellStyle name="20% - Accent2 2 6 3 4 3 2" xfId="33553" xr:uid="{00000000-0005-0000-0000-0000BF0E0000}"/>
    <cellStyle name="20% - Accent2 2 6 3 4 4" xfId="23855" xr:uid="{00000000-0005-0000-0000-0000C00E0000}"/>
    <cellStyle name="20% - Accent2 2 6 3 5" xfId="5818" xr:uid="{00000000-0005-0000-0000-0000C10E0000}"/>
    <cellStyle name="20% - Accent2 2 6 3 5 2" xfId="10282" xr:uid="{00000000-0005-0000-0000-0000C20E0000}"/>
    <cellStyle name="20% - Accent2 2 6 3 5 2 2" xfId="20278" xr:uid="{00000000-0005-0000-0000-0000C30E0000}"/>
    <cellStyle name="20% - Accent2 2 6 3 5 2 2 2" xfId="39678" xr:uid="{00000000-0005-0000-0000-0000C40E0000}"/>
    <cellStyle name="20% - Accent2 2 6 3 5 2 3" xfId="29980" xr:uid="{00000000-0005-0000-0000-0000C50E0000}"/>
    <cellStyle name="20% - Accent2 2 6 3 5 3" xfId="15823" xr:uid="{00000000-0005-0000-0000-0000C60E0000}"/>
    <cellStyle name="20% - Accent2 2 6 3 5 3 2" xfId="35223" xr:uid="{00000000-0005-0000-0000-0000C70E0000}"/>
    <cellStyle name="20% - Accent2 2 6 3 5 4" xfId="25525" xr:uid="{00000000-0005-0000-0000-0000C80E0000}"/>
    <cellStyle name="20% - Accent2 2 6 3 6" xfId="6384" xr:uid="{00000000-0005-0000-0000-0000C90E0000}"/>
    <cellStyle name="20% - Accent2 2 6 3 6 2" xfId="10839" xr:uid="{00000000-0005-0000-0000-0000CA0E0000}"/>
    <cellStyle name="20% - Accent2 2 6 3 6 2 2" xfId="20835" xr:uid="{00000000-0005-0000-0000-0000CB0E0000}"/>
    <cellStyle name="20% - Accent2 2 6 3 6 2 2 2" xfId="40235" xr:uid="{00000000-0005-0000-0000-0000CC0E0000}"/>
    <cellStyle name="20% - Accent2 2 6 3 6 2 3" xfId="30537" xr:uid="{00000000-0005-0000-0000-0000CD0E0000}"/>
    <cellStyle name="20% - Accent2 2 6 3 6 3" xfId="16380" xr:uid="{00000000-0005-0000-0000-0000CE0E0000}"/>
    <cellStyle name="20% - Accent2 2 6 3 6 3 2" xfId="35780" xr:uid="{00000000-0005-0000-0000-0000CF0E0000}"/>
    <cellStyle name="20% - Accent2 2 6 3 6 4" xfId="26082" xr:uid="{00000000-0005-0000-0000-0000D00E0000}"/>
    <cellStyle name="20% - Accent2 2 6 3 7" xfId="6941" xr:uid="{00000000-0005-0000-0000-0000D10E0000}"/>
    <cellStyle name="20% - Accent2 2 6 3 7 2" xfId="16937" xr:uid="{00000000-0005-0000-0000-0000D20E0000}"/>
    <cellStyle name="20% - Accent2 2 6 3 7 2 2" xfId="36337" xr:uid="{00000000-0005-0000-0000-0000D30E0000}"/>
    <cellStyle name="20% - Accent2 2 6 3 7 3" xfId="26639" xr:uid="{00000000-0005-0000-0000-0000D40E0000}"/>
    <cellStyle name="20% - Accent2 2 6 3 8" xfId="12481" xr:uid="{00000000-0005-0000-0000-0000D50E0000}"/>
    <cellStyle name="20% - Accent2 2 6 3 8 2" xfId="31882" xr:uid="{00000000-0005-0000-0000-0000D60E0000}"/>
    <cellStyle name="20% - Accent2 2 6 3 9" xfId="22184" xr:uid="{00000000-0005-0000-0000-0000D70E0000}"/>
    <cellStyle name="20% - Accent2 2 7" xfId="1725" xr:uid="{00000000-0005-0000-0000-0000D80E0000}"/>
    <cellStyle name="20% - Accent2 2 7 2" xfId="2895" xr:uid="{00000000-0005-0000-0000-0000D90E0000}"/>
    <cellStyle name="20% - Accent2 2 7 2 2" xfId="5164" xr:uid="{00000000-0005-0000-0000-0000DA0E0000}"/>
    <cellStyle name="20% - Accent2 2 7 2 2 2" xfId="9628" xr:uid="{00000000-0005-0000-0000-0000DB0E0000}"/>
    <cellStyle name="20% - Accent2 2 7 2 2 2 2" xfId="19624" xr:uid="{00000000-0005-0000-0000-0000DC0E0000}"/>
    <cellStyle name="20% - Accent2 2 7 2 2 2 2 2" xfId="39024" xr:uid="{00000000-0005-0000-0000-0000DD0E0000}"/>
    <cellStyle name="20% - Accent2 2 7 2 2 2 3" xfId="29326" xr:uid="{00000000-0005-0000-0000-0000DE0E0000}"/>
    <cellStyle name="20% - Accent2 2 7 2 2 3" xfId="15169" xr:uid="{00000000-0005-0000-0000-0000DF0E0000}"/>
    <cellStyle name="20% - Accent2 2 7 2 2 3 2" xfId="34569" xr:uid="{00000000-0005-0000-0000-0000E00E0000}"/>
    <cellStyle name="20% - Accent2 2 7 2 2 4" xfId="24871" xr:uid="{00000000-0005-0000-0000-0000E10E0000}"/>
    <cellStyle name="20% - Accent2 2 7 2 3" xfId="7400" xr:uid="{00000000-0005-0000-0000-0000E20E0000}"/>
    <cellStyle name="20% - Accent2 2 7 2 3 2" xfId="17396" xr:uid="{00000000-0005-0000-0000-0000E30E0000}"/>
    <cellStyle name="20% - Accent2 2 7 2 3 2 2" xfId="36796" xr:uid="{00000000-0005-0000-0000-0000E40E0000}"/>
    <cellStyle name="20% - Accent2 2 7 2 3 3" xfId="27098" xr:uid="{00000000-0005-0000-0000-0000E50E0000}"/>
    <cellStyle name="20% - Accent2 2 7 2 4" xfId="12941" xr:uid="{00000000-0005-0000-0000-0000E60E0000}"/>
    <cellStyle name="20% - Accent2 2 7 2 4 2" xfId="32341" xr:uid="{00000000-0005-0000-0000-0000E70E0000}"/>
    <cellStyle name="20% - Accent2 2 7 2 5" xfId="22643" xr:uid="{00000000-0005-0000-0000-0000E80E0000}"/>
    <cellStyle name="20% - Accent2 2 7 3" xfId="3478" xr:uid="{00000000-0005-0000-0000-0000E90E0000}"/>
    <cellStyle name="20% - Accent2 2 7 3 2" xfId="4608" xr:uid="{00000000-0005-0000-0000-0000EA0E0000}"/>
    <cellStyle name="20% - Accent2 2 7 3 2 2" xfId="9072" xr:uid="{00000000-0005-0000-0000-0000EB0E0000}"/>
    <cellStyle name="20% - Accent2 2 7 3 2 2 2" xfId="19068" xr:uid="{00000000-0005-0000-0000-0000EC0E0000}"/>
    <cellStyle name="20% - Accent2 2 7 3 2 2 2 2" xfId="38468" xr:uid="{00000000-0005-0000-0000-0000ED0E0000}"/>
    <cellStyle name="20% - Accent2 2 7 3 2 2 3" xfId="28770" xr:uid="{00000000-0005-0000-0000-0000EE0E0000}"/>
    <cellStyle name="20% - Accent2 2 7 3 2 3" xfId="14613" xr:uid="{00000000-0005-0000-0000-0000EF0E0000}"/>
    <cellStyle name="20% - Accent2 2 7 3 2 3 2" xfId="34013" xr:uid="{00000000-0005-0000-0000-0000F00E0000}"/>
    <cellStyle name="20% - Accent2 2 7 3 2 4" xfId="24315" xr:uid="{00000000-0005-0000-0000-0000F10E0000}"/>
    <cellStyle name="20% - Accent2 2 7 3 3" xfId="7957" xr:uid="{00000000-0005-0000-0000-0000F20E0000}"/>
    <cellStyle name="20% - Accent2 2 7 3 3 2" xfId="17953" xr:uid="{00000000-0005-0000-0000-0000F30E0000}"/>
    <cellStyle name="20% - Accent2 2 7 3 3 2 2" xfId="37353" xr:uid="{00000000-0005-0000-0000-0000F40E0000}"/>
    <cellStyle name="20% - Accent2 2 7 3 3 3" xfId="27655" xr:uid="{00000000-0005-0000-0000-0000F50E0000}"/>
    <cellStyle name="20% - Accent2 2 7 3 4" xfId="13498" xr:uid="{00000000-0005-0000-0000-0000F60E0000}"/>
    <cellStyle name="20% - Accent2 2 7 3 4 2" xfId="32898" xr:uid="{00000000-0005-0000-0000-0000F70E0000}"/>
    <cellStyle name="20% - Accent2 2 7 3 5" xfId="23200" xr:uid="{00000000-0005-0000-0000-0000F80E0000}"/>
    <cellStyle name="20% - Accent2 2 7 4" xfId="4051" xr:uid="{00000000-0005-0000-0000-0000F90E0000}"/>
    <cellStyle name="20% - Accent2 2 7 4 2" xfId="8515" xr:uid="{00000000-0005-0000-0000-0000FA0E0000}"/>
    <cellStyle name="20% - Accent2 2 7 4 2 2" xfId="18511" xr:uid="{00000000-0005-0000-0000-0000FB0E0000}"/>
    <cellStyle name="20% - Accent2 2 7 4 2 2 2" xfId="37911" xr:uid="{00000000-0005-0000-0000-0000FC0E0000}"/>
    <cellStyle name="20% - Accent2 2 7 4 2 3" xfId="28213" xr:uid="{00000000-0005-0000-0000-0000FD0E0000}"/>
    <cellStyle name="20% - Accent2 2 7 4 3" xfId="14056" xr:uid="{00000000-0005-0000-0000-0000FE0E0000}"/>
    <cellStyle name="20% - Accent2 2 7 4 3 2" xfId="33456" xr:uid="{00000000-0005-0000-0000-0000FF0E0000}"/>
    <cellStyle name="20% - Accent2 2 7 4 4" xfId="23758" xr:uid="{00000000-0005-0000-0000-0000000F0000}"/>
    <cellStyle name="20% - Accent2 2 7 5" xfId="5721" xr:uid="{00000000-0005-0000-0000-0000010F0000}"/>
    <cellStyle name="20% - Accent2 2 7 5 2" xfId="10185" xr:uid="{00000000-0005-0000-0000-0000020F0000}"/>
    <cellStyle name="20% - Accent2 2 7 5 2 2" xfId="20181" xr:uid="{00000000-0005-0000-0000-0000030F0000}"/>
    <cellStyle name="20% - Accent2 2 7 5 2 2 2" xfId="39581" xr:uid="{00000000-0005-0000-0000-0000040F0000}"/>
    <cellStyle name="20% - Accent2 2 7 5 2 3" xfId="29883" xr:uid="{00000000-0005-0000-0000-0000050F0000}"/>
    <cellStyle name="20% - Accent2 2 7 5 3" xfId="15726" xr:uid="{00000000-0005-0000-0000-0000060F0000}"/>
    <cellStyle name="20% - Accent2 2 7 5 3 2" xfId="35126" xr:uid="{00000000-0005-0000-0000-0000070F0000}"/>
    <cellStyle name="20% - Accent2 2 7 5 4" xfId="25428" xr:uid="{00000000-0005-0000-0000-0000080F0000}"/>
    <cellStyle name="20% - Accent2 2 7 6" xfId="6287" xr:uid="{00000000-0005-0000-0000-0000090F0000}"/>
    <cellStyle name="20% - Accent2 2 7 6 2" xfId="10742" xr:uid="{00000000-0005-0000-0000-00000A0F0000}"/>
    <cellStyle name="20% - Accent2 2 7 6 2 2" xfId="20738" xr:uid="{00000000-0005-0000-0000-00000B0F0000}"/>
    <cellStyle name="20% - Accent2 2 7 6 2 2 2" xfId="40138" xr:uid="{00000000-0005-0000-0000-00000C0F0000}"/>
    <cellStyle name="20% - Accent2 2 7 6 2 3" xfId="30440" xr:uid="{00000000-0005-0000-0000-00000D0F0000}"/>
    <cellStyle name="20% - Accent2 2 7 6 3" xfId="16283" xr:uid="{00000000-0005-0000-0000-00000E0F0000}"/>
    <cellStyle name="20% - Accent2 2 7 6 3 2" xfId="35683" xr:uid="{00000000-0005-0000-0000-00000F0F0000}"/>
    <cellStyle name="20% - Accent2 2 7 6 4" xfId="25985" xr:uid="{00000000-0005-0000-0000-0000100F0000}"/>
    <cellStyle name="20% - Accent2 2 7 7" xfId="6844" xr:uid="{00000000-0005-0000-0000-0000110F0000}"/>
    <cellStyle name="20% - Accent2 2 7 7 2" xfId="16840" xr:uid="{00000000-0005-0000-0000-0000120F0000}"/>
    <cellStyle name="20% - Accent2 2 7 7 2 2" xfId="36240" xr:uid="{00000000-0005-0000-0000-0000130F0000}"/>
    <cellStyle name="20% - Accent2 2 7 7 3" xfId="26542" xr:uid="{00000000-0005-0000-0000-0000140F0000}"/>
    <cellStyle name="20% - Accent2 2 7 8" xfId="12384" xr:uid="{00000000-0005-0000-0000-0000150F0000}"/>
    <cellStyle name="20% - Accent2 2 7 8 2" xfId="31785" xr:uid="{00000000-0005-0000-0000-0000160F0000}"/>
    <cellStyle name="20% - Accent2 2 7 9" xfId="22087" xr:uid="{00000000-0005-0000-0000-0000170F0000}"/>
    <cellStyle name="20% - Accent2 2 8" xfId="1826" xr:uid="{00000000-0005-0000-0000-0000180F0000}"/>
    <cellStyle name="20% - Accent2 2 8 2" xfId="2908" xr:uid="{00000000-0005-0000-0000-0000190F0000}"/>
    <cellStyle name="20% - Accent2 2 8 2 2" xfId="5177" xr:uid="{00000000-0005-0000-0000-00001A0F0000}"/>
    <cellStyle name="20% - Accent2 2 8 2 2 2" xfId="9641" xr:uid="{00000000-0005-0000-0000-00001B0F0000}"/>
    <cellStyle name="20% - Accent2 2 8 2 2 2 2" xfId="19637" xr:uid="{00000000-0005-0000-0000-00001C0F0000}"/>
    <cellStyle name="20% - Accent2 2 8 2 2 2 2 2" xfId="39037" xr:uid="{00000000-0005-0000-0000-00001D0F0000}"/>
    <cellStyle name="20% - Accent2 2 8 2 2 2 3" xfId="29339" xr:uid="{00000000-0005-0000-0000-00001E0F0000}"/>
    <cellStyle name="20% - Accent2 2 8 2 2 3" xfId="15182" xr:uid="{00000000-0005-0000-0000-00001F0F0000}"/>
    <cellStyle name="20% - Accent2 2 8 2 2 3 2" xfId="34582" xr:uid="{00000000-0005-0000-0000-0000200F0000}"/>
    <cellStyle name="20% - Accent2 2 8 2 2 4" xfId="24884" xr:uid="{00000000-0005-0000-0000-0000210F0000}"/>
    <cellStyle name="20% - Accent2 2 8 2 3" xfId="7413" xr:uid="{00000000-0005-0000-0000-0000220F0000}"/>
    <cellStyle name="20% - Accent2 2 8 2 3 2" xfId="17409" xr:uid="{00000000-0005-0000-0000-0000230F0000}"/>
    <cellStyle name="20% - Accent2 2 8 2 3 2 2" xfId="36809" xr:uid="{00000000-0005-0000-0000-0000240F0000}"/>
    <cellStyle name="20% - Accent2 2 8 2 3 3" xfId="27111" xr:uid="{00000000-0005-0000-0000-0000250F0000}"/>
    <cellStyle name="20% - Accent2 2 8 2 4" xfId="12954" xr:uid="{00000000-0005-0000-0000-0000260F0000}"/>
    <cellStyle name="20% - Accent2 2 8 2 4 2" xfId="32354" xr:uid="{00000000-0005-0000-0000-0000270F0000}"/>
    <cellStyle name="20% - Accent2 2 8 2 5" xfId="22656" xr:uid="{00000000-0005-0000-0000-0000280F0000}"/>
    <cellStyle name="20% - Accent2 2 8 3" xfId="3491" xr:uid="{00000000-0005-0000-0000-0000290F0000}"/>
    <cellStyle name="20% - Accent2 2 8 3 2" xfId="4621" xr:uid="{00000000-0005-0000-0000-00002A0F0000}"/>
    <cellStyle name="20% - Accent2 2 8 3 2 2" xfId="9085" xr:uid="{00000000-0005-0000-0000-00002B0F0000}"/>
    <cellStyle name="20% - Accent2 2 8 3 2 2 2" xfId="19081" xr:uid="{00000000-0005-0000-0000-00002C0F0000}"/>
    <cellStyle name="20% - Accent2 2 8 3 2 2 2 2" xfId="38481" xr:uid="{00000000-0005-0000-0000-00002D0F0000}"/>
    <cellStyle name="20% - Accent2 2 8 3 2 2 3" xfId="28783" xr:uid="{00000000-0005-0000-0000-00002E0F0000}"/>
    <cellStyle name="20% - Accent2 2 8 3 2 3" xfId="14626" xr:uid="{00000000-0005-0000-0000-00002F0F0000}"/>
    <cellStyle name="20% - Accent2 2 8 3 2 3 2" xfId="34026" xr:uid="{00000000-0005-0000-0000-0000300F0000}"/>
    <cellStyle name="20% - Accent2 2 8 3 2 4" xfId="24328" xr:uid="{00000000-0005-0000-0000-0000310F0000}"/>
    <cellStyle name="20% - Accent2 2 8 3 3" xfId="7970" xr:uid="{00000000-0005-0000-0000-0000320F0000}"/>
    <cellStyle name="20% - Accent2 2 8 3 3 2" xfId="17966" xr:uid="{00000000-0005-0000-0000-0000330F0000}"/>
    <cellStyle name="20% - Accent2 2 8 3 3 2 2" xfId="37366" xr:uid="{00000000-0005-0000-0000-0000340F0000}"/>
    <cellStyle name="20% - Accent2 2 8 3 3 3" xfId="27668" xr:uid="{00000000-0005-0000-0000-0000350F0000}"/>
    <cellStyle name="20% - Accent2 2 8 3 4" xfId="13511" xr:uid="{00000000-0005-0000-0000-0000360F0000}"/>
    <cellStyle name="20% - Accent2 2 8 3 4 2" xfId="32911" xr:uid="{00000000-0005-0000-0000-0000370F0000}"/>
    <cellStyle name="20% - Accent2 2 8 3 5" xfId="23213" xr:uid="{00000000-0005-0000-0000-0000380F0000}"/>
    <cellStyle name="20% - Accent2 2 8 4" xfId="4064" xr:uid="{00000000-0005-0000-0000-0000390F0000}"/>
    <cellStyle name="20% - Accent2 2 8 4 2" xfId="8528" xr:uid="{00000000-0005-0000-0000-00003A0F0000}"/>
    <cellStyle name="20% - Accent2 2 8 4 2 2" xfId="18524" xr:uid="{00000000-0005-0000-0000-00003B0F0000}"/>
    <cellStyle name="20% - Accent2 2 8 4 2 2 2" xfId="37924" xr:uid="{00000000-0005-0000-0000-00003C0F0000}"/>
    <cellStyle name="20% - Accent2 2 8 4 2 3" xfId="28226" xr:uid="{00000000-0005-0000-0000-00003D0F0000}"/>
    <cellStyle name="20% - Accent2 2 8 4 3" xfId="14069" xr:uid="{00000000-0005-0000-0000-00003E0F0000}"/>
    <cellStyle name="20% - Accent2 2 8 4 3 2" xfId="33469" xr:uid="{00000000-0005-0000-0000-00003F0F0000}"/>
    <cellStyle name="20% - Accent2 2 8 4 4" xfId="23771" xr:uid="{00000000-0005-0000-0000-0000400F0000}"/>
    <cellStyle name="20% - Accent2 2 8 5" xfId="5734" xr:uid="{00000000-0005-0000-0000-0000410F0000}"/>
    <cellStyle name="20% - Accent2 2 8 5 2" xfId="10198" xr:uid="{00000000-0005-0000-0000-0000420F0000}"/>
    <cellStyle name="20% - Accent2 2 8 5 2 2" xfId="20194" xr:uid="{00000000-0005-0000-0000-0000430F0000}"/>
    <cellStyle name="20% - Accent2 2 8 5 2 2 2" xfId="39594" xr:uid="{00000000-0005-0000-0000-0000440F0000}"/>
    <cellStyle name="20% - Accent2 2 8 5 2 3" xfId="29896" xr:uid="{00000000-0005-0000-0000-0000450F0000}"/>
    <cellStyle name="20% - Accent2 2 8 5 3" xfId="15739" xr:uid="{00000000-0005-0000-0000-0000460F0000}"/>
    <cellStyle name="20% - Accent2 2 8 5 3 2" xfId="35139" xr:uid="{00000000-0005-0000-0000-0000470F0000}"/>
    <cellStyle name="20% - Accent2 2 8 5 4" xfId="25441" xr:uid="{00000000-0005-0000-0000-0000480F0000}"/>
    <cellStyle name="20% - Accent2 2 8 6" xfId="6300" xr:uid="{00000000-0005-0000-0000-0000490F0000}"/>
    <cellStyle name="20% - Accent2 2 8 6 2" xfId="10755" xr:uid="{00000000-0005-0000-0000-00004A0F0000}"/>
    <cellStyle name="20% - Accent2 2 8 6 2 2" xfId="20751" xr:uid="{00000000-0005-0000-0000-00004B0F0000}"/>
    <cellStyle name="20% - Accent2 2 8 6 2 2 2" xfId="40151" xr:uid="{00000000-0005-0000-0000-00004C0F0000}"/>
    <cellStyle name="20% - Accent2 2 8 6 2 3" xfId="30453" xr:uid="{00000000-0005-0000-0000-00004D0F0000}"/>
    <cellStyle name="20% - Accent2 2 8 6 3" xfId="16296" xr:uid="{00000000-0005-0000-0000-00004E0F0000}"/>
    <cellStyle name="20% - Accent2 2 8 6 3 2" xfId="35696" xr:uid="{00000000-0005-0000-0000-00004F0F0000}"/>
    <cellStyle name="20% - Accent2 2 8 6 4" xfId="25998" xr:uid="{00000000-0005-0000-0000-0000500F0000}"/>
    <cellStyle name="20% - Accent2 2 8 7" xfId="6857" xr:uid="{00000000-0005-0000-0000-0000510F0000}"/>
    <cellStyle name="20% - Accent2 2 8 7 2" xfId="16853" xr:uid="{00000000-0005-0000-0000-0000520F0000}"/>
    <cellStyle name="20% - Accent2 2 8 7 2 2" xfId="36253" xr:uid="{00000000-0005-0000-0000-0000530F0000}"/>
    <cellStyle name="20% - Accent2 2 8 7 3" xfId="26555" xr:uid="{00000000-0005-0000-0000-0000540F0000}"/>
    <cellStyle name="20% - Accent2 2 8 8" xfId="12397" xr:uid="{00000000-0005-0000-0000-0000550F0000}"/>
    <cellStyle name="20% - Accent2 2 8 8 2" xfId="31798" xr:uid="{00000000-0005-0000-0000-0000560F0000}"/>
    <cellStyle name="20% - Accent2 2 8 9" xfId="22100" xr:uid="{00000000-0005-0000-0000-0000570F0000}"/>
    <cellStyle name="20% - Accent2 2 9" xfId="1992" xr:uid="{00000000-0005-0000-0000-0000580F0000}"/>
    <cellStyle name="20% - Accent2 20" xfId="1081" xr:uid="{00000000-0005-0000-0000-0000590F0000}"/>
    <cellStyle name="20% - Accent2 20 2" xfId="11952" xr:uid="{00000000-0005-0000-0000-00005A0F0000}"/>
    <cellStyle name="20% - Accent2 20 2 2" xfId="21656" xr:uid="{00000000-0005-0000-0000-00005B0F0000}"/>
    <cellStyle name="20% - Accent2 20 2 2 2" xfId="41056" xr:uid="{00000000-0005-0000-0000-00005C0F0000}"/>
    <cellStyle name="20% - Accent2 20 2 3" xfId="31358" xr:uid="{00000000-0005-0000-0000-00005D0F0000}"/>
    <cellStyle name="20% - Accent2 20 3" xfId="12308" xr:uid="{00000000-0005-0000-0000-00005E0F0000}"/>
    <cellStyle name="20% - Accent2 20 3 2" xfId="31711" xr:uid="{00000000-0005-0000-0000-00005F0F0000}"/>
    <cellStyle name="20% - Accent2 20 4" xfId="22013" xr:uid="{00000000-0005-0000-0000-0000600F0000}"/>
    <cellStyle name="20% - Accent2 21" xfId="11835" xr:uid="{00000000-0005-0000-0000-0000610F0000}"/>
    <cellStyle name="20% - Accent2 21 2" xfId="21539" xr:uid="{00000000-0005-0000-0000-0000620F0000}"/>
    <cellStyle name="20% - Accent2 21 2 2" xfId="40939" xr:uid="{00000000-0005-0000-0000-0000630F0000}"/>
    <cellStyle name="20% - Accent2 21 3" xfId="31241" xr:uid="{00000000-0005-0000-0000-0000640F0000}"/>
    <cellStyle name="20% - Accent2 22" xfId="12191" xr:uid="{00000000-0005-0000-0000-0000650F0000}"/>
    <cellStyle name="20% - Accent2 22 2" xfId="31594" xr:uid="{00000000-0005-0000-0000-0000660F0000}"/>
    <cellStyle name="20% - Accent2 23" xfId="21896" xr:uid="{00000000-0005-0000-0000-0000670F0000}"/>
    <cellStyle name="20% - Accent2 3" xfId="22" xr:uid="{00000000-0005-0000-0000-0000680F0000}"/>
    <cellStyle name="20% - Accent2 3 2" xfId="1993" xr:uid="{00000000-0005-0000-0000-0000690F0000}"/>
    <cellStyle name="20% - Accent2 3 3" xfId="2605" xr:uid="{00000000-0005-0000-0000-00006A0F0000}"/>
    <cellStyle name="20% - Accent2 3 4" xfId="11375" xr:uid="{00000000-0005-0000-0000-00006B0F0000}"/>
    <cellStyle name="20% - Accent2 3 5" xfId="1257" xr:uid="{00000000-0005-0000-0000-00006C0F0000}"/>
    <cellStyle name="20% - Accent2 4" xfId="23" xr:uid="{00000000-0005-0000-0000-00006D0F0000}"/>
    <cellStyle name="20% - Accent2 4 2" xfId="2771" xr:uid="{00000000-0005-0000-0000-00006E0F0000}"/>
    <cellStyle name="20% - Accent2 4 3" xfId="11376" xr:uid="{00000000-0005-0000-0000-00006F0F0000}"/>
    <cellStyle name="20% - Accent2 4 4" xfId="1256" xr:uid="{00000000-0005-0000-0000-0000700F0000}"/>
    <cellStyle name="20% - Accent2 5" xfId="24" xr:uid="{00000000-0005-0000-0000-0000710F0000}"/>
    <cellStyle name="20% - Accent2 5 2" xfId="11377" xr:uid="{00000000-0005-0000-0000-0000720F0000}"/>
    <cellStyle name="20% - Accent2 5 3" xfId="1663" xr:uid="{00000000-0005-0000-0000-0000730F0000}"/>
    <cellStyle name="20% - Accent2 6" xfId="25" xr:uid="{00000000-0005-0000-0000-0000740F0000}"/>
    <cellStyle name="20% - Accent2 6 2" xfId="11378" xr:uid="{00000000-0005-0000-0000-0000750F0000}"/>
    <cellStyle name="20% - Accent2 6 3" xfId="1825" xr:uid="{00000000-0005-0000-0000-0000760F0000}"/>
    <cellStyle name="20% - Accent2 7" xfId="26" xr:uid="{00000000-0005-0000-0000-0000770F0000}"/>
    <cellStyle name="20% - Accent2 8" xfId="27" xr:uid="{00000000-0005-0000-0000-0000780F0000}"/>
    <cellStyle name="20% - Accent2 9" xfId="28" xr:uid="{00000000-0005-0000-0000-0000790F0000}"/>
    <cellStyle name="20% - Accent3" xfId="949" builtinId="38" customBuiltin="1"/>
    <cellStyle name="20% - Accent3 10" xfId="29" xr:uid="{00000000-0005-0000-0000-00007B0F0000}"/>
    <cellStyle name="20% - Accent3 11" xfId="30" xr:uid="{00000000-0005-0000-0000-00007C0F0000}"/>
    <cellStyle name="20% - Accent3 12" xfId="31" xr:uid="{00000000-0005-0000-0000-00007D0F0000}"/>
    <cellStyle name="20% - Accent3 13" xfId="32" xr:uid="{00000000-0005-0000-0000-00007E0F0000}"/>
    <cellStyle name="20% - Accent3 14" xfId="33" xr:uid="{00000000-0005-0000-0000-00007F0F0000}"/>
    <cellStyle name="20% - Accent3 15" xfId="34" xr:uid="{00000000-0005-0000-0000-0000800F0000}"/>
    <cellStyle name="20% - Accent3 16" xfId="672" xr:uid="{00000000-0005-0000-0000-0000810F0000}"/>
    <cellStyle name="20% - Accent3 17" xfId="993" xr:uid="{00000000-0005-0000-0000-0000820F0000}"/>
    <cellStyle name="20% - Accent3 17 2" xfId="11864" xr:uid="{00000000-0005-0000-0000-0000830F0000}"/>
    <cellStyle name="20% - Accent3 17 2 2" xfId="21568" xr:uid="{00000000-0005-0000-0000-0000840F0000}"/>
    <cellStyle name="20% - Accent3 17 2 2 2" xfId="40968" xr:uid="{00000000-0005-0000-0000-0000850F0000}"/>
    <cellStyle name="20% - Accent3 17 2 3" xfId="31270" xr:uid="{00000000-0005-0000-0000-0000860F0000}"/>
    <cellStyle name="20% - Accent3 17 3" xfId="12220" xr:uid="{00000000-0005-0000-0000-0000870F0000}"/>
    <cellStyle name="20% - Accent3 17 3 2" xfId="31623" xr:uid="{00000000-0005-0000-0000-0000880F0000}"/>
    <cellStyle name="20% - Accent3 17 4" xfId="21925" xr:uid="{00000000-0005-0000-0000-0000890F0000}"/>
    <cellStyle name="20% - Accent3 18" xfId="1021" xr:uid="{00000000-0005-0000-0000-00008A0F0000}"/>
    <cellStyle name="20% - Accent3 18 2" xfId="11892" xr:uid="{00000000-0005-0000-0000-00008B0F0000}"/>
    <cellStyle name="20% - Accent3 18 2 2" xfId="21596" xr:uid="{00000000-0005-0000-0000-00008C0F0000}"/>
    <cellStyle name="20% - Accent3 18 2 2 2" xfId="40996" xr:uid="{00000000-0005-0000-0000-00008D0F0000}"/>
    <cellStyle name="20% - Accent3 18 2 3" xfId="31298" xr:uid="{00000000-0005-0000-0000-00008E0F0000}"/>
    <cellStyle name="20% - Accent3 18 3" xfId="12248" xr:uid="{00000000-0005-0000-0000-00008F0F0000}"/>
    <cellStyle name="20% - Accent3 18 3 2" xfId="31651" xr:uid="{00000000-0005-0000-0000-0000900F0000}"/>
    <cellStyle name="20% - Accent3 18 4" xfId="21953" xr:uid="{00000000-0005-0000-0000-0000910F0000}"/>
    <cellStyle name="20% - Accent3 19" xfId="1068" xr:uid="{00000000-0005-0000-0000-0000920F0000}"/>
    <cellStyle name="20% - Accent3 19 2" xfId="11939" xr:uid="{00000000-0005-0000-0000-0000930F0000}"/>
    <cellStyle name="20% - Accent3 19 2 2" xfId="21643" xr:uid="{00000000-0005-0000-0000-0000940F0000}"/>
    <cellStyle name="20% - Accent3 19 2 2 2" xfId="41043" xr:uid="{00000000-0005-0000-0000-0000950F0000}"/>
    <cellStyle name="20% - Accent3 19 2 3" xfId="31345" xr:uid="{00000000-0005-0000-0000-0000960F0000}"/>
    <cellStyle name="20% - Accent3 19 3" xfId="12295" xr:uid="{00000000-0005-0000-0000-0000970F0000}"/>
    <cellStyle name="20% - Accent3 19 3 2" xfId="31698" xr:uid="{00000000-0005-0000-0000-0000980F0000}"/>
    <cellStyle name="20% - Accent3 19 4" xfId="22000" xr:uid="{00000000-0005-0000-0000-0000990F0000}"/>
    <cellStyle name="20% - Accent3 2" xfId="35" xr:uid="{00000000-0005-0000-0000-00009A0F0000}"/>
    <cellStyle name="20% - Accent3 2 10" xfId="1994" xr:uid="{00000000-0005-0000-0000-00009B0F0000}"/>
    <cellStyle name="20% - Accent3 2 10 2" xfId="2993" xr:uid="{00000000-0005-0000-0000-00009C0F0000}"/>
    <cellStyle name="20% - Accent3 2 10 2 2" xfId="5262" xr:uid="{00000000-0005-0000-0000-00009D0F0000}"/>
    <cellStyle name="20% - Accent3 2 10 2 2 2" xfId="9726" xr:uid="{00000000-0005-0000-0000-00009E0F0000}"/>
    <cellStyle name="20% - Accent3 2 10 2 2 2 2" xfId="19722" xr:uid="{00000000-0005-0000-0000-00009F0F0000}"/>
    <cellStyle name="20% - Accent3 2 10 2 2 2 2 2" xfId="39122" xr:uid="{00000000-0005-0000-0000-0000A00F0000}"/>
    <cellStyle name="20% - Accent3 2 10 2 2 2 3" xfId="29424" xr:uid="{00000000-0005-0000-0000-0000A10F0000}"/>
    <cellStyle name="20% - Accent3 2 10 2 2 3" xfId="15267" xr:uid="{00000000-0005-0000-0000-0000A20F0000}"/>
    <cellStyle name="20% - Accent3 2 10 2 2 3 2" xfId="34667" xr:uid="{00000000-0005-0000-0000-0000A30F0000}"/>
    <cellStyle name="20% - Accent3 2 10 2 2 4" xfId="24969" xr:uid="{00000000-0005-0000-0000-0000A40F0000}"/>
    <cellStyle name="20% - Accent3 2 10 2 3" xfId="7498" xr:uid="{00000000-0005-0000-0000-0000A50F0000}"/>
    <cellStyle name="20% - Accent3 2 10 2 3 2" xfId="17494" xr:uid="{00000000-0005-0000-0000-0000A60F0000}"/>
    <cellStyle name="20% - Accent3 2 10 2 3 2 2" xfId="36894" xr:uid="{00000000-0005-0000-0000-0000A70F0000}"/>
    <cellStyle name="20% - Accent3 2 10 2 3 3" xfId="27196" xr:uid="{00000000-0005-0000-0000-0000A80F0000}"/>
    <cellStyle name="20% - Accent3 2 10 2 4" xfId="13039" xr:uid="{00000000-0005-0000-0000-0000A90F0000}"/>
    <cellStyle name="20% - Accent3 2 10 2 4 2" xfId="32439" xr:uid="{00000000-0005-0000-0000-0000AA0F0000}"/>
    <cellStyle name="20% - Accent3 2 10 2 5" xfId="22741" xr:uid="{00000000-0005-0000-0000-0000AB0F0000}"/>
    <cellStyle name="20% - Accent3 2 10 3" xfId="3576" xr:uid="{00000000-0005-0000-0000-0000AC0F0000}"/>
    <cellStyle name="20% - Accent3 2 10 3 2" xfId="4706" xr:uid="{00000000-0005-0000-0000-0000AD0F0000}"/>
    <cellStyle name="20% - Accent3 2 10 3 2 2" xfId="9170" xr:uid="{00000000-0005-0000-0000-0000AE0F0000}"/>
    <cellStyle name="20% - Accent3 2 10 3 2 2 2" xfId="19166" xr:uid="{00000000-0005-0000-0000-0000AF0F0000}"/>
    <cellStyle name="20% - Accent3 2 10 3 2 2 2 2" xfId="38566" xr:uid="{00000000-0005-0000-0000-0000B00F0000}"/>
    <cellStyle name="20% - Accent3 2 10 3 2 2 3" xfId="28868" xr:uid="{00000000-0005-0000-0000-0000B10F0000}"/>
    <cellStyle name="20% - Accent3 2 10 3 2 3" xfId="14711" xr:uid="{00000000-0005-0000-0000-0000B20F0000}"/>
    <cellStyle name="20% - Accent3 2 10 3 2 3 2" xfId="34111" xr:uid="{00000000-0005-0000-0000-0000B30F0000}"/>
    <cellStyle name="20% - Accent3 2 10 3 2 4" xfId="24413" xr:uid="{00000000-0005-0000-0000-0000B40F0000}"/>
    <cellStyle name="20% - Accent3 2 10 3 3" xfId="8055" xr:uid="{00000000-0005-0000-0000-0000B50F0000}"/>
    <cellStyle name="20% - Accent3 2 10 3 3 2" xfId="18051" xr:uid="{00000000-0005-0000-0000-0000B60F0000}"/>
    <cellStyle name="20% - Accent3 2 10 3 3 2 2" xfId="37451" xr:uid="{00000000-0005-0000-0000-0000B70F0000}"/>
    <cellStyle name="20% - Accent3 2 10 3 3 3" xfId="27753" xr:uid="{00000000-0005-0000-0000-0000B80F0000}"/>
    <cellStyle name="20% - Accent3 2 10 3 4" xfId="13596" xr:uid="{00000000-0005-0000-0000-0000B90F0000}"/>
    <cellStyle name="20% - Accent3 2 10 3 4 2" xfId="32996" xr:uid="{00000000-0005-0000-0000-0000BA0F0000}"/>
    <cellStyle name="20% - Accent3 2 10 3 5" xfId="23298" xr:uid="{00000000-0005-0000-0000-0000BB0F0000}"/>
    <cellStyle name="20% - Accent3 2 10 4" xfId="4149" xr:uid="{00000000-0005-0000-0000-0000BC0F0000}"/>
    <cellStyle name="20% - Accent3 2 10 4 2" xfId="8613" xr:uid="{00000000-0005-0000-0000-0000BD0F0000}"/>
    <cellStyle name="20% - Accent3 2 10 4 2 2" xfId="18609" xr:uid="{00000000-0005-0000-0000-0000BE0F0000}"/>
    <cellStyle name="20% - Accent3 2 10 4 2 2 2" xfId="38009" xr:uid="{00000000-0005-0000-0000-0000BF0F0000}"/>
    <cellStyle name="20% - Accent3 2 10 4 2 3" xfId="28311" xr:uid="{00000000-0005-0000-0000-0000C00F0000}"/>
    <cellStyle name="20% - Accent3 2 10 4 3" xfId="14154" xr:uid="{00000000-0005-0000-0000-0000C10F0000}"/>
    <cellStyle name="20% - Accent3 2 10 4 3 2" xfId="33554" xr:uid="{00000000-0005-0000-0000-0000C20F0000}"/>
    <cellStyle name="20% - Accent3 2 10 4 4" xfId="23856" xr:uid="{00000000-0005-0000-0000-0000C30F0000}"/>
    <cellStyle name="20% - Accent3 2 10 5" xfId="5819" xr:uid="{00000000-0005-0000-0000-0000C40F0000}"/>
    <cellStyle name="20% - Accent3 2 10 5 2" xfId="10283" xr:uid="{00000000-0005-0000-0000-0000C50F0000}"/>
    <cellStyle name="20% - Accent3 2 10 5 2 2" xfId="20279" xr:uid="{00000000-0005-0000-0000-0000C60F0000}"/>
    <cellStyle name="20% - Accent3 2 10 5 2 2 2" xfId="39679" xr:uid="{00000000-0005-0000-0000-0000C70F0000}"/>
    <cellStyle name="20% - Accent3 2 10 5 2 3" xfId="29981" xr:uid="{00000000-0005-0000-0000-0000C80F0000}"/>
    <cellStyle name="20% - Accent3 2 10 5 3" xfId="15824" xr:uid="{00000000-0005-0000-0000-0000C90F0000}"/>
    <cellStyle name="20% - Accent3 2 10 5 3 2" xfId="35224" xr:uid="{00000000-0005-0000-0000-0000CA0F0000}"/>
    <cellStyle name="20% - Accent3 2 10 5 4" xfId="25526" xr:uid="{00000000-0005-0000-0000-0000CB0F0000}"/>
    <cellStyle name="20% - Accent3 2 10 6" xfId="6385" xr:uid="{00000000-0005-0000-0000-0000CC0F0000}"/>
    <cellStyle name="20% - Accent3 2 10 6 2" xfId="10840" xr:uid="{00000000-0005-0000-0000-0000CD0F0000}"/>
    <cellStyle name="20% - Accent3 2 10 6 2 2" xfId="20836" xr:uid="{00000000-0005-0000-0000-0000CE0F0000}"/>
    <cellStyle name="20% - Accent3 2 10 6 2 2 2" xfId="40236" xr:uid="{00000000-0005-0000-0000-0000CF0F0000}"/>
    <cellStyle name="20% - Accent3 2 10 6 2 3" xfId="30538" xr:uid="{00000000-0005-0000-0000-0000D00F0000}"/>
    <cellStyle name="20% - Accent3 2 10 6 3" xfId="16381" xr:uid="{00000000-0005-0000-0000-0000D10F0000}"/>
    <cellStyle name="20% - Accent3 2 10 6 3 2" xfId="35781" xr:uid="{00000000-0005-0000-0000-0000D20F0000}"/>
    <cellStyle name="20% - Accent3 2 10 6 4" xfId="26083" xr:uid="{00000000-0005-0000-0000-0000D30F0000}"/>
    <cellStyle name="20% - Accent3 2 10 7" xfId="6942" xr:uid="{00000000-0005-0000-0000-0000D40F0000}"/>
    <cellStyle name="20% - Accent3 2 10 7 2" xfId="16938" xr:uid="{00000000-0005-0000-0000-0000D50F0000}"/>
    <cellStyle name="20% - Accent3 2 10 7 2 2" xfId="36338" xr:uid="{00000000-0005-0000-0000-0000D60F0000}"/>
    <cellStyle name="20% - Accent3 2 10 7 3" xfId="26640" xr:uid="{00000000-0005-0000-0000-0000D70F0000}"/>
    <cellStyle name="20% - Accent3 2 10 8" xfId="12482" xr:uid="{00000000-0005-0000-0000-0000D80F0000}"/>
    <cellStyle name="20% - Accent3 2 10 8 2" xfId="31883" xr:uid="{00000000-0005-0000-0000-0000D90F0000}"/>
    <cellStyle name="20% - Accent3 2 10 9" xfId="22185" xr:uid="{00000000-0005-0000-0000-0000DA0F0000}"/>
    <cellStyle name="20% - Accent3 2 11" xfId="2577" xr:uid="{00000000-0005-0000-0000-0000DB0F0000}"/>
    <cellStyle name="20% - Accent3 2 12" xfId="11308" xr:uid="{00000000-0005-0000-0000-0000DC0F0000}"/>
    <cellStyle name="20% - Accent3 2 12 2" xfId="21293" xr:uid="{00000000-0005-0000-0000-0000DD0F0000}"/>
    <cellStyle name="20% - Accent3 2 12 2 2" xfId="40693" xr:uid="{00000000-0005-0000-0000-0000DE0F0000}"/>
    <cellStyle name="20% - Accent3 2 12 3" xfId="30995" xr:uid="{00000000-0005-0000-0000-0000DF0F0000}"/>
    <cellStyle name="20% - Accent3 2 13" xfId="11337" xr:uid="{00000000-0005-0000-0000-0000E00F0000}"/>
    <cellStyle name="20% - Accent3 2 13 2" xfId="21319" xr:uid="{00000000-0005-0000-0000-0000E10F0000}"/>
    <cellStyle name="20% - Accent3 2 13 2 2" xfId="40719" xr:uid="{00000000-0005-0000-0000-0000E20F0000}"/>
    <cellStyle name="20% - Accent3 2 13 3" xfId="31021" xr:uid="{00000000-0005-0000-0000-0000E30F0000}"/>
    <cellStyle name="20% - Accent3 2 14" xfId="1255" xr:uid="{00000000-0005-0000-0000-0000E40F0000}"/>
    <cellStyle name="20% - Accent3 2 15" xfId="1133" xr:uid="{00000000-0005-0000-0000-0000E50F0000}"/>
    <cellStyle name="20% - Accent3 2 15 2" xfId="12352" xr:uid="{00000000-0005-0000-0000-0000E60F0000}"/>
    <cellStyle name="20% - Accent3 2 15 2 2" xfId="31754" xr:uid="{00000000-0005-0000-0000-0000E70F0000}"/>
    <cellStyle name="20% - Accent3 2 15 3" xfId="22056" xr:uid="{00000000-0005-0000-0000-0000E80F0000}"/>
    <cellStyle name="20% - Accent3 2 2" xfId="725" xr:uid="{00000000-0005-0000-0000-0000E90F0000}"/>
    <cellStyle name="20% - Accent3 2 2 2" xfId="1746" xr:uid="{00000000-0005-0000-0000-0000EA0F0000}"/>
    <cellStyle name="20% - Accent3 2 2 3" xfId="1254" xr:uid="{00000000-0005-0000-0000-0000EB0F0000}"/>
    <cellStyle name="20% - Accent3 2 2 4" xfId="11682" xr:uid="{00000000-0005-0000-0000-0000EC0F0000}"/>
    <cellStyle name="20% - Accent3 2 2 4 2" xfId="21402" xr:uid="{00000000-0005-0000-0000-0000ED0F0000}"/>
    <cellStyle name="20% - Accent3 2 2 4 2 2" xfId="40802" xr:uid="{00000000-0005-0000-0000-0000EE0F0000}"/>
    <cellStyle name="20% - Accent3 2 2 4 3" xfId="31104" xr:uid="{00000000-0005-0000-0000-0000EF0F0000}"/>
    <cellStyle name="20% - Accent3 2 2 5" xfId="1163" xr:uid="{00000000-0005-0000-0000-0000F00F0000}"/>
    <cellStyle name="20% - Accent3 2 2 6" xfId="12054" xr:uid="{00000000-0005-0000-0000-0000F10F0000}"/>
    <cellStyle name="20% - Accent3 2 2 6 2" xfId="31457" xr:uid="{00000000-0005-0000-0000-0000F20F0000}"/>
    <cellStyle name="20% - Accent3 2 2 7" xfId="21759" xr:uid="{00000000-0005-0000-0000-0000F30F0000}"/>
    <cellStyle name="20% - Accent3 2 3" xfId="1103" xr:uid="{00000000-0005-0000-0000-0000F40F0000}"/>
    <cellStyle name="20% - Accent3 2 3 2" xfId="1995" xr:uid="{00000000-0005-0000-0000-0000F50F0000}"/>
    <cellStyle name="20% - Accent3 2 3 2 10" xfId="6943" xr:uid="{00000000-0005-0000-0000-0000F60F0000}"/>
    <cellStyle name="20% - Accent3 2 3 2 10 2" xfId="16939" xr:uid="{00000000-0005-0000-0000-0000F70F0000}"/>
    <cellStyle name="20% - Accent3 2 3 2 10 2 2" xfId="36339" xr:uid="{00000000-0005-0000-0000-0000F80F0000}"/>
    <cellStyle name="20% - Accent3 2 3 2 10 3" xfId="26641" xr:uid="{00000000-0005-0000-0000-0000F90F0000}"/>
    <cellStyle name="20% - Accent3 2 3 2 11" xfId="12483" xr:uid="{00000000-0005-0000-0000-0000FA0F0000}"/>
    <cellStyle name="20% - Accent3 2 3 2 11 2" xfId="31884" xr:uid="{00000000-0005-0000-0000-0000FB0F0000}"/>
    <cellStyle name="20% - Accent3 2 3 2 12" xfId="22186" xr:uid="{00000000-0005-0000-0000-0000FC0F0000}"/>
    <cellStyle name="20% - Accent3 2 3 2 2" xfId="1996" xr:uid="{00000000-0005-0000-0000-0000FD0F0000}"/>
    <cellStyle name="20% - Accent3 2 3 2 2 10" xfId="12484" xr:uid="{00000000-0005-0000-0000-0000FE0F0000}"/>
    <cellStyle name="20% - Accent3 2 3 2 2 10 2" xfId="31885" xr:uid="{00000000-0005-0000-0000-0000FF0F0000}"/>
    <cellStyle name="20% - Accent3 2 3 2 2 11" xfId="22187" xr:uid="{00000000-0005-0000-0000-000000100000}"/>
    <cellStyle name="20% - Accent3 2 3 2 2 2" xfId="1997" xr:uid="{00000000-0005-0000-0000-000001100000}"/>
    <cellStyle name="20% - Accent3 2 3 2 2 2 2" xfId="2996" xr:uid="{00000000-0005-0000-0000-000002100000}"/>
    <cellStyle name="20% - Accent3 2 3 2 2 2 2 2" xfId="5265" xr:uid="{00000000-0005-0000-0000-000003100000}"/>
    <cellStyle name="20% - Accent3 2 3 2 2 2 2 2 2" xfId="9729" xr:uid="{00000000-0005-0000-0000-000004100000}"/>
    <cellStyle name="20% - Accent3 2 3 2 2 2 2 2 2 2" xfId="19725" xr:uid="{00000000-0005-0000-0000-000005100000}"/>
    <cellStyle name="20% - Accent3 2 3 2 2 2 2 2 2 2 2" xfId="39125" xr:uid="{00000000-0005-0000-0000-000006100000}"/>
    <cellStyle name="20% - Accent3 2 3 2 2 2 2 2 2 3" xfId="29427" xr:uid="{00000000-0005-0000-0000-000007100000}"/>
    <cellStyle name="20% - Accent3 2 3 2 2 2 2 2 3" xfId="15270" xr:uid="{00000000-0005-0000-0000-000008100000}"/>
    <cellStyle name="20% - Accent3 2 3 2 2 2 2 2 3 2" xfId="34670" xr:uid="{00000000-0005-0000-0000-000009100000}"/>
    <cellStyle name="20% - Accent3 2 3 2 2 2 2 2 4" xfId="24972" xr:uid="{00000000-0005-0000-0000-00000A100000}"/>
    <cellStyle name="20% - Accent3 2 3 2 2 2 2 3" xfId="7501" xr:uid="{00000000-0005-0000-0000-00000B100000}"/>
    <cellStyle name="20% - Accent3 2 3 2 2 2 2 3 2" xfId="17497" xr:uid="{00000000-0005-0000-0000-00000C100000}"/>
    <cellStyle name="20% - Accent3 2 3 2 2 2 2 3 2 2" xfId="36897" xr:uid="{00000000-0005-0000-0000-00000D100000}"/>
    <cellStyle name="20% - Accent3 2 3 2 2 2 2 3 3" xfId="27199" xr:uid="{00000000-0005-0000-0000-00000E100000}"/>
    <cellStyle name="20% - Accent3 2 3 2 2 2 2 4" xfId="13042" xr:uid="{00000000-0005-0000-0000-00000F100000}"/>
    <cellStyle name="20% - Accent3 2 3 2 2 2 2 4 2" xfId="32442" xr:uid="{00000000-0005-0000-0000-000010100000}"/>
    <cellStyle name="20% - Accent3 2 3 2 2 2 2 5" xfId="22744" xr:uid="{00000000-0005-0000-0000-000011100000}"/>
    <cellStyle name="20% - Accent3 2 3 2 2 2 3" xfId="3579" xr:uid="{00000000-0005-0000-0000-000012100000}"/>
    <cellStyle name="20% - Accent3 2 3 2 2 2 3 2" xfId="4709" xr:uid="{00000000-0005-0000-0000-000013100000}"/>
    <cellStyle name="20% - Accent3 2 3 2 2 2 3 2 2" xfId="9173" xr:uid="{00000000-0005-0000-0000-000014100000}"/>
    <cellStyle name="20% - Accent3 2 3 2 2 2 3 2 2 2" xfId="19169" xr:uid="{00000000-0005-0000-0000-000015100000}"/>
    <cellStyle name="20% - Accent3 2 3 2 2 2 3 2 2 2 2" xfId="38569" xr:uid="{00000000-0005-0000-0000-000016100000}"/>
    <cellStyle name="20% - Accent3 2 3 2 2 2 3 2 2 3" xfId="28871" xr:uid="{00000000-0005-0000-0000-000017100000}"/>
    <cellStyle name="20% - Accent3 2 3 2 2 2 3 2 3" xfId="14714" xr:uid="{00000000-0005-0000-0000-000018100000}"/>
    <cellStyle name="20% - Accent3 2 3 2 2 2 3 2 3 2" xfId="34114" xr:uid="{00000000-0005-0000-0000-000019100000}"/>
    <cellStyle name="20% - Accent3 2 3 2 2 2 3 2 4" xfId="24416" xr:uid="{00000000-0005-0000-0000-00001A100000}"/>
    <cellStyle name="20% - Accent3 2 3 2 2 2 3 3" xfId="8058" xr:uid="{00000000-0005-0000-0000-00001B100000}"/>
    <cellStyle name="20% - Accent3 2 3 2 2 2 3 3 2" xfId="18054" xr:uid="{00000000-0005-0000-0000-00001C100000}"/>
    <cellStyle name="20% - Accent3 2 3 2 2 2 3 3 2 2" xfId="37454" xr:uid="{00000000-0005-0000-0000-00001D100000}"/>
    <cellStyle name="20% - Accent3 2 3 2 2 2 3 3 3" xfId="27756" xr:uid="{00000000-0005-0000-0000-00001E100000}"/>
    <cellStyle name="20% - Accent3 2 3 2 2 2 3 4" xfId="13599" xr:uid="{00000000-0005-0000-0000-00001F100000}"/>
    <cellStyle name="20% - Accent3 2 3 2 2 2 3 4 2" xfId="32999" xr:uid="{00000000-0005-0000-0000-000020100000}"/>
    <cellStyle name="20% - Accent3 2 3 2 2 2 3 5" xfId="23301" xr:uid="{00000000-0005-0000-0000-000021100000}"/>
    <cellStyle name="20% - Accent3 2 3 2 2 2 4" xfId="4152" xr:uid="{00000000-0005-0000-0000-000022100000}"/>
    <cellStyle name="20% - Accent3 2 3 2 2 2 4 2" xfId="8616" xr:uid="{00000000-0005-0000-0000-000023100000}"/>
    <cellStyle name="20% - Accent3 2 3 2 2 2 4 2 2" xfId="18612" xr:uid="{00000000-0005-0000-0000-000024100000}"/>
    <cellStyle name="20% - Accent3 2 3 2 2 2 4 2 2 2" xfId="38012" xr:uid="{00000000-0005-0000-0000-000025100000}"/>
    <cellStyle name="20% - Accent3 2 3 2 2 2 4 2 3" xfId="28314" xr:uid="{00000000-0005-0000-0000-000026100000}"/>
    <cellStyle name="20% - Accent3 2 3 2 2 2 4 3" xfId="14157" xr:uid="{00000000-0005-0000-0000-000027100000}"/>
    <cellStyle name="20% - Accent3 2 3 2 2 2 4 3 2" xfId="33557" xr:uid="{00000000-0005-0000-0000-000028100000}"/>
    <cellStyle name="20% - Accent3 2 3 2 2 2 4 4" xfId="23859" xr:uid="{00000000-0005-0000-0000-000029100000}"/>
    <cellStyle name="20% - Accent3 2 3 2 2 2 5" xfId="5822" xr:uid="{00000000-0005-0000-0000-00002A100000}"/>
    <cellStyle name="20% - Accent3 2 3 2 2 2 5 2" xfId="10286" xr:uid="{00000000-0005-0000-0000-00002B100000}"/>
    <cellStyle name="20% - Accent3 2 3 2 2 2 5 2 2" xfId="20282" xr:uid="{00000000-0005-0000-0000-00002C100000}"/>
    <cellStyle name="20% - Accent3 2 3 2 2 2 5 2 2 2" xfId="39682" xr:uid="{00000000-0005-0000-0000-00002D100000}"/>
    <cellStyle name="20% - Accent3 2 3 2 2 2 5 2 3" xfId="29984" xr:uid="{00000000-0005-0000-0000-00002E100000}"/>
    <cellStyle name="20% - Accent3 2 3 2 2 2 5 3" xfId="15827" xr:uid="{00000000-0005-0000-0000-00002F100000}"/>
    <cellStyle name="20% - Accent3 2 3 2 2 2 5 3 2" xfId="35227" xr:uid="{00000000-0005-0000-0000-000030100000}"/>
    <cellStyle name="20% - Accent3 2 3 2 2 2 5 4" xfId="25529" xr:uid="{00000000-0005-0000-0000-000031100000}"/>
    <cellStyle name="20% - Accent3 2 3 2 2 2 6" xfId="6388" xr:uid="{00000000-0005-0000-0000-000032100000}"/>
    <cellStyle name="20% - Accent3 2 3 2 2 2 6 2" xfId="10843" xr:uid="{00000000-0005-0000-0000-000033100000}"/>
    <cellStyle name="20% - Accent3 2 3 2 2 2 6 2 2" xfId="20839" xr:uid="{00000000-0005-0000-0000-000034100000}"/>
    <cellStyle name="20% - Accent3 2 3 2 2 2 6 2 2 2" xfId="40239" xr:uid="{00000000-0005-0000-0000-000035100000}"/>
    <cellStyle name="20% - Accent3 2 3 2 2 2 6 2 3" xfId="30541" xr:uid="{00000000-0005-0000-0000-000036100000}"/>
    <cellStyle name="20% - Accent3 2 3 2 2 2 6 3" xfId="16384" xr:uid="{00000000-0005-0000-0000-000037100000}"/>
    <cellStyle name="20% - Accent3 2 3 2 2 2 6 3 2" xfId="35784" xr:uid="{00000000-0005-0000-0000-000038100000}"/>
    <cellStyle name="20% - Accent3 2 3 2 2 2 6 4" xfId="26086" xr:uid="{00000000-0005-0000-0000-000039100000}"/>
    <cellStyle name="20% - Accent3 2 3 2 2 2 7" xfId="6945" xr:uid="{00000000-0005-0000-0000-00003A100000}"/>
    <cellStyle name="20% - Accent3 2 3 2 2 2 7 2" xfId="16941" xr:uid="{00000000-0005-0000-0000-00003B100000}"/>
    <cellStyle name="20% - Accent3 2 3 2 2 2 7 2 2" xfId="36341" xr:uid="{00000000-0005-0000-0000-00003C100000}"/>
    <cellStyle name="20% - Accent3 2 3 2 2 2 7 3" xfId="26643" xr:uid="{00000000-0005-0000-0000-00003D100000}"/>
    <cellStyle name="20% - Accent3 2 3 2 2 2 8" xfId="12485" xr:uid="{00000000-0005-0000-0000-00003E100000}"/>
    <cellStyle name="20% - Accent3 2 3 2 2 2 8 2" xfId="31886" xr:uid="{00000000-0005-0000-0000-00003F100000}"/>
    <cellStyle name="20% - Accent3 2 3 2 2 2 9" xfId="22188" xr:uid="{00000000-0005-0000-0000-000040100000}"/>
    <cellStyle name="20% - Accent3 2 3 2 2 3" xfId="1998" xr:uid="{00000000-0005-0000-0000-000041100000}"/>
    <cellStyle name="20% - Accent3 2 3 2 2 3 2" xfId="2997" xr:uid="{00000000-0005-0000-0000-000042100000}"/>
    <cellStyle name="20% - Accent3 2 3 2 2 3 2 2" xfId="5266" xr:uid="{00000000-0005-0000-0000-000043100000}"/>
    <cellStyle name="20% - Accent3 2 3 2 2 3 2 2 2" xfId="9730" xr:uid="{00000000-0005-0000-0000-000044100000}"/>
    <cellStyle name="20% - Accent3 2 3 2 2 3 2 2 2 2" xfId="19726" xr:uid="{00000000-0005-0000-0000-000045100000}"/>
    <cellStyle name="20% - Accent3 2 3 2 2 3 2 2 2 2 2" xfId="39126" xr:uid="{00000000-0005-0000-0000-000046100000}"/>
    <cellStyle name="20% - Accent3 2 3 2 2 3 2 2 2 3" xfId="29428" xr:uid="{00000000-0005-0000-0000-000047100000}"/>
    <cellStyle name="20% - Accent3 2 3 2 2 3 2 2 3" xfId="15271" xr:uid="{00000000-0005-0000-0000-000048100000}"/>
    <cellStyle name="20% - Accent3 2 3 2 2 3 2 2 3 2" xfId="34671" xr:uid="{00000000-0005-0000-0000-000049100000}"/>
    <cellStyle name="20% - Accent3 2 3 2 2 3 2 2 4" xfId="24973" xr:uid="{00000000-0005-0000-0000-00004A100000}"/>
    <cellStyle name="20% - Accent3 2 3 2 2 3 2 3" xfId="7502" xr:uid="{00000000-0005-0000-0000-00004B100000}"/>
    <cellStyle name="20% - Accent3 2 3 2 2 3 2 3 2" xfId="17498" xr:uid="{00000000-0005-0000-0000-00004C100000}"/>
    <cellStyle name="20% - Accent3 2 3 2 2 3 2 3 2 2" xfId="36898" xr:uid="{00000000-0005-0000-0000-00004D100000}"/>
    <cellStyle name="20% - Accent3 2 3 2 2 3 2 3 3" xfId="27200" xr:uid="{00000000-0005-0000-0000-00004E100000}"/>
    <cellStyle name="20% - Accent3 2 3 2 2 3 2 4" xfId="13043" xr:uid="{00000000-0005-0000-0000-00004F100000}"/>
    <cellStyle name="20% - Accent3 2 3 2 2 3 2 4 2" xfId="32443" xr:uid="{00000000-0005-0000-0000-000050100000}"/>
    <cellStyle name="20% - Accent3 2 3 2 2 3 2 5" xfId="22745" xr:uid="{00000000-0005-0000-0000-000051100000}"/>
    <cellStyle name="20% - Accent3 2 3 2 2 3 3" xfId="3580" xr:uid="{00000000-0005-0000-0000-000052100000}"/>
    <cellStyle name="20% - Accent3 2 3 2 2 3 3 2" xfId="4710" xr:uid="{00000000-0005-0000-0000-000053100000}"/>
    <cellStyle name="20% - Accent3 2 3 2 2 3 3 2 2" xfId="9174" xr:uid="{00000000-0005-0000-0000-000054100000}"/>
    <cellStyle name="20% - Accent3 2 3 2 2 3 3 2 2 2" xfId="19170" xr:uid="{00000000-0005-0000-0000-000055100000}"/>
    <cellStyle name="20% - Accent3 2 3 2 2 3 3 2 2 2 2" xfId="38570" xr:uid="{00000000-0005-0000-0000-000056100000}"/>
    <cellStyle name="20% - Accent3 2 3 2 2 3 3 2 2 3" xfId="28872" xr:uid="{00000000-0005-0000-0000-000057100000}"/>
    <cellStyle name="20% - Accent3 2 3 2 2 3 3 2 3" xfId="14715" xr:uid="{00000000-0005-0000-0000-000058100000}"/>
    <cellStyle name="20% - Accent3 2 3 2 2 3 3 2 3 2" xfId="34115" xr:uid="{00000000-0005-0000-0000-000059100000}"/>
    <cellStyle name="20% - Accent3 2 3 2 2 3 3 2 4" xfId="24417" xr:uid="{00000000-0005-0000-0000-00005A100000}"/>
    <cellStyle name="20% - Accent3 2 3 2 2 3 3 3" xfId="8059" xr:uid="{00000000-0005-0000-0000-00005B100000}"/>
    <cellStyle name="20% - Accent3 2 3 2 2 3 3 3 2" xfId="18055" xr:uid="{00000000-0005-0000-0000-00005C100000}"/>
    <cellStyle name="20% - Accent3 2 3 2 2 3 3 3 2 2" xfId="37455" xr:uid="{00000000-0005-0000-0000-00005D100000}"/>
    <cellStyle name="20% - Accent3 2 3 2 2 3 3 3 3" xfId="27757" xr:uid="{00000000-0005-0000-0000-00005E100000}"/>
    <cellStyle name="20% - Accent3 2 3 2 2 3 3 4" xfId="13600" xr:uid="{00000000-0005-0000-0000-00005F100000}"/>
    <cellStyle name="20% - Accent3 2 3 2 2 3 3 4 2" xfId="33000" xr:uid="{00000000-0005-0000-0000-000060100000}"/>
    <cellStyle name="20% - Accent3 2 3 2 2 3 3 5" xfId="23302" xr:uid="{00000000-0005-0000-0000-000061100000}"/>
    <cellStyle name="20% - Accent3 2 3 2 2 3 4" xfId="4153" xr:uid="{00000000-0005-0000-0000-000062100000}"/>
    <cellStyle name="20% - Accent3 2 3 2 2 3 4 2" xfId="8617" xr:uid="{00000000-0005-0000-0000-000063100000}"/>
    <cellStyle name="20% - Accent3 2 3 2 2 3 4 2 2" xfId="18613" xr:uid="{00000000-0005-0000-0000-000064100000}"/>
    <cellStyle name="20% - Accent3 2 3 2 2 3 4 2 2 2" xfId="38013" xr:uid="{00000000-0005-0000-0000-000065100000}"/>
    <cellStyle name="20% - Accent3 2 3 2 2 3 4 2 3" xfId="28315" xr:uid="{00000000-0005-0000-0000-000066100000}"/>
    <cellStyle name="20% - Accent3 2 3 2 2 3 4 3" xfId="14158" xr:uid="{00000000-0005-0000-0000-000067100000}"/>
    <cellStyle name="20% - Accent3 2 3 2 2 3 4 3 2" xfId="33558" xr:uid="{00000000-0005-0000-0000-000068100000}"/>
    <cellStyle name="20% - Accent3 2 3 2 2 3 4 4" xfId="23860" xr:uid="{00000000-0005-0000-0000-000069100000}"/>
    <cellStyle name="20% - Accent3 2 3 2 2 3 5" xfId="5823" xr:uid="{00000000-0005-0000-0000-00006A100000}"/>
    <cellStyle name="20% - Accent3 2 3 2 2 3 5 2" xfId="10287" xr:uid="{00000000-0005-0000-0000-00006B100000}"/>
    <cellStyle name="20% - Accent3 2 3 2 2 3 5 2 2" xfId="20283" xr:uid="{00000000-0005-0000-0000-00006C100000}"/>
    <cellStyle name="20% - Accent3 2 3 2 2 3 5 2 2 2" xfId="39683" xr:uid="{00000000-0005-0000-0000-00006D100000}"/>
    <cellStyle name="20% - Accent3 2 3 2 2 3 5 2 3" xfId="29985" xr:uid="{00000000-0005-0000-0000-00006E100000}"/>
    <cellStyle name="20% - Accent3 2 3 2 2 3 5 3" xfId="15828" xr:uid="{00000000-0005-0000-0000-00006F100000}"/>
    <cellStyle name="20% - Accent3 2 3 2 2 3 5 3 2" xfId="35228" xr:uid="{00000000-0005-0000-0000-000070100000}"/>
    <cellStyle name="20% - Accent3 2 3 2 2 3 5 4" xfId="25530" xr:uid="{00000000-0005-0000-0000-000071100000}"/>
    <cellStyle name="20% - Accent3 2 3 2 2 3 6" xfId="6389" xr:uid="{00000000-0005-0000-0000-000072100000}"/>
    <cellStyle name="20% - Accent3 2 3 2 2 3 6 2" xfId="10844" xr:uid="{00000000-0005-0000-0000-000073100000}"/>
    <cellStyle name="20% - Accent3 2 3 2 2 3 6 2 2" xfId="20840" xr:uid="{00000000-0005-0000-0000-000074100000}"/>
    <cellStyle name="20% - Accent3 2 3 2 2 3 6 2 2 2" xfId="40240" xr:uid="{00000000-0005-0000-0000-000075100000}"/>
    <cellStyle name="20% - Accent3 2 3 2 2 3 6 2 3" xfId="30542" xr:uid="{00000000-0005-0000-0000-000076100000}"/>
    <cellStyle name="20% - Accent3 2 3 2 2 3 6 3" xfId="16385" xr:uid="{00000000-0005-0000-0000-000077100000}"/>
    <cellStyle name="20% - Accent3 2 3 2 2 3 6 3 2" xfId="35785" xr:uid="{00000000-0005-0000-0000-000078100000}"/>
    <cellStyle name="20% - Accent3 2 3 2 2 3 6 4" xfId="26087" xr:uid="{00000000-0005-0000-0000-000079100000}"/>
    <cellStyle name="20% - Accent3 2 3 2 2 3 7" xfId="6946" xr:uid="{00000000-0005-0000-0000-00007A100000}"/>
    <cellStyle name="20% - Accent3 2 3 2 2 3 7 2" xfId="16942" xr:uid="{00000000-0005-0000-0000-00007B100000}"/>
    <cellStyle name="20% - Accent3 2 3 2 2 3 7 2 2" xfId="36342" xr:uid="{00000000-0005-0000-0000-00007C100000}"/>
    <cellStyle name="20% - Accent3 2 3 2 2 3 7 3" xfId="26644" xr:uid="{00000000-0005-0000-0000-00007D100000}"/>
    <cellStyle name="20% - Accent3 2 3 2 2 3 8" xfId="12486" xr:uid="{00000000-0005-0000-0000-00007E100000}"/>
    <cellStyle name="20% - Accent3 2 3 2 2 3 8 2" xfId="31887" xr:uid="{00000000-0005-0000-0000-00007F100000}"/>
    <cellStyle name="20% - Accent3 2 3 2 2 3 9" xfId="22189" xr:uid="{00000000-0005-0000-0000-000080100000}"/>
    <cellStyle name="20% - Accent3 2 3 2 2 4" xfId="2995" xr:uid="{00000000-0005-0000-0000-000081100000}"/>
    <cellStyle name="20% - Accent3 2 3 2 2 4 2" xfId="5264" xr:uid="{00000000-0005-0000-0000-000082100000}"/>
    <cellStyle name="20% - Accent3 2 3 2 2 4 2 2" xfId="9728" xr:uid="{00000000-0005-0000-0000-000083100000}"/>
    <cellStyle name="20% - Accent3 2 3 2 2 4 2 2 2" xfId="19724" xr:uid="{00000000-0005-0000-0000-000084100000}"/>
    <cellStyle name="20% - Accent3 2 3 2 2 4 2 2 2 2" xfId="39124" xr:uid="{00000000-0005-0000-0000-000085100000}"/>
    <cellStyle name="20% - Accent3 2 3 2 2 4 2 2 3" xfId="29426" xr:uid="{00000000-0005-0000-0000-000086100000}"/>
    <cellStyle name="20% - Accent3 2 3 2 2 4 2 3" xfId="15269" xr:uid="{00000000-0005-0000-0000-000087100000}"/>
    <cellStyle name="20% - Accent3 2 3 2 2 4 2 3 2" xfId="34669" xr:uid="{00000000-0005-0000-0000-000088100000}"/>
    <cellStyle name="20% - Accent3 2 3 2 2 4 2 4" xfId="24971" xr:uid="{00000000-0005-0000-0000-000089100000}"/>
    <cellStyle name="20% - Accent3 2 3 2 2 4 3" xfId="7500" xr:uid="{00000000-0005-0000-0000-00008A100000}"/>
    <cellStyle name="20% - Accent3 2 3 2 2 4 3 2" xfId="17496" xr:uid="{00000000-0005-0000-0000-00008B100000}"/>
    <cellStyle name="20% - Accent3 2 3 2 2 4 3 2 2" xfId="36896" xr:uid="{00000000-0005-0000-0000-00008C100000}"/>
    <cellStyle name="20% - Accent3 2 3 2 2 4 3 3" xfId="27198" xr:uid="{00000000-0005-0000-0000-00008D100000}"/>
    <cellStyle name="20% - Accent3 2 3 2 2 4 4" xfId="13041" xr:uid="{00000000-0005-0000-0000-00008E100000}"/>
    <cellStyle name="20% - Accent3 2 3 2 2 4 4 2" xfId="32441" xr:uid="{00000000-0005-0000-0000-00008F100000}"/>
    <cellStyle name="20% - Accent3 2 3 2 2 4 5" xfId="22743" xr:uid="{00000000-0005-0000-0000-000090100000}"/>
    <cellStyle name="20% - Accent3 2 3 2 2 5" xfId="3578" xr:uid="{00000000-0005-0000-0000-000091100000}"/>
    <cellStyle name="20% - Accent3 2 3 2 2 5 2" xfId="4708" xr:uid="{00000000-0005-0000-0000-000092100000}"/>
    <cellStyle name="20% - Accent3 2 3 2 2 5 2 2" xfId="9172" xr:uid="{00000000-0005-0000-0000-000093100000}"/>
    <cellStyle name="20% - Accent3 2 3 2 2 5 2 2 2" xfId="19168" xr:uid="{00000000-0005-0000-0000-000094100000}"/>
    <cellStyle name="20% - Accent3 2 3 2 2 5 2 2 2 2" xfId="38568" xr:uid="{00000000-0005-0000-0000-000095100000}"/>
    <cellStyle name="20% - Accent3 2 3 2 2 5 2 2 3" xfId="28870" xr:uid="{00000000-0005-0000-0000-000096100000}"/>
    <cellStyle name="20% - Accent3 2 3 2 2 5 2 3" xfId="14713" xr:uid="{00000000-0005-0000-0000-000097100000}"/>
    <cellStyle name="20% - Accent3 2 3 2 2 5 2 3 2" xfId="34113" xr:uid="{00000000-0005-0000-0000-000098100000}"/>
    <cellStyle name="20% - Accent3 2 3 2 2 5 2 4" xfId="24415" xr:uid="{00000000-0005-0000-0000-000099100000}"/>
    <cellStyle name="20% - Accent3 2 3 2 2 5 3" xfId="8057" xr:uid="{00000000-0005-0000-0000-00009A100000}"/>
    <cellStyle name="20% - Accent3 2 3 2 2 5 3 2" xfId="18053" xr:uid="{00000000-0005-0000-0000-00009B100000}"/>
    <cellStyle name="20% - Accent3 2 3 2 2 5 3 2 2" xfId="37453" xr:uid="{00000000-0005-0000-0000-00009C100000}"/>
    <cellStyle name="20% - Accent3 2 3 2 2 5 3 3" xfId="27755" xr:uid="{00000000-0005-0000-0000-00009D100000}"/>
    <cellStyle name="20% - Accent3 2 3 2 2 5 4" xfId="13598" xr:uid="{00000000-0005-0000-0000-00009E100000}"/>
    <cellStyle name="20% - Accent3 2 3 2 2 5 4 2" xfId="32998" xr:uid="{00000000-0005-0000-0000-00009F100000}"/>
    <cellStyle name="20% - Accent3 2 3 2 2 5 5" xfId="23300" xr:uid="{00000000-0005-0000-0000-0000A0100000}"/>
    <cellStyle name="20% - Accent3 2 3 2 2 6" xfId="4151" xr:uid="{00000000-0005-0000-0000-0000A1100000}"/>
    <cellStyle name="20% - Accent3 2 3 2 2 6 2" xfId="8615" xr:uid="{00000000-0005-0000-0000-0000A2100000}"/>
    <cellStyle name="20% - Accent3 2 3 2 2 6 2 2" xfId="18611" xr:uid="{00000000-0005-0000-0000-0000A3100000}"/>
    <cellStyle name="20% - Accent3 2 3 2 2 6 2 2 2" xfId="38011" xr:uid="{00000000-0005-0000-0000-0000A4100000}"/>
    <cellStyle name="20% - Accent3 2 3 2 2 6 2 3" xfId="28313" xr:uid="{00000000-0005-0000-0000-0000A5100000}"/>
    <cellStyle name="20% - Accent3 2 3 2 2 6 3" xfId="14156" xr:uid="{00000000-0005-0000-0000-0000A6100000}"/>
    <cellStyle name="20% - Accent3 2 3 2 2 6 3 2" xfId="33556" xr:uid="{00000000-0005-0000-0000-0000A7100000}"/>
    <cellStyle name="20% - Accent3 2 3 2 2 6 4" xfId="23858" xr:uid="{00000000-0005-0000-0000-0000A8100000}"/>
    <cellStyle name="20% - Accent3 2 3 2 2 7" xfId="5821" xr:uid="{00000000-0005-0000-0000-0000A9100000}"/>
    <cellStyle name="20% - Accent3 2 3 2 2 7 2" xfId="10285" xr:uid="{00000000-0005-0000-0000-0000AA100000}"/>
    <cellStyle name="20% - Accent3 2 3 2 2 7 2 2" xfId="20281" xr:uid="{00000000-0005-0000-0000-0000AB100000}"/>
    <cellStyle name="20% - Accent3 2 3 2 2 7 2 2 2" xfId="39681" xr:uid="{00000000-0005-0000-0000-0000AC100000}"/>
    <cellStyle name="20% - Accent3 2 3 2 2 7 2 3" xfId="29983" xr:uid="{00000000-0005-0000-0000-0000AD100000}"/>
    <cellStyle name="20% - Accent3 2 3 2 2 7 3" xfId="15826" xr:uid="{00000000-0005-0000-0000-0000AE100000}"/>
    <cellStyle name="20% - Accent3 2 3 2 2 7 3 2" xfId="35226" xr:uid="{00000000-0005-0000-0000-0000AF100000}"/>
    <cellStyle name="20% - Accent3 2 3 2 2 7 4" xfId="25528" xr:uid="{00000000-0005-0000-0000-0000B0100000}"/>
    <cellStyle name="20% - Accent3 2 3 2 2 8" xfId="6387" xr:uid="{00000000-0005-0000-0000-0000B1100000}"/>
    <cellStyle name="20% - Accent3 2 3 2 2 8 2" xfId="10842" xr:uid="{00000000-0005-0000-0000-0000B2100000}"/>
    <cellStyle name="20% - Accent3 2 3 2 2 8 2 2" xfId="20838" xr:uid="{00000000-0005-0000-0000-0000B3100000}"/>
    <cellStyle name="20% - Accent3 2 3 2 2 8 2 2 2" xfId="40238" xr:uid="{00000000-0005-0000-0000-0000B4100000}"/>
    <cellStyle name="20% - Accent3 2 3 2 2 8 2 3" xfId="30540" xr:uid="{00000000-0005-0000-0000-0000B5100000}"/>
    <cellStyle name="20% - Accent3 2 3 2 2 8 3" xfId="16383" xr:uid="{00000000-0005-0000-0000-0000B6100000}"/>
    <cellStyle name="20% - Accent3 2 3 2 2 8 3 2" xfId="35783" xr:uid="{00000000-0005-0000-0000-0000B7100000}"/>
    <cellStyle name="20% - Accent3 2 3 2 2 8 4" xfId="26085" xr:uid="{00000000-0005-0000-0000-0000B8100000}"/>
    <cellStyle name="20% - Accent3 2 3 2 2 9" xfId="6944" xr:uid="{00000000-0005-0000-0000-0000B9100000}"/>
    <cellStyle name="20% - Accent3 2 3 2 2 9 2" xfId="16940" xr:uid="{00000000-0005-0000-0000-0000BA100000}"/>
    <cellStyle name="20% - Accent3 2 3 2 2 9 2 2" xfId="36340" xr:uid="{00000000-0005-0000-0000-0000BB100000}"/>
    <cellStyle name="20% - Accent3 2 3 2 2 9 3" xfId="26642" xr:uid="{00000000-0005-0000-0000-0000BC100000}"/>
    <cellStyle name="20% - Accent3 2 3 2 3" xfId="1999" xr:uid="{00000000-0005-0000-0000-0000BD100000}"/>
    <cellStyle name="20% - Accent3 2 3 2 3 2" xfId="2998" xr:uid="{00000000-0005-0000-0000-0000BE100000}"/>
    <cellStyle name="20% - Accent3 2 3 2 3 2 2" xfId="5267" xr:uid="{00000000-0005-0000-0000-0000BF100000}"/>
    <cellStyle name="20% - Accent3 2 3 2 3 2 2 2" xfId="9731" xr:uid="{00000000-0005-0000-0000-0000C0100000}"/>
    <cellStyle name="20% - Accent3 2 3 2 3 2 2 2 2" xfId="19727" xr:uid="{00000000-0005-0000-0000-0000C1100000}"/>
    <cellStyle name="20% - Accent3 2 3 2 3 2 2 2 2 2" xfId="39127" xr:uid="{00000000-0005-0000-0000-0000C2100000}"/>
    <cellStyle name="20% - Accent3 2 3 2 3 2 2 2 3" xfId="29429" xr:uid="{00000000-0005-0000-0000-0000C3100000}"/>
    <cellStyle name="20% - Accent3 2 3 2 3 2 2 3" xfId="15272" xr:uid="{00000000-0005-0000-0000-0000C4100000}"/>
    <cellStyle name="20% - Accent3 2 3 2 3 2 2 3 2" xfId="34672" xr:uid="{00000000-0005-0000-0000-0000C5100000}"/>
    <cellStyle name="20% - Accent3 2 3 2 3 2 2 4" xfId="24974" xr:uid="{00000000-0005-0000-0000-0000C6100000}"/>
    <cellStyle name="20% - Accent3 2 3 2 3 2 3" xfId="7503" xr:uid="{00000000-0005-0000-0000-0000C7100000}"/>
    <cellStyle name="20% - Accent3 2 3 2 3 2 3 2" xfId="17499" xr:uid="{00000000-0005-0000-0000-0000C8100000}"/>
    <cellStyle name="20% - Accent3 2 3 2 3 2 3 2 2" xfId="36899" xr:uid="{00000000-0005-0000-0000-0000C9100000}"/>
    <cellStyle name="20% - Accent3 2 3 2 3 2 3 3" xfId="27201" xr:uid="{00000000-0005-0000-0000-0000CA100000}"/>
    <cellStyle name="20% - Accent3 2 3 2 3 2 4" xfId="13044" xr:uid="{00000000-0005-0000-0000-0000CB100000}"/>
    <cellStyle name="20% - Accent3 2 3 2 3 2 4 2" xfId="32444" xr:uid="{00000000-0005-0000-0000-0000CC100000}"/>
    <cellStyle name="20% - Accent3 2 3 2 3 2 5" xfId="22746" xr:uid="{00000000-0005-0000-0000-0000CD100000}"/>
    <cellStyle name="20% - Accent3 2 3 2 3 3" xfId="3581" xr:uid="{00000000-0005-0000-0000-0000CE100000}"/>
    <cellStyle name="20% - Accent3 2 3 2 3 3 2" xfId="4711" xr:uid="{00000000-0005-0000-0000-0000CF100000}"/>
    <cellStyle name="20% - Accent3 2 3 2 3 3 2 2" xfId="9175" xr:uid="{00000000-0005-0000-0000-0000D0100000}"/>
    <cellStyle name="20% - Accent3 2 3 2 3 3 2 2 2" xfId="19171" xr:uid="{00000000-0005-0000-0000-0000D1100000}"/>
    <cellStyle name="20% - Accent3 2 3 2 3 3 2 2 2 2" xfId="38571" xr:uid="{00000000-0005-0000-0000-0000D2100000}"/>
    <cellStyle name="20% - Accent3 2 3 2 3 3 2 2 3" xfId="28873" xr:uid="{00000000-0005-0000-0000-0000D3100000}"/>
    <cellStyle name="20% - Accent3 2 3 2 3 3 2 3" xfId="14716" xr:uid="{00000000-0005-0000-0000-0000D4100000}"/>
    <cellStyle name="20% - Accent3 2 3 2 3 3 2 3 2" xfId="34116" xr:uid="{00000000-0005-0000-0000-0000D5100000}"/>
    <cellStyle name="20% - Accent3 2 3 2 3 3 2 4" xfId="24418" xr:uid="{00000000-0005-0000-0000-0000D6100000}"/>
    <cellStyle name="20% - Accent3 2 3 2 3 3 3" xfId="8060" xr:uid="{00000000-0005-0000-0000-0000D7100000}"/>
    <cellStyle name="20% - Accent3 2 3 2 3 3 3 2" xfId="18056" xr:uid="{00000000-0005-0000-0000-0000D8100000}"/>
    <cellStyle name="20% - Accent3 2 3 2 3 3 3 2 2" xfId="37456" xr:uid="{00000000-0005-0000-0000-0000D9100000}"/>
    <cellStyle name="20% - Accent3 2 3 2 3 3 3 3" xfId="27758" xr:uid="{00000000-0005-0000-0000-0000DA100000}"/>
    <cellStyle name="20% - Accent3 2 3 2 3 3 4" xfId="13601" xr:uid="{00000000-0005-0000-0000-0000DB100000}"/>
    <cellStyle name="20% - Accent3 2 3 2 3 3 4 2" xfId="33001" xr:uid="{00000000-0005-0000-0000-0000DC100000}"/>
    <cellStyle name="20% - Accent3 2 3 2 3 3 5" xfId="23303" xr:uid="{00000000-0005-0000-0000-0000DD100000}"/>
    <cellStyle name="20% - Accent3 2 3 2 3 4" xfId="4154" xr:uid="{00000000-0005-0000-0000-0000DE100000}"/>
    <cellStyle name="20% - Accent3 2 3 2 3 4 2" xfId="8618" xr:uid="{00000000-0005-0000-0000-0000DF100000}"/>
    <cellStyle name="20% - Accent3 2 3 2 3 4 2 2" xfId="18614" xr:uid="{00000000-0005-0000-0000-0000E0100000}"/>
    <cellStyle name="20% - Accent3 2 3 2 3 4 2 2 2" xfId="38014" xr:uid="{00000000-0005-0000-0000-0000E1100000}"/>
    <cellStyle name="20% - Accent3 2 3 2 3 4 2 3" xfId="28316" xr:uid="{00000000-0005-0000-0000-0000E2100000}"/>
    <cellStyle name="20% - Accent3 2 3 2 3 4 3" xfId="14159" xr:uid="{00000000-0005-0000-0000-0000E3100000}"/>
    <cellStyle name="20% - Accent3 2 3 2 3 4 3 2" xfId="33559" xr:uid="{00000000-0005-0000-0000-0000E4100000}"/>
    <cellStyle name="20% - Accent3 2 3 2 3 4 4" xfId="23861" xr:uid="{00000000-0005-0000-0000-0000E5100000}"/>
    <cellStyle name="20% - Accent3 2 3 2 3 5" xfId="5824" xr:uid="{00000000-0005-0000-0000-0000E6100000}"/>
    <cellStyle name="20% - Accent3 2 3 2 3 5 2" xfId="10288" xr:uid="{00000000-0005-0000-0000-0000E7100000}"/>
    <cellStyle name="20% - Accent3 2 3 2 3 5 2 2" xfId="20284" xr:uid="{00000000-0005-0000-0000-0000E8100000}"/>
    <cellStyle name="20% - Accent3 2 3 2 3 5 2 2 2" xfId="39684" xr:uid="{00000000-0005-0000-0000-0000E9100000}"/>
    <cellStyle name="20% - Accent3 2 3 2 3 5 2 3" xfId="29986" xr:uid="{00000000-0005-0000-0000-0000EA100000}"/>
    <cellStyle name="20% - Accent3 2 3 2 3 5 3" xfId="15829" xr:uid="{00000000-0005-0000-0000-0000EB100000}"/>
    <cellStyle name="20% - Accent3 2 3 2 3 5 3 2" xfId="35229" xr:uid="{00000000-0005-0000-0000-0000EC100000}"/>
    <cellStyle name="20% - Accent3 2 3 2 3 5 4" xfId="25531" xr:uid="{00000000-0005-0000-0000-0000ED100000}"/>
    <cellStyle name="20% - Accent3 2 3 2 3 6" xfId="6390" xr:uid="{00000000-0005-0000-0000-0000EE100000}"/>
    <cellStyle name="20% - Accent3 2 3 2 3 6 2" xfId="10845" xr:uid="{00000000-0005-0000-0000-0000EF100000}"/>
    <cellStyle name="20% - Accent3 2 3 2 3 6 2 2" xfId="20841" xr:uid="{00000000-0005-0000-0000-0000F0100000}"/>
    <cellStyle name="20% - Accent3 2 3 2 3 6 2 2 2" xfId="40241" xr:uid="{00000000-0005-0000-0000-0000F1100000}"/>
    <cellStyle name="20% - Accent3 2 3 2 3 6 2 3" xfId="30543" xr:uid="{00000000-0005-0000-0000-0000F2100000}"/>
    <cellStyle name="20% - Accent3 2 3 2 3 6 3" xfId="16386" xr:uid="{00000000-0005-0000-0000-0000F3100000}"/>
    <cellStyle name="20% - Accent3 2 3 2 3 6 3 2" xfId="35786" xr:uid="{00000000-0005-0000-0000-0000F4100000}"/>
    <cellStyle name="20% - Accent3 2 3 2 3 6 4" xfId="26088" xr:uid="{00000000-0005-0000-0000-0000F5100000}"/>
    <cellStyle name="20% - Accent3 2 3 2 3 7" xfId="6947" xr:uid="{00000000-0005-0000-0000-0000F6100000}"/>
    <cellStyle name="20% - Accent3 2 3 2 3 7 2" xfId="16943" xr:uid="{00000000-0005-0000-0000-0000F7100000}"/>
    <cellStyle name="20% - Accent3 2 3 2 3 7 2 2" xfId="36343" xr:uid="{00000000-0005-0000-0000-0000F8100000}"/>
    <cellStyle name="20% - Accent3 2 3 2 3 7 3" xfId="26645" xr:uid="{00000000-0005-0000-0000-0000F9100000}"/>
    <cellStyle name="20% - Accent3 2 3 2 3 8" xfId="12487" xr:uid="{00000000-0005-0000-0000-0000FA100000}"/>
    <cellStyle name="20% - Accent3 2 3 2 3 8 2" xfId="31888" xr:uid="{00000000-0005-0000-0000-0000FB100000}"/>
    <cellStyle name="20% - Accent3 2 3 2 3 9" xfId="22190" xr:uid="{00000000-0005-0000-0000-0000FC100000}"/>
    <cellStyle name="20% - Accent3 2 3 2 4" xfId="2000" xr:uid="{00000000-0005-0000-0000-0000FD100000}"/>
    <cellStyle name="20% - Accent3 2 3 2 4 2" xfId="2999" xr:uid="{00000000-0005-0000-0000-0000FE100000}"/>
    <cellStyle name="20% - Accent3 2 3 2 4 2 2" xfId="5268" xr:uid="{00000000-0005-0000-0000-0000FF100000}"/>
    <cellStyle name="20% - Accent3 2 3 2 4 2 2 2" xfId="9732" xr:uid="{00000000-0005-0000-0000-000000110000}"/>
    <cellStyle name="20% - Accent3 2 3 2 4 2 2 2 2" xfId="19728" xr:uid="{00000000-0005-0000-0000-000001110000}"/>
    <cellStyle name="20% - Accent3 2 3 2 4 2 2 2 2 2" xfId="39128" xr:uid="{00000000-0005-0000-0000-000002110000}"/>
    <cellStyle name="20% - Accent3 2 3 2 4 2 2 2 3" xfId="29430" xr:uid="{00000000-0005-0000-0000-000003110000}"/>
    <cellStyle name="20% - Accent3 2 3 2 4 2 2 3" xfId="15273" xr:uid="{00000000-0005-0000-0000-000004110000}"/>
    <cellStyle name="20% - Accent3 2 3 2 4 2 2 3 2" xfId="34673" xr:uid="{00000000-0005-0000-0000-000005110000}"/>
    <cellStyle name="20% - Accent3 2 3 2 4 2 2 4" xfId="24975" xr:uid="{00000000-0005-0000-0000-000006110000}"/>
    <cellStyle name="20% - Accent3 2 3 2 4 2 3" xfId="7504" xr:uid="{00000000-0005-0000-0000-000007110000}"/>
    <cellStyle name="20% - Accent3 2 3 2 4 2 3 2" xfId="17500" xr:uid="{00000000-0005-0000-0000-000008110000}"/>
    <cellStyle name="20% - Accent3 2 3 2 4 2 3 2 2" xfId="36900" xr:uid="{00000000-0005-0000-0000-000009110000}"/>
    <cellStyle name="20% - Accent3 2 3 2 4 2 3 3" xfId="27202" xr:uid="{00000000-0005-0000-0000-00000A110000}"/>
    <cellStyle name="20% - Accent3 2 3 2 4 2 4" xfId="13045" xr:uid="{00000000-0005-0000-0000-00000B110000}"/>
    <cellStyle name="20% - Accent3 2 3 2 4 2 4 2" xfId="32445" xr:uid="{00000000-0005-0000-0000-00000C110000}"/>
    <cellStyle name="20% - Accent3 2 3 2 4 2 5" xfId="22747" xr:uid="{00000000-0005-0000-0000-00000D110000}"/>
    <cellStyle name="20% - Accent3 2 3 2 4 3" xfId="3582" xr:uid="{00000000-0005-0000-0000-00000E110000}"/>
    <cellStyle name="20% - Accent3 2 3 2 4 3 2" xfId="4712" xr:uid="{00000000-0005-0000-0000-00000F110000}"/>
    <cellStyle name="20% - Accent3 2 3 2 4 3 2 2" xfId="9176" xr:uid="{00000000-0005-0000-0000-000010110000}"/>
    <cellStyle name="20% - Accent3 2 3 2 4 3 2 2 2" xfId="19172" xr:uid="{00000000-0005-0000-0000-000011110000}"/>
    <cellStyle name="20% - Accent3 2 3 2 4 3 2 2 2 2" xfId="38572" xr:uid="{00000000-0005-0000-0000-000012110000}"/>
    <cellStyle name="20% - Accent3 2 3 2 4 3 2 2 3" xfId="28874" xr:uid="{00000000-0005-0000-0000-000013110000}"/>
    <cellStyle name="20% - Accent3 2 3 2 4 3 2 3" xfId="14717" xr:uid="{00000000-0005-0000-0000-000014110000}"/>
    <cellStyle name="20% - Accent3 2 3 2 4 3 2 3 2" xfId="34117" xr:uid="{00000000-0005-0000-0000-000015110000}"/>
    <cellStyle name="20% - Accent3 2 3 2 4 3 2 4" xfId="24419" xr:uid="{00000000-0005-0000-0000-000016110000}"/>
    <cellStyle name="20% - Accent3 2 3 2 4 3 3" xfId="8061" xr:uid="{00000000-0005-0000-0000-000017110000}"/>
    <cellStyle name="20% - Accent3 2 3 2 4 3 3 2" xfId="18057" xr:uid="{00000000-0005-0000-0000-000018110000}"/>
    <cellStyle name="20% - Accent3 2 3 2 4 3 3 2 2" xfId="37457" xr:uid="{00000000-0005-0000-0000-000019110000}"/>
    <cellStyle name="20% - Accent3 2 3 2 4 3 3 3" xfId="27759" xr:uid="{00000000-0005-0000-0000-00001A110000}"/>
    <cellStyle name="20% - Accent3 2 3 2 4 3 4" xfId="13602" xr:uid="{00000000-0005-0000-0000-00001B110000}"/>
    <cellStyle name="20% - Accent3 2 3 2 4 3 4 2" xfId="33002" xr:uid="{00000000-0005-0000-0000-00001C110000}"/>
    <cellStyle name="20% - Accent3 2 3 2 4 3 5" xfId="23304" xr:uid="{00000000-0005-0000-0000-00001D110000}"/>
    <cellStyle name="20% - Accent3 2 3 2 4 4" xfId="4155" xr:uid="{00000000-0005-0000-0000-00001E110000}"/>
    <cellStyle name="20% - Accent3 2 3 2 4 4 2" xfId="8619" xr:uid="{00000000-0005-0000-0000-00001F110000}"/>
    <cellStyle name="20% - Accent3 2 3 2 4 4 2 2" xfId="18615" xr:uid="{00000000-0005-0000-0000-000020110000}"/>
    <cellStyle name="20% - Accent3 2 3 2 4 4 2 2 2" xfId="38015" xr:uid="{00000000-0005-0000-0000-000021110000}"/>
    <cellStyle name="20% - Accent3 2 3 2 4 4 2 3" xfId="28317" xr:uid="{00000000-0005-0000-0000-000022110000}"/>
    <cellStyle name="20% - Accent3 2 3 2 4 4 3" xfId="14160" xr:uid="{00000000-0005-0000-0000-000023110000}"/>
    <cellStyle name="20% - Accent3 2 3 2 4 4 3 2" xfId="33560" xr:uid="{00000000-0005-0000-0000-000024110000}"/>
    <cellStyle name="20% - Accent3 2 3 2 4 4 4" xfId="23862" xr:uid="{00000000-0005-0000-0000-000025110000}"/>
    <cellStyle name="20% - Accent3 2 3 2 4 5" xfId="5825" xr:uid="{00000000-0005-0000-0000-000026110000}"/>
    <cellStyle name="20% - Accent3 2 3 2 4 5 2" xfId="10289" xr:uid="{00000000-0005-0000-0000-000027110000}"/>
    <cellStyle name="20% - Accent3 2 3 2 4 5 2 2" xfId="20285" xr:uid="{00000000-0005-0000-0000-000028110000}"/>
    <cellStyle name="20% - Accent3 2 3 2 4 5 2 2 2" xfId="39685" xr:uid="{00000000-0005-0000-0000-000029110000}"/>
    <cellStyle name="20% - Accent3 2 3 2 4 5 2 3" xfId="29987" xr:uid="{00000000-0005-0000-0000-00002A110000}"/>
    <cellStyle name="20% - Accent3 2 3 2 4 5 3" xfId="15830" xr:uid="{00000000-0005-0000-0000-00002B110000}"/>
    <cellStyle name="20% - Accent3 2 3 2 4 5 3 2" xfId="35230" xr:uid="{00000000-0005-0000-0000-00002C110000}"/>
    <cellStyle name="20% - Accent3 2 3 2 4 5 4" xfId="25532" xr:uid="{00000000-0005-0000-0000-00002D110000}"/>
    <cellStyle name="20% - Accent3 2 3 2 4 6" xfId="6391" xr:uid="{00000000-0005-0000-0000-00002E110000}"/>
    <cellStyle name="20% - Accent3 2 3 2 4 6 2" xfId="10846" xr:uid="{00000000-0005-0000-0000-00002F110000}"/>
    <cellStyle name="20% - Accent3 2 3 2 4 6 2 2" xfId="20842" xr:uid="{00000000-0005-0000-0000-000030110000}"/>
    <cellStyle name="20% - Accent3 2 3 2 4 6 2 2 2" xfId="40242" xr:uid="{00000000-0005-0000-0000-000031110000}"/>
    <cellStyle name="20% - Accent3 2 3 2 4 6 2 3" xfId="30544" xr:uid="{00000000-0005-0000-0000-000032110000}"/>
    <cellStyle name="20% - Accent3 2 3 2 4 6 3" xfId="16387" xr:uid="{00000000-0005-0000-0000-000033110000}"/>
    <cellStyle name="20% - Accent3 2 3 2 4 6 3 2" xfId="35787" xr:uid="{00000000-0005-0000-0000-000034110000}"/>
    <cellStyle name="20% - Accent3 2 3 2 4 6 4" xfId="26089" xr:uid="{00000000-0005-0000-0000-000035110000}"/>
    <cellStyle name="20% - Accent3 2 3 2 4 7" xfId="6948" xr:uid="{00000000-0005-0000-0000-000036110000}"/>
    <cellStyle name="20% - Accent3 2 3 2 4 7 2" xfId="16944" xr:uid="{00000000-0005-0000-0000-000037110000}"/>
    <cellStyle name="20% - Accent3 2 3 2 4 7 2 2" xfId="36344" xr:uid="{00000000-0005-0000-0000-000038110000}"/>
    <cellStyle name="20% - Accent3 2 3 2 4 7 3" xfId="26646" xr:uid="{00000000-0005-0000-0000-000039110000}"/>
    <cellStyle name="20% - Accent3 2 3 2 4 8" xfId="12488" xr:uid="{00000000-0005-0000-0000-00003A110000}"/>
    <cellStyle name="20% - Accent3 2 3 2 4 8 2" xfId="31889" xr:uid="{00000000-0005-0000-0000-00003B110000}"/>
    <cellStyle name="20% - Accent3 2 3 2 4 9" xfId="22191" xr:uid="{00000000-0005-0000-0000-00003C110000}"/>
    <cellStyle name="20% - Accent3 2 3 2 5" xfId="2994" xr:uid="{00000000-0005-0000-0000-00003D110000}"/>
    <cellStyle name="20% - Accent3 2 3 2 5 2" xfId="5263" xr:uid="{00000000-0005-0000-0000-00003E110000}"/>
    <cellStyle name="20% - Accent3 2 3 2 5 2 2" xfId="9727" xr:uid="{00000000-0005-0000-0000-00003F110000}"/>
    <cellStyle name="20% - Accent3 2 3 2 5 2 2 2" xfId="19723" xr:uid="{00000000-0005-0000-0000-000040110000}"/>
    <cellStyle name="20% - Accent3 2 3 2 5 2 2 2 2" xfId="39123" xr:uid="{00000000-0005-0000-0000-000041110000}"/>
    <cellStyle name="20% - Accent3 2 3 2 5 2 2 3" xfId="29425" xr:uid="{00000000-0005-0000-0000-000042110000}"/>
    <cellStyle name="20% - Accent3 2 3 2 5 2 3" xfId="15268" xr:uid="{00000000-0005-0000-0000-000043110000}"/>
    <cellStyle name="20% - Accent3 2 3 2 5 2 3 2" xfId="34668" xr:uid="{00000000-0005-0000-0000-000044110000}"/>
    <cellStyle name="20% - Accent3 2 3 2 5 2 4" xfId="24970" xr:uid="{00000000-0005-0000-0000-000045110000}"/>
    <cellStyle name="20% - Accent3 2 3 2 5 3" xfId="7499" xr:uid="{00000000-0005-0000-0000-000046110000}"/>
    <cellStyle name="20% - Accent3 2 3 2 5 3 2" xfId="17495" xr:uid="{00000000-0005-0000-0000-000047110000}"/>
    <cellStyle name="20% - Accent3 2 3 2 5 3 2 2" xfId="36895" xr:uid="{00000000-0005-0000-0000-000048110000}"/>
    <cellStyle name="20% - Accent3 2 3 2 5 3 3" xfId="27197" xr:uid="{00000000-0005-0000-0000-000049110000}"/>
    <cellStyle name="20% - Accent3 2 3 2 5 4" xfId="13040" xr:uid="{00000000-0005-0000-0000-00004A110000}"/>
    <cellStyle name="20% - Accent3 2 3 2 5 4 2" xfId="32440" xr:uid="{00000000-0005-0000-0000-00004B110000}"/>
    <cellStyle name="20% - Accent3 2 3 2 5 5" xfId="22742" xr:uid="{00000000-0005-0000-0000-00004C110000}"/>
    <cellStyle name="20% - Accent3 2 3 2 6" xfId="3577" xr:uid="{00000000-0005-0000-0000-00004D110000}"/>
    <cellStyle name="20% - Accent3 2 3 2 6 2" xfId="4707" xr:uid="{00000000-0005-0000-0000-00004E110000}"/>
    <cellStyle name="20% - Accent3 2 3 2 6 2 2" xfId="9171" xr:uid="{00000000-0005-0000-0000-00004F110000}"/>
    <cellStyle name="20% - Accent3 2 3 2 6 2 2 2" xfId="19167" xr:uid="{00000000-0005-0000-0000-000050110000}"/>
    <cellStyle name="20% - Accent3 2 3 2 6 2 2 2 2" xfId="38567" xr:uid="{00000000-0005-0000-0000-000051110000}"/>
    <cellStyle name="20% - Accent3 2 3 2 6 2 2 3" xfId="28869" xr:uid="{00000000-0005-0000-0000-000052110000}"/>
    <cellStyle name="20% - Accent3 2 3 2 6 2 3" xfId="14712" xr:uid="{00000000-0005-0000-0000-000053110000}"/>
    <cellStyle name="20% - Accent3 2 3 2 6 2 3 2" xfId="34112" xr:uid="{00000000-0005-0000-0000-000054110000}"/>
    <cellStyle name="20% - Accent3 2 3 2 6 2 4" xfId="24414" xr:uid="{00000000-0005-0000-0000-000055110000}"/>
    <cellStyle name="20% - Accent3 2 3 2 6 3" xfId="8056" xr:uid="{00000000-0005-0000-0000-000056110000}"/>
    <cellStyle name="20% - Accent3 2 3 2 6 3 2" xfId="18052" xr:uid="{00000000-0005-0000-0000-000057110000}"/>
    <cellStyle name="20% - Accent3 2 3 2 6 3 2 2" xfId="37452" xr:uid="{00000000-0005-0000-0000-000058110000}"/>
    <cellStyle name="20% - Accent3 2 3 2 6 3 3" xfId="27754" xr:uid="{00000000-0005-0000-0000-000059110000}"/>
    <cellStyle name="20% - Accent3 2 3 2 6 4" xfId="13597" xr:uid="{00000000-0005-0000-0000-00005A110000}"/>
    <cellStyle name="20% - Accent3 2 3 2 6 4 2" xfId="32997" xr:uid="{00000000-0005-0000-0000-00005B110000}"/>
    <cellStyle name="20% - Accent3 2 3 2 6 5" xfId="23299" xr:uid="{00000000-0005-0000-0000-00005C110000}"/>
    <cellStyle name="20% - Accent3 2 3 2 7" xfId="4150" xr:uid="{00000000-0005-0000-0000-00005D110000}"/>
    <cellStyle name="20% - Accent3 2 3 2 7 2" xfId="8614" xr:uid="{00000000-0005-0000-0000-00005E110000}"/>
    <cellStyle name="20% - Accent3 2 3 2 7 2 2" xfId="18610" xr:uid="{00000000-0005-0000-0000-00005F110000}"/>
    <cellStyle name="20% - Accent3 2 3 2 7 2 2 2" xfId="38010" xr:uid="{00000000-0005-0000-0000-000060110000}"/>
    <cellStyle name="20% - Accent3 2 3 2 7 2 3" xfId="28312" xr:uid="{00000000-0005-0000-0000-000061110000}"/>
    <cellStyle name="20% - Accent3 2 3 2 7 3" xfId="14155" xr:uid="{00000000-0005-0000-0000-000062110000}"/>
    <cellStyle name="20% - Accent3 2 3 2 7 3 2" xfId="33555" xr:uid="{00000000-0005-0000-0000-000063110000}"/>
    <cellStyle name="20% - Accent3 2 3 2 7 4" xfId="23857" xr:uid="{00000000-0005-0000-0000-000064110000}"/>
    <cellStyle name="20% - Accent3 2 3 2 8" xfId="5820" xr:uid="{00000000-0005-0000-0000-000065110000}"/>
    <cellStyle name="20% - Accent3 2 3 2 8 2" xfId="10284" xr:uid="{00000000-0005-0000-0000-000066110000}"/>
    <cellStyle name="20% - Accent3 2 3 2 8 2 2" xfId="20280" xr:uid="{00000000-0005-0000-0000-000067110000}"/>
    <cellStyle name="20% - Accent3 2 3 2 8 2 2 2" xfId="39680" xr:uid="{00000000-0005-0000-0000-000068110000}"/>
    <cellStyle name="20% - Accent3 2 3 2 8 2 3" xfId="29982" xr:uid="{00000000-0005-0000-0000-000069110000}"/>
    <cellStyle name="20% - Accent3 2 3 2 8 3" xfId="15825" xr:uid="{00000000-0005-0000-0000-00006A110000}"/>
    <cellStyle name="20% - Accent3 2 3 2 8 3 2" xfId="35225" xr:uid="{00000000-0005-0000-0000-00006B110000}"/>
    <cellStyle name="20% - Accent3 2 3 2 8 4" xfId="25527" xr:uid="{00000000-0005-0000-0000-00006C110000}"/>
    <cellStyle name="20% - Accent3 2 3 2 9" xfId="6386" xr:uid="{00000000-0005-0000-0000-00006D110000}"/>
    <cellStyle name="20% - Accent3 2 3 2 9 2" xfId="10841" xr:uid="{00000000-0005-0000-0000-00006E110000}"/>
    <cellStyle name="20% - Accent3 2 3 2 9 2 2" xfId="20837" xr:uid="{00000000-0005-0000-0000-00006F110000}"/>
    <cellStyle name="20% - Accent3 2 3 2 9 2 2 2" xfId="40237" xr:uid="{00000000-0005-0000-0000-000070110000}"/>
    <cellStyle name="20% - Accent3 2 3 2 9 2 3" xfId="30539" xr:uid="{00000000-0005-0000-0000-000071110000}"/>
    <cellStyle name="20% - Accent3 2 3 2 9 3" xfId="16382" xr:uid="{00000000-0005-0000-0000-000072110000}"/>
    <cellStyle name="20% - Accent3 2 3 2 9 3 2" xfId="35782" xr:uid="{00000000-0005-0000-0000-000073110000}"/>
    <cellStyle name="20% - Accent3 2 3 2 9 4" xfId="26084" xr:uid="{00000000-0005-0000-0000-000074110000}"/>
    <cellStyle name="20% - Accent3 2 3 3" xfId="2001" xr:uid="{00000000-0005-0000-0000-000075110000}"/>
    <cellStyle name="20% - Accent3 2 3 3 10" xfId="12489" xr:uid="{00000000-0005-0000-0000-000076110000}"/>
    <cellStyle name="20% - Accent3 2 3 3 10 2" xfId="31890" xr:uid="{00000000-0005-0000-0000-000077110000}"/>
    <cellStyle name="20% - Accent3 2 3 3 11" xfId="22192" xr:uid="{00000000-0005-0000-0000-000078110000}"/>
    <cellStyle name="20% - Accent3 2 3 3 2" xfId="2002" xr:uid="{00000000-0005-0000-0000-000079110000}"/>
    <cellStyle name="20% - Accent3 2 3 3 2 2" xfId="3001" xr:uid="{00000000-0005-0000-0000-00007A110000}"/>
    <cellStyle name="20% - Accent3 2 3 3 2 2 2" xfId="5270" xr:uid="{00000000-0005-0000-0000-00007B110000}"/>
    <cellStyle name="20% - Accent3 2 3 3 2 2 2 2" xfId="9734" xr:uid="{00000000-0005-0000-0000-00007C110000}"/>
    <cellStyle name="20% - Accent3 2 3 3 2 2 2 2 2" xfId="19730" xr:uid="{00000000-0005-0000-0000-00007D110000}"/>
    <cellStyle name="20% - Accent3 2 3 3 2 2 2 2 2 2" xfId="39130" xr:uid="{00000000-0005-0000-0000-00007E110000}"/>
    <cellStyle name="20% - Accent3 2 3 3 2 2 2 2 3" xfId="29432" xr:uid="{00000000-0005-0000-0000-00007F110000}"/>
    <cellStyle name="20% - Accent3 2 3 3 2 2 2 3" xfId="15275" xr:uid="{00000000-0005-0000-0000-000080110000}"/>
    <cellStyle name="20% - Accent3 2 3 3 2 2 2 3 2" xfId="34675" xr:uid="{00000000-0005-0000-0000-000081110000}"/>
    <cellStyle name="20% - Accent3 2 3 3 2 2 2 4" xfId="24977" xr:uid="{00000000-0005-0000-0000-000082110000}"/>
    <cellStyle name="20% - Accent3 2 3 3 2 2 3" xfId="7506" xr:uid="{00000000-0005-0000-0000-000083110000}"/>
    <cellStyle name="20% - Accent3 2 3 3 2 2 3 2" xfId="17502" xr:uid="{00000000-0005-0000-0000-000084110000}"/>
    <cellStyle name="20% - Accent3 2 3 3 2 2 3 2 2" xfId="36902" xr:uid="{00000000-0005-0000-0000-000085110000}"/>
    <cellStyle name="20% - Accent3 2 3 3 2 2 3 3" xfId="27204" xr:uid="{00000000-0005-0000-0000-000086110000}"/>
    <cellStyle name="20% - Accent3 2 3 3 2 2 4" xfId="13047" xr:uid="{00000000-0005-0000-0000-000087110000}"/>
    <cellStyle name="20% - Accent3 2 3 3 2 2 4 2" xfId="32447" xr:uid="{00000000-0005-0000-0000-000088110000}"/>
    <cellStyle name="20% - Accent3 2 3 3 2 2 5" xfId="22749" xr:uid="{00000000-0005-0000-0000-000089110000}"/>
    <cellStyle name="20% - Accent3 2 3 3 2 3" xfId="3584" xr:uid="{00000000-0005-0000-0000-00008A110000}"/>
    <cellStyle name="20% - Accent3 2 3 3 2 3 2" xfId="4714" xr:uid="{00000000-0005-0000-0000-00008B110000}"/>
    <cellStyle name="20% - Accent3 2 3 3 2 3 2 2" xfId="9178" xr:uid="{00000000-0005-0000-0000-00008C110000}"/>
    <cellStyle name="20% - Accent3 2 3 3 2 3 2 2 2" xfId="19174" xr:uid="{00000000-0005-0000-0000-00008D110000}"/>
    <cellStyle name="20% - Accent3 2 3 3 2 3 2 2 2 2" xfId="38574" xr:uid="{00000000-0005-0000-0000-00008E110000}"/>
    <cellStyle name="20% - Accent3 2 3 3 2 3 2 2 3" xfId="28876" xr:uid="{00000000-0005-0000-0000-00008F110000}"/>
    <cellStyle name="20% - Accent3 2 3 3 2 3 2 3" xfId="14719" xr:uid="{00000000-0005-0000-0000-000090110000}"/>
    <cellStyle name="20% - Accent3 2 3 3 2 3 2 3 2" xfId="34119" xr:uid="{00000000-0005-0000-0000-000091110000}"/>
    <cellStyle name="20% - Accent3 2 3 3 2 3 2 4" xfId="24421" xr:uid="{00000000-0005-0000-0000-000092110000}"/>
    <cellStyle name="20% - Accent3 2 3 3 2 3 3" xfId="8063" xr:uid="{00000000-0005-0000-0000-000093110000}"/>
    <cellStyle name="20% - Accent3 2 3 3 2 3 3 2" xfId="18059" xr:uid="{00000000-0005-0000-0000-000094110000}"/>
    <cellStyle name="20% - Accent3 2 3 3 2 3 3 2 2" xfId="37459" xr:uid="{00000000-0005-0000-0000-000095110000}"/>
    <cellStyle name="20% - Accent3 2 3 3 2 3 3 3" xfId="27761" xr:uid="{00000000-0005-0000-0000-000096110000}"/>
    <cellStyle name="20% - Accent3 2 3 3 2 3 4" xfId="13604" xr:uid="{00000000-0005-0000-0000-000097110000}"/>
    <cellStyle name="20% - Accent3 2 3 3 2 3 4 2" xfId="33004" xr:uid="{00000000-0005-0000-0000-000098110000}"/>
    <cellStyle name="20% - Accent3 2 3 3 2 3 5" xfId="23306" xr:uid="{00000000-0005-0000-0000-000099110000}"/>
    <cellStyle name="20% - Accent3 2 3 3 2 4" xfId="4157" xr:uid="{00000000-0005-0000-0000-00009A110000}"/>
    <cellStyle name="20% - Accent3 2 3 3 2 4 2" xfId="8621" xr:uid="{00000000-0005-0000-0000-00009B110000}"/>
    <cellStyle name="20% - Accent3 2 3 3 2 4 2 2" xfId="18617" xr:uid="{00000000-0005-0000-0000-00009C110000}"/>
    <cellStyle name="20% - Accent3 2 3 3 2 4 2 2 2" xfId="38017" xr:uid="{00000000-0005-0000-0000-00009D110000}"/>
    <cellStyle name="20% - Accent3 2 3 3 2 4 2 3" xfId="28319" xr:uid="{00000000-0005-0000-0000-00009E110000}"/>
    <cellStyle name="20% - Accent3 2 3 3 2 4 3" xfId="14162" xr:uid="{00000000-0005-0000-0000-00009F110000}"/>
    <cellStyle name="20% - Accent3 2 3 3 2 4 3 2" xfId="33562" xr:uid="{00000000-0005-0000-0000-0000A0110000}"/>
    <cellStyle name="20% - Accent3 2 3 3 2 4 4" xfId="23864" xr:uid="{00000000-0005-0000-0000-0000A1110000}"/>
    <cellStyle name="20% - Accent3 2 3 3 2 5" xfId="5827" xr:uid="{00000000-0005-0000-0000-0000A2110000}"/>
    <cellStyle name="20% - Accent3 2 3 3 2 5 2" xfId="10291" xr:uid="{00000000-0005-0000-0000-0000A3110000}"/>
    <cellStyle name="20% - Accent3 2 3 3 2 5 2 2" xfId="20287" xr:uid="{00000000-0005-0000-0000-0000A4110000}"/>
    <cellStyle name="20% - Accent3 2 3 3 2 5 2 2 2" xfId="39687" xr:uid="{00000000-0005-0000-0000-0000A5110000}"/>
    <cellStyle name="20% - Accent3 2 3 3 2 5 2 3" xfId="29989" xr:uid="{00000000-0005-0000-0000-0000A6110000}"/>
    <cellStyle name="20% - Accent3 2 3 3 2 5 3" xfId="15832" xr:uid="{00000000-0005-0000-0000-0000A7110000}"/>
    <cellStyle name="20% - Accent3 2 3 3 2 5 3 2" xfId="35232" xr:uid="{00000000-0005-0000-0000-0000A8110000}"/>
    <cellStyle name="20% - Accent3 2 3 3 2 5 4" xfId="25534" xr:uid="{00000000-0005-0000-0000-0000A9110000}"/>
    <cellStyle name="20% - Accent3 2 3 3 2 6" xfId="6393" xr:uid="{00000000-0005-0000-0000-0000AA110000}"/>
    <cellStyle name="20% - Accent3 2 3 3 2 6 2" xfId="10848" xr:uid="{00000000-0005-0000-0000-0000AB110000}"/>
    <cellStyle name="20% - Accent3 2 3 3 2 6 2 2" xfId="20844" xr:uid="{00000000-0005-0000-0000-0000AC110000}"/>
    <cellStyle name="20% - Accent3 2 3 3 2 6 2 2 2" xfId="40244" xr:uid="{00000000-0005-0000-0000-0000AD110000}"/>
    <cellStyle name="20% - Accent3 2 3 3 2 6 2 3" xfId="30546" xr:uid="{00000000-0005-0000-0000-0000AE110000}"/>
    <cellStyle name="20% - Accent3 2 3 3 2 6 3" xfId="16389" xr:uid="{00000000-0005-0000-0000-0000AF110000}"/>
    <cellStyle name="20% - Accent3 2 3 3 2 6 3 2" xfId="35789" xr:uid="{00000000-0005-0000-0000-0000B0110000}"/>
    <cellStyle name="20% - Accent3 2 3 3 2 6 4" xfId="26091" xr:uid="{00000000-0005-0000-0000-0000B1110000}"/>
    <cellStyle name="20% - Accent3 2 3 3 2 7" xfId="6950" xr:uid="{00000000-0005-0000-0000-0000B2110000}"/>
    <cellStyle name="20% - Accent3 2 3 3 2 7 2" xfId="16946" xr:uid="{00000000-0005-0000-0000-0000B3110000}"/>
    <cellStyle name="20% - Accent3 2 3 3 2 7 2 2" xfId="36346" xr:uid="{00000000-0005-0000-0000-0000B4110000}"/>
    <cellStyle name="20% - Accent3 2 3 3 2 7 3" xfId="26648" xr:uid="{00000000-0005-0000-0000-0000B5110000}"/>
    <cellStyle name="20% - Accent3 2 3 3 2 8" xfId="12490" xr:uid="{00000000-0005-0000-0000-0000B6110000}"/>
    <cellStyle name="20% - Accent3 2 3 3 2 8 2" xfId="31891" xr:uid="{00000000-0005-0000-0000-0000B7110000}"/>
    <cellStyle name="20% - Accent3 2 3 3 2 9" xfId="22193" xr:uid="{00000000-0005-0000-0000-0000B8110000}"/>
    <cellStyle name="20% - Accent3 2 3 3 3" xfId="2003" xr:uid="{00000000-0005-0000-0000-0000B9110000}"/>
    <cellStyle name="20% - Accent3 2 3 3 3 2" xfId="3002" xr:uid="{00000000-0005-0000-0000-0000BA110000}"/>
    <cellStyle name="20% - Accent3 2 3 3 3 2 2" xfId="5271" xr:uid="{00000000-0005-0000-0000-0000BB110000}"/>
    <cellStyle name="20% - Accent3 2 3 3 3 2 2 2" xfId="9735" xr:uid="{00000000-0005-0000-0000-0000BC110000}"/>
    <cellStyle name="20% - Accent3 2 3 3 3 2 2 2 2" xfId="19731" xr:uid="{00000000-0005-0000-0000-0000BD110000}"/>
    <cellStyle name="20% - Accent3 2 3 3 3 2 2 2 2 2" xfId="39131" xr:uid="{00000000-0005-0000-0000-0000BE110000}"/>
    <cellStyle name="20% - Accent3 2 3 3 3 2 2 2 3" xfId="29433" xr:uid="{00000000-0005-0000-0000-0000BF110000}"/>
    <cellStyle name="20% - Accent3 2 3 3 3 2 2 3" xfId="15276" xr:uid="{00000000-0005-0000-0000-0000C0110000}"/>
    <cellStyle name="20% - Accent3 2 3 3 3 2 2 3 2" xfId="34676" xr:uid="{00000000-0005-0000-0000-0000C1110000}"/>
    <cellStyle name="20% - Accent3 2 3 3 3 2 2 4" xfId="24978" xr:uid="{00000000-0005-0000-0000-0000C2110000}"/>
    <cellStyle name="20% - Accent3 2 3 3 3 2 3" xfId="7507" xr:uid="{00000000-0005-0000-0000-0000C3110000}"/>
    <cellStyle name="20% - Accent3 2 3 3 3 2 3 2" xfId="17503" xr:uid="{00000000-0005-0000-0000-0000C4110000}"/>
    <cellStyle name="20% - Accent3 2 3 3 3 2 3 2 2" xfId="36903" xr:uid="{00000000-0005-0000-0000-0000C5110000}"/>
    <cellStyle name="20% - Accent3 2 3 3 3 2 3 3" xfId="27205" xr:uid="{00000000-0005-0000-0000-0000C6110000}"/>
    <cellStyle name="20% - Accent3 2 3 3 3 2 4" xfId="13048" xr:uid="{00000000-0005-0000-0000-0000C7110000}"/>
    <cellStyle name="20% - Accent3 2 3 3 3 2 4 2" xfId="32448" xr:uid="{00000000-0005-0000-0000-0000C8110000}"/>
    <cellStyle name="20% - Accent3 2 3 3 3 2 5" xfId="22750" xr:uid="{00000000-0005-0000-0000-0000C9110000}"/>
    <cellStyle name="20% - Accent3 2 3 3 3 3" xfId="3585" xr:uid="{00000000-0005-0000-0000-0000CA110000}"/>
    <cellStyle name="20% - Accent3 2 3 3 3 3 2" xfId="4715" xr:uid="{00000000-0005-0000-0000-0000CB110000}"/>
    <cellStyle name="20% - Accent3 2 3 3 3 3 2 2" xfId="9179" xr:uid="{00000000-0005-0000-0000-0000CC110000}"/>
    <cellStyle name="20% - Accent3 2 3 3 3 3 2 2 2" xfId="19175" xr:uid="{00000000-0005-0000-0000-0000CD110000}"/>
    <cellStyle name="20% - Accent3 2 3 3 3 3 2 2 2 2" xfId="38575" xr:uid="{00000000-0005-0000-0000-0000CE110000}"/>
    <cellStyle name="20% - Accent3 2 3 3 3 3 2 2 3" xfId="28877" xr:uid="{00000000-0005-0000-0000-0000CF110000}"/>
    <cellStyle name="20% - Accent3 2 3 3 3 3 2 3" xfId="14720" xr:uid="{00000000-0005-0000-0000-0000D0110000}"/>
    <cellStyle name="20% - Accent3 2 3 3 3 3 2 3 2" xfId="34120" xr:uid="{00000000-0005-0000-0000-0000D1110000}"/>
    <cellStyle name="20% - Accent3 2 3 3 3 3 2 4" xfId="24422" xr:uid="{00000000-0005-0000-0000-0000D2110000}"/>
    <cellStyle name="20% - Accent3 2 3 3 3 3 3" xfId="8064" xr:uid="{00000000-0005-0000-0000-0000D3110000}"/>
    <cellStyle name="20% - Accent3 2 3 3 3 3 3 2" xfId="18060" xr:uid="{00000000-0005-0000-0000-0000D4110000}"/>
    <cellStyle name="20% - Accent3 2 3 3 3 3 3 2 2" xfId="37460" xr:uid="{00000000-0005-0000-0000-0000D5110000}"/>
    <cellStyle name="20% - Accent3 2 3 3 3 3 3 3" xfId="27762" xr:uid="{00000000-0005-0000-0000-0000D6110000}"/>
    <cellStyle name="20% - Accent3 2 3 3 3 3 4" xfId="13605" xr:uid="{00000000-0005-0000-0000-0000D7110000}"/>
    <cellStyle name="20% - Accent3 2 3 3 3 3 4 2" xfId="33005" xr:uid="{00000000-0005-0000-0000-0000D8110000}"/>
    <cellStyle name="20% - Accent3 2 3 3 3 3 5" xfId="23307" xr:uid="{00000000-0005-0000-0000-0000D9110000}"/>
    <cellStyle name="20% - Accent3 2 3 3 3 4" xfId="4158" xr:uid="{00000000-0005-0000-0000-0000DA110000}"/>
    <cellStyle name="20% - Accent3 2 3 3 3 4 2" xfId="8622" xr:uid="{00000000-0005-0000-0000-0000DB110000}"/>
    <cellStyle name="20% - Accent3 2 3 3 3 4 2 2" xfId="18618" xr:uid="{00000000-0005-0000-0000-0000DC110000}"/>
    <cellStyle name="20% - Accent3 2 3 3 3 4 2 2 2" xfId="38018" xr:uid="{00000000-0005-0000-0000-0000DD110000}"/>
    <cellStyle name="20% - Accent3 2 3 3 3 4 2 3" xfId="28320" xr:uid="{00000000-0005-0000-0000-0000DE110000}"/>
    <cellStyle name="20% - Accent3 2 3 3 3 4 3" xfId="14163" xr:uid="{00000000-0005-0000-0000-0000DF110000}"/>
    <cellStyle name="20% - Accent3 2 3 3 3 4 3 2" xfId="33563" xr:uid="{00000000-0005-0000-0000-0000E0110000}"/>
    <cellStyle name="20% - Accent3 2 3 3 3 4 4" xfId="23865" xr:uid="{00000000-0005-0000-0000-0000E1110000}"/>
    <cellStyle name="20% - Accent3 2 3 3 3 5" xfId="5828" xr:uid="{00000000-0005-0000-0000-0000E2110000}"/>
    <cellStyle name="20% - Accent3 2 3 3 3 5 2" xfId="10292" xr:uid="{00000000-0005-0000-0000-0000E3110000}"/>
    <cellStyle name="20% - Accent3 2 3 3 3 5 2 2" xfId="20288" xr:uid="{00000000-0005-0000-0000-0000E4110000}"/>
    <cellStyle name="20% - Accent3 2 3 3 3 5 2 2 2" xfId="39688" xr:uid="{00000000-0005-0000-0000-0000E5110000}"/>
    <cellStyle name="20% - Accent3 2 3 3 3 5 2 3" xfId="29990" xr:uid="{00000000-0005-0000-0000-0000E6110000}"/>
    <cellStyle name="20% - Accent3 2 3 3 3 5 3" xfId="15833" xr:uid="{00000000-0005-0000-0000-0000E7110000}"/>
    <cellStyle name="20% - Accent3 2 3 3 3 5 3 2" xfId="35233" xr:uid="{00000000-0005-0000-0000-0000E8110000}"/>
    <cellStyle name="20% - Accent3 2 3 3 3 5 4" xfId="25535" xr:uid="{00000000-0005-0000-0000-0000E9110000}"/>
    <cellStyle name="20% - Accent3 2 3 3 3 6" xfId="6394" xr:uid="{00000000-0005-0000-0000-0000EA110000}"/>
    <cellStyle name="20% - Accent3 2 3 3 3 6 2" xfId="10849" xr:uid="{00000000-0005-0000-0000-0000EB110000}"/>
    <cellStyle name="20% - Accent3 2 3 3 3 6 2 2" xfId="20845" xr:uid="{00000000-0005-0000-0000-0000EC110000}"/>
    <cellStyle name="20% - Accent3 2 3 3 3 6 2 2 2" xfId="40245" xr:uid="{00000000-0005-0000-0000-0000ED110000}"/>
    <cellStyle name="20% - Accent3 2 3 3 3 6 2 3" xfId="30547" xr:uid="{00000000-0005-0000-0000-0000EE110000}"/>
    <cellStyle name="20% - Accent3 2 3 3 3 6 3" xfId="16390" xr:uid="{00000000-0005-0000-0000-0000EF110000}"/>
    <cellStyle name="20% - Accent3 2 3 3 3 6 3 2" xfId="35790" xr:uid="{00000000-0005-0000-0000-0000F0110000}"/>
    <cellStyle name="20% - Accent3 2 3 3 3 6 4" xfId="26092" xr:uid="{00000000-0005-0000-0000-0000F1110000}"/>
    <cellStyle name="20% - Accent3 2 3 3 3 7" xfId="6951" xr:uid="{00000000-0005-0000-0000-0000F2110000}"/>
    <cellStyle name="20% - Accent3 2 3 3 3 7 2" xfId="16947" xr:uid="{00000000-0005-0000-0000-0000F3110000}"/>
    <cellStyle name="20% - Accent3 2 3 3 3 7 2 2" xfId="36347" xr:uid="{00000000-0005-0000-0000-0000F4110000}"/>
    <cellStyle name="20% - Accent3 2 3 3 3 7 3" xfId="26649" xr:uid="{00000000-0005-0000-0000-0000F5110000}"/>
    <cellStyle name="20% - Accent3 2 3 3 3 8" xfId="12491" xr:uid="{00000000-0005-0000-0000-0000F6110000}"/>
    <cellStyle name="20% - Accent3 2 3 3 3 8 2" xfId="31892" xr:uid="{00000000-0005-0000-0000-0000F7110000}"/>
    <cellStyle name="20% - Accent3 2 3 3 3 9" xfId="22194" xr:uid="{00000000-0005-0000-0000-0000F8110000}"/>
    <cellStyle name="20% - Accent3 2 3 3 4" xfId="3000" xr:uid="{00000000-0005-0000-0000-0000F9110000}"/>
    <cellStyle name="20% - Accent3 2 3 3 4 2" xfId="5269" xr:uid="{00000000-0005-0000-0000-0000FA110000}"/>
    <cellStyle name="20% - Accent3 2 3 3 4 2 2" xfId="9733" xr:uid="{00000000-0005-0000-0000-0000FB110000}"/>
    <cellStyle name="20% - Accent3 2 3 3 4 2 2 2" xfId="19729" xr:uid="{00000000-0005-0000-0000-0000FC110000}"/>
    <cellStyle name="20% - Accent3 2 3 3 4 2 2 2 2" xfId="39129" xr:uid="{00000000-0005-0000-0000-0000FD110000}"/>
    <cellStyle name="20% - Accent3 2 3 3 4 2 2 3" xfId="29431" xr:uid="{00000000-0005-0000-0000-0000FE110000}"/>
    <cellStyle name="20% - Accent3 2 3 3 4 2 3" xfId="15274" xr:uid="{00000000-0005-0000-0000-0000FF110000}"/>
    <cellStyle name="20% - Accent3 2 3 3 4 2 3 2" xfId="34674" xr:uid="{00000000-0005-0000-0000-000000120000}"/>
    <cellStyle name="20% - Accent3 2 3 3 4 2 4" xfId="24976" xr:uid="{00000000-0005-0000-0000-000001120000}"/>
    <cellStyle name="20% - Accent3 2 3 3 4 3" xfId="7505" xr:uid="{00000000-0005-0000-0000-000002120000}"/>
    <cellStyle name="20% - Accent3 2 3 3 4 3 2" xfId="17501" xr:uid="{00000000-0005-0000-0000-000003120000}"/>
    <cellStyle name="20% - Accent3 2 3 3 4 3 2 2" xfId="36901" xr:uid="{00000000-0005-0000-0000-000004120000}"/>
    <cellStyle name="20% - Accent3 2 3 3 4 3 3" xfId="27203" xr:uid="{00000000-0005-0000-0000-000005120000}"/>
    <cellStyle name="20% - Accent3 2 3 3 4 4" xfId="13046" xr:uid="{00000000-0005-0000-0000-000006120000}"/>
    <cellStyle name="20% - Accent3 2 3 3 4 4 2" xfId="32446" xr:uid="{00000000-0005-0000-0000-000007120000}"/>
    <cellStyle name="20% - Accent3 2 3 3 4 5" xfId="22748" xr:uid="{00000000-0005-0000-0000-000008120000}"/>
    <cellStyle name="20% - Accent3 2 3 3 5" xfId="3583" xr:uid="{00000000-0005-0000-0000-000009120000}"/>
    <cellStyle name="20% - Accent3 2 3 3 5 2" xfId="4713" xr:uid="{00000000-0005-0000-0000-00000A120000}"/>
    <cellStyle name="20% - Accent3 2 3 3 5 2 2" xfId="9177" xr:uid="{00000000-0005-0000-0000-00000B120000}"/>
    <cellStyle name="20% - Accent3 2 3 3 5 2 2 2" xfId="19173" xr:uid="{00000000-0005-0000-0000-00000C120000}"/>
    <cellStyle name="20% - Accent3 2 3 3 5 2 2 2 2" xfId="38573" xr:uid="{00000000-0005-0000-0000-00000D120000}"/>
    <cellStyle name="20% - Accent3 2 3 3 5 2 2 3" xfId="28875" xr:uid="{00000000-0005-0000-0000-00000E120000}"/>
    <cellStyle name="20% - Accent3 2 3 3 5 2 3" xfId="14718" xr:uid="{00000000-0005-0000-0000-00000F120000}"/>
    <cellStyle name="20% - Accent3 2 3 3 5 2 3 2" xfId="34118" xr:uid="{00000000-0005-0000-0000-000010120000}"/>
    <cellStyle name="20% - Accent3 2 3 3 5 2 4" xfId="24420" xr:uid="{00000000-0005-0000-0000-000011120000}"/>
    <cellStyle name="20% - Accent3 2 3 3 5 3" xfId="8062" xr:uid="{00000000-0005-0000-0000-000012120000}"/>
    <cellStyle name="20% - Accent3 2 3 3 5 3 2" xfId="18058" xr:uid="{00000000-0005-0000-0000-000013120000}"/>
    <cellStyle name="20% - Accent3 2 3 3 5 3 2 2" xfId="37458" xr:uid="{00000000-0005-0000-0000-000014120000}"/>
    <cellStyle name="20% - Accent3 2 3 3 5 3 3" xfId="27760" xr:uid="{00000000-0005-0000-0000-000015120000}"/>
    <cellStyle name="20% - Accent3 2 3 3 5 4" xfId="13603" xr:uid="{00000000-0005-0000-0000-000016120000}"/>
    <cellStyle name="20% - Accent3 2 3 3 5 4 2" xfId="33003" xr:uid="{00000000-0005-0000-0000-000017120000}"/>
    <cellStyle name="20% - Accent3 2 3 3 5 5" xfId="23305" xr:uid="{00000000-0005-0000-0000-000018120000}"/>
    <cellStyle name="20% - Accent3 2 3 3 6" xfId="4156" xr:uid="{00000000-0005-0000-0000-000019120000}"/>
    <cellStyle name="20% - Accent3 2 3 3 6 2" xfId="8620" xr:uid="{00000000-0005-0000-0000-00001A120000}"/>
    <cellStyle name="20% - Accent3 2 3 3 6 2 2" xfId="18616" xr:uid="{00000000-0005-0000-0000-00001B120000}"/>
    <cellStyle name="20% - Accent3 2 3 3 6 2 2 2" xfId="38016" xr:uid="{00000000-0005-0000-0000-00001C120000}"/>
    <cellStyle name="20% - Accent3 2 3 3 6 2 3" xfId="28318" xr:uid="{00000000-0005-0000-0000-00001D120000}"/>
    <cellStyle name="20% - Accent3 2 3 3 6 3" xfId="14161" xr:uid="{00000000-0005-0000-0000-00001E120000}"/>
    <cellStyle name="20% - Accent3 2 3 3 6 3 2" xfId="33561" xr:uid="{00000000-0005-0000-0000-00001F120000}"/>
    <cellStyle name="20% - Accent3 2 3 3 6 4" xfId="23863" xr:uid="{00000000-0005-0000-0000-000020120000}"/>
    <cellStyle name="20% - Accent3 2 3 3 7" xfId="5826" xr:uid="{00000000-0005-0000-0000-000021120000}"/>
    <cellStyle name="20% - Accent3 2 3 3 7 2" xfId="10290" xr:uid="{00000000-0005-0000-0000-000022120000}"/>
    <cellStyle name="20% - Accent3 2 3 3 7 2 2" xfId="20286" xr:uid="{00000000-0005-0000-0000-000023120000}"/>
    <cellStyle name="20% - Accent3 2 3 3 7 2 2 2" xfId="39686" xr:uid="{00000000-0005-0000-0000-000024120000}"/>
    <cellStyle name="20% - Accent3 2 3 3 7 2 3" xfId="29988" xr:uid="{00000000-0005-0000-0000-000025120000}"/>
    <cellStyle name="20% - Accent3 2 3 3 7 3" xfId="15831" xr:uid="{00000000-0005-0000-0000-000026120000}"/>
    <cellStyle name="20% - Accent3 2 3 3 7 3 2" xfId="35231" xr:uid="{00000000-0005-0000-0000-000027120000}"/>
    <cellStyle name="20% - Accent3 2 3 3 7 4" xfId="25533" xr:uid="{00000000-0005-0000-0000-000028120000}"/>
    <cellStyle name="20% - Accent3 2 3 3 8" xfId="6392" xr:uid="{00000000-0005-0000-0000-000029120000}"/>
    <cellStyle name="20% - Accent3 2 3 3 8 2" xfId="10847" xr:uid="{00000000-0005-0000-0000-00002A120000}"/>
    <cellStyle name="20% - Accent3 2 3 3 8 2 2" xfId="20843" xr:uid="{00000000-0005-0000-0000-00002B120000}"/>
    <cellStyle name="20% - Accent3 2 3 3 8 2 2 2" xfId="40243" xr:uid="{00000000-0005-0000-0000-00002C120000}"/>
    <cellStyle name="20% - Accent3 2 3 3 8 2 3" xfId="30545" xr:uid="{00000000-0005-0000-0000-00002D120000}"/>
    <cellStyle name="20% - Accent3 2 3 3 8 3" xfId="16388" xr:uid="{00000000-0005-0000-0000-00002E120000}"/>
    <cellStyle name="20% - Accent3 2 3 3 8 3 2" xfId="35788" xr:uid="{00000000-0005-0000-0000-00002F120000}"/>
    <cellStyle name="20% - Accent3 2 3 3 8 4" xfId="26090" xr:uid="{00000000-0005-0000-0000-000030120000}"/>
    <cellStyle name="20% - Accent3 2 3 3 9" xfId="6949" xr:uid="{00000000-0005-0000-0000-000031120000}"/>
    <cellStyle name="20% - Accent3 2 3 3 9 2" xfId="16945" xr:uid="{00000000-0005-0000-0000-000032120000}"/>
    <cellStyle name="20% - Accent3 2 3 3 9 2 2" xfId="36345" xr:uid="{00000000-0005-0000-0000-000033120000}"/>
    <cellStyle name="20% - Accent3 2 3 3 9 3" xfId="26647" xr:uid="{00000000-0005-0000-0000-000034120000}"/>
    <cellStyle name="20% - Accent3 2 3 4" xfId="2004" xr:uid="{00000000-0005-0000-0000-000035120000}"/>
    <cellStyle name="20% - Accent3 2 3 4 2" xfId="3003" xr:uid="{00000000-0005-0000-0000-000036120000}"/>
    <cellStyle name="20% - Accent3 2 3 4 2 2" xfId="5272" xr:uid="{00000000-0005-0000-0000-000037120000}"/>
    <cellStyle name="20% - Accent3 2 3 4 2 2 2" xfId="9736" xr:uid="{00000000-0005-0000-0000-000038120000}"/>
    <cellStyle name="20% - Accent3 2 3 4 2 2 2 2" xfId="19732" xr:uid="{00000000-0005-0000-0000-000039120000}"/>
    <cellStyle name="20% - Accent3 2 3 4 2 2 2 2 2" xfId="39132" xr:uid="{00000000-0005-0000-0000-00003A120000}"/>
    <cellStyle name="20% - Accent3 2 3 4 2 2 2 3" xfId="29434" xr:uid="{00000000-0005-0000-0000-00003B120000}"/>
    <cellStyle name="20% - Accent3 2 3 4 2 2 3" xfId="15277" xr:uid="{00000000-0005-0000-0000-00003C120000}"/>
    <cellStyle name="20% - Accent3 2 3 4 2 2 3 2" xfId="34677" xr:uid="{00000000-0005-0000-0000-00003D120000}"/>
    <cellStyle name="20% - Accent3 2 3 4 2 2 4" xfId="24979" xr:uid="{00000000-0005-0000-0000-00003E120000}"/>
    <cellStyle name="20% - Accent3 2 3 4 2 3" xfId="7508" xr:uid="{00000000-0005-0000-0000-00003F120000}"/>
    <cellStyle name="20% - Accent3 2 3 4 2 3 2" xfId="17504" xr:uid="{00000000-0005-0000-0000-000040120000}"/>
    <cellStyle name="20% - Accent3 2 3 4 2 3 2 2" xfId="36904" xr:uid="{00000000-0005-0000-0000-000041120000}"/>
    <cellStyle name="20% - Accent3 2 3 4 2 3 3" xfId="27206" xr:uid="{00000000-0005-0000-0000-000042120000}"/>
    <cellStyle name="20% - Accent3 2 3 4 2 4" xfId="13049" xr:uid="{00000000-0005-0000-0000-000043120000}"/>
    <cellStyle name="20% - Accent3 2 3 4 2 4 2" xfId="32449" xr:uid="{00000000-0005-0000-0000-000044120000}"/>
    <cellStyle name="20% - Accent3 2 3 4 2 5" xfId="22751" xr:uid="{00000000-0005-0000-0000-000045120000}"/>
    <cellStyle name="20% - Accent3 2 3 4 3" xfId="3586" xr:uid="{00000000-0005-0000-0000-000046120000}"/>
    <cellStyle name="20% - Accent3 2 3 4 3 2" xfId="4716" xr:uid="{00000000-0005-0000-0000-000047120000}"/>
    <cellStyle name="20% - Accent3 2 3 4 3 2 2" xfId="9180" xr:uid="{00000000-0005-0000-0000-000048120000}"/>
    <cellStyle name="20% - Accent3 2 3 4 3 2 2 2" xfId="19176" xr:uid="{00000000-0005-0000-0000-000049120000}"/>
    <cellStyle name="20% - Accent3 2 3 4 3 2 2 2 2" xfId="38576" xr:uid="{00000000-0005-0000-0000-00004A120000}"/>
    <cellStyle name="20% - Accent3 2 3 4 3 2 2 3" xfId="28878" xr:uid="{00000000-0005-0000-0000-00004B120000}"/>
    <cellStyle name="20% - Accent3 2 3 4 3 2 3" xfId="14721" xr:uid="{00000000-0005-0000-0000-00004C120000}"/>
    <cellStyle name="20% - Accent3 2 3 4 3 2 3 2" xfId="34121" xr:uid="{00000000-0005-0000-0000-00004D120000}"/>
    <cellStyle name="20% - Accent3 2 3 4 3 2 4" xfId="24423" xr:uid="{00000000-0005-0000-0000-00004E120000}"/>
    <cellStyle name="20% - Accent3 2 3 4 3 3" xfId="8065" xr:uid="{00000000-0005-0000-0000-00004F120000}"/>
    <cellStyle name="20% - Accent3 2 3 4 3 3 2" xfId="18061" xr:uid="{00000000-0005-0000-0000-000050120000}"/>
    <cellStyle name="20% - Accent3 2 3 4 3 3 2 2" xfId="37461" xr:uid="{00000000-0005-0000-0000-000051120000}"/>
    <cellStyle name="20% - Accent3 2 3 4 3 3 3" xfId="27763" xr:uid="{00000000-0005-0000-0000-000052120000}"/>
    <cellStyle name="20% - Accent3 2 3 4 3 4" xfId="13606" xr:uid="{00000000-0005-0000-0000-000053120000}"/>
    <cellStyle name="20% - Accent3 2 3 4 3 4 2" xfId="33006" xr:uid="{00000000-0005-0000-0000-000054120000}"/>
    <cellStyle name="20% - Accent3 2 3 4 3 5" xfId="23308" xr:uid="{00000000-0005-0000-0000-000055120000}"/>
    <cellStyle name="20% - Accent3 2 3 4 4" xfId="4159" xr:uid="{00000000-0005-0000-0000-000056120000}"/>
    <cellStyle name="20% - Accent3 2 3 4 4 2" xfId="8623" xr:uid="{00000000-0005-0000-0000-000057120000}"/>
    <cellStyle name="20% - Accent3 2 3 4 4 2 2" xfId="18619" xr:uid="{00000000-0005-0000-0000-000058120000}"/>
    <cellStyle name="20% - Accent3 2 3 4 4 2 2 2" xfId="38019" xr:uid="{00000000-0005-0000-0000-000059120000}"/>
    <cellStyle name="20% - Accent3 2 3 4 4 2 3" xfId="28321" xr:uid="{00000000-0005-0000-0000-00005A120000}"/>
    <cellStyle name="20% - Accent3 2 3 4 4 3" xfId="14164" xr:uid="{00000000-0005-0000-0000-00005B120000}"/>
    <cellStyle name="20% - Accent3 2 3 4 4 3 2" xfId="33564" xr:uid="{00000000-0005-0000-0000-00005C120000}"/>
    <cellStyle name="20% - Accent3 2 3 4 4 4" xfId="23866" xr:uid="{00000000-0005-0000-0000-00005D120000}"/>
    <cellStyle name="20% - Accent3 2 3 4 5" xfId="5829" xr:uid="{00000000-0005-0000-0000-00005E120000}"/>
    <cellStyle name="20% - Accent3 2 3 4 5 2" xfId="10293" xr:uid="{00000000-0005-0000-0000-00005F120000}"/>
    <cellStyle name="20% - Accent3 2 3 4 5 2 2" xfId="20289" xr:uid="{00000000-0005-0000-0000-000060120000}"/>
    <cellStyle name="20% - Accent3 2 3 4 5 2 2 2" xfId="39689" xr:uid="{00000000-0005-0000-0000-000061120000}"/>
    <cellStyle name="20% - Accent3 2 3 4 5 2 3" xfId="29991" xr:uid="{00000000-0005-0000-0000-000062120000}"/>
    <cellStyle name="20% - Accent3 2 3 4 5 3" xfId="15834" xr:uid="{00000000-0005-0000-0000-000063120000}"/>
    <cellStyle name="20% - Accent3 2 3 4 5 3 2" xfId="35234" xr:uid="{00000000-0005-0000-0000-000064120000}"/>
    <cellStyle name="20% - Accent3 2 3 4 5 4" xfId="25536" xr:uid="{00000000-0005-0000-0000-000065120000}"/>
    <cellStyle name="20% - Accent3 2 3 4 6" xfId="6395" xr:uid="{00000000-0005-0000-0000-000066120000}"/>
    <cellStyle name="20% - Accent3 2 3 4 6 2" xfId="10850" xr:uid="{00000000-0005-0000-0000-000067120000}"/>
    <cellStyle name="20% - Accent3 2 3 4 6 2 2" xfId="20846" xr:uid="{00000000-0005-0000-0000-000068120000}"/>
    <cellStyle name="20% - Accent3 2 3 4 6 2 2 2" xfId="40246" xr:uid="{00000000-0005-0000-0000-000069120000}"/>
    <cellStyle name="20% - Accent3 2 3 4 6 2 3" xfId="30548" xr:uid="{00000000-0005-0000-0000-00006A120000}"/>
    <cellStyle name="20% - Accent3 2 3 4 6 3" xfId="16391" xr:uid="{00000000-0005-0000-0000-00006B120000}"/>
    <cellStyle name="20% - Accent3 2 3 4 6 3 2" xfId="35791" xr:uid="{00000000-0005-0000-0000-00006C120000}"/>
    <cellStyle name="20% - Accent3 2 3 4 6 4" xfId="26093" xr:uid="{00000000-0005-0000-0000-00006D120000}"/>
    <cellStyle name="20% - Accent3 2 3 4 7" xfId="6952" xr:uid="{00000000-0005-0000-0000-00006E120000}"/>
    <cellStyle name="20% - Accent3 2 3 4 7 2" xfId="16948" xr:uid="{00000000-0005-0000-0000-00006F120000}"/>
    <cellStyle name="20% - Accent3 2 3 4 7 2 2" xfId="36348" xr:uid="{00000000-0005-0000-0000-000070120000}"/>
    <cellStyle name="20% - Accent3 2 3 4 7 3" xfId="26650" xr:uid="{00000000-0005-0000-0000-000071120000}"/>
    <cellStyle name="20% - Accent3 2 3 4 8" xfId="12492" xr:uid="{00000000-0005-0000-0000-000072120000}"/>
    <cellStyle name="20% - Accent3 2 3 4 8 2" xfId="31893" xr:uid="{00000000-0005-0000-0000-000073120000}"/>
    <cellStyle name="20% - Accent3 2 3 4 9" xfId="22195" xr:uid="{00000000-0005-0000-0000-000074120000}"/>
    <cellStyle name="20% - Accent3 2 3 5" xfId="2005" xr:uid="{00000000-0005-0000-0000-000075120000}"/>
    <cellStyle name="20% - Accent3 2 3 5 2" xfId="3004" xr:uid="{00000000-0005-0000-0000-000076120000}"/>
    <cellStyle name="20% - Accent3 2 3 5 2 2" xfId="5273" xr:uid="{00000000-0005-0000-0000-000077120000}"/>
    <cellStyle name="20% - Accent3 2 3 5 2 2 2" xfId="9737" xr:uid="{00000000-0005-0000-0000-000078120000}"/>
    <cellStyle name="20% - Accent3 2 3 5 2 2 2 2" xfId="19733" xr:uid="{00000000-0005-0000-0000-000079120000}"/>
    <cellStyle name="20% - Accent3 2 3 5 2 2 2 2 2" xfId="39133" xr:uid="{00000000-0005-0000-0000-00007A120000}"/>
    <cellStyle name="20% - Accent3 2 3 5 2 2 2 3" xfId="29435" xr:uid="{00000000-0005-0000-0000-00007B120000}"/>
    <cellStyle name="20% - Accent3 2 3 5 2 2 3" xfId="15278" xr:uid="{00000000-0005-0000-0000-00007C120000}"/>
    <cellStyle name="20% - Accent3 2 3 5 2 2 3 2" xfId="34678" xr:uid="{00000000-0005-0000-0000-00007D120000}"/>
    <cellStyle name="20% - Accent3 2 3 5 2 2 4" xfId="24980" xr:uid="{00000000-0005-0000-0000-00007E120000}"/>
    <cellStyle name="20% - Accent3 2 3 5 2 3" xfId="7509" xr:uid="{00000000-0005-0000-0000-00007F120000}"/>
    <cellStyle name="20% - Accent3 2 3 5 2 3 2" xfId="17505" xr:uid="{00000000-0005-0000-0000-000080120000}"/>
    <cellStyle name="20% - Accent3 2 3 5 2 3 2 2" xfId="36905" xr:uid="{00000000-0005-0000-0000-000081120000}"/>
    <cellStyle name="20% - Accent3 2 3 5 2 3 3" xfId="27207" xr:uid="{00000000-0005-0000-0000-000082120000}"/>
    <cellStyle name="20% - Accent3 2 3 5 2 4" xfId="13050" xr:uid="{00000000-0005-0000-0000-000083120000}"/>
    <cellStyle name="20% - Accent3 2 3 5 2 4 2" xfId="32450" xr:uid="{00000000-0005-0000-0000-000084120000}"/>
    <cellStyle name="20% - Accent3 2 3 5 2 5" xfId="22752" xr:uid="{00000000-0005-0000-0000-000085120000}"/>
    <cellStyle name="20% - Accent3 2 3 5 3" xfId="3587" xr:uid="{00000000-0005-0000-0000-000086120000}"/>
    <cellStyle name="20% - Accent3 2 3 5 3 2" xfId="4717" xr:uid="{00000000-0005-0000-0000-000087120000}"/>
    <cellStyle name="20% - Accent3 2 3 5 3 2 2" xfId="9181" xr:uid="{00000000-0005-0000-0000-000088120000}"/>
    <cellStyle name="20% - Accent3 2 3 5 3 2 2 2" xfId="19177" xr:uid="{00000000-0005-0000-0000-000089120000}"/>
    <cellStyle name="20% - Accent3 2 3 5 3 2 2 2 2" xfId="38577" xr:uid="{00000000-0005-0000-0000-00008A120000}"/>
    <cellStyle name="20% - Accent3 2 3 5 3 2 2 3" xfId="28879" xr:uid="{00000000-0005-0000-0000-00008B120000}"/>
    <cellStyle name="20% - Accent3 2 3 5 3 2 3" xfId="14722" xr:uid="{00000000-0005-0000-0000-00008C120000}"/>
    <cellStyle name="20% - Accent3 2 3 5 3 2 3 2" xfId="34122" xr:uid="{00000000-0005-0000-0000-00008D120000}"/>
    <cellStyle name="20% - Accent3 2 3 5 3 2 4" xfId="24424" xr:uid="{00000000-0005-0000-0000-00008E120000}"/>
    <cellStyle name="20% - Accent3 2 3 5 3 3" xfId="8066" xr:uid="{00000000-0005-0000-0000-00008F120000}"/>
    <cellStyle name="20% - Accent3 2 3 5 3 3 2" xfId="18062" xr:uid="{00000000-0005-0000-0000-000090120000}"/>
    <cellStyle name="20% - Accent3 2 3 5 3 3 2 2" xfId="37462" xr:uid="{00000000-0005-0000-0000-000091120000}"/>
    <cellStyle name="20% - Accent3 2 3 5 3 3 3" xfId="27764" xr:uid="{00000000-0005-0000-0000-000092120000}"/>
    <cellStyle name="20% - Accent3 2 3 5 3 4" xfId="13607" xr:uid="{00000000-0005-0000-0000-000093120000}"/>
    <cellStyle name="20% - Accent3 2 3 5 3 4 2" xfId="33007" xr:uid="{00000000-0005-0000-0000-000094120000}"/>
    <cellStyle name="20% - Accent3 2 3 5 3 5" xfId="23309" xr:uid="{00000000-0005-0000-0000-000095120000}"/>
    <cellStyle name="20% - Accent3 2 3 5 4" xfId="4160" xr:uid="{00000000-0005-0000-0000-000096120000}"/>
    <cellStyle name="20% - Accent3 2 3 5 4 2" xfId="8624" xr:uid="{00000000-0005-0000-0000-000097120000}"/>
    <cellStyle name="20% - Accent3 2 3 5 4 2 2" xfId="18620" xr:uid="{00000000-0005-0000-0000-000098120000}"/>
    <cellStyle name="20% - Accent3 2 3 5 4 2 2 2" xfId="38020" xr:uid="{00000000-0005-0000-0000-000099120000}"/>
    <cellStyle name="20% - Accent3 2 3 5 4 2 3" xfId="28322" xr:uid="{00000000-0005-0000-0000-00009A120000}"/>
    <cellStyle name="20% - Accent3 2 3 5 4 3" xfId="14165" xr:uid="{00000000-0005-0000-0000-00009B120000}"/>
    <cellStyle name="20% - Accent3 2 3 5 4 3 2" xfId="33565" xr:uid="{00000000-0005-0000-0000-00009C120000}"/>
    <cellStyle name="20% - Accent3 2 3 5 4 4" xfId="23867" xr:uid="{00000000-0005-0000-0000-00009D120000}"/>
    <cellStyle name="20% - Accent3 2 3 5 5" xfId="5830" xr:uid="{00000000-0005-0000-0000-00009E120000}"/>
    <cellStyle name="20% - Accent3 2 3 5 5 2" xfId="10294" xr:uid="{00000000-0005-0000-0000-00009F120000}"/>
    <cellStyle name="20% - Accent3 2 3 5 5 2 2" xfId="20290" xr:uid="{00000000-0005-0000-0000-0000A0120000}"/>
    <cellStyle name="20% - Accent3 2 3 5 5 2 2 2" xfId="39690" xr:uid="{00000000-0005-0000-0000-0000A1120000}"/>
    <cellStyle name="20% - Accent3 2 3 5 5 2 3" xfId="29992" xr:uid="{00000000-0005-0000-0000-0000A2120000}"/>
    <cellStyle name="20% - Accent3 2 3 5 5 3" xfId="15835" xr:uid="{00000000-0005-0000-0000-0000A3120000}"/>
    <cellStyle name="20% - Accent3 2 3 5 5 3 2" xfId="35235" xr:uid="{00000000-0005-0000-0000-0000A4120000}"/>
    <cellStyle name="20% - Accent3 2 3 5 5 4" xfId="25537" xr:uid="{00000000-0005-0000-0000-0000A5120000}"/>
    <cellStyle name="20% - Accent3 2 3 5 6" xfId="6396" xr:uid="{00000000-0005-0000-0000-0000A6120000}"/>
    <cellStyle name="20% - Accent3 2 3 5 6 2" xfId="10851" xr:uid="{00000000-0005-0000-0000-0000A7120000}"/>
    <cellStyle name="20% - Accent3 2 3 5 6 2 2" xfId="20847" xr:uid="{00000000-0005-0000-0000-0000A8120000}"/>
    <cellStyle name="20% - Accent3 2 3 5 6 2 2 2" xfId="40247" xr:uid="{00000000-0005-0000-0000-0000A9120000}"/>
    <cellStyle name="20% - Accent3 2 3 5 6 2 3" xfId="30549" xr:uid="{00000000-0005-0000-0000-0000AA120000}"/>
    <cellStyle name="20% - Accent3 2 3 5 6 3" xfId="16392" xr:uid="{00000000-0005-0000-0000-0000AB120000}"/>
    <cellStyle name="20% - Accent3 2 3 5 6 3 2" xfId="35792" xr:uid="{00000000-0005-0000-0000-0000AC120000}"/>
    <cellStyle name="20% - Accent3 2 3 5 6 4" xfId="26094" xr:uid="{00000000-0005-0000-0000-0000AD120000}"/>
    <cellStyle name="20% - Accent3 2 3 5 7" xfId="6953" xr:uid="{00000000-0005-0000-0000-0000AE120000}"/>
    <cellStyle name="20% - Accent3 2 3 5 7 2" xfId="16949" xr:uid="{00000000-0005-0000-0000-0000AF120000}"/>
    <cellStyle name="20% - Accent3 2 3 5 7 2 2" xfId="36349" xr:uid="{00000000-0005-0000-0000-0000B0120000}"/>
    <cellStyle name="20% - Accent3 2 3 5 7 3" xfId="26651" xr:uid="{00000000-0005-0000-0000-0000B1120000}"/>
    <cellStyle name="20% - Accent3 2 3 5 8" xfId="12493" xr:uid="{00000000-0005-0000-0000-0000B2120000}"/>
    <cellStyle name="20% - Accent3 2 3 5 8 2" xfId="31894" xr:uid="{00000000-0005-0000-0000-0000B3120000}"/>
    <cellStyle name="20% - Accent3 2 3 5 9" xfId="22196" xr:uid="{00000000-0005-0000-0000-0000B4120000}"/>
    <cellStyle name="20% - Accent3 2 3 6" xfId="11968" xr:uid="{00000000-0005-0000-0000-0000B5120000}"/>
    <cellStyle name="20% - Accent3 2 3 6 2" xfId="21672" xr:uid="{00000000-0005-0000-0000-0000B6120000}"/>
    <cellStyle name="20% - Accent3 2 3 6 2 2" xfId="41072" xr:uid="{00000000-0005-0000-0000-0000B7120000}"/>
    <cellStyle name="20% - Accent3 2 3 6 3" xfId="31374" xr:uid="{00000000-0005-0000-0000-0000B8120000}"/>
    <cellStyle name="20% - Accent3 2 3 7" xfId="1253" xr:uid="{00000000-0005-0000-0000-0000B9120000}"/>
    <cellStyle name="20% - Accent3 2 3 8" xfId="12324" xr:uid="{00000000-0005-0000-0000-0000BA120000}"/>
    <cellStyle name="20% - Accent3 2 3 8 2" xfId="31727" xr:uid="{00000000-0005-0000-0000-0000BB120000}"/>
    <cellStyle name="20% - Accent3 2 3 9" xfId="22029" xr:uid="{00000000-0005-0000-0000-0000BC120000}"/>
    <cellStyle name="20% - Accent3 2 4" xfId="1252" xr:uid="{00000000-0005-0000-0000-0000BD120000}"/>
    <cellStyle name="20% - Accent3 2 4 2" xfId="2006" xr:uid="{00000000-0005-0000-0000-0000BE120000}"/>
    <cellStyle name="20% - Accent3 2 4 2 10" xfId="12494" xr:uid="{00000000-0005-0000-0000-0000BF120000}"/>
    <cellStyle name="20% - Accent3 2 4 2 10 2" xfId="31895" xr:uid="{00000000-0005-0000-0000-0000C0120000}"/>
    <cellStyle name="20% - Accent3 2 4 2 11" xfId="22197" xr:uid="{00000000-0005-0000-0000-0000C1120000}"/>
    <cellStyle name="20% - Accent3 2 4 2 2" xfId="2007" xr:uid="{00000000-0005-0000-0000-0000C2120000}"/>
    <cellStyle name="20% - Accent3 2 4 2 2 2" xfId="3006" xr:uid="{00000000-0005-0000-0000-0000C3120000}"/>
    <cellStyle name="20% - Accent3 2 4 2 2 2 2" xfId="5275" xr:uid="{00000000-0005-0000-0000-0000C4120000}"/>
    <cellStyle name="20% - Accent3 2 4 2 2 2 2 2" xfId="9739" xr:uid="{00000000-0005-0000-0000-0000C5120000}"/>
    <cellStyle name="20% - Accent3 2 4 2 2 2 2 2 2" xfId="19735" xr:uid="{00000000-0005-0000-0000-0000C6120000}"/>
    <cellStyle name="20% - Accent3 2 4 2 2 2 2 2 2 2" xfId="39135" xr:uid="{00000000-0005-0000-0000-0000C7120000}"/>
    <cellStyle name="20% - Accent3 2 4 2 2 2 2 2 3" xfId="29437" xr:uid="{00000000-0005-0000-0000-0000C8120000}"/>
    <cellStyle name="20% - Accent3 2 4 2 2 2 2 3" xfId="15280" xr:uid="{00000000-0005-0000-0000-0000C9120000}"/>
    <cellStyle name="20% - Accent3 2 4 2 2 2 2 3 2" xfId="34680" xr:uid="{00000000-0005-0000-0000-0000CA120000}"/>
    <cellStyle name="20% - Accent3 2 4 2 2 2 2 4" xfId="24982" xr:uid="{00000000-0005-0000-0000-0000CB120000}"/>
    <cellStyle name="20% - Accent3 2 4 2 2 2 3" xfId="7511" xr:uid="{00000000-0005-0000-0000-0000CC120000}"/>
    <cellStyle name="20% - Accent3 2 4 2 2 2 3 2" xfId="17507" xr:uid="{00000000-0005-0000-0000-0000CD120000}"/>
    <cellStyle name="20% - Accent3 2 4 2 2 2 3 2 2" xfId="36907" xr:uid="{00000000-0005-0000-0000-0000CE120000}"/>
    <cellStyle name="20% - Accent3 2 4 2 2 2 3 3" xfId="27209" xr:uid="{00000000-0005-0000-0000-0000CF120000}"/>
    <cellStyle name="20% - Accent3 2 4 2 2 2 4" xfId="13052" xr:uid="{00000000-0005-0000-0000-0000D0120000}"/>
    <cellStyle name="20% - Accent3 2 4 2 2 2 4 2" xfId="32452" xr:uid="{00000000-0005-0000-0000-0000D1120000}"/>
    <cellStyle name="20% - Accent3 2 4 2 2 2 5" xfId="22754" xr:uid="{00000000-0005-0000-0000-0000D2120000}"/>
    <cellStyle name="20% - Accent3 2 4 2 2 3" xfId="3589" xr:uid="{00000000-0005-0000-0000-0000D3120000}"/>
    <cellStyle name="20% - Accent3 2 4 2 2 3 2" xfId="4719" xr:uid="{00000000-0005-0000-0000-0000D4120000}"/>
    <cellStyle name="20% - Accent3 2 4 2 2 3 2 2" xfId="9183" xr:uid="{00000000-0005-0000-0000-0000D5120000}"/>
    <cellStyle name="20% - Accent3 2 4 2 2 3 2 2 2" xfId="19179" xr:uid="{00000000-0005-0000-0000-0000D6120000}"/>
    <cellStyle name="20% - Accent3 2 4 2 2 3 2 2 2 2" xfId="38579" xr:uid="{00000000-0005-0000-0000-0000D7120000}"/>
    <cellStyle name="20% - Accent3 2 4 2 2 3 2 2 3" xfId="28881" xr:uid="{00000000-0005-0000-0000-0000D8120000}"/>
    <cellStyle name="20% - Accent3 2 4 2 2 3 2 3" xfId="14724" xr:uid="{00000000-0005-0000-0000-0000D9120000}"/>
    <cellStyle name="20% - Accent3 2 4 2 2 3 2 3 2" xfId="34124" xr:uid="{00000000-0005-0000-0000-0000DA120000}"/>
    <cellStyle name="20% - Accent3 2 4 2 2 3 2 4" xfId="24426" xr:uid="{00000000-0005-0000-0000-0000DB120000}"/>
    <cellStyle name="20% - Accent3 2 4 2 2 3 3" xfId="8068" xr:uid="{00000000-0005-0000-0000-0000DC120000}"/>
    <cellStyle name="20% - Accent3 2 4 2 2 3 3 2" xfId="18064" xr:uid="{00000000-0005-0000-0000-0000DD120000}"/>
    <cellStyle name="20% - Accent3 2 4 2 2 3 3 2 2" xfId="37464" xr:uid="{00000000-0005-0000-0000-0000DE120000}"/>
    <cellStyle name="20% - Accent3 2 4 2 2 3 3 3" xfId="27766" xr:uid="{00000000-0005-0000-0000-0000DF120000}"/>
    <cellStyle name="20% - Accent3 2 4 2 2 3 4" xfId="13609" xr:uid="{00000000-0005-0000-0000-0000E0120000}"/>
    <cellStyle name="20% - Accent3 2 4 2 2 3 4 2" xfId="33009" xr:uid="{00000000-0005-0000-0000-0000E1120000}"/>
    <cellStyle name="20% - Accent3 2 4 2 2 3 5" xfId="23311" xr:uid="{00000000-0005-0000-0000-0000E2120000}"/>
    <cellStyle name="20% - Accent3 2 4 2 2 4" xfId="4162" xr:uid="{00000000-0005-0000-0000-0000E3120000}"/>
    <cellStyle name="20% - Accent3 2 4 2 2 4 2" xfId="8626" xr:uid="{00000000-0005-0000-0000-0000E4120000}"/>
    <cellStyle name="20% - Accent3 2 4 2 2 4 2 2" xfId="18622" xr:uid="{00000000-0005-0000-0000-0000E5120000}"/>
    <cellStyle name="20% - Accent3 2 4 2 2 4 2 2 2" xfId="38022" xr:uid="{00000000-0005-0000-0000-0000E6120000}"/>
    <cellStyle name="20% - Accent3 2 4 2 2 4 2 3" xfId="28324" xr:uid="{00000000-0005-0000-0000-0000E7120000}"/>
    <cellStyle name="20% - Accent3 2 4 2 2 4 3" xfId="14167" xr:uid="{00000000-0005-0000-0000-0000E8120000}"/>
    <cellStyle name="20% - Accent3 2 4 2 2 4 3 2" xfId="33567" xr:uid="{00000000-0005-0000-0000-0000E9120000}"/>
    <cellStyle name="20% - Accent3 2 4 2 2 4 4" xfId="23869" xr:uid="{00000000-0005-0000-0000-0000EA120000}"/>
    <cellStyle name="20% - Accent3 2 4 2 2 5" xfId="5832" xr:uid="{00000000-0005-0000-0000-0000EB120000}"/>
    <cellStyle name="20% - Accent3 2 4 2 2 5 2" xfId="10296" xr:uid="{00000000-0005-0000-0000-0000EC120000}"/>
    <cellStyle name="20% - Accent3 2 4 2 2 5 2 2" xfId="20292" xr:uid="{00000000-0005-0000-0000-0000ED120000}"/>
    <cellStyle name="20% - Accent3 2 4 2 2 5 2 2 2" xfId="39692" xr:uid="{00000000-0005-0000-0000-0000EE120000}"/>
    <cellStyle name="20% - Accent3 2 4 2 2 5 2 3" xfId="29994" xr:uid="{00000000-0005-0000-0000-0000EF120000}"/>
    <cellStyle name="20% - Accent3 2 4 2 2 5 3" xfId="15837" xr:uid="{00000000-0005-0000-0000-0000F0120000}"/>
    <cellStyle name="20% - Accent3 2 4 2 2 5 3 2" xfId="35237" xr:uid="{00000000-0005-0000-0000-0000F1120000}"/>
    <cellStyle name="20% - Accent3 2 4 2 2 5 4" xfId="25539" xr:uid="{00000000-0005-0000-0000-0000F2120000}"/>
    <cellStyle name="20% - Accent3 2 4 2 2 6" xfId="6398" xr:uid="{00000000-0005-0000-0000-0000F3120000}"/>
    <cellStyle name="20% - Accent3 2 4 2 2 6 2" xfId="10853" xr:uid="{00000000-0005-0000-0000-0000F4120000}"/>
    <cellStyle name="20% - Accent3 2 4 2 2 6 2 2" xfId="20849" xr:uid="{00000000-0005-0000-0000-0000F5120000}"/>
    <cellStyle name="20% - Accent3 2 4 2 2 6 2 2 2" xfId="40249" xr:uid="{00000000-0005-0000-0000-0000F6120000}"/>
    <cellStyle name="20% - Accent3 2 4 2 2 6 2 3" xfId="30551" xr:uid="{00000000-0005-0000-0000-0000F7120000}"/>
    <cellStyle name="20% - Accent3 2 4 2 2 6 3" xfId="16394" xr:uid="{00000000-0005-0000-0000-0000F8120000}"/>
    <cellStyle name="20% - Accent3 2 4 2 2 6 3 2" xfId="35794" xr:uid="{00000000-0005-0000-0000-0000F9120000}"/>
    <cellStyle name="20% - Accent3 2 4 2 2 6 4" xfId="26096" xr:uid="{00000000-0005-0000-0000-0000FA120000}"/>
    <cellStyle name="20% - Accent3 2 4 2 2 7" xfId="6955" xr:uid="{00000000-0005-0000-0000-0000FB120000}"/>
    <cellStyle name="20% - Accent3 2 4 2 2 7 2" xfId="16951" xr:uid="{00000000-0005-0000-0000-0000FC120000}"/>
    <cellStyle name="20% - Accent3 2 4 2 2 7 2 2" xfId="36351" xr:uid="{00000000-0005-0000-0000-0000FD120000}"/>
    <cellStyle name="20% - Accent3 2 4 2 2 7 3" xfId="26653" xr:uid="{00000000-0005-0000-0000-0000FE120000}"/>
    <cellStyle name="20% - Accent3 2 4 2 2 8" xfId="12495" xr:uid="{00000000-0005-0000-0000-0000FF120000}"/>
    <cellStyle name="20% - Accent3 2 4 2 2 8 2" xfId="31896" xr:uid="{00000000-0005-0000-0000-000000130000}"/>
    <cellStyle name="20% - Accent3 2 4 2 2 9" xfId="22198" xr:uid="{00000000-0005-0000-0000-000001130000}"/>
    <cellStyle name="20% - Accent3 2 4 2 3" xfId="2008" xr:uid="{00000000-0005-0000-0000-000002130000}"/>
    <cellStyle name="20% - Accent3 2 4 2 3 2" xfId="3007" xr:uid="{00000000-0005-0000-0000-000003130000}"/>
    <cellStyle name="20% - Accent3 2 4 2 3 2 2" xfId="5276" xr:uid="{00000000-0005-0000-0000-000004130000}"/>
    <cellStyle name="20% - Accent3 2 4 2 3 2 2 2" xfId="9740" xr:uid="{00000000-0005-0000-0000-000005130000}"/>
    <cellStyle name="20% - Accent3 2 4 2 3 2 2 2 2" xfId="19736" xr:uid="{00000000-0005-0000-0000-000006130000}"/>
    <cellStyle name="20% - Accent3 2 4 2 3 2 2 2 2 2" xfId="39136" xr:uid="{00000000-0005-0000-0000-000007130000}"/>
    <cellStyle name="20% - Accent3 2 4 2 3 2 2 2 3" xfId="29438" xr:uid="{00000000-0005-0000-0000-000008130000}"/>
    <cellStyle name="20% - Accent3 2 4 2 3 2 2 3" xfId="15281" xr:uid="{00000000-0005-0000-0000-000009130000}"/>
    <cellStyle name="20% - Accent3 2 4 2 3 2 2 3 2" xfId="34681" xr:uid="{00000000-0005-0000-0000-00000A130000}"/>
    <cellStyle name="20% - Accent3 2 4 2 3 2 2 4" xfId="24983" xr:uid="{00000000-0005-0000-0000-00000B130000}"/>
    <cellStyle name="20% - Accent3 2 4 2 3 2 3" xfId="7512" xr:uid="{00000000-0005-0000-0000-00000C130000}"/>
    <cellStyle name="20% - Accent3 2 4 2 3 2 3 2" xfId="17508" xr:uid="{00000000-0005-0000-0000-00000D130000}"/>
    <cellStyle name="20% - Accent3 2 4 2 3 2 3 2 2" xfId="36908" xr:uid="{00000000-0005-0000-0000-00000E130000}"/>
    <cellStyle name="20% - Accent3 2 4 2 3 2 3 3" xfId="27210" xr:uid="{00000000-0005-0000-0000-00000F130000}"/>
    <cellStyle name="20% - Accent3 2 4 2 3 2 4" xfId="13053" xr:uid="{00000000-0005-0000-0000-000010130000}"/>
    <cellStyle name="20% - Accent3 2 4 2 3 2 4 2" xfId="32453" xr:uid="{00000000-0005-0000-0000-000011130000}"/>
    <cellStyle name="20% - Accent3 2 4 2 3 2 5" xfId="22755" xr:uid="{00000000-0005-0000-0000-000012130000}"/>
    <cellStyle name="20% - Accent3 2 4 2 3 3" xfId="3590" xr:uid="{00000000-0005-0000-0000-000013130000}"/>
    <cellStyle name="20% - Accent3 2 4 2 3 3 2" xfId="4720" xr:uid="{00000000-0005-0000-0000-000014130000}"/>
    <cellStyle name="20% - Accent3 2 4 2 3 3 2 2" xfId="9184" xr:uid="{00000000-0005-0000-0000-000015130000}"/>
    <cellStyle name="20% - Accent3 2 4 2 3 3 2 2 2" xfId="19180" xr:uid="{00000000-0005-0000-0000-000016130000}"/>
    <cellStyle name="20% - Accent3 2 4 2 3 3 2 2 2 2" xfId="38580" xr:uid="{00000000-0005-0000-0000-000017130000}"/>
    <cellStyle name="20% - Accent3 2 4 2 3 3 2 2 3" xfId="28882" xr:uid="{00000000-0005-0000-0000-000018130000}"/>
    <cellStyle name="20% - Accent3 2 4 2 3 3 2 3" xfId="14725" xr:uid="{00000000-0005-0000-0000-000019130000}"/>
    <cellStyle name="20% - Accent3 2 4 2 3 3 2 3 2" xfId="34125" xr:uid="{00000000-0005-0000-0000-00001A130000}"/>
    <cellStyle name="20% - Accent3 2 4 2 3 3 2 4" xfId="24427" xr:uid="{00000000-0005-0000-0000-00001B130000}"/>
    <cellStyle name="20% - Accent3 2 4 2 3 3 3" xfId="8069" xr:uid="{00000000-0005-0000-0000-00001C130000}"/>
    <cellStyle name="20% - Accent3 2 4 2 3 3 3 2" xfId="18065" xr:uid="{00000000-0005-0000-0000-00001D130000}"/>
    <cellStyle name="20% - Accent3 2 4 2 3 3 3 2 2" xfId="37465" xr:uid="{00000000-0005-0000-0000-00001E130000}"/>
    <cellStyle name="20% - Accent3 2 4 2 3 3 3 3" xfId="27767" xr:uid="{00000000-0005-0000-0000-00001F130000}"/>
    <cellStyle name="20% - Accent3 2 4 2 3 3 4" xfId="13610" xr:uid="{00000000-0005-0000-0000-000020130000}"/>
    <cellStyle name="20% - Accent3 2 4 2 3 3 4 2" xfId="33010" xr:uid="{00000000-0005-0000-0000-000021130000}"/>
    <cellStyle name="20% - Accent3 2 4 2 3 3 5" xfId="23312" xr:uid="{00000000-0005-0000-0000-000022130000}"/>
    <cellStyle name="20% - Accent3 2 4 2 3 4" xfId="4163" xr:uid="{00000000-0005-0000-0000-000023130000}"/>
    <cellStyle name="20% - Accent3 2 4 2 3 4 2" xfId="8627" xr:uid="{00000000-0005-0000-0000-000024130000}"/>
    <cellStyle name="20% - Accent3 2 4 2 3 4 2 2" xfId="18623" xr:uid="{00000000-0005-0000-0000-000025130000}"/>
    <cellStyle name="20% - Accent3 2 4 2 3 4 2 2 2" xfId="38023" xr:uid="{00000000-0005-0000-0000-000026130000}"/>
    <cellStyle name="20% - Accent3 2 4 2 3 4 2 3" xfId="28325" xr:uid="{00000000-0005-0000-0000-000027130000}"/>
    <cellStyle name="20% - Accent3 2 4 2 3 4 3" xfId="14168" xr:uid="{00000000-0005-0000-0000-000028130000}"/>
    <cellStyle name="20% - Accent3 2 4 2 3 4 3 2" xfId="33568" xr:uid="{00000000-0005-0000-0000-000029130000}"/>
    <cellStyle name="20% - Accent3 2 4 2 3 4 4" xfId="23870" xr:uid="{00000000-0005-0000-0000-00002A130000}"/>
    <cellStyle name="20% - Accent3 2 4 2 3 5" xfId="5833" xr:uid="{00000000-0005-0000-0000-00002B130000}"/>
    <cellStyle name="20% - Accent3 2 4 2 3 5 2" xfId="10297" xr:uid="{00000000-0005-0000-0000-00002C130000}"/>
    <cellStyle name="20% - Accent3 2 4 2 3 5 2 2" xfId="20293" xr:uid="{00000000-0005-0000-0000-00002D130000}"/>
    <cellStyle name="20% - Accent3 2 4 2 3 5 2 2 2" xfId="39693" xr:uid="{00000000-0005-0000-0000-00002E130000}"/>
    <cellStyle name="20% - Accent3 2 4 2 3 5 2 3" xfId="29995" xr:uid="{00000000-0005-0000-0000-00002F130000}"/>
    <cellStyle name="20% - Accent3 2 4 2 3 5 3" xfId="15838" xr:uid="{00000000-0005-0000-0000-000030130000}"/>
    <cellStyle name="20% - Accent3 2 4 2 3 5 3 2" xfId="35238" xr:uid="{00000000-0005-0000-0000-000031130000}"/>
    <cellStyle name="20% - Accent3 2 4 2 3 5 4" xfId="25540" xr:uid="{00000000-0005-0000-0000-000032130000}"/>
    <cellStyle name="20% - Accent3 2 4 2 3 6" xfId="6399" xr:uid="{00000000-0005-0000-0000-000033130000}"/>
    <cellStyle name="20% - Accent3 2 4 2 3 6 2" xfId="10854" xr:uid="{00000000-0005-0000-0000-000034130000}"/>
    <cellStyle name="20% - Accent3 2 4 2 3 6 2 2" xfId="20850" xr:uid="{00000000-0005-0000-0000-000035130000}"/>
    <cellStyle name="20% - Accent3 2 4 2 3 6 2 2 2" xfId="40250" xr:uid="{00000000-0005-0000-0000-000036130000}"/>
    <cellStyle name="20% - Accent3 2 4 2 3 6 2 3" xfId="30552" xr:uid="{00000000-0005-0000-0000-000037130000}"/>
    <cellStyle name="20% - Accent3 2 4 2 3 6 3" xfId="16395" xr:uid="{00000000-0005-0000-0000-000038130000}"/>
    <cellStyle name="20% - Accent3 2 4 2 3 6 3 2" xfId="35795" xr:uid="{00000000-0005-0000-0000-000039130000}"/>
    <cellStyle name="20% - Accent3 2 4 2 3 6 4" xfId="26097" xr:uid="{00000000-0005-0000-0000-00003A130000}"/>
    <cellStyle name="20% - Accent3 2 4 2 3 7" xfId="6956" xr:uid="{00000000-0005-0000-0000-00003B130000}"/>
    <cellStyle name="20% - Accent3 2 4 2 3 7 2" xfId="16952" xr:uid="{00000000-0005-0000-0000-00003C130000}"/>
    <cellStyle name="20% - Accent3 2 4 2 3 7 2 2" xfId="36352" xr:uid="{00000000-0005-0000-0000-00003D130000}"/>
    <cellStyle name="20% - Accent3 2 4 2 3 7 3" xfId="26654" xr:uid="{00000000-0005-0000-0000-00003E130000}"/>
    <cellStyle name="20% - Accent3 2 4 2 3 8" xfId="12496" xr:uid="{00000000-0005-0000-0000-00003F130000}"/>
    <cellStyle name="20% - Accent3 2 4 2 3 8 2" xfId="31897" xr:uid="{00000000-0005-0000-0000-000040130000}"/>
    <cellStyle name="20% - Accent3 2 4 2 3 9" xfId="22199" xr:uid="{00000000-0005-0000-0000-000041130000}"/>
    <cellStyle name="20% - Accent3 2 4 2 4" xfId="3005" xr:uid="{00000000-0005-0000-0000-000042130000}"/>
    <cellStyle name="20% - Accent3 2 4 2 4 2" xfId="5274" xr:uid="{00000000-0005-0000-0000-000043130000}"/>
    <cellStyle name="20% - Accent3 2 4 2 4 2 2" xfId="9738" xr:uid="{00000000-0005-0000-0000-000044130000}"/>
    <cellStyle name="20% - Accent3 2 4 2 4 2 2 2" xfId="19734" xr:uid="{00000000-0005-0000-0000-000045130000}"/>
    <cellStyle name="20% - Accent3 2 4 2 4 2 2 2 2" xfId="39134" xr:uid="{00000000-0005-0000-0000-000046130000}"/>
    <cellStyle name="20% - Accent3 2 4 2 4 2 2 3" xfId="29436" xr:uid="{00000000-0005-0000-0000-000047130000}"/>
    <cellStyle name="20% - Accent3 2 4 2 4 2 3" xfId="15279" xr:uid="{00000000-0005-0000-0000-000048130000}"/>
    <cellStyle name="20% - Accent3 2 4 2 4 2 3 2" xfId="34679" xr:uid="{00000000-0005-0000-0000-000049130000}"/>
    <cellStyle name="20% - Accent3 2 4 2 4 2 4" xfId="24981" xr:uid="{00000000-0005-0000-0000-00004A130000}"/>
    <cellStyle name="20% - Accent3 2 4 2 4 3" xfId="7510" xr:uid="{00000000-0005-0000-0000-00004B130000}"/>
    <cellStyle name="20% - Accent3 2 4 2 4 3 2" xfId="17506" xr:uid="{00000000-0005-0000-0000-00004C130000}"/>
    <cellStyle name="20% - Accent3 2 4 2 4 3 2 2" xfId="36906" xr:uid="{00000000-0005-0000-0000-00004D130000}"/>
    <cellStyle name="20% - Accent3 2 4 2 4 3 3" xfId="27208" xr:uid="{00000000-0005-0000-0000-00004E130000}"/>
    <cellStyle name="20% - Accent3 2 4 2 4 4" xfId="13051" xr:uid="{00000000-0005-0000-0000-00004F130000}"/>
    <cellStyle name="20% - Accent3 2 4 2 4 4 2" xfId="32451" xr:uid="{00000000-0005-0000-0000-000050130000}"/>
    <cellStyle name="20% - Accent3 2 4 2 4 5" xfId="22753" xr:uid="{00000000-0005-0000-0000-000051130000}"/>
    <cellStyle name="20% - Accent3 2 4 2 5" xfId="3588" xr:uid="{00000000-0005-0000-0000-000052130000}"/>
    <cellStyle name="20% - Accent3 2 4 2 5 2" xfId="4718" xr:uid="{00000000-0005-0000-0000-000053130000}"/>
    <cellStyle name="20% - Accent3 2 4 2 5 2 2" xfId="9182" xr:uid="{00000000-0005-0000-0000-000054130000}"/>
    <cellStyle name="20% - Accent3 2 4 2 5 2 2 2" xfId="19178" xr:uid="{00000000-0005-0000-0000-000055130000}"/>
    <cellStyle name="20% - Accent3 2 4 2 5 2 2 2 2" xfId="38578" xr:uid="{00000000-0005-0000-0000-000056130000}"/>
    <cellStyle name="20% - Accent3 2 4 2 5 2 2 3" xfId="28880" xr:uid="{00000000-0005-0000-0000-000057130000}"/>
    <cellStyle name="20% - Accent3 2 4 2 5 2 3" xfId="14723" xr:uid="{00000000-0005-0000-0000-000058130000}"/>
    <cellStyle name="20% - Accent3 2 4 2 5 2 3 2" xfId="34123" xr:uid="{00000000-0005-0000-0000-000059130000}"/>
    <cellStyle name="20% - Accent3 2 4 2 5 2 4" xfId="24425" xr:uid="{00000000-0005-0000-0000-00005A130000}"/>
    <cellStyle name="20% - Accent3 2 4 2 5 3" xfId="8067" xr:uid="{00000000-0005-0000-0000-00005B130000}"/>
    <cellStyle name="20% - Accent3 2 4 2 5 3 2" xfId="18063" xr:uid="{00000000-0005-0000-0000-00005C130000}"/>
    <cellStyle name="20% - Accent3 2 4 2 5 3 2 2" xfId="37463" xr:uid="{00000000-0005-0000-0000-00005D130000}"/>
    <cellStyle name="20% - Accent3 2 4 2 5 3 3" xfId="27765" xr:uid="{00000000-0005-0000-0000-00005E130000}"/>
    <cellStyle name="20% - Accent3 2 4 2 5 4" xfId="13608" xr:uid="{00000000-0005-0000-0000-00005F130000}"/>
    <cellStyle name="20% - Accent3 2 4 2 5 4 2" xfId="33008" xr:uid="{00000000-0005-0000-0000-000060130000}"/>
    <cellStyle name="20% - Accent3 2 4 2 5 5" xfId="23310" xr:uid="{00000000-0005-0000-0000-000061130000}"/>
    <cellStyle name="20% - Accent3 2 4 2 6" xfId="4161" xr:uid="{00000000-0005-0000-0000-000062130000}"/>
    <cellStyle name="20% - Accent3 2 4 2 6 2" xfId="8625" xr:uid="{00000000-0005-0000-0000-000063130000}"/>
    <cellStyle name="20% - Accent3 2 4 2 6 2 2" xfId="18621" xr:uid="{00000000-0005-0000-0000-000064130000}"/>
    <cellStyle name="20% - Accent3 2 4 2 6 2 2 2" xfId="38021" xr:uid="{00000000-0005-0000-0000-000065130000}"/>
    <cellStyle name="20% - Accent3 2 4 2 6 2 3" xfId="28323" xr:uid="{00000000-0005-0000-0000-000066130000}"/>
    <cellStyle name="20% - Accent3 2 4 2 6 3" xfId="14166" xr:uid="{00000000-0005-0000-0000-000067130000}"/>
    <cellStyle name="20% - Accent3 2 4 2 6 3 2" xfId="33566" xr:uid="{00000000-0005-0000-0000-000068130000}"/>
    <cellStyle name="20% - Accent3 2 4 2 6 4" xfId="23868" xr:uid="{00000000-0005-0000-0000-000069130000}"/>
    <cellStyle name="20% - Accent3 2 4 2 7" xfId="5831" xr:uid="{00000000-0005-0000-0000-00006A130000}"/>
    <cellStyle name="20% - Accent3 2 4 2 7 2" xfId="10295" xr:uid="{00000000-0005-0000-0000-00006B130000}"/>
    <cellStyle name="20% - Accent3 2 4 2 7 2 2" xfId="20291" xr:uid="{00000000-0005-0000-0000-00006C130000}"/>
    <cellStyle name="20% - Accent3 2 4 2 7 2 2 2" xfId="39691" xr:uid="{00000000-0005-0000-0000-00006D130000}"/>
    <cellStyle name="20% - Accent3 2 4 2 7 2 3" xfId="29993" xr:uid="{00000000-0005-0000-0000-00006E130000}"/>
    <cellStyle name="20% - Accent3 2 4 2 7 3" xfId="15836" xr:uid="{00000000-0005-0000-0000-00006F130000}"/>
    <cellStyle name="20% - Accent3 2 4 2 7 3 2" xfId="35236" xr:uid="{00000000-0005-0000-0000-000070130000}"/>
    <cellStyle name="20% - Accent3 2 4 2 7 4" xfId="25538" xr:uid="{00000000-0005-0000-0000-000071130000}"/>
    <cellStyle name="20% - Accent3 2 4 2 8" xfId="6397" xr:uid="{00000000-0005-0000-0000-000072130000}"/>
    <cellStyle name="20% - Accent3 2 4 2 8 2" xfId="10852" xr:uid="{00000000-0005-0000-0000-000073130000}"/>
    <cellStyle name="20% - Accent3 2 4 2 8 2 2" xfId="20848" xr:uid="{00000000-0005-0000-0000-000074130000}"/>
    <cellStyle name="20% - Accent3 2 4 2 8 2 2 2" xfId="40248" xr:uid="{00000000-0005-0000-0000-000075130000}"/>
    <cellStyle name="20% - Accent3 2 4 2 8 2 3" xfId="30550" xr:uid="{00000000-0005-0000-0000-000076130000}"/>
    <cellStyle name="20% - Accent3 2 4 2 8 3" xfId="16393" xr:uid="{00000000-0005-0000-0000-000077130000}"/>
    <cellStyle name="20% - Accent3 2 4 2 8 3 2" xfId="35793" xr:uid="{00000000-0005-0000-0000-000078130000}"/>
    <cellStyle name="20% - Accent3 2 4 2 8 4" xfId="26095" xr:uid="{00000000-0005-0000-0000-000079130000}"/>
    <cellStyle name="20% - Accent3 2 4 2 9" xfId="6954" xr:uid="{00000000-0005-0000-0000-00007A130000}"/>
    <cellStyle name="20% - Accent3 2 4 2 9 2" xfId="16950" xr:uid="{00000000-0005-0000-0000-00007B130000}"/>
    <cellStyle name="20% - Accent3 2 4 2 9 2 2" xfId="36350" xr:uid="{00000000-0005-0000-0000-00007C130000}"/>
    <cellStyle name="20% - Accent3 2 4 2 9 3" xfId="26652" xr:uid="{00000000-0005-0000-0000-00007D130000}"/>
    <cellStyle name="20% - Accent3 2 4 3" xfId="2009" xr:uid="{00000000-0005-0000-0000-00007E130000}"/>
    <cellStyle name="20% - Accent3 2 4 3 10" xfId="12497" xr:uid="{00000000-0005-0000-0000-00007F130000}"/>
    <cellStyle name="20% - Accent3 2 4 3 10 2" xfId="31898" xr:uid="{00000000-0005-0000-0000-000080130000}"/>
    <cellStyle name="20% - Accent3 2 4 3 11" xfId="22200" xr:uid="{00000000-0005-0000-0000-000081130000}"/>
    <cellStyle name="20% - Accent3 2 4 3 2" xfId="2010" xr:uid="{00000000-0005-0000-0000-000082130000}"/>
    <cellStyle name="20% - Accent3 2 4 3 2 2" xfId="3009" xr:uid="{00000000-0005-0000-0000-000083130000}"/>
    <cellStyle name="20% - Accent3 2 4 3 2 2 2" xfId="5278" xr:uid="{00000000-0005-0000-0000-000084130000}"/>
    <cellStyle name="20% - Accent3 2 4 3 2 2 2 2" xfId="9742" xr:uid="{00000000-0005-0000-0000-000085130000}"/>
    <cellStyle name="20% - Accent3 2 4 3 2 2 2 2 2" xfId="19738" xr:uid="{00000000-0005-0000-0000-000086130000}"/>
    <cellStyle name="20% - Accent3 2 4 3 2 2 2 2 2 2" xfId="39138" xr:uid="{00000000-0005-0000-0000-000087130000}"/>
    <cellStyle name="20% - Accent3 2 4 3 2 2 2 2 3" xfId="29440" xr:uid="{00000000-0005-0000-0000-000088130000}"/>
    <cellStyle name="20% - Accent3 2 4 3 2 2 2 3" xfId="15283" xr:uid="{00000000-0005-0000-0000-000089130000}"/>
    <cellStyle name="20% - Accent3 2 4 3 2 2 2 3 2" xfId="34683" xr:uid="{00000000-0005-0000-0000-00008A130000}"/>
    <cellStyle name="20% - Accent3 2 4 3 2 2 2 4" xfId="24985" xr:uid="{00000000-0005-0000-0000-00008B130000}"/>
    <cellStyle name="20% - Accent3 2 4 3 2 2 3" xfId="7514" xr:uid="{00000000-0005-0000-0000-00008C130000}"/>
    <cellStyle name="20% - Accent3 2 4 3 2 2 3 2" xfId="17510" xr:uid="{00000000-0005-0000-0000-00008D130000}"/>
    <cellStyle name="20% - Accent3 2 4 3 2 2 3 2 2" xfId="36910" xr:uid="{00000000-0005-0000-0000-00008E130000}"/>
    <cellStyle name="20% - Accent3 2 4 3 2 2 3 3" xfId="27212" xr:uid="{00000000-0005-0000-0000-00008F130000}"/>
    <cellStyle name="20% - Accent3 2 4 3 2 2 4" xfId="13055" xr:uid="{00000000-0005-0000-0000-000090130000}"/>
    <cellStyle name="20% - Accent3 2 4 3 2 2 4 2" xfId="32455" xr:uid="{00000000-0005-0000-0000-000091130000}"/>
    <cellStyle name="20% - Accent3 2 4 3 2 2 5" xfId="22757" xr:uid="{00000000-0005-0000-0000-000092130000}"/>
    <cellStyle name="20% - Accent3 2 4 3 2 3" xfId="3592" xr:uid="{00000000-0005-0000-0000-000093130000}"/>
    <cellStyle name="20% - Accent3 2 4 3 2 3 2" xfId="4722" xr:uid="{00000000-0005-0000-0000-000094130000}"/>
    <cellStyle name="20% - Accent3 2 4 3 2 3 2 2" xfId="9186" xr:uid="{00000000-0005-0000-0000-000095130000}"/>
    <cellStyle name="20% - Accent3 2 4 3 2 3 2 2 2" xfId="19182" xr:uid="{00000000-0005-0000-0000-000096130000}"/>
    <cellStyle name="20% - Accent3 2 4 3 2 3 2 2 2 2" xfId="38582" xr:uid="{00000000-0005-0000-0000-000097130000}"/>
    <cellStyle name="20% - Accent3 2 4 3 2 3 2 2 3" xfId="28884" xr:uid="{00000000-0005-0000-0000-000098130000}"/>
    <cellStyle name="20% - Accent3 2 4 3 2 3 2 3" xfId="14727" xr:uid="{00000000-0005-0000-0000-000099130000}"/>
    <cellStyle name="20% - Accent3 2 4 3 2 3 2 3 2" xfId="34127" xr:uid="{00000000-0005-0000-0000-00009A130000}"/>
    <cellStyle name="20% - Accent3 2 4 3 2 3 2 4" xfId="24429" xr:uid="{00000000-0005-0000-0000-00009B130000}"/>
    <cellStyle name="20% - Accent3 2 4 3 2 3 3" xfId="8071" xr:uid="{00000000-0005-0000-0000-00009C130000}"/>
    <cellStyle name="20% - Accent3 2 4 3 2 3 3 2" xfId="18067" xr:uid="{00000000-0005-0000-0000-00009D130000}"/>
    <cellStyle name="20% - Accent3 2 4 3 2 3 3 2 2" xfId="37467" xr:uid="{00000000-0005-0000-0000-00009E130000}"/>
    <cellStyle name="20% - Accent3 2 4 3 2 3 3 3" xfId="27769" xr:uid="{00000000-0005-0000-0000-00009F130000}"/>
    <cellStyle name="20% - Accent3 2 4 3 2 3 4" xfId="13612" xr:uid="{00000000-0005-0000-0000-0000A0130000}"/>
    <cellStyle name="20% - Accent3 2 4 3 2 3 4 2" xfId="33012" xr:uid="{00000000-0005-0000-0000-0000A1130000}"/>
    <cellStyle name="20% - Accent3 2 4 3 2 3 5" xfId="23314" xr:uid="{00000000-0005-0000-0000-0000A2130000}"/>
    <cellStyle name="20% - Accent3 2 4 3 2 4" xfId="4165" xr:uid="{00000000-0005-0000-0000-0000A3130000}"/>
    <cellStyle name="20% - Accent3 2 4 3 2 4 2" xfId="8629" xr:uid="{00000000-0005-0000-0000-0000A4130000}"/>
    <cellStyle name="20% - Accent3 2 4 3 2 4 2 2" xfId="18625" xr:uid="{00000000-0005-0000-0000-0000A5130000}"/>
    <cellStyle name="20% - Accent3 2 4 3 2 4 2 2 2" xfId="38025" xr:uid="{00000000-0005-0000-0000-0000A6130000}"/>
    <cellStyle name="20% - Accent3 2 4 3 2 4 2 3" xfId="28327" xr:uid="{00000000-0005-0000-0000-0000A7130000}"/>
    <cellStyle name="20% - Accent3 2 4 3 2 4 3" xfId="14170" xr:uid="{00000000-0005-0000-0000-0000A8130000}"/>
    <cellStyle name="20% - Accent3 2 4 3 2 4 3 2" xfId="33570" xr:uid="{00000000-0005-0000-0000-0000A9130000}"/>
    <cellStyle name="20% - Accent3 2 4 3 2 4 4" xfId="23872" xr:uid="{00000000-0005-0000-0000-0000AA130000}"/>
    <cellStyle name="20% - Accent3 2 4 3 2 5" xfId="5835" xr:uid="{00000000-0005-0000-0000-0000AB130000}"/>
    <cellStyle name="20% - Accent3 2 4 3 2 5 2" xfId="10299" xr:uid="{00000000-0005-0000-0000-0000AC130000}"/>
    <cellStyle name="20% - Accent3 2 4 3 2 5 2 2" xfId="20295" xr:uid="{00000000-0005-0000-0000-0000AD130000}"/>
    <cellStyle name="20% - Accent3 2 4 3 2 5 2 2 2" xfId="39695" xr:uid="{00000000-0005-0000-0000-0000AE130000}"/>
    <cellStyle name="20% - Accent3 2 4 3 2 5 2 3" xfId="29997" xr:uid="{00000000-0005-0000-0000-0000AF130000}"/>
    <cellStyle name="20% - Accent3 2 4 3 2 5 3" xfId="15840" xr:uid="{00000000-0005-0000-0000-0000B0130000}"/>
    <cellStyle name="20% - Accent3 2 4 3 2 5 3 2" xfId="35240" xr:uid="{00000000-0005-0000-0000-0000B1130000}"/>
    <cellStyle name="20% - Accent3 2 4 3 2 5 4" xfId="25542" xr:uid="{00000000-0005-0000-0000-0000B2130000}"/>
    <cellStyle name="20% - Accent3 2 4 3 2 6" xfId="6401" xr:uid="{00000000-0005-0000-0000-0000B3130000}"/>
    <cellStyle name="20% - Accent3 2 4 3 2 6 2" xfId="10856" xr:uid="{00000000-0005-0000-0000-0000B4130000}"/>
    <cellStyle name="20% - Accent3 2 4 3 2 6 2 2" xfId="20852" xr:uid="{00000000-0005-0000-0000-0000B5130000}"/>
    <cellStyle name="20% - Accent3 2 4 3 2 6 2 2 2" xfId="40252" xr:uid="{00000000-0005-0000-0000-0000B6130000}"/>
    <cellStyle name="20% - Accent3 2 4 3 2 6 2 3" xfId="30554" xr:uid="{00000000-0005-0000-0000-0000B7130000}"/>
    <cellStyle name="20% - Accent3 2 4 3 2 6 3" xfId="16397" xr:uid="{00000000-0005-0000-0000-0000B8130000}"/>
    <cellStyle name="20% - Accent3 2 4 3 2 6 3 2" xfId="35797" xr:uid="{00000000-0005-0000-0000-0000B9130000}"/>
    <cellStyle name="20% - Accent3 2 4 3 2 6 4" xfId="26099" xr:uid="{00000000-0005-0000-0000-0000BA130000}"/>
    <cellStyle name="20% - Accent3 2 4 3 2 7" xfId="6958" xr:uid="{00000000-0005-0000-0000-0000BB130000}"/>
    <cellStyle name="20% - Accent3 2 4 3 2 7 2" xfId="16954" xr:uid="{00000000-0005-0000-0000-0000BC130000}"/>
    <cellStyle name="20% - Accent3 2 4 3 2 7 2 2" xfId="36354" xr:uid="{00000000-0005-0000-0000-0000BD130000}"/>
    <cellStyle name="20% - Accent3 2 4 3 2 7 3" xfId="26656" xr:uid="{00000000-0005-0000-0000-0000BE130000}"/>
    <cellStyle name="20% - Accent3 2 4 3 2 8" xfId="12498" xr:uid="{00000000-0005-0000-0000-0000BF130000}"/>
    <cellStyle name="20% - Accent3 2 4 3 2 8 2" xfId="31899" xr:uid="{00000000-0005-0000-0000-0000C0130000}"/>
    <cellStyle name="20% - Accent3 2 4 3 2 9" xfId="22201" xr:uid="{00000000-0005-0000-0000-0000C1130000}"/>
    <cellStyle name="20% - Accent3 2 4 3 3" xfId="2011" xr:uid="{00000000-0005-0000-0000-0000C2130000}"/>
    <cellStyle name="20% - Accent3 2 4 3 3 2" xfId="3010" xr:uid="{00000000-0005-0000-0000-0000C3130000}"/>
    <cellStyle name="20% - Accent3 2 4 3 3 2 2" xfId="5279" xr:uid="{00000000-0005-0000-0000-0000C4130000}"/>
    <cellStyle name="20% - Accent3 2 4 3 3 2 2 2" xfId="9743" xr:uid="{00000000-0005-0000-0000-0000C5130000}"/>
    <cellStyle name="20% - Accent3 2 4 3 3 2 2 2 2" xfId="19739" xr:uid="{00000000-0005-0000-0000-0000C6130000}"/>
    <cellStyle name="20% - Accent3 2 4 3 3 2 2 2 2 2" xfId="39139" xr:uid="{00000000-0005-0000-0000-0000C7130000}"/>
    <cellStyle name="20% - Accent3 2 4 3 3 2 2 2 3" xfId="29441" xr:uid="{00000000-0005-0000-0000-0000C8130000}"/>
    <cellStyle name="20% - Accent3 2 4 3 3 2 2 3" xfId="15284" xr:uid="{00000000-0005-0000-0000-0000C9130000}"/>
    <cellStyle name="20% - Accent3 2 4 3 3 2 2 3 2" xfId="34684" xr:uid="{00000000-0005-0000-0000-0000CA130000}"/>
    <cellStyle name="20% - Accent3 2 4 3 3 2 2 4" xfId="24986" xr:uid="{00000000-0005-0000-0000-0000CB130000}"/>
    <cellStyle name="20% - Accent3 2 4 3 3 2 3" xfId="7515" xr:uid="{00000000-0005-0000-0000-0000CC130000}"/>
    <cellStyle name="20% - Accent3 2 4 3 3 2 3 2" xfId="17511" xr:uid="{00000000-0005-0000-0000-0000CD130000}"/>
    <cellStyle name="20% - Accent3 2 4 3 3 2 3 2 2" xfId="36911" xr:uid="{00000000-0005-0000-0000-0000CE130000}"/>
    <cellStyle name="20% - Accent3 2 4 3 3 2 3 3" xfId="27213" xr:uid="{00000000-0005-0000-0000-0000CF130000}"/>
    <cellStyle name="20% - Accent3 2 4 3 3 2 4" xfId="13056" xr:uid="{00000000-0005-0000-0000-0000D0130000}"/>
    <cellStyle name="20% - Accent3 2 4 3 3 2 4 2" xfId="32456" xr:uid="{00000000-0005-0000-0000-0000D1130000}"/>
    <cellStyle name="20% - Accent3 2 4 3 3 2 5" xfId="22758" xr:uid="{00000000-0005-0000-0000-0000D2130000}"/>
    <cellStyle name="20% - Accent3 2 4 3 3 3" xfId="3593" xr:uid="{00000000-0005-0000-0000-0000D3130000}"/>
    <cellStyle name="20% - Accent3 2 4 3 3 3 2" xfId="4723" xr:uid="{00000000-0005-0000-0000-0000D4130000}"/>
    <cellStyle name="20% - Accent3 2 4 3 3 3 2 2" xfId="9187" xr:uid="{00000000-0005-0000-0000-0000D5130000}"/>
    <cellStyle name="20% - Accent3 2 4 3 3 3 2 2 2" xfId="19183" xr:uid="{00000000-0005-0000-0000-0000D6130000}"/>
    <cellStyle name="20% - Accent3 2 4 3 3 3 2 2 2 2" xfId="38583" xr:uid="{00000000-0005-0000-0000-0000D7130000}"/>
    <cellStyle name="20% - Accent3 2 4 3 3 3 2 2 3" xfId="28885" xr:uid="{00000000-0005-0000-0000-0000D8130000}"/>
    <cellStyle name="20% - Accent3 2 4 3 3 3 2 3" xfId="14728" xr:uid="{00000000-0005-0000-0000-0000D9130000}"/>
    <cellStyle name="20% - Accent3 2 4 3 3 3 2 3 2" xfId="34128" xr:uid="{00000000-0005-0000-0000-0000DA130000}"/>
    <cellStyle name="20% - Accent3 2 4 3 3 3 2 4" xfId="24430" xr:uid="{00000000-0005-0000-0000-0000DB130000}"/>
    <cellStyle name="20% - Accent3 2 4 3 3 3 3" xfId="8072" xr:uid="{00000000-0005-0000-0000-0000DC130000}"/>
    <cellStyle name="20% - Accent3 2 4 3 3 3 3 2" xfId="18068" xr:uid="{00000000-0005-0000-0000-0000DD130000}"/>
    <cellStyle name="20% - Accent3 2 4 3 3 3 3 2 2" xfId="37468" xr:uid="{00000000-0005-0000-0000-0000DE130000}"/>
    <cellStyle name="20% - Accent3 2 4 3 3 3 3 3" xfId="27770" xr:uid="{00000000-0005-0000-0000-0000DF130000}"/>
    <cellStyle name="20% - Accent3 2 4 3 3 3 4" xfId="13613" xr:uid="{00000000-0005-0000-0000-0000E0130000}"/>
    <cellStyle name="20% - Accent3 2 4 3 3 3 4 2" xfId="33013" xr:uid="{00000000-0005-0000-0000-0000E1130000}"/>
    <cellStyle name="20% - Accent3 2 4 3 3 3 5" xfId="23315" xr:uid="{00000000-0005-0000-0000-0000E2130000}"/>
    <cellStyle name="20% - Accent3 2 4 3 3 4" xfId="4166" xr:uid="{00000000-0005-0000-0000-0000E3130000}"/>
    <cellStyle name="20% - Accent3 2 4 3 3 4 2" xfId="8630" xr:uid="{00000000-0005-0000-0000-0000E4130000}"/>
    <cellStyle name="20% - Accent3 2 4 3 3 4 2 2" xfId="18626" xr:uid="{00000000-0005-0000-0000-0000E5130000}"/>
    <cellStyle name="20% - Accent3 2 4 3 3 4 2 2 2" xfId="38026" xr:uid="{00000000-0005-0000-0000-0000E6130000}"/>
    <cellStyle name="20% - Accent3 2 4 3 3 4 2 3" xfId="28328" xr:uid="{00000000-0005-0000-0000-0000E7130000}"/>
    <cellStyle name="20% - Accent3 2 4 3 3 4 3" xfId="14171" xr:uid="{00000000-0005-0000-0000-0000E8130000}"/>
    <cellStyle name="20% - Accent3 2 4 3 3 4 3 2" xfId="33571" xr:uid="{00000000-0005-0000-0000-0000E9130000}"/>
    <cellStyle name="20% - Accent3 2 4 3 3 4 4" xfId="23873" xr:uid="{00000000-0005-0000-0000-0000EA130000}"/>
    <cellStyle name="20% - Accent3 2 4 3 3 5" xfId="5836" xr:uid="{00000000-0005-0000-0000-0000EB130000}"/>
    <cellStyle name="20% - Accent3 2 4 3 3 5 2" xfId="10300" xr:uid="{00000000-0005-0000-0000-0000EC130000}"/>
    <cellStyle name="20% - Accent3 2 4 3 3 5 2 2" xfId="20296" xr:uid="{00000000-0005-0000-0000-0000ED130000}"/>
    <cellStyle name="20% - Accent3 2 4 3 3 5 2 2 2" xfId="39696" xr:uid="{00000000-0005-0000-0000-0000EE130000}"/>
    <cellStyle name="20% - Accent3 2 4 3 3 5 2 3" xfId="29998" xr:uid="{00000000-0005-0000-0000-0000EF130000}"/>
    <cellStyle name="20% - Accent3 2 4 3 3 5 3" xfId="15841" xr:uid="{00000000-0005-0000-0000-0000F0130000}"/>
    <cellStyle name="20% - Accent3 2 4 3 3 5 3 2" xfId="35241" xr:uid="{00000000-0005-0000-0000-0000F1130000}"/>
    <cellStyle name="20% - Accent3 2 4 3 3 5 4" xfId="25543" xr:uid="{00000000-0005-0000-0000-0000F2130000}"/>
    <cellStyle name="20% - Accent3 2 4 3 3 6" xfId="6402" xr:uid="{00000000-0005-0000-0000-0000F3130000}"/>
    <cellStyle name="20% - Accent3 2 4 3 3 6 2" xfId="10857" xr:uid="{00000000-0005-0000-0000-0000F4130000}"/>
    <cellStyle name="20% - Accent3 2 4 3 3 6 2 2" xfId="20853" xr:uid="{00000000-0005-0000-0000-0000F5130000}"/>
    <cellStyle name="20% - Accent3 2 4 3 3 6 2 2 2" xfId="40253" xr:uid="{00000000-0005-0000-0000-0000F6130000}"/>
    <cellStyle name="20% - Accent3 2 4 3 3 6 2 3" xfId="30555" xr:uid="{00000000-0005-0000-0000-0000F7130000}"/>
    <cellStyle name="20% - Accent3 2 4 3 3 6 3" xfId="16398" xr:uid="{00000000-0005-0000-0000-0000F8130000}"/>
    <cellStyle name="20% - Accent3 2 4 3 3 6 3 2" xfId="35798" xr:uid="{00000000-0005-0000-0000-0000F9130000}"/>
    <cellStyle name="20% - Accent3 2 4 3 3 6 4" xfId="26100" xr:uid="{00000000-0005-0000-0000-0000FA130000}"/>
    <cellStyle name="20% - Accent3 2 4 3 3 7" xfId="6959" xr:uid="{00000000-0005-0000-0000-0000FB130000}"/>
    <cellStyle name="20% - Accent3 2 4 3 3 7 2" xfId="16955" xr:uid="{00000000-0005-0000-0000-0000FC130000}"/>
    <cellStyle name="20% - Accent3 2 4 3 3 7 2 2" xfId="36355" xr:uid="{00000000-0005-0000-0000-0000FD130000}"/>
    <cellStyle name="20% - Accent3 2 4 3 3 7 3" xfId="26657" xr:uid="{00000000-0005-0000-0000-0000FE130000}"/>
    <cellStyle name="20% - Accent3 2 4 3 3 8" xfId="12499" xr:uid="{00000000-0005-0000-0000-0000FF130000}"/>
    <cellStyle name="20% - Accent3 2 4 3 3 8 2" xfId="31900" xr:uid="{00000000-0005-0000-0000-000000140000}"/>
    <cellStyle name="20% - Accent3 2 4 3 3 9" xfId="22202" xr:uid="{00000000-0005-0000-0000-000001140000}"/>
    <cellStyle name="20% - Accent3 2 4 3 4" xfId="3008" xr:uid="{00000000-0005-0000-0000-000002140000}"/>
    <cellStyle name="20% - Accent3 2 4 3 4 2" xfId="5277" xr:uid="{00000000-0005-0000-0000-000003140000}"/>
    <cellStyle name="20% - Accent3 2 4 3 4 2 2" xfId="9741" xr:uid="{00000000-0005-0000-0000-000004140000}"/>
    <cellStyle name="20% - Accent3 2 4 3 4 2 2 2" xfId="19737" xr:uid="{00000000-0005-0000-0000-000005140000}"/>
    <cellStyle name="20% - Accent3 2 4 3 4 2 2 2 2" xfId="39137" xr:uid="{00000000-0005-0000-0000-000006140000}"/>
    <cellStyle name="20% - Accent3 2 4 3 4 2 2 3" xfId="29439" xr:uid="{00000000-0005-0000-0000-000007140000}"/>
    <cellStyle name="20% - Accent3 2 4 3 4 2 3" xfId="15282" xr:uid="{00000000-0005-0000-0000-000008140000}"/>
    <cellStyle name="20% - Accent3 2 4 3 4 2 3 2" xfId="34682" xr:uid="{00000000-0005-0000-0000-000009140000}"/>
    <cellStyle name="20% - Accent3 2 4 3 4 2 4" xfId="24984" xr:uid="{00000000-0005-0000-0000-00000A140000}"/>
    <cellStyle name="20% - Accent3 2 4 3 4 3" xfId="7513" xr:uid="{00000000-0005-0000-0000-00000B140000}"/>
    <cellStyle name="20% - Accent3 2 4 3 4 3 2" xfId="17509" xr:uid="{00000000-0005-0000-0000-00000C140000}"/>
    <cellStyle name="20% - Accent3 2 4 3 4 3 2 2" xfId="36909" xr:uid="{00000000-0005-0000-0000-00000D140000}"/>
    <cellStyle name="20% - Accent3 2 4 3 4 3 3" xfId="27211" xr:uid="{00000000-0005-0000-0000-00000E140000}"/>
    <cellStyle name="20% - Accent3 2 4 3 4 4" xfId="13054" xr:uid="{00000000-0005-0000-0000-00000F140000}"/>
    <cellStyle name="20% - Accent3 2 4 3 4 4 2" xfId="32454" xr:uid="{00000000-0005-0000-0000-000010140000}"/>
    <cellStyle name="20% - Accent3 2 4 3 4 5" xfId="22756" xr:uid="{00000000-0005-0000-0000-000011140000}"/>
    <cellStyle name="20% - Accent3 2 4 3 5" xfId="3591" xr:uid="{00000000-0005-0000-0000-000012140000}"/>
    <cellStyle name="20% - Accent3 2 4 3 5 2" xfId="4721" xr:uid="{00000000-0005-0000-0000-000013140000}"/>
    <cellStyle name="20% - Accent3 2 4 3 5 2 2" xfId="9185" xr:uid="{00000000-0005-0000-0000-000014140000}"/>
    <cellStyle name="20% - Accent3 2 4 3 5 2 2 2" xfId="19181" xr:uid="{00000000-0005-0000-0000-000015140000}"/>
    <cellStyle name="20% - Accent3 2 4 3 5 2 2 2 2" xfId="38581" xr:uid="{00000000-0005-0000-0000-000016140000}"/>
    <cellStyle name="20% - Accent3 2 4 3 5 2 2 3" xfId="28883" xr:uid="{00000000-0005-0000-0000-000017140000}"/>
    <cellStyle name="20% - Accent3 2 4 3 5 2 3" xfId="14726" xr:uid="{00000000-0005-0000-0000-000018140000}"/>
    <cellStyle name="20% - Accent3 2 4 3 5 2 3 2" xfId="34126" xr:uid="{00000000-0005-0000-0000-000019140000}"/>
    <cellStyle name="20% - Accent3 2 4 3 5 2 4" xfId="24428" xr:uid="{00000000-0005-0000-0000-00001A140000}"/>
    <cellStyle name="20% - Accent3 2 4 3 5 3" xfId="8070" xr:uid="{00000000-0005-0000-0000-00001B140000}"/>
    <cellStyle name="20% - Accent3 2 4 3 5 3 2" xfId="18066" xr:uid="{00000000-0005-0000-0000-00001C140000}"/>
    <cellStyle name="20% - Accent3 2 4 3 5 3 2 2" xfId="37466" xr:uid="{00000000-0005-0000-0000-00001D140000}"/>
    <cellStyle name="20% - Accent3 2 4 3 5 3 3" xfId="27768" xr:uid="{00000000-0005-0000-0000-00001E140000}"/>
    <cellStyle name="20% - Accent3 2 4 3 5 4" xfId="13611" xr:uid="{00000000-0005-0000-0000-00001F140000}"/>
    <cellStyle name="20% - Accent3 2 4 3 5 4 2" xfId="33011" xr:uid="{00000000-0005-0000-0000-000020140000}"/>
    <cellStyle name="20% - Accent3 2 4 3 5 5" xfId="23313" xr:uid="{00000000-0005-0000-0000-000021140000}"/>
    <cellStyle name="20% - Accent3 2 4 3 6" xfId="4164" xr:uid="{00000000-0005-0000-0000-000022140000}"/>
    <cellStyle name="20% - Accent3 2 4 3 6 2" xfId="8628" xr:uid="{00000000-0005-0000-0000-000023140000}"/>
    <cellStyle name="20% - Accent3 2 4 3 6 2 2" xfId="18624" xr:uid="{00000000-0005-0000-0000-000024140000}"/>
    <cellStyle name="20% - Accent3 2 4 3 6 2 2 2" xfId="38024" xr:uid="{00000000-0005-0000-0000-000025140000}"/>
    <cellStyle name="20% - Accent3 2 4 3 6 2 3" xfId="28326" xr:uid="{00000000-0005-0000-0000-000026140000}"/>
    <cellStyle name="20% - Accent3 2 4 3 6 3" xfId="14169" xr:uid="{00000000-0005-0000-0000-000027140000}"/>
    <cellStyle name="20% - Accent3 2 4 3 6 3 2" xfId="33569" xr:uid="{00000000-0005-0000-0000-000028140000}"/>
    <cellStyle name="20% - Accent3 2 4 3 6 4" xfId="23871" xr:uid="{00000000-0005-0000-0000-000029140000}"/>
    <cellStyle name="20% - Accent3 2 4 3 7" xfId="5834" xr:uid="{00000000-0005-0000-0000-00002A140000}"/>
    <cellStyle name="20% - Accent3 2 4 3 7 2" xfId="10298" xr:uid="{00000000-0005-0000-0000-00002B140000}"/>
    <cellStyle name="20% - Accent3 2 4 3 7 2 2" xfId="20294" xr:uid="{00000000-0005-0000-0000-00002C140000}"/>
    <cellStyle name="20% - Accent3 2 4 3 7 2 2 2" xfId="39694" xr:uid="{00000000-0005-0000-0000-00002D140000}"/>
    <cellStyle name="20% - Accent3 2 4 3 7 2 3" xfId="29996" xr:uid="{00000000-0005-0000-0000-00002E140000}"/>
    <cellStyle name="20% - Accent3 2 4 3 7 3" xfId="15839" xr:uid="{00000000-0005-0000-0000-00002F140000}"/>
    <cellStyle name="20% - Accent3 2 4 3 7 3 2" xfId="35239" xr:uid="{00000000-0005-0000-0000-000030140000}"/>
    <cellStyle name="20% - Accent3 2 4 3 7 4" xfId="25541" xr:uid="{00000000-0005-0000-0000-000031140000}"/>
    <cellStyle name="20% - Accent3 2 4 3 8" xfId="6400" xr:uid="{00000000-0005-0000-0000-000032140000}"/>
    <cellStyle name="20% - Accent3 2 4 3 8 2" xfId="10855" xr:uid="{00000000-0005-0000-0000-000033140000}"/>
    <cellStyle name="20% - Accent3 2 4 3 8 2 2" xfId="20851" xr:uid="{00000000-0005-0000-0000-000034140000}"/>
    <cellStyle name="20% - Accent3 2 4 3 8 2 2 2" xfId="40251" xr:uid="{00000000-0005-0000-0000-000035140000}"/>
    <cellStyle name="20% - Accent3 2 4 3 8 2 3" xfId="30553" xr:uid="{00000000-0005-0000-0000-000036140000}"/>
    <cellStyle name="20% - Accent3 2 4 3 8 3" xfId="16396" xr:uid="{00000000-0005-0000-0000-000037140000}"/>
    <cellStyle name="20% - Accent3 2 4 3 8 3 2" xfId="35796" xr:uid="{00000000-0005-0000-0000-000038140000}"/>
    <cellStyle name="20% - Accent3 2 4 3 8 4" xfId="26098" xr:uid="{00000000-0005-0000-0000-000039140000}"/>
    <cellStyle name="20% - Accent3 2 4 3 9" xfId="6957" xr:uid="{00000000-0005-0000-0000-00003A140000}"/>
    <cellStyle name="20% - Accent3 2 4 3 9 2" xfId="16953" xr:uid="{00000000-0005-0000-0000-00003B140000}"/>
    <cellStyle name="20% - Accent3 2 4 3 9 2 2" xfId="36353" xr:uid="{00000000-0005-0000-0000-00003C140000}"/>
    <cellStyle name="20% - Accent3 2 4 3 9 3" xfId="26655" xr:uid="{00000000-0005-0000-0000-00003D140000}"/>
    <cellStyle name="20% - Accent3 2 4 4" xfId="2012" xr:uid="{00000000-0005-0000-0000-00003E140000}"/>
    <cellStyle name="20% - Accent3 2 4 4 2" xfId="3011" xr:uid="{00000000-0005-0000-0000-00003F140000}"/>
    <cellStyle name="20% - Accent3 2 4 4 2 2" xfId="5280" xr:uid="{00000000-0005-0000-0000-000040140000}"/>
    <cellStyle name="20% - Accent3 2 4 4 2 2 2" xfId="9744" xr:uid="{00000000-0005-0000-0000-000041140000}"/>
    <cellStyle name="20% - Accent3 2 4 4 2 2 2 2" xfId="19740" xr:uid="{00000000-0005-0000-0000-000042140000}"/>
    <cellStyle name="20% - Accent3 2 4 4 2 2 2 2 2" xfId="39140" xr:uid="{00000000-0005-0000-0000-000043140000}"/>
    <cellStyle name="20% - Accent3 2 4 4 2 2 2 3" xfId="29442" xr:uid="{00000000-0005-0000-0000-000044140000}"/>
    <cellStyle name="20% - Accent3 2 4 4 2 2 3" xfId="15285" xr:uid="{00000000-0005-0000-0000-000045140000}"/>
    <cellStyle name="20% - Accent3 2 4 4 2 2 3 2" xfId="34685" xr:uid="{00000000-0005-0000-0000-000046140000}"/>
    <cellStyle name="20% - Accent3 2 4 4 2 2 4" xfId="24987" xr:uid="{00000000-0005-0000-0000-000047140000}"/>
    <cellStyle name="20% - Accent3 2 4 4 2 3" xfId="7516" xr:uid="{00000000-0005-0000-0000-000048140000}"/>
    <cellStyle name="20% - Accent3 2 4 4 2 3 2" xfId="17512" xr:uid="{00000000-0005-0000-0000-000049140000}"/>
    <cellStyle name="20% - Accent3 2 4 4 2 3 2 2" xfId="36912" xr:uid="{00000000-0005-0000-0000-00004A140000}"/>
    <cellStyle name="20% - Accent3 2 4 4 2 3 3" xfId="27214" xr:uid="{00000000-0005-0000-0000-00004B140000}"/>
    <cellStyle name="20% - Accent3 2 4 4 2 4" xfId="13057" xr:uid="{00000000-0005-0000-0000-00004C140000}"/>
    <cellStyle name="20% - Accent3 2 4 4 2 4 2" xfId="32457" xr:uid="{00000000-0005-0000-0000-00004D140000}"/>
    <cellStyle name="20% - Accent3 2 4 4 2 5" xfId="22759" xr:uid="{00000000-0005-0000-0000-00004E140000}"/>
    <cellStyle name="20% - Accent3 2 4 4 3" xfId="3594" xr:uid="{00000000-0005-0000-0000-00004F140000}"/>
    <cellStyle name="20% - Accent3 2 4 4 3 2" xfId="4724" xr:uid="{00000000-0005-0000-0000-000050140000}"/>
    <cellStyle name="20% - Accent3 2 4 4 3 2 2" xfId="9188" xr:uid="{00000000-0005-0000-0000-000051140000}"/>
    <cellStyle name="20% - Accent3 2 4 4 3 2 2 2" xfId="19184" xr:uid="{00000000-0005-0000-0000-000052140000}"/>
    <cellStyle name="20% - Accent3 2 4 4 3 2 2 2 2" xfId="38584" xr:uid="{00000000-0005-0000-0000-000053140000}"/>
    <cellStyle name="20% - Accent3 2 4 4 3 2 2 3" xfId="28886" xr:uid="{00000000-0005-0000-0000-000054140000}"/>
    <cellStyle name="20% - Accent3 2 4 4 3 2 3" xfId="14729" xr:uid="{00000000-0005-0000-0000-000055140000}"/>
    <cellStyle name="20% - Accent3 2 4 4 3 2 3 2" xfId="34129" xr:uid="{00000000-0005-0000-0000-000056140000}"/>
    <cellStyle name="20% - Accent3 2 4 4 3 2 4" xfId="24431" xr:uid="{00000000-0005-0000-0000-000057140000}"/>
    <cellStyle name="20% - Accent3 2 4 4 3 3" xfId="8073" xr:uid="{00000000-0005-0000-0000-000058140000}"/>
    <cellStyle name="20% - Accent3 2 4 4 3 3 2" xfId="18069" xr:uid="{00000000-0005-0000-0000-000059140000}"/>
    <cellStyle name="20% - Accent3 2 4 4 3 3 2 2" xfId="37469" xr:uid="{00000000-0005-0000-0000-00005A140000}"/>
    <cellStyle name="20% - Accent3 2 4 4 3 3 3" xfId="27771" xr:uid="{00000000-0005-0000-0000-00005B140000}"/>
    <cellStyle name="20% - Accent3 2 4 4 3 4" xfId="13614" xr:uid="{00000000-0005-0000-0000-00005C140000}"/>
    <cellStyle name="20% - Accent3 2 4 4 3 4 2" xfId="33014" xr:uid="{00000000-0005-0000-0000-00005D140000}"/>
    <cellStyle name="20% - Accent3 2 4 4 3 5" xfId="23316" xr:uid="{00000000-0005-0000-0000-00005E140000}"/>
    <cellStyle name="20% - Accent3 2 4 4 4" xfId="4167" xr:uid="{00000000-0005-0000-0000-00005F140000}"/>
    <cellStyle name="20% - Accent3 2 4 4 4 2" xfId="8631" xr:uid="{00000000-0005-0000-0000-000060140000}"/>
    <cellStyle name="20% - Accent3 2 4 4 4 2 2" xfId="18627" xr:uid="{00000000-0005-0000-0000-000061140000}"/>
    <cellStyle name="20% - Accent3 2 4 4 4 2 2 2" xfId="38027" xr:uid="{00000000-0005-0000-0000-000062140000}"/>
    <cellStyle name="20% - Accent3 2 4 4 4 2 3" xfId="28329" xr:uid="{00000000-0005-0000-0000-000063140000}"/>
    <cellStyle name="20% - Accent3 2 4 4 4 3" xfId="14172" xr:uid="{00000000-0005-0000-0000-000064140000}"/>
    <cellStyle name="20% - Accent3 2 4 4 4 3 2" xfId="33572" xr:uid="{00000000-0005-0000-0000-000065140000}"/>
    <cellStyle name="20% - Accent3 2 4 4 4 4" xfId="23874" xr:uid="{00000000-0005-0000-0000-000066140000}"/>
    <cellStyle name="20% - Accent3 2 4 4 5" xfId="5837" xr:uid="{00000000-0005-0000-0000-000067140000}"/>
    <cellStyle name="20% - Accent3 2 4 4 5 2" xfId="10301" xr:uid="{00000000-0005-0000-0000-000068140000}"/>
    <cellStyle name="20% - Accent3 2 4 4 5 2 2" xfId="20297" xr:uid="{00000000-0005-0000-0000-000069140000}"/>
    <cellStyle name="20% - Accent3 2 4 4 5 2 2 2" xfId="39697" xr:uid="{00000000-0005-0000-0000-00006A140000}"/>
    <cellStyle name="20% - Accent3 2 4 4 5 2 3" xfId="29999" xr:uid="{00000000-0005-0000-0000-00006B140000}"/>
    <cellStyle name="20% - Accent3 2 4 4 5 3" xfId="15842" xr:uid="{00000000-0005-0000-0000-00006C140000}"/>
    <cellStyle name="20% - Accent3 2 4 4 5 3 2" xfId="35242" xr:uid="{00000000-0005-0000-0000-00006D140000}"/>
    <cellStyle name="20% - Accent3 2 4 4 5 4" xfId="25544" xr:uid="{00000000-0005-0000-0000-00006E140000}"/>
    <cellStyle name="20% - Accent3 2 4 4 6" xfId="6403" xr:uid="{00000000-0005-0000-0000-00006F140000}"/>
    <cellStyle name="20% - Accent3 2 4 4 6 2" xfId="10858" xr:uid="{00000000-0005-0000-0000-000070140000}"/>
    <cellStyle name="20% - Accent3 2 4 4 6 2 2" xfId="20854" xr:uid="{00000000-0005-0000-0000-000071140000}"/>
    <cellStyle name="20% - Accent3 2 4 4 6 2 2 2" xfId="40254" xr:uid="{00000000-0005-0000-0000-000072140000}"/>
    <cellStyle name="20% - Accent3 2 4 4 6 2 3" xfId="30556" xr:uid="{00000000-0005-0000-0000-000073140000}"/>
    <cellStyle name="20% - Accent3 2 4 4 6 3" xfId="16399" xr:uid="{00000000-0005-0000-0000-000074140000}"/>
    <cellStyle name="20% - Accent3 2 4 4 6 3 2" xfId="35799" xr:uid="{00000000-0005-0000-0000-000075140000}"/>
    <cellStyle name="20% - Accent3 2 4 4 6 4" xfId="26101" xr:uid="{00000000-0005-0000-0000-000076140000}"/>
    <cellStyle name="20% - Accent3 2 4 4 7" xfId="6960" xr:uid="{00000000-0005-0000-0000-000077140000}"/>
    <cellStyle name="20% - Accent3 2 4 4 7 2" xfId="16956" xr:uid="{00000000-0005-0000-0000-000078140000}"/>
    <cellStyle name="20% - Accent3 2 4 4 7 2 2" xfId="36356" xr:uid="{00000000-0005-0000-0000-000079140000}"/>
    <cellStyle name="20% - Accent3 2 4 4 7 3" xfId="26658" xr:uid="{00000000-0005-0000-0000-00007A140000}"/>
    <cellStyle name="20% - Accent3 2 4 4 8" xfId="12500" xr:uid="{00000000-0005-0000-0000-00007B140000}"/>
    <cellStyle name="20% - Accent3 2 4 4 8 2" xfId="31901" xr:uid="{00000000-0005-0000-0000-00007C140000}"/>
    <cellStyle name="20% - Accent3 2 4 4 9" xfId="22203" xr:uid="{00000000-0005-0000-0000-00007D140000}"/>
    <cellStyle name="20% - Accent3 2 4 5" xfId="2013" xr:uid="{00000000-0005-0000-0000-00007E140000}"/>
    <cellStyle name="20% - Accent3 2 4 5 2" xfId="3012" xr:uid="{00000000-0005-0000-0000-00007F140000}"/>
    <cellStyle name="20% - Accent3 2 4 5 2 2" xfId="5281" xr:uid="{00000000-0005-0000-0000-000080140000}"/>
    <cellStyle name="20% - Accent3 2 4 5 2 2 2" xfId="9745" xr:uid="{00000000-0005-0000-0000-000081140000}"/>
    <cellStyle name="20% - Accent3 2 4 5 2 2 2 2" xfId="19741" xr:uid="{00000000-0005-0000-0000-000082140000}"/>
    <cellStyle name="20% - Accent3 2 4 5 2 2 2 2 2" xfId="39141" xr:uid="{00000000-0005-0000-0000-000083140000}"/>
    <cellStyle name="20% - Accent3 2 4 5 2 2 2 3" xfId="29443" xr:uid="{00000000-0005-0000-0000-000084140000}"/>
    <cellStyle name="20% - Accent3 2 4 5 2 2 3" xfId="15286" xr:uid="{00000000-0005-0000-0000-000085140000}"/>
    <cellStyle name="20% - Accent3 2 4 5 2 2 3 2" xfId="34686" xr:uid="{00000000-0005-0000-0000-000086140000}"/>
    <cellStyle name="20% - Accent3 2 4 5 2 2 4" xfId="24988" xr:uid="{00000000-0005-0000-0000-000087140000}"/>
    <cellStyle name="20% - Accent3 2 4 5 2 3" xfId="7517" xr:uid="{00000000-0005-0000-0000-000088140000}"/>
    <cellStyle name="20% - Accent3 2 4 5 2 3 2" xfId="17513" xr:uid="{00000000-0005-0000-0000-000089140000}"/>
    <cellStyle name="20% - Accent3 2 4 5 2 3 2 2" xfId="36913" xr:uid="{00000000-0005-0000-0000-00008A140000}"/>
    <cellStyle name="20% - Accent3 2 4 5 2 3 3" xfId="27215" xr:uid="{00000000-0005-0000-0000-00008B140000}"/>
    <cellStyle name="20% - Accent3 2 4 5 2 4" xfId="13058" xr:uid="{00000000-0005-0000-0000-00008C140000}"/>
    <cellStyle name="20% - Accent3 2 4 5 2 4 2" xfId="32458" xr:uid="{00000000-0005-0000-0000-00008D140000}"/>
    <cellStyle name="20% - Accent3 2 4 5 2 5" xfId="22760" xr:uid="{00000000-0005-0000-0000-00008E140000}"/>
    <cellStyle name="20% - Accent3 2 4 5 3" xfId="3595" xr:uid="{00000000-0005-0000-0000-00008F140000}"/>
    <cellStyle name="20% - Accent3 2 4 5 3 2" xfId="4725" xr:uid="{00000000-0005-0000-0000-000090140000}"/>
    <cellStyle name="20% - Accent3 2 4 5 3 2 2" xfId="9189" xr:uid="{00000000-0005-0000-0000-000091140000}"/>
    <cellStyle name="20% - Accent3 2 4 5 3 2 2 2" xfId="19185" xr:uid="{00000000-0005-0000-0000-000092140000}"/>
    <cellStyle name="20% - Accent3 2 4 5 3 2 2 2 2" xfId="38585" xr:uid="{00000000-0005-0000-0000-000093140000}"/>
    <cellStyle name="20% - Accent3 2 4 5 3 2 2 3" xfId="28887" xr:uid="{00000000-0005-0000-0000-000094140000}"/>
    <cellStyle name="20% - Accent3 2 4 5 3 2 3" xfId="14730" xr:uid="{00000000-0005-0000-0000-000095140000}"/>
    <cellStyle name="20% - Accent3 2 4 5 3 2 3 2" xfId="34130" xr:uid="{00000000-0005-0000-0000-000096140000}"/>
    <cellStyle name="20% - Accent3 2 4 5 3 2 4" xfId="24432" xr:uid="{00000000-0005-0000-0000-000097140000}"/>
    <cellStyle name="20% - Accent3 2 4 5 3 3" xfId="8074" xr:uid="{00000000-0005-0000-0000-000098140000}"/>
    <cellStyle name="20% - Accent3 2 4 5 3 3 2" xfId="18070" xr:uid="{00000000-0005-0000-0000-000099140000}"/>
    <cellStyle name="20% - Accent3 2 4 5 3 3 2 2" xfId="37470" xr:uid="{00000000-0005-0000-0000-00009A140000}"/>
    <cellStyle name="20% - Accent3 2 4 5 3 3 3" xfId="27772" xr:uid="{00000000-0005-0000-0000-00009B140000}"/>
    <cellStyle name="20% - Accent3 2 4 5 3 4" xfId="13615" xr:uid="{00000000-0005-0000-0000-00009C140000}"/>
    <cellStyle name="20% - Accent3 2 4 5 3 4 2" xfId="33015" xr:uid="{00000000-0005-0000-0000-00009D140000}"/>
    <cellStyle name="20% - Accent3 2 4 5 3 5" xfId="23317" xr:uid="{00000000-0005-0000-0000-00009E140000}"/>
    <cellStyle name="20% - Accent3 2 4 5 4" xfId="4168" xr:uid="{00000000-0005-0000-0000-00009F140000}"/>
    <cellStyle name="20% - Accent3 2 4 5 4 2" xfId="8632" xr:uid="{00000000-0005-0000-0000-0000A0140000}"/>
    <cellStyle name="20% - Accent3 2 4 5 4 2 2" xfId="18628" xr:uid="{00000000-0005-0000-0000-0000A1140000}"/>
    <cellStyle name="20% - Accent3 2 4 5 4 2 2 2" xfId="38028" xr:uid="{00000000-0005-0000-0000-0000A2140000}"/>
    <cellStyle name="20% - Accent3 2 4 5 4 2 3" xfId="28330" xr:uid="{00000000-0005-0000-0000-0000A3140000}"/>
    <cellStyle name="20% - Accent3 2 4 5 4 3" xfId="14173" xr:uid="{00000000-0005-0000-0000-0000A4140000}"/>
    <cellStyle name="20% - Accent3 2 4 5 4 3 2" xfId="33573" xr:uid="{00000000-0005-0000-0000-0000A5140000}"/>
    <cellStyle name="20% - Accent3 2 4 5 4 4" xfId="23875" xr:uid="{00000000-0005-0000-0000-0000A6140000}"/>
    <cellStyle name="20% - Accent3 2 4 5 5" xfId="5838" xr:uid="{00000000-0005-0000-0000-0000A7140000}"/>
    <cellStyle name="20% - Accent3 2 4 5 5 2" xfId="10302" xr:uid="{00000000-0005-0000-0000-0000A8140000}"/>
    <cellStyle name="20% - Accent3 2 4 5 5 2 2" xfId="20298" xr:uid="{00000000-0005-0000-0000-0000A9140000}"/>
    <cellStyle name="20% - Accent3 2 4 5 5 2 2 2" xfId="39698" xr:uid="{00000000-0005-0000-0000-0000AA140000}"/>
    <cellStyle name="20% - Accent3 2 4 5 5 2 3" xfId="30000" xr:uid="{00000000-0005-0000-0000-0000AB140000}"/>
    <cellStyle name="20% - Accent3 2 4 5 5 3" xfId="15843" xr:uid="{00000000-0005-0000-0000-0000AC140000}"/>
    <cellStyle name="20% - Accent3 2 4 5 5 3 2" xfId="35243" xr:uid="{00000000-0005-0000-0000-0000AD140000}"/>
    <cellStyle name="20% - Accent3 2 4 5 5 4" xfId="25545" xr:uid="{00000000-0005-0000-0000-0000AE140000}"/>
    <cellStyle name="20% - Accent3 2 4 5 6" xfId="6404" xr:uid="{00000000-0005-0000-0000-0000AF140000}"/>
    <cellStyle name="20% - Accent3 2 4 5 6 2" xfId="10859" xr:uid="{00000000-0005-0000-0000-0000B0140000}"/>
    <cellStyle name="20% - Accent3 2 4 5 6 2 2" xfId="20855" xr:uid="{00000000-0005-0000-0000-0000B1140000}"/>
    <cellStyle name="20% - Accent3 2 4 5 6 2 2 2" xfId="40255" xr:uid="{00000000-0005-0000-0000-0000B2140000}"/>
    <cellStyle name="20% - Accent3 2 4 5 6 2 3" xfId="30557" xr:uid="{00000000-0005-0000-0000-0000B3140000}"/>
    <cellStyle name="20% - Accent3 2 4 5 6 3" xfId="16400" xr:uid="{00000000-0005-0000-0000-0000B4140000}"/>
    <cellStyle name="20% - Accent3 2 4 5 6 3 2" xfId="35800" xr:uid="{00000000-0005-0000-0000-0000B5140000}"/>
    <cellStyle name="20% - Accent3 2 4 5 6 4" xfId="26102" xr:uid="{00000000-0005-0000-0000-0000B6140000}"/>
    <cellStyle name="20% - Accent3 2 4 5 7" xfId="6961" xr:uid="{00000000-0005-0000-0000-0000B7140000}"/>
    <cellStyle name="20% - Accent3 2 4 5 7 2" xfId="16957" xr:uid="{00000000-0005-0000-0000-0000B8140000}"/>
    <cellStyle name="20% - Accent3 2 4 5 7 2 2" xfId="36357" xr:uid="{00000000-0005-0000-0000-0000B9140000}"/>
    <cellStyle name="20% - Accent3 2 4 5 7 3" xfId="26659" xr:uid="{00000000-0005-0000-0000-0000BA140000}"/>
    <cellStyle name="20% - Accent3 2 4 5 8" xfId="12501" xr:uid="{00000000-0005-0000-0000-0000BB140000}"/>
    <cellStyle name="20% - Accent3 2 4 5 8 2" xfId="31902" xr:uid="{00000000-0005-0000-0000-0000BC140000}"/>
    <cellStyle name="20% - Accent3 2 4 5 9" xfId="22204" xr:uid="{00000000-0005-0000-0000-0000BD140000}"/>
    <cellStyle name="20% - Accent3 2 5" xfId="1251" xr:uid="{00000000-0005-0000-0000-0000BE140000}"/>
    <cellStyle name="20% - Accent3 2 5 2" xfId="2014" xr:uid="{00000000-0005-0000-0000-0000BF140000}"/>
    <cellStyle name="20% - Accent3 2 5 2 10" xfId="12502" xr:uid="{00000000-0005-0000-0000-0000C0140000}"/>
    <cellStyle name="20% - Accent3 2 5 2 10 2" xfId="31903" xr:uid="{00000000-0005-0000-0000-0000C1140000}"/>
    <cellStyle name="20% - Accent3 2 5 2 11" xfId="22205" xr:uid="{00000000-0005-0000-0000-0000C2140000}"/>
    <cellStyle name="20% - Accent3 2 5 2 2" xfId="2015" xr:uid="{00000000-0005-0000-0000-0000C3140000}"/>
    <cellStyle name="20% - Accent3 2 5 2 2 2" xfId="3014" xr:uid="{00000000-0005-0000-0000-0000C4140000}"/>
    <cellStyle name="20% - Accent3 2 5 2 2 2 2" xfId="5283" xr:uid="{00000000-0005-0000-0000-0000C5140000}"/>
    <cellStyle name="20% - Accent3 2 5 2 2 2 2 2" xfId="9747" xr:uid="{00000000-0005-0000-0000-0000C6140000}"/>
    <cellStyle name="20% - Accent3 2 5 2 2 2 2 2 2" xfId="19743" xr:uid="{00000000-0005-0000-0000-0000C7140000}"/>
    <cellStyle name="20% - Accent3 2 5 2 2 2 2 2 2 2" xfId="39143" xr:uid="{00000000-0005-0000-0000-0000C8140000}"/>
    <cellStyle name="20% - Accent3 2 5 2 2 2 2 2 3" xfId="29445" xr:uid="{00000000-0005-0000-0000-0000C9140000}"/>
    <cellStyle name="20% - Accent3 2 5 2 2 2 2 3" xfId="15288" xr:uid="{00000000-0005-0000-0000-0000CA140000}"/>
    <cellStyle name="20% - Accent3 2 5 2 2 2 2 3 2" xfId="34688" xr:uid="{00000000-0005-0000-0000-0000CB140000}"/>
    <cellStyle name="20% - Accent3 2 5 2 2 2 2 4" xfId="24990" xr:uid="{00000000-0005-0000-0000-0000CC140000}"/>
    <cellStyle name="20% - Accent3 2 5 2 2 2 3" xfId="7519" xr:uid="{00000000-0005-0000-0000-0000CD140000}"/>
    <cellStyle name="20% - Accent3 2 5 2 2 2 3 2" xfId="17515" xr:uid="{00000000-0005-0000-0000-0000CE140000}"/>
    <cellStyle name="20% - Accent3 2 5 2 2 2 3 2 2" xfId="36915" xr:uid="{00000000-0005-0000-0000-0000CF140000}"/>
    <cellStyle name="20% - Accent3 2 5 2 2 2 3 3" xfId="27217" xr:uid="{00000000-0005-0000-0000-0000D0140000}"/>
    <cellStyle name="20% - Accent3 2 5 2 2 2 4" xfId="13060" xr:uid="{00000000-0005-0000-0000-0000D1140000}"/>
    <cellStyle name="20% - Accent3 2 5 2 2 2 4 2" xfId="32460" xr:uid="{00000000-0005-0000-0000-0000D2140000}"/>
    <cellStyle name="20% - Accent3 2 5 2 2 2 5" xfId="22762" xr:uid="{00000000-0005-0000-0000-0000D3140000}"/>
    <cellStyle name="20% - Accent3 2 5 2 2 3" xfId="3597" xr:uid="{00000000-0005-0000-0000-0000D4140000}"/>
    <cellStyle name="20% - Accent3 2 5 2 2 3 2" xfId="4727" xr:uid="{00000000-0005-0000-0000-0000D5140000}"/>
    <cellStyle name="20% - Accent3 2 5 2 2 3 2 2" xfId="9191" xr:uid="{00000000-0005-0000-0000-0000D6140000}"/>
    <cellStyle name="20% - Accent3 2 5 2 2 3 2 2 2" xfId="19187" xr:uid="{00000000-0005-0000-0000-0000D7140000}"/>
    <cellStyle name="20% - Accent3 2 5 2 2 3 2 2 2 2" xfId="38587" xr:uid="{00000000-0005-0000-0000-0000D8140000}"/>
    <cellStyle name="20% - Accent3 2 5 2 2 3 2 2 3" xfId="28889" xr:uid="{00000000-0005-0000-0000-0000D9140000}"/>
    <cellStyle name="20% - Accent3 2 5 2 2 3 2 3" xfId="14732" xr:uid="{00000000-0005-0000-0000-0000DA140000}"/>
    <cellStyle name="20% - Accent3 2 5 2 2 3 2 3 2" xfId="34132" xr:uid="{00000000-0005-0000-0000-0000DB140000}"/>
    <cellStyle name="20% - Accent3 2 5 2 2 3 2 4" xfId="24434" xr:uid="{00000000-0005-0000-0000-0000DC140000}"/>
    <cellStyle name="20% - Accent3 2 5 2 2 3 3" xfId="8076" xr:uid="{00000000-0005-0000-0000-0000DD140000}"/>
    <cellStyle name="20% - Accent3 2 5 2 2 3 3 2" xfId="18072" xr:uid="{00000000-0005-0000-0000-0000DE140000}"/>
    <cellStyle name="20% - Accent3 2 5 2 2 3 3 2 2" xfId="37472" xr:uid="{00000000-0005-0000-0000-0000DF140000}"/>
    <cellStyle name="20% - Accent3 2 5 2 2 3 3 3" xfId="27774" xr:uid="{00000000-0005-0000-0000-0000E0140000}"/>
    <cellStyle name="20% - Accent3 2 5 2 2 3 4" xfId="13617" xr:uid="{00000000-0005-0000-0000-0000E1140000}"/>
    <cellStyle name="20% - Accent3 2 5 2 2 3 4 2" xfId="33017" xr:uid="{00000000-0005-0000-0000-0000E2140000}"/>
    <cellStyle name="20% - Accent3 2 5 2 2 3 5" xfId="23319" xr:uid="{00000000-0005-0000-0000-0000E3140000}"/>
    <cellStyle name="20% - Accent3 2 5 2 2 4" xfId="4170" xr:uid="{00000000-0005-0000-0000-0000E4140000}"/>
    <cellStyle name="20% - Accent3 2 5 2 2 4 2" xfId="8634" xr:uid="{00000000-0005-0000-0000-0000E5140000}"/>
    <cellStyle name="20% - Accent3 2 5 2 2 4 2 2" xfId="18630" xr:uid="{00000000-0005-0000-0000-0000E6140000}"/>
    <cellStyle name="20% - Accent3 2 5 2 2 4 2 2 2" xfId="38030" xr:uid="{00000000-0005-0000-0000-0000E7140000}"/>
    <cellStyle name="20% - Accent3 2 5 2 2 4 2 3" xfId="28332" xr:uid="{00000000-0005-0000-0000-0000E8140000}"/>
    <cellStyle name="20% - Accent3 2 5 2 2 4 3" xfId="14175" xr:uid="{00000000-0005-0000-0000-0000E9140000}"/>
    <cellStyle name="20% - Accent3 2 5 2 2 4 3 2" xfId="33575" xr:uid="{00000000-0005-0000-0000-0000EA140000}"/>
    <cellStyle name="20% - Accent3 2 5 2 2 4 4" xfId="23877" xr:uid="{00000000-0005-0000-0000-0000EB140000}"/>
    <cellStyle name="20% - Accent3 2 5 2 2 5" xfId="5840" xr:uid="{00000000-0005-0000-0000-0000EC140000}"/>
    <cellStyle name="20% - Accent3 2 5 2 2 5 2" xfId="10304" xr:uid="{00000000-0005-0000-0000-0000ED140000}"/>
    <cellStyle name="20% - Accent3 2 5 2 2 5 2 2" xfId="20300" xr:uid="{00000000-0005-0000-0000-0000EE140000}"/>
    <cellStyle name="20% - Accent3 2 5 2 2 5 2 2 2" xfId="39700" xr:uid="{00000000-0005-0000-0000-0000EF140000}"/>
    <cellStyle name="20% - Accent3 2 5 2 2 5 2 3" xfId="30002" xr:uid="{00000000-0005-0000-0000-0000F0140000}"/>
    <cellStyle name="20% - Accent3 2 5 2 2 5 3" xfId="15845" xr:uid="{00000000-0005-0000-0000-0000F1140000}"/>
    <cellStyle name="20% - Accent3 2 5 2 2 5 3 2" xfId="35245" xr:uid="{00000000-0005-0000-0000-0000F2140000}"/>
    <cellStyle name="20% - Accent3 2 5 2 2 5 4" xfId="25547" xr:uid="{00000000-0005-0000-0000-0000F3140000}"/>
    <cellStyle name="20% - Accent3 2 5 2 2 6" xfId="6406" xr:uid="{00000000-0005-0000-0000-0000F4140000}"/>
    <cellStyle name="20% - Accent3 2 5 2 2 6 2" xfId="10861" xr:uid="{00000000-0005-0000-0000-0000F5140000}"/>
    <cellStyle name="20% - Accent3 2 5 2 2 6 2 2" xfId="20857" xr:uid="{00000000-0005-0000-0000-0000F6140000}"/>
    <cellStyle name="20% - Accent3 2 5 2 2 6 2 2 2" xfId="40257" xr:uid="{00000000-0005-0000-0000-0000F7140000}"/>
    <cellStyle name="20% - Accent3 2 5 2 2 6 2 3" xfId="30559" xr:uid="{00000000-0005-0000-0000-0000F8140000}"/>
    <cellStyle name="20% - Accent3 2 5 2 2 6 3" xfId="16402" xr:uid="{00000000-0005-0000-0000-0000F9140000}"/>
    <cellStyle name="20% - Accent3 2 5 2 2 6 3 2" xfId="35802" xr:uid="{00000000-0005-0000-0000-0000FA140000}"/>
    <cellStyle name="20% - Accent3 2 5 2 2 6 4" xfId="26104" xr:uid="{00000000-0005-0000-0000-0000FB140000}"/>
    <cellStyle name="20% - Accent3 2 5 2 2 7" xfId="6963" xr:uid="{00000000-0005-0000-0000-0000FC140000}"/>
    <cellStyle name="20% - Accent3 2 5 2 2 7 2" xfId="16959" xr:uid="{00000000-0005-0000-0000-0000FD140000}"/>
    <cellStyle name="20% - Accent3 2 5 2 2 7 2 2" xfId="36359" xr:uid="{00000000-0005-0000-0000-0000FE140000}"/>
    <cellStyle name="20% - Accent3 2 5 2 2 7 3" xfId="26661" xr:uid="{00000000-0005-0000-0000-0000FF140000}"/>
    <cellStyle name="20% - Accent3 2 5 2 2 8" xfId="12503" xr:uid="{00000000-0005-0000-0000-000000150000}"/>
    <cellStyle name="20% - Accent3 2 5 2 2 8 2" xfId="31904" xr:uid="{00000000-0005-0000-0000-000001150000}"/>
    <cellStyle name="20% - Accent3 2 5 2 2 9" xfId="22206" xr:uid="{00000000-0005-0000-0000-000002150000}"/>
    <cellStyle name="20% - Accent3 2 5 2 3" xfId="2016" xr:uid="{00000000-0005-0000-0000-000003150000}"/>
    <cellStyle name="20% - Accent3 2 5 2 3 2" xfId="3015" xr:uid="{00000000-0005-0000-0000-000004150000}"/>
    <cellStyle name="20% - Accent3 2 5 2 3 2 2" xfId="5284" xr:uid="{00000000-0005-0000-0000-000005150000}"/>
    <cellStyle name="20% - Accent3 2 5 2 3 2 2 2" xfId="9748" xr:uid="{00000000-0005-0000-0000-000006150000}"/>
    <cellStyle name="20% - Accent3 2 5 2 3 2 2 2 2" xfId="19744" xr:uid="{00000000-0005-0000-0000-000007150000}"/>
    <cellStyle name="20% - Accent3 2 5 2 3 2 2 2 2 2" xfId="39144" xr:uid="{00000000-0005-0000-0000-000008150000}"/>
    <cellStyle name="20% - Accent3 2 5 2 3 2 2 2 3" xfId="29446" xr:uid="{00000000-0005-0000-0000-000009150000}"/>
    <cellStyle name="20% - Accent3 2 5 2 3 2 2 3" xfId="15289" xr:uid="{00000000-0005-0000-0000-00000A150000}"/>
    <cellStyle name="20% - Accent3 2 5 2 3 2 2 3 2" xfId="34689" xr:uid="{00000000-0005-0000-0000-00000B150000}"/>
    <cellStyle name="20% - Accent3 2 5 2 3 2 2 4" xfId="24991" xr:uid="{00000000-0005-0000-0000-00000C150000}"/>
    <cellStyle name="20% - Accent3 2 5 2 3 2 3" xfId="7520" xr:uid="{00000000-0005-0000-0000-00000D150000}"/>
    <cellStyle name="20% - Accent3 2 5 2 3 2 3 2" xfId="17516" xr:uid="{00000000-0005-0000-0000-00000E150000}"/>
    <cellStyle name="20% - Accent3 2 5 2 3 2 3 2 2" xfId="36916" xr:uid="{00000000-0005-0000-0000-00000F150000}"/>
    <cellStyle name="20% - Accent3 2 5 2 3 2 3 3" xfId="27218" xr:uid="{00000000-0005-0000-0000-000010150000}"/>
    <cellStyle name="20% - Accent3 2 5 2 3 2 4" xfId="13061" xr:uid="{00000000-0005-0000-0000-000011150000}"/>
    <cellStyle name="20% - Accent3 2 5 2 3 2 4 2" xfId="32461" xr:uid="{00000000-0005-0000-0000-000012150000}"/>
    <cellStyle name="20% - Accent3 2 5 2 3 2 5" xfId="22763" xr:uid="{00000000-0005-0000-0000-000013150000}"/>
    <cellStyle name="20% - Accent3 2 5 2 3 3" xfId="3598" xr:uid="{00000000-0005-0000-0000-000014150000}"/>
    <cellStyle name="20% - Accent3 2 5 2 3 3 2" xfId="4728" xr:uid="{00000000-0005-0000-0000-000015150000}"/>
    <cellStyle name="20% - Accent3 2 5 2 3 3 2 2" xfId="9192" xr:uid="{00000000-0005-0000-0000-000016150000}"/>
    <cellStyle name="20% - Accent3 2 5 2 3 3 2 2 2" xfId="19188" xr:uid="{00000000-0005-0000-0000-000017150000}"/>
    <cellStyle name="20% - Accent3 2 5 2 3 3 2 2 2 2" xfId="38588" xr:uid="{00000000-0005-0000-0000-000018150000}"/>
    <cellStyle name="20% - Accent3 2 5 2 3 3 2 2 3" xfId="28890" xr:uid="{00000000-0005-0000-0000-000019150000}"/>
    <cellStyle name="20% - Accent3 2 5 2 3 3 2 3" xfId="14733" xr:uid="{00000000-0005-0000-0000-00001A150000}"/>
    <cellStyle name="20% - Accent3 2 5 2 3 3 2 3 2" xfId="34133" xr:uid="{00000000-0005-0000-0000-00001B150000}"/>
    <cellStyle name="20% - Accent3 2 5 2 3 3 2 4" xfId="24435" xr:uid="{00000000-0005-0000-0000-00001C150000}"/>
    <cellStyle name="20% - Accent3 2 5 2 3 3 3" xfId="8077" xr:uid="{00000000-0005-0000-0000-00001D150000}"/>
    <cellStyle name="20% - Accent3 2 5 2 3 3 3 2" xfId="18073" xr:uid="{00000000-0005-0000-0000-00001E150000}"/>
    <cellStyle name="20% - Accent3 2 5 2 3 3 3 2 2" xfId="37473" xr:uid="{00000000-0005-0000-0000-00001F150000}"/>
    <cellStyle name="20% - Accent3 2 5 2 3 3 3 3" xfId="27775" xr:uid="{00000000-0005-0000-0000-000020150000}"/>
    <cellStyle name="20% - Accent3 2 5 2 3 3 4" xfId="13618" xr:uid="{00000000-0005-0000-0000-000021150000}"/>
    <cellStyle name="20% - Accent3 2 5 2 3 3 4 2" xfId="33018" xr:uid="{00000000-0005-0000-0000-000022150000}"/>
    <cellStyle name="20% - Accent3 2 5 2 3 3 5" xfId="23320" xr:uid="{00000000-0005-0000-0000-000023150000}"/>
    <cellStyle name="20% - Accent3 2 5 2 3 4" xfId="4171" xr:uid="{00000000-0005-0000-0000-000024150000}"/>
    <cellStyle name="20% - Accent3 2 5 2 3 4 2" xfId="8635" xr:uid="{00000000-0005-0000-0000-000025150000}"/>
    <cellStyle name="20% - Accent3 2 5 2 3 4 2 2" xfId="18631" xr:uid="{00000000-0005-0000-0000-000026150000}"/>
    <cellStyle name="20% - Accent3 2 5 2 3 4 2 2 2" xfId="38031" xr:uid="{00000000-0005-0000-0000-000027150000}"/>
    <cellStyle name="20% - Accent3 2 5 2 3 4 2 3" xfId="28333" xr:uid="{00000000-0005-0000-0000-000028150000}"/>
    <cellStyle name="20% - Accent3 2 5 2 3 4 3" xfId="14176" xr:uid="{00000000-0005-0000-0000-000029150000}"/>
    <cellStyle name="20% - Accent3 2 5 2 3 4 3 2" xfId="33576" xr:uid="{00000000-0005-0000-0000-00002A150000}"/>
    <cellStyle name="20% - Accent3 2 5 2 3 4 4" xfId="23878" xr:uid="{00000000-0005-0000-0000-00002B150000}"/>
    <cellStyle name="20% - Accent3 2 5 2 3 5" xfId="5841" xr:uid="{00000000-0005-0000-0000-00002C150000}"/>
    <cellStyle name="20% - Accent3 2 5 2 3 5 2" xfId="10305" xr:uid="{00000000-0005-0000-0000-00002D150000}"/>
    <cellStyle name="20% - Accent3 2 5 2 3 5 2 2" xfId="20301" xr:uid="{00000000-0005-0000-0000-00002E150000}"/>
    <cellStyle name="20% - Accent3 2 5 2 3 5 2 2 2" xfId="39701" xr:uid="{00000000-0005-0000-0000-00002F150000}"/>
    <cellStyle name="20% - Accent3 2 5 2 3 5 2 3" xfId="30003" xr:uid="{00000000-0005-0000-0000-000030150000}"/>
    <cellStyle name="20% - Accent3 2 5 2 3 5 3" xfId="15846" xr:uid="{00000000-0005-0000-0000-000031150000}"/>
    <cellStyle name="20% - Accent3 2 5 2 3 5 3 2" xfId="35246" xr:uid="{00000000-0005-0000-0000-000032150000}"/>
    <cellStyle name="20% - Accent3 2 5 2 3 5 4" xfId="25548" xr:uid="{00000000-0005-0000-0000-000033150000}"/>
    <cellStyle name="20% - Accent3 2 5 2 3 6" xfId="6407" xr:uid="{00000000-0005-0000-0000-000034150000}"/>
    <cellStyle name="20% - Accent3 2 5 2 3 6 2" xfId="10862" xr:uid="{00000000-0005-0000-0000-000035150000}"/>
    <cellStyle name="20% - Accent3 2 5 2 3 6 2 2" xfId="20858" xr:uid="{00000000-0005-0000-0000-000036150000}"/>
    <cellStyle name="20% - Accent3 2 5 2 3 6 2 2 2" xfId="40258" xr:uid="{00000000-0005-0000-0000-000037150000}"/>
    <cellStyle name="20% - Accent3 2 5 2 3 6 2 3" xfId="30560" xr:uid="{00000000-0005-0000-0000-000038150000}"/>
    <cellStyle name="20% - Accent3 2 5 2 3 6 3" xfId="16403" xr:uid="{00000000-0005-0000-0000-000039150000}"/>
    <cellStyle name="20% - Accent3 2 5 2 3 6 3 2" xfId="35803" xr:uid="{00000000-0005-0000-0000-00003A150000}"/>
    <cellStyle name="20% - Accent3 2 5 2 3 6 4" xfId="26105" xr:uid="{00000000-0005-0000-0000-00003B150000}"/>
    <cellStyle name="20% - Accent3 2 5 2 3 7" xfId="6964" xr:uid="{00000000-0005-0000-0000-00003C150000}"/>
    <cellStyle name="20% - Accent3 2 5 2 3 7 2" xfId="16960" xr:uid="{00000000-0005-0000-0000-00003D150000}"/>
    <cellStyle name="20% - Accent3 2 5 2 3 7 2 2" xfId="36360" xr:uid="{00000000-0005-0000-0000-00003E150000}"/>
    <cellStyle name="20% - Accent3 2 5 2 3 7 3" xfId="26662" xr:uid="{00000000-0005-0000-0000-00003F150000}"/>
    <cellStyle name="20% - Accent3 2 5 2 3 8" xfId="12504" xr:uid="{00000000-0005-0000-0000-000040150000}"/>
    <cellStyle name="20% - Accent3 2 5 2 3 8 2" xfId="31905" xr:uid="{00000000-0005-0000-0000-000041150000}"/>
    <cellStyle name="20% - Accent3 2 5 2 3 9" xfId="22207" xr:uid="{00000000-0005-0000-0000-000042150000}"/>
    <cellStyle name="20% - Accent3 2 5 2 4" xfId="3013" xr:uid="{00000000-0005-0000-0000-000043150000}"/>
    <cellStyle name="20% - Accent3 2 5 2 4 2" xfId="5282" xr:uid="{00000000-0005-0000-0000-000044150000}"/>
    <cellStyle name="20% - Accent3 2 5 2 4 2 2" xfId="9746" xr:uid="{00000000-0005-0000-0000-000045150000}"/>
    <cellStyle name="20% - Accent3 2 5 2 4 2 2 2" xfId="19742" xr:uid="{00000000-0005-0000-0000-000046150000}"/>
    <cellStyle name="20% - Accent3 2 5 2 4 2 2 2 2" xfId="39142" xr:uid="{00000000-0005-0000-0000-000047150000}"/>
    <cellStyle name="20% - Accent3 2 5 2 4 2 2 3" xfId="29444" xr:uid="{00000000-0005-0000-0000-000048150000}"/>
    <cellStyle name="20% - Accent3 2 5 2 4 2 3" xfId="15287" xr:uid="{00000000-0005-0000-0000-000049150000}"/>
    <cellStyle name="20% - Accent3 2 5 2 4 2 3 2" xfId="34687" xr:uid="{00000000-0005-0000-0000-00004A150000}"/>
    <cellStyle name="20% - Accent3 2 5 2 4 2 4" xfId="24989" xr:uid="{00000000-0005-0000-0000-00004B150000}"/>
    <cellStyle name="20% - Accent3 2 5 2 4 3" xfId="7518" xr:uid="{00000000-0005-0000-0000-00004C150000}"/>
    <cellStyle name="20% - Accent3 2 5 2 4 3 2" xfId="17514" xr:uid="{00000000-0005-0000-0000-00004D150000}"/>
    <cellStyle name="20% - Accent3 2 5 2 4 3 2 2" xfId="36914" xr:uid="{00000000-0005-0000-0000-00004E150000}"/>
    <cellStyle name="20% - Accent3 2 5 2 4 3 3" xfId="27216" xr:uid="{00000000-0005-0000-0000-00004F150000}"/>
    <cellStyle name="20% - Accent3 2 5 2 4 4" xfId="13059" xr:uid="{00000000-0005-0000-0000-000050150000}"/>
    <cellStyle name="20% - Accent3 2 5 2 4 4 2" xfId="32459" xr:uid="{00000000-0005-0000-0000-000051150000}"/>
    <cellStyle name="20% - Accent3 2 5 2 4 5" xfId="22761" xr:uid="{00000000-0005-0000-0000-000052150000}"/>
    <cellStyle name="20% - Accent3 2 5 2 5" xfId="3596" xr:uid="{00000000-0005-0000-0000-000053150000}"/>
    <cellStyle name="20% - Accent3 2 5 2 5 2" xfId="4726" xr:uid="{00000000-0005-0000-0000-000054150000}"/>
    <cellStyle name="20% - Accent3 2 5 2 5 2 2" xfId="9190" xr:uid="{00000000-0005-0000-0000-000055150000}"/>
    <cellStyle name="20% - Accent3 2 5 2 5 2 2 2" xfId="19186" xr:uid="{00000000-0005-0000-0000-000056150000}"/>
    <cellStyle name="20% - Accent3 2 5 2 5 2 2 2 2" xfId="38586" xr:uid="{00000000-0005-0000-0000-000057150000}"/>
    <cellStyle name="20% - Accent3 2 5 2 5 2 2 3" xfId="28888" xr:uid="{00000000-0005-0000-0000-000058150000}"/>
    <cellStyle name="20% - Accent3 2 5 2 5 2 3" xfId="14731" xr:uid="{00000000-0005-0000-0000-000059150000}"/>
    <cellStyle name="20% - Accent3 2 5 2 5 2 3 2" xfId="34131" xr:uid="{00000000-0005-0000-0000-00005A150000}"/>
    <cellStyle name="20% - Accent3 2 5 2 5 2 4" xfId="24433" xr:uid="{00000000-0005-0000-0000-00005B150000}"/>
    <cellStyle name="20% - Accent3 2 5 2 5 3" xfId="8075" xr:uid="{00000000-0005-0000-0000-00005C150000}"/>
    <cellStyle name="20% - Accent3 2 5 2 5 3 2" xfId="18071" xr:uid="{00000000-0005-0000-0000-00005D150000}"/>
    <cellStyle name="20% - Accent3 2 5 2 5 3 2 2" xfId="37471" xr:uid="{00000000-0005-0000-0000-00005E150000}"/>
    <cellStyle name="20% - Accent3 2 5 2 5 3 3" xfId="27773" xr:uid="{00000000-0005-0000-0000-00005F150000}"/>
    <cellStyle name="20% - Accent3 2 5 2 5 4" xfId="13616" xr:uid="{00000000-0005-0000-0000-000060150000}"/>
    <cellStyle name="20% - Accent3 2 5 2 5 4 2" xfId="33016" xr:uid="{00000000-0005-0000-0000-000061150000}"/>
    <cellStyle name="20% - Accent3 2 5 2 5 5" xfId="23318" xr:uid="{00000000-0005-0000-0000-000062150000}"/>
    <cellStyle name="20% - Accent3 2 5 2 6" xfId="4169" xr:uid="{00000000-0005-0000-0000-000063150000}"/>
    <cellStyle name="20% - Accent3 2 5 2 6 2" xfId="8633" xr:uid="{00000000-0005-0000-0000-000064150000}"/>
    <cellStyle name="20% - Accent3 2 5 2 6 2 2" xfId="18629" xr:uid="{00000000-0005-0000-0000-000065150000}"/>
    <cellStyle name="20% - Accent3 2 5 2 6 2 2 2" xfId="38029" xr:uid="{00000000-0005-0000-0000-000066150000}"/>
    <cellStyle name="20% - Accent3 2 5 2 6 2 3" xfId="28331" xr:uid="{00000000-0005-0000-0000-000067150000}"/>
    <cellStyle name="20% - Accent3 2 5 2 6 3" xfId="14174" xr:uid="{00000000-0005-0000-0000-000068150000}"/>
    <cellStyle name="20% - Accent3 2 5 2 6 3 2" xfId="33574" xr:uid="{00000000-0005-0000-0000-000069150000}"/>
    <cellStyle name="20% - Accent3 2 5 2 6 4" xfId="23876" xr:uid="{00000000-0005-0000-0000-00006A150000}"/>
    <cellStyle name="20% - Accent3 2 5 2 7" xfId="5839" xr:uid="{00000000-0005-0000-0000-00006B150000}"/>
    <cellStyle name="20% - Accent3 2 5 2 7 2" xfId="10303" xr:uid="{00000000-0005-0000-0000-00006C150000}"/>
    <cellStyle name="20% - Accent3 2 5 2 7 2 2" xfId="20299" xr:uid="{00000000-0005-0000-0000-00006D150000}"/>
    <cellStyle name="20% - Accent3 2 5 2 7 2 2 2" xfId="39699" xr:uid="{00000000-0005-0000-0000-00006E150000}"/>
    <cellStyle name="20% - Accent3 2 5 2 7 2 3" xfId="30001" xr:uid="{00000000-0005-0000-0000-00006F150000}"/>
    <cellStyle name="20% - Accent3 2 5 2 7 3" xfId="15844" xr:uid="{00000000-0005-0000-0000-000070150000}"/>
    <cellStyle name="20% - Accent3 2 5 2 7 3 2" xfId="35244" xr:uid="{00000000-0005-0000-0000-000071150000}"/>
    <cellStyle name="20% - Accent3 2 5 2 7 4" xfId="25546" xr:uid="{00000000-0005-0000-0000-000072150000}"/>
    <cellStyle name="20% - Accent3 2 5 2 8" xfId="6405" xr:uid="{00000000-0005-0000-0000-000073150000}"/>
    <cellStyle name="20% - Accent3 2 5 2 8 2" xfId="10860" xr:uid="{00000000-0005-0000-0000-000074150000}"/>
    <cellStyle name="20% - Accent3 2 5 2 8 2 2" xfId="20856" xr:uid="{00000000-0005-0000-0000-000075150000}"/>
    <cellStyle name="20% - Accent3 2 5 2 8 2 2 2" xfId="40256" xr:uid="{00000000-0005-0000-0000-000076150000}"/>
    <cellStyle name="20% - Accent3 2 5 2 8 2 3" xfId="30558" xr:uid="{00000000-0005-0000-0000-000077150000}"/>
    <cellStyle name="20% - Accent3 2 5 2 8 3" xfId="16401" xr:uid="{00000000-0005-0000-0000-000078150000}"/>
    <cellStyle name="20% - Accent3 2 5 2 8 3 2" xfId="35801" xr:uid="{00000000-0005-0000-0000-000079150000}"/>
    <cellStyle name="20% - Accent3 2 5 2 8 4" xfId="26103" xr:uid="{00000000-0005-0000-0000-00007A150000}"/>
    <cellStyle name="20% - Accent3 2 5 2 9" xfId="6962" xr:uid="{00000000-0005-0000-0000-00007B150000}"/>
    <cellStyle name="20% - Accent3 2 5 2 9 2" xfId="16958" xr:uid="{00000000-0005-0000-0000-00007C150000}"/>
    <cellStyle name="20% - Accent3 2 5 2 9 2 2" xfId="36358" xr:uid="{00000000-0005-0000-0000-00007D150000}"/>
    <cellStyle name="20% - Accent3 2 5 2 9 3" xfId="26660" xr:uid="{00000000-0005-0000-0000-00007E150000}"/>
    <cellStyle name="20% - Accent3 2 5 3" xfId="2017" xr:uid="{00000000-0005-0000-0000-00007F150000}"/>
    <cellStyle name="20% - Accent3 2 5 3 2" xfId="3016" xr:uid="{00000000-0005-0000-0000-000080150000}"/>
    <cellStyle name="20% - Accent3 2 5 3 2 2" xfId="5285" xr:uid="{00000000-0005-0000-0000-000081150000}"/>
    <cellStyle name="20% - Accent3 2 5 3 2 2 2" xfId="9749" xr:uid="{00000000-0005-0000-0000-000082150000}"/>
    <cellStyle name="20% - Accent3 2 5 3 2 2 2 2" xfId="19745" xr:uid="{00000000-0005-0000-0000-000083150000}"/>
    <cellStyle name="20% - Accent3 2 5 3 2 2 2 2 2" xfId="39145" xr:uid="{00000000-0005-0000-0000-000084150000}"/>
    <cellStyle name="20% - Accent3 2 5 3 2 2 2 3" xfId="29447" xr:uid="{00000000-0005-0000-0000-000085150000}"/>
    <cellStyle name="20% - Accent3 2 5 3 2 2 3" xfId="15290" xr:uid="{00000000-0005-0000-0000-000086150000}"/>
    <cellStyle name="20% - Accent3 2 5 3 2 2 3 2" xfId="34690" xr:uid="{00000000-0005-0000-0000-000087150000}"/>
    <cellStyle name="20% - Accent3 2 5 3 2 2 4" xfId="24992" xr:uid="{00000000-0005-0000-0000-000088150000}"/>
    <cellStyle name="20% - Accent3 2 5 3 2 3" xfId="7521" xr:uid="{00000000-0005-0000-0000-000089150000}"/>
    <cellStyle name="20% - Accent3 2 5 3 2 3 2" xfId="17517" xr:uid="{00000000-0005-0000-0000-00008A150000}"/>
    <cellStyle name="20% - Accent3 2 5 3 2 3 2 2" xfId="36917" xr:uid="{00000000-0005-0000-0000-00008B150000}"/>
    <cellStyle name="20% - Accent3 2 5 3 2 3 3" xfId="27219" xr:uid="{00000000-0005-0000-0000-00008C150000}"/>
    <cellStyle name="20% - Accent3 2 5 3 2 4" xfId="13062" xr:uid="{00000000-0005-0000-0000-00008D150000}"/>
    <cellStyle name="20% - Accent3 2 5 3 2 4 2" xfId="32462" xr:uid="{00000000-0005-0000-0000-00008E150000}"/>
    <cellStyle name="20% - Accent3 2 5 3 2 5" xfId="22764" xr:uid="{00000000-0005-0000-0000-00008F150000}"/>
    <cellStyle name="20% - Accent3 2 5 3 3" xfId="3599" xr:uid="{00000000-0005-0000-0000-000090150000}"/>
    <cellStyle name="20% - Accent3 2 5 3 3 2" xfId="4729" xr:uid="{00000000-0005-0000-0000-000091150000}"/>
    <cellStyle name="20% - Accent3 2 5 3 3 2 2" xfId="9193" xr:uid="{00000000-0005-0000-0000-000092150000}"/>
    <cellStyle name="20% - Accent3 2 5 3 3 2 2 2" xfId="19189" xr:uid="{00000000-0005-0000-0000-000093150000}"/>
    <cellStyle name="20% - Accent3 2 5 3 3 2 2 2 2" xfId="38589" xr:uid="{00000000-0005-0000-0000-000094150000}"/>
    <cellStyle name="20% - Accent3 2 5 3 3 2 2 3" xfId="28891" xr:uid="{00000000-0005-0000-0000-000095150000}"/>
    <cellStyle name="20% - Accent3 2 5 3 3 2 3" xfId="14734" xr:uid="{00000000-0005-0000-0000-000096150000}"/>
    <cellStyle name="20% - Accent3 2 5 3 3 2 3 2" xfId="34134" xr:uid="{00000000-0005-0000-0000-000097150000}"/>
    <cellStyle name="20% - Accent3 2 5 3 3 2 4" xfId="24436" xr:uid="{00000000-0005-0000-0000-000098150000}"/>
    <cellStyle name="20% - Accent3 2 5 3 3 3" xfId="8078" xr:uid="{00000000-0005-0000-0000-000099150000}"/>
    <cellStyle name="20% - Accent3 2 5 3 3 3 2" xfId="18074" xr:uid="{00000000-0005-0000-0000-00009A150000}"/>
    <cellStyle name="20% - Accent3 2 5 3 3 3 2 2" xfId="37474" xr:uid="{00000000-0005-0000-0000-00009B150000}"/>
    <cellStyle name="20% - Accent3 2 5 3 3 3 3" xfId="27776" xr:uid="{00000000-0005-0000-0000-00009C150000}"/>
    <cellStyle name="20% - Accent3 2 5 3 3 4" xfId="13619" xr:uid="{00000000-0005-0000-0000-00009D150000}"/>
    <cellStyle name="20% - Accent3 2 5 3 3 4 2" xfId="33019" xr:uid="{00000000-0005-0000-0000-00009E150000}"/>
    <cellStyle name="20% - Accent3 2 5 3 3 5" xfId="23321" xr:uid="{00000000-0005-0000-0000-00009F150000}"/>
    <cellStyle name="20% - Accent3 2 5 3 4" xfId="4172" xr:uid="{00000000-0005-0000-0000-0000A0150000}"/>
    <cellStyle name="20% - Accent3 2 5 3 4 2" xfId="8636" xr:uid="{00000000-0005-0000-0000-0000A1150000}"/>
    <cellStyle name="20% - Accent3 2 5 3 4 2 2" xfId="18632" xr:uid="{00000000-0005-0000-0000-0000A2150000}"/>
    <cellStyle name="20% - Accent3 2 5 3 4 2 2 2" xfId="38032" xr:uid="{00000000-0005-0000-0000-0000A3150000}"/>
    <cellStyle name="20% - Accent3 2 5 3 4 2 3" xfId="28334" xr:uid="{00000000-0005-0000-0000-0000A4150000}"/>
    <cellStyle name="20% - Accent3 2 5 3 4 3" xfId="14177" xr:uid="{00000000-0005-0000-0000-0000A5150000}"/>
    <cellStyle name="20% - Accent3 2 5 3 4 3 2" xfId="33577" xr:uid="{00000000-0005-0000-0000-0000A6150000}"/>
    <cellStyle name="20% - Accent3 2 5 3 4 4" xfId="23879" xr:uid="{00000000-0005-0000-0000-0000A7150000}"/>
    <cellStyle name="20% - Accent3 2 5 3 5" xfId="5842" xr:uid="{00000000-0005-0000-0000-0000A8150000}"/>
    <cellStyle name="20% - Accent3 2 5 3 5 2" xfId="10306" xr:uid="{00000000-0005-0000-0000-0000A9150000}"/>
    <cellStyle name="20% - Accent3 2 5 3 5 2 2" xfId="20302" xr:uid="{00000000-0005-0000-0000-0000AA150000}"/>
    <cellStyle name="20% - Accent3 2 5 3 5 2 2 2" xfId="39702" xr:uid="{00000000-0005-0000-0000-0000AB150000}"/>
    <cellStyle name="20% - Accent3 2 5 3 5 2 3" xfId="30004" xr:uid="{00000000-0005-0000-0000-0000AC150000}"/>
    <cellStyle name="20% - Accent3 2 5 3 5 3" xfId="15847" xr:uid="{00000000-0005-0000-0000-0000AD150000}"/>
    <cellStyle name="20% - Accent3 2 5 3 5 3 2" xfId="35247" xr:uid="{00000000-0005-0000-0000-0000AE150000}"/>
    <cellStyle name="20% - Accent3 2 5 3 5 4" xfId="25549" xr:uid="{00000000-0005-0000-0000-0000AF150000}"/>
    <cellStyle name="20% - Accent3 2 5 3 6" xfId="6408" xr:uid="{00000000-0005-0000-0000-0000B0150000}"/>
    <cellStyle name="20% - Accent3 2 5 3 6 2" xfId="10863" xr:uid="{00000000-0005-0000-0000-0000B1150000}"/>
    <cellStyle name="20% - Accent3 2 5 3 6 2 2" xfId="20859" xr:uid="{00000000-0005-0000-0000-0000B2150000}"/>
    <cellStyle name="20% - Accent3 2 5 3 6 2 2 2" xfId="40259" xr:uid="{00000000-0005-0000-0000-0000B3150000}"/>
    <cellStyle name="20% - Accent3 2 5 3 6 2 3" xfId="30561" xr:uid="{00000000-0005-0000-0000-0000B4150000}"/>
    <cellStyle name="20% - Accent3 2 5 3 6 3" xfId="16404" xr:uid="{00000000-0005-0000-0000-0000B5150000}"/>
    <cellStyle name="20% - Accent3 2 5 3 6 3 2" xfId="35804" xr:uid="{00000000-0005-0000-0000-0000B6150000}"/>
    <cellStyle name="20% - Accent3 2 5 3 6 4" xfId="26106" xr:uid="{00000000-0005-0000-0000-0000B7150000}"/>
    <cellStyle name="20% - Accent3 2 5 3 7" xfId="6965" xr:uid="{00000000-0005-0000-0000-0000B8150000}"/>
    <cellStyle name="20% - Accent3 2 5 3 7 2" xfId="16961" xr:uid="{00000000-0005-0000-0000-0000B9150000}"/>
    <cellStyle name="20% - Accent3 2 5 3 7 2 2" xfId="36361" xr:uid="{00000000-0005-0000-0000-0000BA150000}"/>
    <cellStyle name="20% - Accent3 2 5 3 7 3" xfId="26663" xr:uid="{00000000-0005-0000-0000-0000BB150000}"/>
    <cellStyle name="20% - Accent3 2 5 3 8" xfId="12505" xr:uid="{00000000-0005-0000-0000-0000BC150000}"/>
    <cellStyle name="20% - Accent3 2 5 3 8 2" xfId="31906" xr:uid="{00000000-0005-0000-0000-0000BD150000}"/>
    <cellStyle name="20% - Accent3 2 5 3 9" xfId="22208" xr:uid="{00000000-0005-0000-0000-0000BE150000}"/>
    <cellStyle name="20% - Accent3 2 5 4" xfId="2018" xr:uid="{00000000-0005-0000-0000-0000BF150000}"/>
    <cellStyle name="20% - Accent3 2 5 4 2" xfId="3017" xr:uid="{00000000-0005-0000-0000-0000C0150000}"/>
    <cellStyle name="20% - Accent3 2 5 4 2 2" xfId="5286" xr:uid="{00000000-0005-0000-0000-0000C1150000}"/>
    <cellStyle name="20% - Accent3 2 5 4 2 2 2" xfId="9750" xr:uid="{00000000-0005-0000-0000-0000C2150000}"/>
    <cellStyle name="20% - Accent3 2 5 4 2 2 2 2" xfId="19746" xr:uid="{00000000-0005-0000-0000-0000C3150000}"/>
    <cellStyle name="20% - Accent3 2 5 4 2 2 2 2 2" xfId="39146" xr:uid="{00000000-0005-0000-0000-0000C4150000}"/>
    <cellStyle name="20% - Accent3 2 5 4 2 2 2 3" xfId="29448" xr:uid="{00000000-0005-0000-0000-0000C5150000}"/>
    <cellStyle name="20% - Accent3 2 5 4 2 2 3" xfId="15291" xr:uid="{00000000-0005-0000-0000-0000C6150000}"/>
    <cellStyle name="20% - Accent3 2 5 4 2 2 3 2" xfId="34691" xr:uid="{00000000-0005-0000-0000-0000C7150000}"/>
    <cellStyle name="20% - Accent3 2 5 4 2 2 4" xfId="24993" xr:uid="{00000000-0005-0000-0000-0000C8150000}"/>
    <cellStyle name="20% - Accent3 2 5 4 2 3" xfId="7522" xr:uid="{00000000-0005-0000-0000-0000C9150000}"/>
    <cellStyle name="20% - Accent3 2 5 4 2 3 2" xfId="17518" xr:uid="{00000000-0005-0000-0000-0000CA150000}"/>
    <cellStyle name="20% - Accent3 2 5 4 2 3 2 2" xfId="36918" xr:uid="{00000000-0005-0000-0000-0000CB150000}"/>
    <cellStyle name="20% - Accent3 2 5 4 2 3 3" xfId="27220" xr:uid="{00000000-0005-0000-0000-0000CC150000}"/>
    <cellStyle name="20% - Accent3 2 5 4 2 4" xfId="13063" xr:uid="{00000000-0005-0000-0000-0000CD150000}"/>
    <cellStyle name="20% - Accent3 2 5 4 2 4 2" xfId="32463" xr:uid="{00000000-0005-0000-0000-0000CE150000}"/>
    <cellStyle name="20% - Accent3 2 5 4 2 5" xfId="22765" xr:uid="{00000000-0005-0000-0000-0000CF150000}"/>
    <cellStyle name="20% - Accent3 2 5 4 3" xfId="3600" xr:uid="{00000000-0005-0000-0000-0000D0150000}"/>
    <cellStyle name="20% - Accent3 2 5 4 3 2" xfId="4730" xr:uid="{00000000-0005-0000-0000-0000D1150000}"/>
    <cellStyle name="20% - Accent3 2 5 4 3 2 2" xfId="9194" xr:uid="{00000000-0005-0000-0000-0000D2150000}"/>
    <cellStyle name="20% - Accent3 2 5 4 3 2 2 2" xfId="19190" xr:uid="{00000000-0005-0000-0000-0000D3150000}"/>
    <cellStyle name="20% - Accent3 2 5 4 3 2 2 2 2" xfId="38590" xr:uid="{00000000-0005-0000-0000-0000D4150000}"/>
    <cellStyle name="20% - Accent3 2 5 4 3 2 2 3" xfId="28892" xr:uid="{00000000-0005-0000-0000-0000D5150000}"/>
    <cellStyle name="20% - Accent3 2 5 4 3 2 3" xfId="14735" xr:uid="{00000000-0005-0000-0000-0000D6150000}"/>
    <cellStyle name="20% - Accent3 2 5 4 3 2 3 2" xfId="34135" xr:uid="{00000000-0005-0000-0000-0000D7150000}"/>
    <cellStyle name="20% - Accent3 2 5 4 3 2 4" xfId="24437" xr:uid="{00000000-0005-0000-0000-0000D8150000}"/>
    <cellStyle name="20% - Accent3 2 5 4 3 3" xfId="8079" xr:uid="{00000000-0005-0000-0000-0000D9150000}"/>
    <cellStyle name="20% - Accent3 2 5 4 3 3 2" xfId="18075" xr:uid="{00000000-0005-0000-0000-0000DA150000}"/>
    <cellStyle name="20% - Accent3 2 5 4 3 3 2 2" xfId="37475" xr:uid="{00000000-0005-0000-0000-0000DB150000}"/>
    <cellStyle name="20% - Accent3 2 5 4 3 3 3" xfId="27777" xr:uid="{00000000-0005-0000-0000-0000DC150000}"/>
    <cellStyle name="20% - Accent3 2 5 4 3 4" xfId="13620" xr:uid="{00000000-0005-0000-0000-0000DD150000}"/>
    <cellStyle name="20% - Accent3 2 5 4 3 4 2" xfId="33020" xr:uid="{00000000-0005-0000-0000-0000DE150000}"/>
    <cellStyle name="20% - Accent3 2 5 4 3 5" xfId="23322" xr:uid="{00000000-0005-0000-0000-0000DF150000}"/>
    <cellStyle name="20% - Accent3 2 5 4 4" xfId="4173" xr:uid="{00000000-0005-0000-0000-0000E0150000}"/>
    <cellStyle name="20% - Accent3 2 5 4 4 2" xfId="8637" xr:uid="{00000000-0005-0000-0000-0000E1150000}"/>
    <cellStyle name="20% - Accent3 2 5 4 4 2 2" xfId="18633" xr:uid="{00000000-0005-0000-0000-0000E2150000}"/>
    <cellStyle name="20% - Accent3 2 5 4 4 2 2 2" xfId="38033" xr:uid="{00000000-0005-0000-0000-0000E3150000}"/>
    <cellStyle name="20% - Accent3 2 5 4 4 2 3" xfId="28335" xr:uid="{00000000-0005-0000-0000-0000E4150000}"/>
    <cellStyle name="20% - Accent3 2 5 4 4 3" xfId="14178" xr:uid="{00000000-0005-0000-0000-0000E5150000}"/>
    <cellStyle name="20% - Accent3 2 5 4 4 3 2" xfId="33578" xr:uid="{00000000-0005-0000-0000-0000E6150000}"/>
    <cellStyle name="20% - Accent3 2 5 4 4 4" xfId="23880" xr:uid="{00000000-0005-0000-0000-0000E7150000}"/>
    <cellStyle name="20% - Accent3 2 5 4 5" xfId="5843" xr:uid="{00000000-0005-0000-0000-0000E8150000}"/>
    <cellStyle name="20% - Accent3 2 5 4 5 2" xfId="10307" xr:uid="{00000000-0005-0000-0000-0000E9150000}"/>
    <cellStyle name="20% - Accent3 2 5 4 5 2 2" xfId="20303" xr:uid="{00000000-0005-0000-0000-0000EA150000}"/>
    <cellStyle name="20% - Accent3 2 5 4 5 2 2 2" xfId="39703" xr:uid="{00000000-0005-0000-0000-0000EB150000}"/>
    <cellStyle name="20% - Accent3 2 5 4 5 2 3" xfId="30005" xr:uid="{00000000-0005-0000-0000-0000EC150000}"/>
    <cellStyle name="20% - Accent3 2 5 4 5 3" xfId="15848" xr:uid="{00000000-0005-0000-0000-0000ED150000}"/>
    <cellStyle name="20% - Accent3 2 5 4 5 3 2" xfId="35248" xr:uid="{00000000-0005-0000-0000-0000EE150000}"/>
    <cellStyle name="20% - Accent3 2 5 4 5 4" xfId="25550" xr:uid="{00000000-0005-0000-0000-0000EF150000}"/>
    <cellStyle name="20% - Accent3 2 5 4 6" xfId="6409" xr:uid="{00000000-0005-0000-0000-0000F0150000}"/>
    <cellStyle name="20% - Accent3 2 5 4 6 2" xfId="10864" xr:uid="{00000000-0005-0000-0000-0000F1150000}"/>
    <cellStyle name="20% - Accent3 2 5 4 6 2 2" xfId="20860" xr:uid="{00000000-0005-0000-0000-0000F2150000}"/>
    <cellStyle name="20% - Accent3 2 5 4 6 2 2 2" xfId="40260" xr:uid="{00000000-0005-0000-0000-0000F3150000}"/>
    <cellStyle name="20% - Accent3 2 5 4 6 2 3" xfId="30562" xr:uid="{00000000-0005-0000-0000-0000F4150000}"/>
    <cellStyle name="20% - Accent3 2 5 4 6 3" xfId="16405" xr:uid="{00000000-0005-0000-0000-0000F5150000}"/>
    <cellStyle name="20% - Accent3 2 5 4 6 3 2" xfId="35805" xr:uid="{00000000-0005-0000-0000-0000F6150000}"/>
    <cellStyle name="20% - Accent3 2 5 4 6 4" xfId="26107" xr:uid="{00000000-0005-0000-0000-0000F7150000}"/>
    <cellStyle name="20% - Accent3 2 5 4 7" xfId="6966" xr:uid="{00000000-0005-0000-0000-0000F8150000}"/>
    <cellStyle name="20% - Accent3 2 5 4 7 2" xfId="16962" xr:uid="{00000000-0005-0000-0000-0000F9150000}"/>
    <cellStyle name="20% - Accent3 2 5 4 7 2 2" xfId="36362" xr:uid="{00000000-0005-0000-0000-0000FA150000}"/>
    <cellStyle name="20% - Accent3 2 5 4 7 3" xfId="26664" xr:uid="{00000000-0005-0000-0000-0000FB150000}"/>
    <cellStyle name="20% - Accent3 2 5 4 8" xfId="12506" xr:uid="{00000000-0005-0000-0000-0000FC150000}"/>
    <cellStyle name="20% - Accent3 2 5 4 8 2" xfId="31907" xr:uid="{00000000-0005-0000-0000-0000FD150000}"/>
    <cellStyle name="20% - Accent3 2 5 4 9" xfId="22209" xr:uid="{00000000-0005-0000-0000-0000FE150000}"/>
    <cellStyle name="20% - Accent3 2 6" xfId="1250" xr:uid="{00000000-0005-0000-0000-0000FF150000}"/>
    <cellStyle name="20% - Accent3 2 6 2" xfId="2019" xr:uid="{00000000-0005-0000-0000-000000160000}"/>
    <cellStyle name="20% - Accent3 2 6 2 2" xfId="3018" xr:uid="{00000000-0005-0000-0000-000001160000}"/>
    <cellStyle name="20% - Accent3 2 6 2 2 2" xfId="5287" xr:uid="{00000000-0005-0000-0000-000002160000}"/>
    <cellStyle name="20% - Accent3 2 6 2 2 2 2" xfId="9751" xr:uid="{00000000-0005-0000-0000-000003160000}"/>
    <cellStyle name="20% - Accent3 2 6 2 2 2 2 2" xfId="19747" xr:uid="{00000000-0005-0000-0000-000004160000}"/>
    <cellStyle name="20% - Accent3 2 6 2 2 2 2 2 2" xfId="39147" xr:uid="{00000000-0005-0000-0000-000005160000}"/>
    <cellStyle name="20% - Accent3 2 6 2 2 2 2 3" xfId="29449" xr:uid="{00000000-0005-0000-0000-000006160000}"/>
    <cellStyle name="20% - Accent3 2 6 2 2 2 3" xfId="15292" xr:uid="{00000000-0005-0000-0000-000007160000}"/>
    <cellStyle name="20% - Accent3 2 6 2 2 2 3 2" xfId="34692" xr:uid="{00000000-0005-0000-0000-000008160000}"/>
    <cellStyle name="20% - Accent3 2 6 2 2 2 4" xfId="24994" xr:uid="{00000000-0005-0000-0000-000009160000}"/>
    <cellStyle name="20% - Accent3 2 6 2 2 3" xfId="7523" xr:uid="{00000000-0005-0000-0000-00000A160000}"/>
    <cellStyle name="20% - Accent3 2 6 2 2 3 2" xfId="17519" xr:uid="{00000000-0005-0000-0000-00000B160000}"/>
    <cellStyle name="20% - Accent3 2 6 2 2 3 2 2" xfId="36919" xr:uid="{00000000-0005-0000-0000-00000C160000}"/>
    <cellStyle name="20% - Accent3 2 6 2 2 3 3" xfId="27221" xr:uid="{00000000-0005-0000-0000-00000D160000}"/>
    <cellStyle name="20% - Accent3 2 6 2 2 4" xfId="13064" xr:uid="{00000000-0005-0000-0000-00000E160000}"/>
    <cellStyle name="20% - Accent3 2 6 2 2 4 2" xfId="32464" xr:uid="{00000000-0005-0000-0000-00000F160000}"/>
    <cellStyle name="20% - Accent3 2 6 2 2 5" xfId="22766" xr:uid="{00000000-0005-0000-0000-000010160000}"/>
    <cellStyle name="20% - Accent3 2 6 2 3" xfId="3601" xr:uid="{00000000-0005-0000-0000-000011160000}"/>
    <cellStyle name="20% - Accent3 2 6 2 3 2" xfId="4731" xr:uid="{00000000-0005-0000-0000-000012160000}"/>
    <cellStyle name="20% - Accent3 2 6 2 3 2 2" xfId="9195" xr:uid="{00000000-0005-0000-0000-000013160000}"/>
    <cellStyle name="20% - Accent3 2 6 2 3 2 2 2" xfId="19191" xr:uid="{00000000-0005-0000-0000-000014160000}"/>
    <cellStyle name="20% - Accent3 2 6 2 3 2 2 2 2" xfId="38591" xr:uid="{00000000-0005-0000-0000-000015160000}"/>
    <cellStyle name="20% - Accent3 2 6 2 3 2 2 3" xfId="28893" xr:uid="{00000000-0005-0000-0000-000016160000}"/>
    <cellStyle name="20% - Accent3 2 6 2 3 2 3" xfId="14736" xr:uid="{00000000-0005-0000-0000-000017160000}"/>
    <cellStyle name="20% - Accent3 2 6 2 3 2 3 2" xfId="34136" xr:uid="{00000000-0005-0000-0000-000018160000}"/>
    <cellStyle name="20% - Accent3 2 6 2 3 2 4" xfId="24438" xr:uid="{00000000-0005-0000-0000-000019160000}"/>
    <cellStyle name="20% - Accent3 2 6 2 3 3" xfId="8080" xr:uid="{00000000-0005-0000-0000-00001A160000}"/>
    <cellStyle name="20% - Accent3 2 6 2 3 3 2" xfId="18076" xr:uid="{00000000-0005-0000-0000-00001B160000}"/>
    <cellStyle name="20% - Accent3 2 6 2 3 3 2 2" xfId="37476" xr:uid="{00000000-0005-0000-0000-00001C160000}"/>
    <cellStyle name="20% - Accent3 2 6 2 3 3 3" xfId="27778" xr:uid="{00000000-0005-0000-0000-00001D160000}"/>
    <cellStyle name="20% - Accent3 2 6 2 3 4" xfId="13621" xr:uid="{00000000-0005-0000-0000-00001E160000}"/>
    <cellStyle name="20% - Accent3 2 6 2 3 4 2" xfId="33021" xr:uid="{00000000-0005-0000-0000-00001F160000}"/>
    <cellStyle name="20% - Accent3 2 6 2 3 5" xfId="23323" xr:uid="{00000000-0005-0000-0000-000020160000}"/>
    <cellStyle name="20% - Accent3 2 6 2 4" xfId="4174" xr:uid="{00000000-0005-0000-0000-000021160000}"/>
    <cellStyle name="20% - Accent3 2 6 2 4 2" xfId="8638" xr:uid="{00000000-0005-0000-0000-000022160000}"/>
    <cellStyle name="20% - Accent3 2 6 2 4 2 2" xfId="18634" xr:uid="{00000000-0005-0000-0000-000023160000}"/>
    <cellStyle name="20% - Accent3 2 6 2 4 2 2 2" xfId="38034" xr:uid="{00000000-0005-0000-0000-000024160000}"/>
    <cellStyle name="20% - Accent3 2 6 2 4 2 3" xfId="28336" xr:uid="{00000000-0005-0000-0000-000025160000}"/>
    <cellStyle name="20% - Accent3 2 6 2 4 3" xfId="14179" xr:uid="{00000000-0005-0000-0000-000026160000}"/>
    <cellStyle name="20% - Accent3 2 6 2 4 3 2" xfId="33579" xr:uid="{00000000-0005-0000-0000-000027160000}"/>
    <cellStyle name="20% - Accent3 2 6 2 4 4" xfId="23881" xr:uid="{00000000-0005-0000-0000-000028160000}"/>
    <cellStyle name="20% - Accent3 2 6 2 5" xfId="5844" xr:uid="{00000000-0005-0000-0000-000029160000}"/>
    <cellStyle name="20% - Accent3 2 6 2 5 2" xfId="10308" xr:uid="{00000000-0005-0000-0000-00002A160000}"/>
    <cellStyle name="20% - Accent3 2 6 2 5 2 2" xfId="20304" xr:uid="{00000000-0005-0000-0000-00002B160000}"/>
    <cellStyle name="20% - Accent3 2 6 2 5 2 2 2" xfId="39704" xr:uid="{00000000-0005-0000-0000-00002C160000}"/>
    <cellStyle name="20% - Accent3 2 6 2 5 2 3" xfId="30006" xr:uid="{00000000-0005-0000-0000-00002D160000}"/>
    <cellStyle name="20% - Accent3 2 6 2 5 3" xfId="15849" xr:uid="{00000000-0005-0000-0000-00002E160000}"/>
    <cellStyle name="20% - Accent3 2 6 2 5 3 2" xfId="35249" xr:uid="{00000000-0005-0000-0000-00002F160000}"/>
    <cellStyle name="20% - Accent3 2 6 2 5 4" xfId="25551" xr:uid="{00000000-0005-0000-0000-000030160000}"/>
    <cellStyle name="20% - Accent3 2 6 2 6" xfId="6410" xr:uid="{00000000-0005-0000-0000-000031160000}"/>
    <cellStyle name="20% - Accent3 2 6 2 6 2" xfId="10865" xr:uid="{00000000-0005-0000-0000-000032160000}"/>
    <cellStyle name="20% - Accent3 2 6 2 6 2 2" xfId="20861" xr:uid="{00000000-0005-0000-0000-000033160000}"/>
    <cellStyle name="20% - Accent3 2 6 2 6 2 2 2" xfId="40261" xr:uid="{00000000-0005-0000-0000-000034160000}"/>
    <cellStyle name="20% - Accent3 2 6 2 6 2 3" xfId="30563" xr:uid="{00000000-0005-0000-0000-000035160000}"/>
    <cellStyle name="20% - Accent3 2 6 2 6 3" xfId="16406" xr:uid="{00000000-0005-0000-0000-000036160000}"/>
    <cellStyle name="20% - Accent3 2 6 2 6 3 2" xfId="35806" xr:uid="{00000000-0005-0000-0000-000037160000}"/>
    <cellStyle name="20% - Accent3 2 6 2 6 4" xfId="26108" xr:uid="{00000000-0005-0000-0000-000038160000}"/>
    <cellStyle name="20% - Accent3 2 6 2 7" xfId="6967" xr:uid="{00000000-0005-0000-0000-000039160000}"/>
    <cellStyle name="20% - Accent3 2 6 2 7 2" xfId="16963" xr:uid="{00000000-0005-0000-0000-00003A160000}"/>
    <cellStyle name="20% - Accent3 2 6 2 7 2 2" xfId="36363" xr:uid="{00000000-0005-0000-0000-00003B160000}"/>
    <cellStyle name="20% - Accent3 2 6 2 7 3" xfId="26665" xr:uid="{00000000-0005-0000-0000-00003C160000}"/>
    <cellStyle name="20% - Accent3 2 6 2 8" xfId="12507" xr:uid="{00000000-0005-0000-0000-00003D160000}"/>
    <cellStyle name="20% - Accent3 2 6 2 8 2" xfId="31908" xr:uid="{00000000-0005-0000-0000-00003E160000}"/>
    <cellStyle name="20% - Accent3 2 6 2 9" xfId="22210" xr:uid="{00000000-0005-0000-0000-00003F160000}"/>
    <cellStyle name="20% - Accent3 2 6 3" xfId="2020" xr:uid="{00000000-0005-0000-0000-000040160000}"/>
    <cellStyle name="20% - Accent3 2 6 3 2" xfId="3019" xr:uid="{00000000-0005-0000-0000-000041160000}"/>
    <cellStyle name="20% - Accent3 2 6 3 2 2" xfId="5288" xr:uid="{00000000-0005-0000-0000-000042160000}"/>
    <cellStyle name="20% - Accent3 2 6 3 2 2 2" xfId="9752" xr:uid="{00000000-0005-0000-0000-000043160000}"/>
    <cellStyle name="20% - Accent3 2 6 3 2 2 2 2" xfId="19748" xr:uid="{00000000-0005-0000-0000-000044160000}"/>
    <cellStyle name="20% - Accent3 2 6 3 2 2 2 2 2" xfId="39148" xr:uid="{00000000-0005-0000-0000-000045160000}"/>
    <cellStyle name="20% - Accent3 2 6 3 2 2 2 3" xfId="29450" xr:uid="{00000000-0005-0000-0000-000046160000}"/>
    <cellStyle name="20% - Accent3 2 6 3 2 2 3" xfId="15293" xr:uid="{00000000-0005-0000-0000-000047160000}"/>
    <cellStyle name="20% - Accent3 2 6 3 2 2 3 2" xfId="34693" xr:uid="{00000000-0005-0000-0000-000048160000}"/>
    <cellStyle name="20% - Accent3 2 6 3 2 2 4" xfId="24995" xr:uid="{00000000-0005-0000-0000-000049160000}"/>
    <cellStyle name="20% - Accent3 2 6 3 2 3" xfId="7524" xr:uid="{00000000-0005-0000-0000-00004A160000}"/>
    <cellStyle name="20% - Accent3 2 6 3 2 3 2" xfId="17520" xr:uid="{00000000-0005-0000-0000-00004B160000}"/>
    <cellStyle name="20% - Accent3 2 6 3 2 3 2 2" xfId="36920" xr:uid="{00000000-0005-0000-0000-00004C160000}"/>
    <cellStyle name="20% - Accent3 2 6 3 2 3 3" xfId="27222" xr:uid="{00000000-0005-0000-0000-00004D160000}"/>
    <cellStyle name="20% - Accent3 2 6 3 2 4" xfId="13065" xr:uid="{00000000-0005-0000-0000-00004E160000}"/>
    <cellStyle name="20% - Accent3 2 6 3 2 4 2" xfId="32465" xr:uid="{00000000-0005-0000-0000-00004F160000}"/>
    <cellStyle name="20% - Accent3 2 6 3 2 5" xfId="22767" xr:uid="{00000000-0005-0000-0000-000050160000}"/>
    <cellStyle name="20% - Accent3 2 6 3 3" xfId="3602" xr:uid="{00000000-0005-0000-0000-000051160000}"/>
    <cellStyle name="20% - Accent3 2 6 3 3 2" xfId="4732" xr:uid="{00000000-0005-0000-0000-000052160000}"/>
    <cellStyle name="20% - Accent3 2 6 3 3 2 2" xfId="9196" xr:uid="{00000000-0005-0000-0000-000053160000}"/>
    <cellStyle name="20% - Accent3 2 6 3 3 2 2 2" xfId="19192" xr:uid="{00000000-0005-0000-0000-000054160000}"/>
    <cellStyle name="20% - Accent3 2 6 3 3 2 2 2 2" xfId="38592" xr:uid="{00000000-0005-0000-0000-000055160000}"/>
    <cellStyle name="20% - Accent3 2 6 3 3 2 2 3" xfId="28894" xr:uid="{00000000-0005-0000-0000-000056160000}"/>
    <cellStyle name="20% - Accent3 2 6 3 3 2 3" xfId="14737" xr:uid="{00000000-0005-0000-0000-000057160000}"/>
    <cellStyle name="20% - Accent3 2 6 3 3 2 3 2" xfId="34137" xr:uid="{00000000-0005-0000-0000-000058160000}"/>
    <cellStyle name="20% - Accent3 2 6 3 3 2 4" xfId="24439" xr:uid="{00000000-0005-0000-0000-000059160000}"/>
    <cellStyle name="20% - Accent3 2 6 3 3 3" xfId="8081" xr:uid="{00000000-0005-0000-0000-00005A160000}"/>
    <cellStyle name="20% - Accent3 2 6 3 3 3 2" xfId="18077" xr:uid="{00000000-0005-0000-0000-00005B160000}"/>
    <cellStyle name="20% - Accent3 2 6 3 3 3 2 2" xfId="37477" xr:uid="{00000000-0005-0000-0000-00005C160000}"/>
    <cellStyle name="20% - Accent3 2 6 3 3 3 3" xfId="27779" xr:uid="{00000000-0005-0000-0000-00005D160000}"/>
    <cellStyle name="20% - Accent3 2 6 3 3 4" xfId="13622" xr:uid="{00000000-0005-0000-0000-00005E160000}"/>
    <cellStyle name="20% - Accent3 2 6 3 3 4 2" xfId="33022" xr:uid="{00000000-0005-0000-0000-00005F160000}"/>
    <cellStyle name="20% - Accent3 2 6 3 3 5" xfId="23324" xr:uid="{00000000-0005-0000-0000-000060160000}"/>
    <cellStyle name="20% - Accent3 2 6 3 4" xfId="4175" xr:uid="{00000000-0005-0000-0000-000061160000}"/>
    <cellStyle name="20% - Accent3 2 6 3 4 2" xfId="8639" xr:uid="{00000000-0005-0000-0000-000062160000}"/>
    <cellStyle name="20% - Accent3 2 6 3 4 2 2" xfId="18635" xr:uid="{00000000-0005-0000-0000-000063160000}"/>
    <cellStyle name="20% - Accent3 2 6 3 4 2 2 2" xfId="38035" xr:uid="{00000000-0005-0000-0000-000064160000}"/>
    <cellStyle name="20% - Accent3 2 6 3 4 2 3" xfId="28337" xr:uid="{00000000-0005-0000-0000-000065160000}"/>
    <cellStyle name="20% - Accent3 2 6 3 4 3" xfId="14180" xr:uid="{00000000-0005-0000-0000-000066160000}"/>
    <cellStyle name="20% - Accent3 2 6 3 4 3 2" xfId="33580" xr:uid="{00000000-0005-0000-0000-000067160000}"/>
    <cellStyle name="20% - Accent3 2 6 3 4 4" xfId="23882" xr:uid="{00000000-0005-0000-0000-000068160000}"/>
    <cellStyle name="20% - Accent3 2 6 3 5" xfId="5845" xr:uid="{00000000-0005-0000-0000-000069160000}"/>
    <cellStyle name="20% - Accent3 2 6 3 5 2" xfId="10309" xr:uid="{00000000-0005-0000-0000-00006A160000}"/>
    <cellStyle name="20% - Accent3 2 6 3 5 2 2" xfId="20305" xr:uid="{00000000-0005-0000-0000-00006B160000}"/>
    <cellStyle name="20% - Accent3 2 6 3 5 2 2 2" xfId="39705" xr:uid="{00000000-0005-0000-0000-00006C160000}"/>
    <cellStyle name="20% - Accent3 2 6 3 5 2 3" xfId="30007" xr:uid="{00000000-0005-0000-0000-00006D160000}"/>
    <cellStyle name="20% - Accent3 2 6 3 5 3" xfId="15850" xr:uid="{00000000-0005-0000-0000-00006E160000}"/>
    <cellStyle name="20% - Accent3 2 6 3 5 3 2" xfId="35250" xr:uid="{00000000-0005-0000-0000-00006F160000}"/>
    <cellStyle name="20% - Accent3 2 6 3 5 4" xfId="25552" xr:uid="{00000000-0005-0000-0000-000070160000}"/>
    <cellStyle name="20% - Accent3 2 6 3 6" xfId="6411" xr:uid="{00000000-0005-0000-0000-000071160000}"/>
    <cellStyle name="20% - Accent3 2 6 3 6 2" xfId="10866" xr:uid="{00000000-0005-0000-0000-000072160000}"/>
    <cellStyle name="20% - Accent3 2 6 3 6 2 2" xfId="20862" xr:uid="{00000000-0005-0000-0000-000073160000}"/>
    <cellStyle name="20% - Accent3 2 6 3 6 2 2 2" xfId="40262" xr:uid="{00000000-0005-0000-0000-000074160000}"/>
    <cellStyle name="20% - Accent3 2 6 3 6 2 3" xfId="30564" xr:uid="{00000000-0005-0000-0000-000075160000}"/>
    <cellStyle name="20% - Accent3 2 6 3 6 3" xfId="16407" xr:uid="{00000000-0005-0000-0000-000076160000}"/>
    <cellStyle name="20% - Accent3 2 6 3 6 3 2" xfId="35807" xr:uid="{00000000-0005-0000-0000-000077160000}"/>
    <cellStyle name="20% - Accent3 2 6 3 6 4" xfId="26109" xr:uid="{00000000-0005-0000-0000-000078160000}"/>
    <cellStyle name="20% - Accent3 2 6 3 7" xfId="6968" xr:uid="{00000000-0005-0000-0000-000079160000}"/>
    <cellStyle name="20% - Accent3 2 6 3 7 2" xfId="16964" xr:uid="{00000000-0005-0000-0000-00007A160000}"/>
    <cellStyle name="20% - Accent3 2 6 3 7 2 2" xfId="36364" xr:uid="{00000000-0005-0000-0000-00007B160000}"/>
    <cellStyle name="20% - Accent3 2 6 3 7 3" xfId="26666" xr:uid="{00000000-0005-0000-0000-00007C160000}"/>
    <cellStyle name="20% - Accent3 2 6 3 8" xfId="12508" xr:uid="{00000000-0005-0000-0000-00007D160000}"/>
    <cellStyle name="20% - Accent3 2 6 3 8 2" xfId="31909" xr:uid="{00000000-0005-0000-0000-00007E160000}"/>
    <cellStyle name="20% - Accent3 2 6 3 9" xfId="22211" xr:uid="{00000000-0005-0000-0000-00007F160000}"/>
    <cellStyle name="20% - Accent3 2 7" xfId="1729" xr:uid="{00000000-0005-0000-0000-000080160000}"/>
    <cellStyle name="20% - Accent3 2 7 2" xfId="2897" xr:uid="{00000000-0005-0000-0000-000081160000}"/>
    <cellStyle name="20% - Accent3 2 7 2 2" xfId="5166" xr:uid="{00000000-0005-0000-0000-000082160000}"/>
    <cellStyle name="20% - Accent3 2 7 2 2 2" xfId="9630" xr:uid="{00000000-0005-0000-0000-000083160000}"/>
    <cellStyle name="20% - Accent3 2 7 2 2 2 2" xfId="19626" xr:uid="{00000000-0005-0000-0000-000084160000}"/>
    <cellStyle name="20% - Accent3 2 7 2 2 2 2 2" xfId="39026" xr:uid="{00000000-0005-0000-0000-000085160000}"/>
    <cellStyle name="20% - Accent3 2 7 2 2 2 3" xfId="29328" xr:uid="{00000000-0005-0000-0000-000086160000}"/>
    <cellStyle name="20% - Accent3 2 7 2 2 3" xfId="15171" xr:uid="{00000000-0005-0000-0000-000087160000}"/>
    <cellStyle name="20% - Accent3 2 7 2 2 3 2" xfId="34571" xr:uid="{00000000-0005-0000-0000-000088160000}"/>
    <cellStyle name="20% - Accent3 2 7 2 2 4" xfId="24873" xr:uid="{00000000-0005-0000-0000-000089160000}"/>
    <cellStyle name="20% - Accent3 2 7 2 3" xfId="7402" xr:uid="{00000000-0005-0000-0000-00008A160000}"/>
    <cellStyle name="20% - Accent3 2 7 2 3 2" xfId="17398" xr:uid="{00000000-0005-0000-0000-00008B160000}"/>
    <cellStyle name="20% - Accent3 2 7 2 3 2 2" xfId="36798" xr:uid="{00000000-0005-0000-0000-00008C160000}"/>
    <cellStyle name="20% - Accent3 2 7 2 3 3" xfId="27100" xr:uid="{00000000-0005-0000-0000-00008D160000}"/>
    <cellStyle name="20% - Accent3 2 7 2 4" xfId="12943" xr:uid="{00000000-0005-0000-0000-00008E160000}"/>
    <cellStyle name="20% - Accent3 2 7 2 4 2" xfId="32343" xr:uid="{00000000-0005-0000-0000-00008F160000}"/>
    <cellStyle name="20% - Accent3 2 7 2 5" xfId="22645" xr:uid="{00000000-0005-0000-0000-000090160000}"/>
    <cellStyle name="20% - Accent3 2 7 3" xfId="3480" xr:uid="{00000000-0005-0000-0000-000091160000}"/>
    <cellStyle name="20% - Accent3 2 7 3 2" xfId="4610" xr:uid="{00000000-0005-0000-0000-000092160000}"/>
    <cellStyle name="20% - Accent3 2 7 3 2 2" xfId="9074" xr:uid="{00000000-0005-0000-0000-000093160000}"/>
    <cellStyle name="20% - Accent3 2 7 3 2 2 2" xfId="19070" xr:uid="{00000000-0005-0000-0000-000094160000}"/>
    <cellStyle name="20% - Accent3 2 7 3 2 2 2 2" xfId="38470" xr:uid="{00000000-0005-0000-0000-000095160000}"/>
    <cellStyle name="20% - Accent3 2 7 3 2 2 3" xfId="28772" xr:uid="{00000000-0005-0000-0000-000096160000}"/>
    <cellStyle name="20% - Accent3 2 7 3 2 3" xfId="14615" xr:uid="{00000000-0005-0000-0000-000097160000}"/>
    <cellStyle name="20% - Accent3 2 7 3 2 3 2" xfId="34015" xr:uid="{00000000-0005-0000-0000-000098160000}"/>
    <cellStyle name="20% - Accent3 2 7 3 2 4" xfId="24317" xr:uid="{00000000-0005-0000-0000-000099160000}"/>
    <cellStyle name="20% - Accent3 2 7 3 3" xfId="7959" xr:uid="{00000000-0005-0000-0000-00009A160000}"/>
    <cellStyle name="20% - Accent3 2 7 3 3 2" xfId="17955" xr:uid="{00000000-0005-0000-0000-00009B160000}"/>
    <cellStyle name="20% - Accent3 2 7 3 3 2 2" xfId="37355" xr:uid="{00000000-0005-0000-0000-00009C160000}"/>
    <cellStyle name="20% - Accent3 2 7 3 3 3" xfId="27657" xr:uid="{00000000-0005-0000-0000-00009D160000}"/>
    <cellStyle name="20% - Accent3 2 7 3 4" xfId="13500" xr:uid="{00000000-0005-0000-0000-00009E160000}"/>
    <cellStyle name="20% - Accent3 2 7 3 4 2" xfId="32900" xr:uid="{00000000-0005-0000-0000-00009F160000}"/>
    <cellStyle name="20% - Accent3 2 7 3 5" xfId="23202" xr:uid="{00000000-0005-0000-0000-0000A0160000}"/>
    <cellStyle name="20% - Accent3 2 7 4" xfId="4053" xr:uid="{00000000-0005-0000-0000-0000A1160000}"/>
    <cellStyle name="20% - Accent3 2 7 4 2" xfId="8517" xr:uid="{00000000-0005-0000-0000-0000A2160000}"/>
    <cellStyle name="20% - Accent3 2 7 4 2 2" xfId="18513" xr:uid="{00000000-0005-0000-0000-0000A3160000}"/>
    <cellStyle name="20% - Accent3 2 7 4 2 2 2" xfId="37913" xr:uid="{00000000-0005-0000-0000-0000A4160000}"/>
    <cellStyle name="20% - Accent3 2 7 4 2 3" xfId="28215" xr:uid="{00000000-0005-0000-0000-0000A5160000}"/>
    <cellStyle name="20% - Accent3 2 7 4 3" xfId="14058" xr:uid="{00000000-0005-0000-0000-0000A6160000}"/>
    <cellStyle name="20% - Accent3 2 7 4 3 2" xfId="33458" xr:uid="{00000000-0005-0000-0000-0000A7160000}"/>
    <cellStyle name="20% - Accent3 2 7 4 4" xfId="23760" xr:uid="{00000000-0005-0000-0000-0000A8160000}"/>
    <cellStyle name="20% - Accent3 2 7 5" xfId="5723" xr:uid="{00000000-0005-0000-0000-0000A9160000}"/>
    <cellStyle name="20% - Accent3 2 7 5 2" xfId="10187" xr:uid="{00000000-0005-0000-0000-0000AA160000}"/>
    <cellStyle name="20% - Accent3 2 7 5 2 2" xfId="20183" xr:uid="{00000000-0005-0000-0000-0000AB160000}"/>
    <cellStyle name="20% - Accent3 2 7 5 2 2 2" xfId="39583" xr:uid="{00000000-0005-0000-0000-0000AC160000}"/>
    <cellStyle name="20% - Accent3 2 7 5 2 3" xfId="29885" xr:uid="{00000000-0005-0000-0000-0000AD160000}"/>
    <cellStyle name="20% - Accent3 2 7 5 3" xfId="15728" xr:uid="{00000000-0005-0000-0000-0000AE160000}"/>
    <cellStyle name="20% - Accent3 2 7 5 3 2" xfId="35128" xr:uid="{00000000-0005-0000-0000-0000AF160000}"/>
    <cellStyle name="20% - Accent3 2 7 5 4" xfId="25430" xr:uid="{00000000-0005-0000-0000-0000B0160000}"/>
    <cellStyle name="20% - Accent3 2 7 6" xfId="6289" xr:uid="{00000000-0005-0000-0000-0000B1160000}"/>
    <cellStyle name="20% - Accent3 2 7 6 2" xfId="10744" xr:uid="{00000000-0005-0000-0000-0000B2160000}"/>
    <cellStyle name="20% - Accent3 2 7 6 2 2" xfId="20740" xr:uid="{00000000-0005-0000-0000-0000B3160000}"/>
    <cellStyle name="20% - Accent3 2 7 6 2 2 2" xfId="40140" xr:uid="{00000000-0005-0000-0000-0000B4160000}"/>
    <cellStyle name="20% - Accent3 2 7 6 2 3" xfId="30442" xr:uid="{00000000-0005-0000-0000-0000B5160000}"/>
    <cellStyle name="20% - Accent3 2 7 6 3" xfId="16285" xr:uid="{00000000-0005-0000-0000-0000B6160000}"/>
    <cellStyle name="20% - Accent3 2 7 6 3 2" xfId="35685" xr:uid="{00000000-0005-0000-0000-0000B7160000}"/>
    <cellStyle name="20% - Accent3 2 7 6 4" xfId="25987" xr:uid="{00000000-0005-0000-0000-0000B8160000}"/>
    <cellStyle name="20% - Accent3 2 7 7" xfId="6846" xr:uid="{00000000-0005-0000-0000-0000B9160000}"/>
    <cellStyle name="20% - Accent3 2 7 7 2" xfId="16842" xr:uid="{00000000-0005-0000-0000-0000BA160000}"/>
    <cellStyle name="20% - Accent3 2 7 7 2 2" xfId="36242" xr:uid="{00000000-0005-0000-0000-0000BB160000}"/>
    <cellStyle name="20% - Accent3 2 7 7 3" xfId="26544" xr:uid="{00000000-0005-0000-0000-0000BC160000}"/>
    <cellStyle name="20% - Accent3 2 7 8" xfId="12386" xr:uid="{00000000-0005-0000-0000-0000BD160000}"/>
    <cellStyle name="20% - Accent3 2 7 8 2" xfId="31787" xr:uid="{00000000-0005-0000-0000-0000BE160000}"/>
    <cellStyle name="20% - Accent3 2 7 9" xfId="22089" xr:uid="{00000000-0005-0000-0000-0000BF160000}"/>
    <cellStyle name="20% - Accent3 2 8" xfId="1828" xr:uid="{00000000-0005-0000-0000-0000C0160000}"/>
    <cellStyle name="20% - Accent3 2 8 2" xfId="2909" xr:uid="{00000000-0005-0000-0000-0000C1160000}"/>
    <cellStyle name="20% - Accent3 2 8 2 2" xfId="5178" xr:uid="{00000000-0005-0000-0000-0000C2160000}"/>
    <cellStyle name="20% - Accent3 2 8 2 2 2" xfId="9642" xr:uid="{00000000-0005-0000-0000-0000C3160000}"/>
    <cellStyle name="20% - Accent3 2 8 2 2 2 2" xfId="19638" xr:uid="{00000000-0005-0000-0000-0000C4160000}"/>
    <cellStyle name="20% - Accent3 2 8 2 2 2 2 2" xfId="39038" xr:uid="{00000000-0005-0000-0000-0000C5160000}"/>
    <cellStyle name="20% - Accent3 2 8 2 2 2 3" xfId="29340" xr:uid="{00000000-0005-0000-0000-0000C6160000}"/>
    <cellStyle name="20% - Accent3 2 8 2 2 3" xfId="15183" xr:uid="{00000000-0005-0000-0000-0000C7160000}"/>
    <cellStyle name="20% - Accent3 2 8 2 2 3 2" xfId="34583" xr:uid="{00000000-0005-0000-0000-0000C8160000}"/>
    <cellStyle name="20% - Accent3 2 8 2 2 4" xfId="24885" xr:uid="{00000000-0005-0000-0000-0000C9160000}"/>
    <cellStyle name="20% - Accent3 2 8 2 3" xfId="7414" xr:uid="{00000000-0005-0000-0000-0000CA160000}"/>
    <cellStyle name="20% - Accent3 2 8 2 3 2" xfId="17410" xr:uid="{00000000-0005-0000-0000-0000CB160000}"/>
    <cellStyle name="20% - Accent3 2 8 2 3 2 2" xfId="36810" xr:uid="{00000000-0005-0000-0000-0000CC160000}"/>
    <cellStyle name="20% - Accent3 2 8 2 3 3" xfId="27112" xr:uid="{00000000-0005-0000-0000-0000CD160000}"/>
    <cellStyle name="20% - Accent3 2 8 2 4" xfId="12955" xr:uid="{00000000-0005-0000-0000-0000CE160000}"/>
    <cellStyle name="20% - Accent3 2 8 2 4 2" xfId="32355" xr:uid="{00000000-0005-0000-0000-0000CF160000}"/>
    <cellStyle name="20% - Accent3 2 8 2 5" xfId="22657" xr:uid="{00000000-0005-0000-0000-0000D0160000}"/>
    <cellStyle name="20% - Accent3 2 8 3" xfId="3492" xr:uid="{00000000-0005-0000-0000-0000D1160000}"/>
    <cellStyle name="20% - Accent3 2 8 3 2" xfId="4622" xr:uid="{00000000-0005-0000-0000-0000D2160000}"/>
    <cellStyle name="20% - Accent3 2 8 3 2 2" xfId="9086" xr:uid="{00000000-0005-0000-0000-0000D3160000}"/>
    <cellStyle name="20% - Accent3 2 8 3 2 2 2" xfId="19082" xr:uid="{00000000-0005-0000-0000-0000D4160000}"/>
    <cellStyle name="20% - Accent3 2 8 3 2 2 2 2" xfId="38482" xr:uid="{00000000-0005-0000-0000-0000D5160000}"/>
    <cellStyle name="20% - Accent3 2 8 3 2 2 3" xfId="28784" xr:uid="{00000000-0005-0000-0000-0000D6160000}"/>
    <cellStyle name="20% - Accent3 2 8 3 2 3" xfId="14627" xr:uid="{00000000-0005-0000-0000-0000D7160000}"/>
    <cellStyle name="20% - Accent3 2 8 3 2 3 2" xfId="34027" xr:uid="{00000000-0005-0000-0000-0000D8160000}"/>
    <cellStyle name="20% - Accent3 2 8 3 2 4" xfId="24329" xr:uid="{00000000-0005-0000-0000-0000D9160000}"/>
    <cellStyle name="20% - Accent3 2 8 3 3" xfId="7971" xr:uid="{00000000-0005-0000-0000-0000DA160000}"/>
    <cellStyle name="20% - Accent3 2 8 3 3 2" xfId="17967" xr:uid="{00000000-0005-0000-0000-0000DB160000}"/>
    <cellStyle name="20% - Accent3 2 8 3 3 2 2" xfId="37367" xr:uid="{00000000-0005-0000-0000-0000DC160000}"/>
    <cellStyle name="20% - Accent3 2 8 3 3 3" xfId="27669" xr:uid="{00000000-0005-0000-0000-0000DD160000}"/>
    <cellStyle name="20% - Accent3 2 8 3 4" xfId="13512" xr:uid="{00000000-0005-0000-0000-0000DE160000}"/>
    <cellStyle name="20% - Accent3 2 8 3 4 2" xfId="32912" xr:uid="{00000000-0005-0000-0000-0000DF160000}"/>
    <cellStyle name="20% - Accent3 2 8 3 5" xfId="23214" xr:uid="{00000000-0005-0000-0000-0000E0160000}"/>
    <cellStyle name="20% - Accent3 2 8 4" xfId="4065" xr:uid="{00000000-0005-0000-0000-0000E1160000}"/>
    <cellStyle name="20% - Accent3 2 8 4 2" xfId="8529" xr:uid="{00000000-0005-0000-0000-0000E2160000}"/>
    <cellStyle name="20% - Accent3 2 8 4 2 2" xfId="18525" xr:uid="{00000000-0005-0000-0000-0000E3160000}"/>
    <cellStyle name="20% - Accent3 2 8 4 2 2 2" xfId="37925" xr:uid="{00000000-0005-0000-0000-0000E4160000}"/>
    <cellStyle name="20% - Accent3 2 8 4 2 3" xfId="28227" xr:uid="{00000000-0005-0000-0000-0000E5160000}"/>
    <cellStyle name="20% - Accent3 2 8 4 3" xfId="14070" xr:uid="{00000000-0005-0000-0000-0000E6160000}"/>
    <cellStyle name="20% - Accent3 2 8 4 3 2" xfId="33470" xr:uid="{00000000-0005-0000-0000-0000E7160000}"/>
    <cellStyle name="20% - Accent3 2 8 4 4" xfId="23772" xr:uid="{00000000-0005-0000-0000-0000E8160000}"/>
    <cellStyle name="20% - Accent3 2 8 5" xfId="5735" xr:uid="{00000000-0005-0000-0000-0000E9160000}"/>
    <cellStyle name="20% - Accent3 2 8 5 2" xfId="10199" xr:uid="{00000000-0005-0000-0000-0000EA160000}"/>
    <cellStyle name="20% - Accent3 2 8 5 2 2" xfId="20195" xr:uid="{00000000-0005-0000-0000-0000EB160000}"/>
    <cellStyle name="20% - Accent3 2 8 5 2 2 2" xfId="39595" xr:uid="{00000000-0005-0000-0000-0000EC160000}"/>
    <cellStyle name="20% - Accent3 2 8 5 2 3" xfId="29897" xr:uid="{00000000-0005-0000-0000-0000ED160000}"/>
    <cellStyle name="20% - Accent3 2 8 5 3" xfId="15740" xr:uid="{00000000-0005-0000-0000-0000EE160000}"/>
    <cellStyle name="20% - Accent3 2 8 5 3 2" xfId="35140" xr:uid="{00000000-0005-0000-0000-0000EF160000}"/>
    <cellStyle name="20% - Accent3 2 8 5 4" xfId="25442" xr:uid="{00000000-0005-0000-0000-0000F0160000}"/>
    <cellStyle name="20% - Accent3 2 8 6" xfId="6301" xr:uid="{00000000-0005-0000-0000-0000F1160000}"/>
    <cellStyle name="20% - Accent3 2 8 6 2" xfId="10756" xr:uid="{00000000-0005-0000-0000-0000F2160000}"/>
    <cellStyle name="20% - Accent3 2 8 6 2 2" xfId="20752" xr:uid="{00000000-0005-0000-0000-0000F3160000}"/>
    <cellStyle name="20% - Accent3 2 8 6 2 2 2" xfId="40152" xr:uid="{00000000-0005-0000-0000-0000F4160000}"/>
    <cellStyle name="20% - Accent3 2 8 6 2 3" xfId="30454" xr:uid="{00000000-0005-0000-0000-0000F5160000}"/>
    <cellStyle name="20% - Accent3 2 8 6 3" xfId="16297" xr:uid="{00000000-0005-0000-0000-0000F6160000}"/>
    <cellStyle name="20% - Accent3 2 8 6 3 2" xfId="35697" xr:uid="{00000000-0005-0000-0000-0000F7160000}"/>
    <cellStyle name="20% - Accent3 2 8 6 4" xfId="25999" xr:uid="{00000000-0005-0000-0000-0000F8160000}"/>
    <cellStyle name="20% - Accent3 2 8 7" xfId="6858" xr:uid="{00000000-0005-0000-0000-0000F9160000}"/>
    <cellStyle name="20% - Accent3 2 8 7 2" xfId="16854" xr:uid="{00000000-0005-0000-0000-0000FA160000}"/>
    <cellStyle name="20% - Accent3 2 8 7 2 2" xfId="36254" xr:uid="{00000000-0005-0000-0000-0000FB160000}"/>
    <cellStyle name="20% - Accent3 2 8 7 3" xfId="26556" xr:uid="{00000000-0005-0000-0000-0000FC160000}"/>
    <cellStyle name="20% - Accent3 2 8 8" xfId="12398" xr:uid="{00000000-0005-0000-0000-0000FD160000}"/>
    <cellStyle name="20% - Accent3 2 8 8 2" xfId="31799" xr:uid="{00000000-0005-0000-0000-0000FE160000}"/>
    <cellStyle name="20% - Accent3 2 8 9" xfId="22101" xr:uid="{00000000-0005-0000-0000-0000FF160000}"/>
    <cellStyle name="20% - Accent3 2 9" xfId="2021" xr:uid="{00000000-0005-0000-0000-000000170000}"/>
    <cellStyle name="20% - Accent3 20" xfId="1083" xr:uid="{00000000-0005-0000-0000-000001170000}"/>
    <cellStyle name="20% - Accent3 20 2" xfId="11954" xr:uid="{00000000-0005-0000-0000-000002170000}"/>
    <cellStyle name="20% - Accent3 20 2 2" xfId="21658" xr:uid="{00000000-0005-0000-0000-000003170000}"/>
    <cellStyle name="20% - Accent3 20 2 2 2" xfId="41058" xr:uid="{00000000-0005-0000-0000-000004170000}"/>
    <cellStyle name="20% - Accent3 20 2 3" xfId="31360" xr:uid="{00000000-0005-0000-0000-000005170000}"/>
    <cellStyle name="20% - Accent3 20 3" xfId="12310" xr:uid="{00000000-0005-0000-0000-000006170000}"/>
    <cellStyle name="20% - Accent3 20 3 2" xfId="31713" xr:uid="{00000000-0005-0000-0000-000007170000}"/>
    <cellStyle name="20% - Accent3 20 4" xfId="22015" xr:uid="{00000000-0005-0000-0000-000008170000}"/>
    <cellStyle name="20% - Accent3 21" xfId="11837" xr:uid="{00000000-0005-0000-0000-000009170000}"/>
    <cellStyle name="20% - Accent3 21 2" xfId="21541" xr:uid="{00000000-0005-0000-0000-00000A170000}"/>
    <cellStyle name="20% - Accent3 21 2 2" xfId="40941" xr:uid="{00000000-0005-0000-0000-00000B170000}"/>
    <cellStyle name="20% - Accent3 21 3" xfId="31243" xr:uid="{00000000-0005-0000-0000-00000C170000}"/>
    <cellStyle name="20% - Accent3 22" xfId="12193" xr:uid="{00000000-0005-0000-0000-00000D170000}"/>
    <cellStyle name="20% - Accent3 22 2" xfId="31596" xr:uid="{00000000-0005-0000-0000-00000E170000}"/>
    <cellStyle name="20% - Accent3 23" xfId="21898" xr:uid="{00000000-0005-0000-0000-00000F170000}"/>
    <cellStyle name="20% - Accent3 3" xfId="36" xr:uid="{00000000-0005-0000-0000-000010170000}"/>
    <cellStyle name="20% - Accent3 3 2" xfId="2022" xr:uid="{00000000-0005-0000-0000-000011170000}"/>
    <cellStyle name="20% - Accent3 3 3" xfId="2606" xr:uid="{00000000-0005-0000-0000-000012170000}"/>
    <cellStyle name="20% - Accent3 3 4" xfId="11379" xr:uid="{00000000-0005-0000-0000-000013170000}"/>
    <cellStyle name="20% - Accent3 3 5" xfId="1249" xr:uid="{00000000-0005-0000-0000-000014170000}"/>
    <cellStyle name="20% - Accent3 4" xfId="37" xr:uid="{00000000-0005-0000-0000-000015170000}"/>
    <cellStyle name="20% - Accent3 4 2" xfId="2772" xr:uid="{00000000-0005-0000-0000-000016170000}"/>
    <cellStyle name="20% - Accent3 4 3" xfId="11380" xr:uid="{00000000-0005-0000-0000-000017170000}"/>
    <cellStyle name="20% - Accent3 4 4" xfId="1158" xr:uid="{00000000-0005-0000-0000-000018170000}"/>
    <cellStyle name="20% - Accent3 5" xfId="38" xr:uid="{00000000-0005-0000-0000-000019170000}"/>
    <cellStyle name="20% - Accent3 5 2" xfId="11381" xr:uid="{00000000-0005-0000-0000-00001A170000}"/>
    <cellStyle name="20% - Accent3 5 3" xfId="1664" xr:uid="{00000000-0005-0000-0000-00001B170000}"/>
    <cellStyle name="20% - Accent3 6" xfId="39" xr:uid="{00000000-0005-0000-0000-00001C170000}"/>
    <cellStyle name="20% - Accent3 6 2" xfId="11382" xr:uid="{00000000-0005-0000-0000-00001D170000}"/>
    <cellStyle name="20% - Accent3 6 3" xfId="1827" xr:uid="{00000000-0005-0000-0000-00001E170000}"/>
    <cellStyle name="20% - Accent3 7" xfId="40" xr:uid="{00000000-0005-0000-0000-00001F170000}"/>
    <cellStyle name="20% - Accent3 8" xfId="41" xr:uid="{00000000-0005-0000-0000-000020170000}"/>
    <cellStyle name="20% - Accent3 9" xfId="42" xr:uid="{00000000-0005-0000-0000-000021170000}"/>
    <cellStyle name="20% - Accent4" xfId="953" builtinId="42" customBuiltin="1"/>
    <cellStyle name="20% - Accent4 10" xfId="43" xr:uid="{00000000-0005-0000-0000-000023170000}"/>
    <cellStyle name="20% - Accent4 11" xfId="44" xr:uid="{00000000-0005-0000-0000-000024170000}"/>
    <cellStyle name="20% - Accent4 12" xfId="45" xr:uid="{00000000-0005-0000-0000-000025170000}"/>
    <cellStyle name="20% - Accent4 13" xfId="46" xr:uid="{00000000-0005-0000-0000-000026170000}"/>
    <cellStyle name="20% - Accent4 14" xfId="47" xr:uid="{00000000-0005-0000-0000-000027170000}"/>
    <cellStyle name="20% - Accent4 15" xfId="48" xr:uid="{00000000-0005-0000-0000-000028170000}"/>
    <cellStyle name="20% - Accent4 16" xfId="673" xr:uid="{00000000-0005-0000-0000-000029170000}"/>
    <cellStyle name="20% - Accent4 17" xfId="995" xr:uid="{00000000-0005-0000-0000-00002A170000}"/>
    <cellStyle name="20% - Accent4 17 2" xfId="11866" xr:uid="{00000000-0005-0000-0000-00002B170000}"/>
    <cellStyle name="20% - Accent4 17 2 2" xfId="21570" xr:uid="{00000000-0005-0000-0000-00002C170000}"/>
    <cellStyle name="20% - Accent4 17 2 2 2" xfId="40970" xr:uid="{00000000-0005-0000-0000-00002D170000}"/>
    <cellStyle name="20% - Accent4 17 2 3" xfId="31272" xr:uid="{00000000-0005-0000-0000-00002E170000}"/>
    <cellStyle name="20% - Accent4 17 3" xfId="12222" xr:uid="{00000000-0005-0000-0000-00002F170000}"/>
    <cellStyle name="20% - Accent4 17 3 2" xfId="31625" xr:uid="{00000000-0005-0000-0000-000030170000}"/>
    <cellStyle name="20% - Accent4 17 4" xfId="21927" xr:uid="{00000000-0005-0000-0000-000031170000}"/>
    <cellStyle name="20% - Accent4 18" xfId="1024" xr:uid="{00000000-0005-0000-0000-000032170000}"/>
    <cellStyle name="20% - Accent4 18 2" xfId="11895" xr:uid="{00000000-0005-0000-0000-000033170000}"/>
    <cellStyle name="20% - Accent4 18 2 2" xfId="21599" xr:uid="{00000000-0005-0000-0000-000034170000}"/>
    <cellStyle name="20% - Accent4 18 2 2 2" xfId="40999" xr:uid="{00000000-0005-0000-0000-000035170000}"/>
    <cellStyle name="20% - Accent4 18 2 3" xfId="31301" xr:uid="{00000000-0005-0000-0000-000036170000}"/>
    <cellStyle name="20% - Accent4 18 3" xfId="12251" xr:uid="{00000000-0005-0000-0000-000037170000}"/>
    <cellStyle name="20% - Accent4 18 3 2" xfId="31654" xr:uid="{00000000-0005-0000-0000-000038170000}"/>
    <cellStyle name="20% - Accent4 18 4" xfId="21956" xr:uid="{00000000-0005-0000-0000-000039170000}"/>
    <cellStyle name="20% - Accent4 19" xfId="1070" xr:uid="{00000000-0005-0000-0000-00003A170000}"/>
    <cellStyle name="20% - Accent4 19 2" xfId="11941" xr:uid="{00000000-0005-0000-0000-00003B170000}"/>
    <cellStyle name="20% - Accent4 19 2 2" xfId="21645" xr:uid="{00000000-0005-0000-0000-00003C170000}"/>
    <cellStyle name="20% - Accent4 19 2 2 2" xfId="41045" xr:uid="{00000000-0005-0000-0000-00003D170000}"/>
    <cellStyle name="20% - Accent4 19 2 3" xfId="31347" xr:uid="{00000000-0005-0000-0000-00003E170000}"/>
    <cellStyle name="20% - Accent4 19 3" xfId="12297" xr:uid="{00000000-0005-0000-0000-00003F170000}"/>
    <cellStyle name="20% - Accent4 19 3 2" xfId="31700" xr:uid="{00000000-0005-0000-0000-000040170000}"/>
    <cellStyle name="20% - Accent4 19 4" xfId="22002" xr:uid="{00000000-0005-0000-0000-000041170000}"/>
    <cellStyle name="20% - Accent4 2" xfId="49" xr:uid="{00000000-0005-0000-0000-000042170000}"/>
    <cellStyle name="20% - Accent4 2 10" xfId="2023" xr:uid="{00000000-0005-0000-0000-000043170000}"/>
    <cellStyle name="20% - Accent4 2 10 2" xfId="3020" xr:uid="{00000000-0005-0000-0000-000044170000}"/>
    <cellStyle name="20% - Accent4 2 10 2 2" xfId="5289" xr:uid="{00000000-0005-0000-0000-000045170000}"/>
    <cellStyle name="20% - Accent4 2 10 2 2 2" xfId="9753" xr:uid="{00000000-0005-0000-0000-000046170000}"/>
    <cellStyle name="20% - Accent4 2 10 2 2 2 2" xfId="19749" xr:uid="{00000000-0005-0000-0000-000047170000}"/>
    <cellStyle name="20% - Accent4 2 10 2 2 2 2 2" xfId="39149" xr:uid="{00000000-0005-0000-0000-000048170000}"/>
    <cellStyle name="20% - Accent4 2 10 2 2 2 3" xfId="29451" xr:uid="{00000000-0005-0000-0000-000049170000}"/>
    <cellStyle name="20% - Accent4 2 10 2 2 3" xfId="15294" xr:uid="{00000000-0005-0000-0000-00004A170000}"/>
    <cellStyle name="20% - Accent4 2 10 2 2 3 2" xfId="34694" xr:uid="{00000000-0005-0000-0000-00004B170000}"/>
    <cellStyle name="20% - Accent4 2 10 2 2 4" xfId="24996" xr:uid="{00000000-0005-0000-0000-00004C170000}"/>
    <cellStyle name="20% - Accent4 2 10 2 3" xfId="7525" xr:uid="{00000000-0005-0000-0000-00004D170000}"/>
    <cellStyle name="20% - Accent4 2 10 2 3 2" xfId="17521" xr:uid="{00000000-0005-0000-0000-00004E170000}"/>
    <cellStyle name="20% - Accent4 2 10 2 3 2 2" xfId="36921" xr:uid="{00000000-0005-0000-0000-00004F170000}"/>
    <cellStyle name="20% - Accent4 2 10 2 3 3" xfId="27223" xr:uid="{00000000-0005-0000-0000-000050170000}"/>
    <cellStyle name="20% - Accent4 2 10 2 4" xfId="13066" xr:uid="{00000000-0005-0000-0000-000051170000}"/>
    <cellStyle name="20% - Accent4 2 10 2 4 2" xfId="32466" xr:uid="{00000000-0005-0000-0000-000052170000}"/>
    <cellStyle name="20% - Accent4 2 10 2 5" xfId="22768" xr:uid="{00000000-0005-0000-0000-000053170000}"/>
    <cellStyle name="20% - Accent4 2 10 3" xfId="3603" xr:uid="{00000000-0005-0000-0000-000054170000}"/>
    <cellStyle name="20% - Accent4 2 10 3 2" xfId="4733" xr:uid="{00000000-0005-0000-0000-000055170000}"/>
    <cellStyle name="20% - Accent4 2 10 3 2 2" xfId="9197" xr:uid="{00000000-0005-0000-0000-000056170000}"/>
    <cellStyle name="20% - Accent4 2 10 3 2 2 2" xfId="19193" xr:uid="{00000000-0005-0000-0000-000057170000}"/>
    <cellStyle name="20% - Accent4 2 10 3 2 2 2 2" xfId="38593" xr:uid="{00000000-0005-0000-0000-000058170000}"/>
    <cellStyle name="20% - Accent4 2 10 3 2 2 3" xfId="28895" xr:uid="{00000000-0005-0000-0000-000059170000}"/>
    <cellStyle name="20% - Accent4 2 10 3 2 3" xfId="14738" xr:uid="{00000000-0005-0000-0000-00005A170000}"/>
    <cellStyle name="20% - Accent4 2 10 3 2 3 2" xfId="34138" xr:uid="{00000000-0005-0000-0000-00005B170000}"/>
    <cellStyle name="20% - Accent4 2 10 3 2 4" xfId="24440" xr:uid="{00000000-0005-0000-0000-00005C170000}"/>
    <cellStyle name="20% - Accent4 2 10 3 3" xfId="8082" xr:uid="{00000000-0005-0000-0000-00005D170000}"/>
    <cellStyle name="20% - Accent4 2 10 3 3 2" xfId="18078" xr:uid="{00000000-0005-0000-0000-00005E170000}"/>
    <cellStyle name="20% - Accent4 2 10 3 3 2 2" xfId="37478" xr:uid="{00000000-0005-0000-0000-00005F170000}"/>
    <cellStyle name="20% - Accent4 2 10 3 3 3" xfId="27780" xr:uid="{00000000-0005-0000-0000-000060170000}"/>
    <cellStyle name="20% - Accent4 2 10 3 4" xfId="13623" xr:uid="{00000000-0005-0000-0000-000061170000}"/>
    <cellStyle name="20% - Accent4 2 10 3 4 2" xfId="33023" xr:uid="{00000000-0005-0000-0000-000062170000}"/>
    <cellStyle name="20% - Accent4 2 10 3 5" xfId="23325" xr:uid="{00000000-0005-0000-0000-000063170000}"/>
    <cellStyle name="20% - Accent4 2 10 4" xfId="4176" xr:uid="{00000000-0005-0000-0000-000064170000}"/>
    <cellStyle name="20% - Accent4 2 10 4 2" xfId="8640" xr:uid="{00000000-0005-0000-0000-000065170000}"/>
    <cellStyle name="20% - Accent4 2 10 4 2 2" xfId="18636" xr:uid="{00000000-0005-0000-0000-000066170000}"/>
    <cellStyle name="20% - Accent4 2 10 4 2 2 2" xfId="38036" xr:uid="{00000000-0005-0000-0000-000067170000}"/>
    <cellStyle name="20% - Accent4 2 10 4 2 3" xfId="28338" xr:uid="{00000000-0005-0000-0000-000068170000}"/>
    <cellStyle name="20% - Accent4 2 10 4 3" xfId="14181" xr:uid="{00000000-0005-0000-0000-000069170000}"/>
    <cellStyle name="20% - Accent4 2 10 4 3 2" xfId="33581" xr:uid="{00000000-0005-0000-0000-00006A170000}"/>
    <cellStyle name="20% - Accent4 2 10 4 4" xfId="23883" xr:uid="{00000000-0005-0000-0000-00006B170000}"/>
    <cellStyle name="20% - Accent4 2 10 5" xfId="5846" xr:uid="{00000000-0005-0000-0000-00006C170000}"/>
    <cellStyle name="20% - Accent4 2 10 5 2" xfId="10310" xr:uid="{00000000-0005-0000-0000-00006D170000}"/>
    <cellStyle name="20% - Accent4 2 10 5 2 2" xfId="20306" xr:uid="{00000000-0005-0000-0000-00006E170000}"/>
    <cellStyle name="20% - Accent4 2 10 5 2 2 2" xfId="39706" xr:uid="{00000000-0005-0000-0000-00006F170000}"/>
    <cellStyle name="20% - Accent4 2 10 5 2 3" xfId="30008" xr:uid="{00000000-0005-0000-0000-000070170000}"/>
    <cellStyle name="20% - Accent4 2 10 5 3" xfId="15851" xr:uid="{00000000-0005-0000-0000-000071170000}"/>
    <cellStyle name="20% - Accent4 2 10 5 3 2" xfId="35251" xr:uid="{00000000-0005-0000-0000-000072170000}"/>
    <cellStyle name="20% - Accent4 2 10 5 4" xfId="25553" xr:uid="{00000000-0005-0000-0000-000073170000}"/>
    <cellStyle name="20% - Accent4 2 10 6" xfId="6412" xr:uid="{00000000-0005-0000-0000-000074170000}"/>
    <cellStyle name="20% - Accent4 2 10 6 2" xfId="10867" xr:uid="{00000000-0005-0000-0000-000075170000}"/>
    <cellStyle name="20% - Accent4 2 10 6 2 2" xfId="20863" xr:uid="{00000000-0005-0000-0000-000076170000}"/>
    <cellStyle name="20% - Accent4 2 10 6 2 2 2" xfId="40263" xr:uid="{00000000-0005-0000-0000-000077170000}"/>
    <cellStyle name="20% - Accent4 2 10 6 2 3" xfId="30565" xr:uid="{00000000-0005-0000-0000-000078170000}"/>
    <cellStyle name="20% - Accent4 2 10 6 3" xfId="16408" xr:uid="{00000000-0005-0000-0000-000079170000}"/>
    <cellStyle name="20% - Accent4 2 10 6 3 2" xfId="35808" xr:uid="{00000000-0005-0000-0000-00007A170000}"/>
    <cellStyle name="20% - Accent4 2 10 6 4" xfId="26110" xr:uid="{00000000-0005-0000-0000-00007B170000}"/>
    <cellStyle name="20% - Accent4 2 10 7" xfId="6969" xr:uid="{00000000-0005-0000-0000-00007C170000}"/>
    <cellStyle name="20% - Accent4 2 10 7 2" xfId="16965" xr:uid="{00000000-0005-0000-0000-00007D170000}"/>
    <cellStyle name="20% - Accent4 2 10 7 2 2" xfId="36365" xr:uid="{00000000-0005-0000-0000-00007E170000}"/>
    <cellStyle name="20% - Accent4 2 10 7 3" xfId="26667" xr:uid="{00000000-0005-0000-0000-00007F170000}"/>
    <cellStyle name="20% - Accent4 2 10 8" xfId="12509" xr:uid="{00000000-0005-0000-0000-000080170000}"/>
    <cellStyle name="20% - Accent4 2 10 8 2" xfId="31910" xr:uid="{00000000-0005-0000-0000-000081170000}"/>
    <cellStyle name="20% - Accent4 2 10 9" xfId="22212" xr:uid="{00000000-0005-0000-0000-000082170000}"/>
    <cellStyle name="20% - Accent4 2 11" xfId="2578" xr:uid="{00000000-0005-0000-0000-000083170000}"/>
    <cellStyle name="20% - Accent4 2 12" xfId="11310" xr:uid="{00000000-0005-0000-0000-000084170000}"/>
    <cellStyle name="20% - Accent4 2 12 2" xfId="21295" xr:uid="{00000000-0005-0000-0000-000085170000}"/>
    <cellStyle name="20% - Accent4 2 12 2 2" xfId="40695" xr:uid="{00000000-0005-0000-0000-000086170000}"/>
    <cellStyle name="20% - Accent4 2 12 3" xfId="30997" xr:uid="{00000000-0005-0000-0000-000087170000}"/>
    <cellStyle name="20% - Accent4 2 13" xfId="11339" xr:uid="{00000000-0005-0000-0000-000088170000}"/>
    <cellStyle name="20% - Accent4 2 13 2" xfId="21321" xr:uid="{00000000-0005-0000-0000-000089170000}"/>
    <cellStyle name="20% - Accent4 2 13 2 2" xfId="40721" xr:uid="{00000000-0005-0000-0000-00008A170000}"/>
    <cellStyle name="20% - Accent4 2 13 3" xfId="31023" xr:uid="{00000000-0005-0000-0000-00008B170000}"/>
    <cellStyle name="20% - Accent4 2 14" xfId="1160" xr:uid="{00000000-0005-0000-0000-00008C170000}"/>
    <cellStyle name="20% - Accent4 2 15" xfId="1135" xr:uid="{00000000-0005-0000-0000-00008D170000}"/>
    <cellStyle name="20% - Accent4 2 15 2" xfId="12354" xr:uid="{00000000-0005-0000-0000-00008E170000}"/>
    <cellStyle name="20% - Accent4 2 15 2 2" xfId="31756" xr:uid="{00000000-0005-0000-0000-00008F170000}"/>
    <cellStyle name="20% - Accent4 2 15 3" xfId="22058" xr:uid="{00000000-0005-0000-0000-000090170000}"/>
    <cellStyle name="20% - Accent4 2 2" xfId="729" xr:uid="{00000000-0005-0000-0000-000091170000}"/>
    <cellStyle name="20% - Accent4 2 2 2" xfId="1747" xr:uid="{00000000-0005-0000-0000-000092170000}"/>
    <cellStyle name="20% - Accent4 2 2 3" xfId="1162" xr:uid="{00000000-0005-0000-0000-000093170000}"/>
    <cellStyle name="20% - Accent4 2 2 4" xfId="11686" xr:uid="{00000000-0005-0000-0000-000094170000}"/>
    <cellStyle name="20% - Accent4 2 2 4 2" xfId="21404" xr:uid="{00000000-0005-0000-0000-000095170000}"/>
    <cellStyle name="20% - Accent4 2 2 4 2 2" xfId="40804" xr:uid="{00000000-0005-0000-0000-000096170000}"/>
    <cellStyle name="20% - Accent4 2 2 4 3" xfId="31106" xr:uid="{00000000-0005-0000-0000-000097170000}"/>
    <cellStyle name="20% - Accent4 2 2 5" xfId="1165" xr:uid="{00000000-0005-0000-0000-000098170000}"/>
    <cellStyle name="20% - Accent4 2 2 6" xfId="12056" xr:uid="{00000000-0005-0000-0000-000099170000}"/>
    <cellStyle name="20% - Accent4 2 2 6 2" xfId="31459" xr:uid="{00000000-0005-0000-0000-00009A170000}"/>
    <cellStyle name="20% - Accent4 2 2 7" xfId="21761" xr:uid="{00000000-0005-0000-0000-00009B170000}"/>
    <cellStyle name="20% - Accent4 2 3" xfId="1105" xr:uid="{00000000-0005-0000-0000-00009C170000}"/>
    <cellStyle name="20% - Accent4 2 3 2" xfId="2024" xr:uid="{00000000-0005-0000-0000-00009D170000}"/>
    <cellStyle name="20% - Accent4 2 3 2 10" xfId="6970" xr:uid="{00000000-0005-0000-0000-00009E170000}"/>
    <cellStyle name="20% - Accent4 2 3 2 10 2" xfId="16966" xr:uid="{00000000-0005-0000-0000-00009F170000}"/>
    <cellStyle name="20% - Accent4 2 3 2 10 2 2" xfId="36366" xr:uid="{00000000-0005-0000-0000-0000A0170000}"/>
    <cellStyle name="20% - Accent4 2 3 2 10 3" xfId="26668" xr:uid="{00000000-0005-0000-0000-0000A1170000}"/>
    <cellStyle name="20% - Accent4 2 3 2 11" xfId="12510" xr:uid="{00000000-0005-0000-0000-0000A2170000}"/>
    <cellStyle name="20% - Accent4 2 3 2 11 2" xfId="31911" xr:uid="{00000000-0005-0000-0000-0000A3170000}"/>
    <cellStyle name="20% - Accent4 2 3 2 12" xfId="22213" xr:uid="{00000000-0005-0000-0000-0000A4170000}"/>
    <cellStyle name="20% - Accent4 2 3 2 2" xfId="2025" xr:uid="{00000000-0005-0000-0000-0000A5170000}"/>
    <cellStyle name="20% - Accent4 2 3 2 2 10" xfId="12511" xr:uid="{00000000-0005-0000-0000-0000A6170000}"/>
    <cellStyle name="20% - Accent4 2 3 2 2 10 2" xfId="31912" xr:uid="{00000000-0005-0000-0000-0000A7170000}"/>
    <cellStyle name="20% - Accent4 2 3 2 2 11" xfId="22214" xr:uid="{00000000-0005-0000-0000-0000A8170000}"/>
    <cellStyle name="20% - Accent4 2 3 2 2 2" xfId="2026" xr:uid="{00000000-0005-0000-0000-0000A9170000}"/>
    <cellStyle name="20% - Accent4 2 3 2 2 2 2" xfId="3023" xr:uid="{00000000-0005-0000-0000-0000AA170000}"/>
    <cellStyle name="20% - Accent4 2 3 2 2 2 2 2" xfId="5292" xr:uid="{00000000-0005-0000-0000-0000AB170000}"/>
    <cellStyle name="20% - Accent4 2 3 2 2 2 2 2 2" xfId="9756" xr:uid="{00000000-0005-0000-0000-0000AC170000}"/>
    <cellStyle name="20% - Accent4 2 3 2 2 2 2 2 2 2" xfId="19752" xr:uid="{00000000-0005-0000-0000-0000AD170000}"/>
    <cellStyle name="20% - Accent4 2 3 2 2 2 2 2 2 2 2" xfId="39152" xr:uid="{00000000-0005-0000-0000-0000AE170000}"/>
    <cellStyle name="20% - Accent4 2 3 2 2 2 2 2 2 3" xfId="29454" xr:uid="{00000000-0005-0000-0000-0000AF170000}"/>
    <cellStyle name="20% - Accent4 2 3 2 2 2 2 2 3" xfId="15297" xr:uid="{00000000-0005-0000-0000-0000B0170000}"/>
    <cellStyle name="20% - Accent4 2 3 2 2 2 2 2 3 2" xfId="34697" xr:uid="{00000000-0005-0000-0000-0000B1170000}"/>
    <cellStyle name="20% - Accent4 2 3 2 2 2 2 2 4" xfId="24999" xr:uid="{00000000-0005-0000-0000-0000B2170000}"/>
    <cellStyle name="20% - Accent4 2 3 2 2 2 2 3" xfId="7528" xr:uid="{00000000-0005-0000-0000-0000B3170000}"/>
    <cellStyle name="20% - Accent4 2 3 2 2 2 2 3 2" xfId="17524" xr:uid="{00000000-0005-0000-0000-0000B4170000}"/>
    <cellStyle name="20% - Accent4 2 3 2 2 2 2 3 2 2" xfId="36924" xr:uid="{00000000-0005-0000-0000-0000B5170000}"/>
    <cellStyle name="20% - Accent4 2 3 2 2 2 2 3 3" xfId="27226" xr:uid="{00000000-0005-0000-0000-0000B6170000}"/>
    <cellStyle name="20% - Accent4 2 3 2 2 2 2 4" xfId="13069" xr:uid="{00000000-0005-0000-0000-0000B7170000}"/>
    <cellStyle name="20% - Accent4 2 3 2 2 2 2 4 2" xfId="32469" xr:uid="{00000000-0005-0000-0000-0000B8170000}"/>
    <cellStyle name="20% - Accent4 2 3 2 2 2 2 5" xfId="22771" xr:uid="{00000000-0005-0000-0000-0000B9170000}"/>
    <cellStyle name="20% - Accent4 2 3 2 2 2 3" xfId="3606" xr:uid="{00000000-0005-0000-0000-0000BA170000}"/>
    <cellStyle name="20% - Accent4 2 3 2 2 2 3 2" xfId="4736" xr:uid="{00000000-0005-0000-0000-0000BB170000}"/>
    <cellStyle name="20% - Accent4 2 3 2 2 2 3 2 2" xfId="9200" xr:uid="{00000000-0005-0000-0000-0000BC170000}"/>
    <cellStyle name="20% - Accent4 2 3 2 2 2 3 2 2 2" xfId="19196" xr:uid="{00000000-0005-0000-0000-0000BD170000}"/>
    <cellStyle name="20% - Accent4 2 3 2 2 2 3 2 2 2 2" xfId="38596" xr:uid="{00000000-0005-0000-0000-0000BE170000}"/>
    <cellStyle name="20% - Accent4 2 3 2 2 2 3 2 2 3" xfId="28898" xr:uid="{00000000-0005-0000-0000-0000BF170000}"/>
    <cellStyle name="20% - Accent4 2 3 2 2 2 3 2 3" xfId="14741" xr:uid="{00000000-0005-0000-0000-0000C0170000}"/>
    <cellStyle name="20% - Accent4 2 3 2 2 2 3 2 3 2" xfId="34141" xr:uid="{00000000-0005-0000-0000-0000C1170000}"/>
    <cellStyle name="20% - Accent4 2 3 2 2 2 3 2 4" xfId="24443" xr:uid="{00000000-0005-0000-0000-0000C2170000}"/>
    <cellStyle name="20% - Accent4 2 3 2 2 2 3 3" xfId="8085" xr:uid="{00000000-0005-0000-0000-0000C3170000}"/>
    <cellStyle name="20% - Accent4 2 3 2 2 2 3 3 2" xfId="18081" xr:uid="{00000000-0005-0000-0000-0000C4170000}"/>
    <cellStyle name="20% - Accent4 2 3 2 2 2 3 3 2 2" xfId="37481" xr:uid="{00000000-0005-0000-0000-0000C5170000}"/>
    <cellStyle name="20% - Accent4 2 3 2 2 2 3 3 3" xfId="27783" xr:uid="{00000000-0005-0000-0000-0000C6170000}"/>
    <cellStyle name="20% - Accent4 2 3 2 2 2 3 4" xfId="13626" xr:uid="{00000000-0005-0000-0000-0000C7170000}"/>
    <cellStyle name="20% - Accent4 2 3 2 2 2 3 4 2" xfId="33026" xr:uid="{00000000-0005-0000-0000-0000C8170000}"/>
    <cellStyle name="20% - Accent4 2 3 2 2 2 3 5" xfId="23328" xr:uid="{00000000-0005-0000-0000-0000C9170000}"/>
    <cellStyle name="20% - Accent4 2 3 2 2 2 4" xfId="4179" xr:uid="{00000000-0005-0000-0000-0000CA170000}"/>
    <cellStyle name="20% - Accent4 2 3 2 2 2 4 2" xfId="8643" xr:uid="{00000000-0005-0000-0000-0000CB170000}"/>
    <cellStyle name="20% - Accent4 2 3 2 2 2 4 2 2" xfId="18639" xr:uid="{00000000-0005-0000-0000-0000CC170000}"/>
    <cellStyle name="20% - Accent4 2 3 2 2 2 4 2 2 2" xfId="38039" xr:uid="{00000000-0005-0000-0000-0000CD170000}"/>
    <cellStyle name="20% - Accent4 2 3 2 2 2 4 2 3" xfId="28341" xr:uid="{00000000-0005-0000-0000-0000CE170000}"/>
    <cellStyle name="20% - Accent4 2 3 2 2 2 4 3" xfId="14184" xr:uid="{00000000-0005-0000-0000-0000CF170000}"/>
    <cellStyle name="20% - Accent4 2 3 2 2 2 4 3 2" xfId="33584" xr:uid="{00000000-0005-0000-0000-0000D0170000}"/>
    <cellStyle name="20% - Accent4 2 3 2 2 2 4 4" xfId="23886" xr:uid="{00000000-0005-0000-0000-0000D1170000}"/>
    <cellStyle name="20% - Accent4 2 3 2 2 2 5" xfId="5849" xr:uid="{00000000-0005-0000-0000-0000D2170000}"/>
    <cellStyle name="20% - Accent4 2 3 2 2 2 5 2" xfId="10313" xr:uid="{00000000-0005-0000-0000-0000D3170000}"/>
    <cellStyle name="20% - Accent4 2 3 2 2 2 5 2 2" xfId="20309" xr:uid="{00000000-0005-0000-0000-0000D4170000}"/>
    <cellStyle name="20% - Accent4 2 3 2 2 2 5 2 2 2" xfId="39709" xr:uid="{00000000-0005-0000-0000-0000D5170000}"/>
    <cellStyle name="20% - Accent4 2 3 2 2 2 5 2 3" xfId="30011" xr:uid="{00000000-0005-0000-0000-0000D6170000}"/>
    <cellStyle name="20% - Accent4 2 3 2 2 2 5 3" xfId="15854" xr:uid="{00000000-0005-0000-0000-0000D7170000}"/>
    <cellStyle name="20% - Accent4 2 3 2 2 2 5 3 2" xfId="35254" xr:uid="{00000000-0005-0000-0000-0000D8170000}"/>
    <cellStyle name="20% - Accent4 2 3 2 2 2 5 4" xfId="25556" xr:uid="{00000000-0005-0000-0000-0000D9170000}"/>
    <cellStyle name="20% - Accent4 2 3 2 2 2 6" xfId="6415" xr:uid="{00000000-0005-0000-0000-0000DA170000}"/>
    <cellStyle name="20% - Accent4 2 3 2 2 2 6 2" xfId="10870" xr:uid="{00000000-0005-0000-0000-0000DB170000}"/>
    <cellStyle name="20% - Accent4 2 3 2 2 2 6 2 2" xfId="20866" xr:uid="{00000000-0005-0000-0000-0000DC170000}"/>
    <cellStyle name="20% - Accent4 2 3 2 2 2 6 2 2 2" xfId="40266" xr:uid="{00000000-0005-0000-0000-0000DD170000}"/>
    <cellStyle name="20% - Accent4 2 3 2 2 2 6 2 3" xfId="30568" xr:uid="{00000000-0005-0000-0000-0000DE170000}"/>
    <cellStyle name="20% - Accent4 2 3 2 2 2 6 3" xfId="16411" xr:uid="{00000000-0005-0000-0000-0000DF170000}"/>
    <cellStyle name="20% - Accent4 2 3 2 2 2 6 3 2" xfId="35811" xr:uid="{00000000-0005-0000-0000-0000E0170000}"/>
    <cellStyle name="20% - Accent4 2 3 2 2 2 6 4" xfId="26113" xr:uid="{00000000-0005-0000-0000-0000E1170000}"/>
    <cellStyle name="20% - Accent4 2 3 2 2 2 7" xfId="6972" xr:uid="{00000000-0005-0000-0000-0000E2170000}"/>
    <cellStyle name="20% - Accent4 2 3 2 2 2 7 2" xfId="16968" xr:uid="{00000000-0005-0000-0000-0000E3170000}"/>
    <cellStyle name="20% - Accent4 2 3 2 2 2 7 2 2" xfId="36368" xr:uid="{00000000-0005-0000-0000-0000E4170000}"/>
    <cellStyle name="20% - Accent4 2 3 2 2 2 7 3" xfId="26670" xr:uid="{00000000-0005-0000-0000-0000E5170000}"/>
    <cellStyle name="20% - Accent4 2 3 2 2 2 8" xfId="12512" xr:uid="{00000000-0005-0000-0000-0000E6170000}"/>
    <cellStyle name="20% - Accent4 2 3 2 2 2 8 2" xfId="31913" xr:uid="{00000000-0005-0000-0000-0000E7170000}"/>
    <cellStyle name="20% - Accent4 2 3 2 2 2 9" xfId="22215" xr:uid="{00000000-0005-0000-0000-0000E8170000}"/>
    <cellStyle name="20% - Accent4 2 3 2 2 3" xfId="2027" xr:uid="{00000000-0005-0000-0000-0000E9170000}"/>
    <cellStyle name="20% - Accent4 2 3 2 2 3 2" xfId="3024" xr:uid="{00000000-0005-0000-0000-0000EA170000}"/>
    <cellStyle name="20% - Accent4 2 3 2 2 3 2 2" xfId="5293" xr:uid="{00000000-0005-0000-0000-0000EB170000}"/>
    <cellStyle name="20% - Accent4 2 3 2 2 3 2 2 2" xfId="9757" xr:uid="{00000000-0005-0000-0000-0000EC170000}"/>
    <cellStyle name="20% - Accent4 2 3 2 2 3 2 2 2 2" xfId="19753" xr:uid="{00000000-0005-0000-0000-0000ED170000}"/>
    <cellStyle name="20% - Accent4 2 3 2 2 3 2 2 2 2 2" xfId="39153" xr:uid="{00000000-0005-0000-0000-0000EE170000}"/>
    <cellStyle name="20% - Accent4 2 3 2 2 3 2 2 2 3" xfId="29455" xr:uid="{00000000-0005-0000-0000-0000EF170000}"/>
    <cellStyle name="20% - Accent4 2 3 2 2 3 2 2 3" xfId="15298" xr:uid="{00000000-0005-0000-0000-0000F0170000}"/>
    <cellStyle name="20% - Accent4 2 3 2 2 3 2 2 3 2" xfId="34698" xr:uid="{00000000-0005-0000-0000-0000F1170000}"/>
    <cellStyle name="20% - Accent4 2 3 2 2 3 2 2 4" xfId="25000" xr:uid="{00000000-0005-0000-0000-0000F2170000}"/>
    <cellStyle name="20% - Accent4 2 3 2 2 3 2 3" xfId="7529" xr:uid="{00000000-0005-0000-0000-0000F3170000}"/>
    <cellStyle name="20% - Accent4 2 3 2 2 3 2 3 2" xfId="17525" xr:uid="{00000000-0005-0000-0000-0000F4170000}"/>
    <cellStyle name="20% - Accent4 2 3 2 2 3 2 3 2 2" xfId="36925" xr:uid="{00000000-0005-0000-0000-0000F5170000}"/>
    <cellStyle name="20% - Accent4 2 3 2 2 3 2 3 3" xfId="27227" xr:uid="{00000000-0005-0000-0000-0000F6170000}"/>
    <cellStyle name="20% - Accent4 2 3 2 2 3 2 4" xfId="13070" xr:uid="{00000000-0005-0000-0000-0000F7170000}"/>
    <cellStyle name="20% - Accent4 2 3 2 2 3 2 4 2" xfId="32470" xr:uid="{00000000-0005-0000-0000-0000F8170000}"/>
    <cellStyle name="20% - Accent4 2 3 2 2 3 2 5" xfId="22772" xr:uid="{00000000-0005-0000-0000-0000F9170000}"/>
    <cellStyle name="20% - Accent4 2 3 2 2 3 3" xfId="3607" xr:uid="{00000000-0005-0000-0000-0000FA170000}"/>
    <cellStyle name="20% - Accent4 2 3 2 2 3 3 2" xfId="4737" xr:uid="{00000000-0005-0000-0000-0000FB170000}"/>
    <cellStyle name="20% - Accent4 2 3 2 2 3 3 2 2" xfId="9201" xr:uid="{00000000-0005-0000-0000-0000FC170000}"/>
    <cellStyle name="20% - Accent4 2 3 2 2 3 3 2 2 2" xfId="19197" xr:uid="{00000000-0005-0000-0000-0000FD170000}"/>
    <cellStyle name="20% - Accent4 2 3 2 2 3 3 2 2 2 2" xfId="38597" xr:uid="{00000000-0005-0000-0000-0000FE170000}"/>
    <cellStyle name="20% - Accent4 2 3 2 2 3 3 2 2 3" xfId="28899" xr:uid="{00000000-0005-0000-0000-0000FF170000}"/>
    <cellStyle name="20% - Accent4 2 3 2 2 3 3 2 3" xfId="14742" xr:uid="{00000000-0005-0000-0000-000000180000}"/>
    <cellStyle name="20% - Accent4 2 3 2 2 3 3 2 3 2" xfId="34142" xr:uid="{00000000-0005-0000-0000-000001180000}"/>
    <cellStyle name="20% - Accent4 2 3 2 2 3 3 2 4" xfId="24444" xr:uid="{00000000-0005-0000-0000-000002180000}"/>
    <cellStyle name="20% - Accent4 2 3 2 2 3 3 3" xfId="8086" xr:uid="{00000000-0005-0000-0000-000003180000}"/>
    <cellStyle name="20% - Accent4 2 3 2 2 3 3 3 2" xfId="18082" xr:uid="{00000000-0005-0000-0000-000004180000}"/>
    <cellStyle name="20% - Accent4 2 3 2 2 3 3 3 2 2" xfId="37482" xr:uid="{00000000-0005-0000-0000-000005180000}"/>
    <cellStyle name="20% - Accent4 2 3 2 2 3 3 3 3" xfId="27784" xr:uid="{00000000-0005-0000-0000-000006180000}"/>
    <cellStyle name="20% - Accent4 2 3 2 2 3 3 4" xfId="13627" xr:uid="{00000000-0005-0000-0000-000007180000}"/>
    <cellStyle name="20% - Accent4 2 3 2 2 3 3 4 2" xfId="33027" xr:uid="{00000000-0005-0000-0000-000008180000}"/>
    <cellStyle name="20% - Accent4 2 3 2 2 3 3 5" xfId="23329" xr:uid="{00000000-0005-0000-0000-000009180000}"/>
    <cellStyle name="20% - Accent4 2 3 2 2 3 4" xfId="4180" xr:uid="{00000000-0005-0000-0000-00000A180000}"/>
    <cellStyle name="20% - Accent4 2 3 2 2 3 4 2" xfId="8644" xr:uid="{00000000-0005-0000-0000-00000B180000}"/>
    <cellStyle name="20% - Accent4 2 3 2 2 3 4 2 2" xfId="18640" xr:uid="{00000000-0005-0000-0000-00000C180000}"/>
    <cellStyle name="20% - Accent4 2 3 2 2 3 4 2 2 2" xfId="38040" xr:uid="{00000000-0005-0000-0000-00000D180000}"/>
    <cellStyle name="20% - Accent4 2 3 2 2 3 4 2 3" xfId="28342" xr:uid="{00000000-0005-0000-0000-00000E180000}"/>
    <cellStyle name="20% - Accent4 2 3 2 2 3 4 3" xfId="14185" xr:uid="{00000000-0005-0000-0000-00000F180000}"/>
    <cellStyle name="20% - Accent4 2 3 2 2 3 4 3 2" xfId="33585" xr:uid="{00000000-0005-0000-0000-000010180000}"/>
    <cellStyle name="20% - Accent4 2 3 2 2 3 4 4" xfId="23887" xr:uid="{00000000-0005-0000-0000-000011180000}"/>
    <cellStyle name="20% - Accent4 2 3 2 2 3 5" xfId="5850" xr:uid="{00000000-0005-0000-0000-000012180000}"/>
    <cellStyle name="20% - Accent4 2 3 2 2 3 5 2" xfId="10314" xr:uid="{00000000-0005-0000-0000-000013180000}"/>
    <cellStyle name="20% - Accent4 2 3 2 2 3 5 2 2" xfId="20310" xr:uid="{00000000-0005-0000-0000-000014180000}"/>
    <cellStyle name="20% - Accent4 2 3 2 2 3 5 2 2 2" xfId="39710" xr:uid="{00000000-0005-0000-0000-000015180000}"/>
    <cellStyle name="20% - Accent4 2 3 2 2 3 5 2 3" xfId="30012" xr:uid="{00000000-0005-0000-0000-000016180000}"/>
    <cellStyle name="20% - Accent4 2 3 2 2 3 5 3" xfId="15855" xr:uid="{00000000-0005-0000-0000-000017180000}"/>
    <cellStyle name="20% - Accent4 2 3 2 2 3 5 3 2" xfId="35255" xr:uid="{00000000-0005-0000-0000-000018180000}"/>
    <cellStyle name="20% - Accent4 2 3 2 2 3 5 4" xfId="25557" xr:uid="{00000000-0005-0000-0000-000019180000}"/>
    <cellStyle name="20% - Accent4 2 3 2 2 3 6" xfId="6416" xr:uid="{00000000-0005-0000-0000-00001A180000}"/>
    <cellStyle name="20% - Accent4 2 3 2 2 3 6 2" xfId="10871" xr:uid="{00000000-0005-0000-0000-00001B180000}"/>
    <cellStyle name="20% - Accent4 2 3 2 2 3 6 2 2" xfId="20867" xr:uid="{00000000-0005-0000-0000-00001C180000}"/>
    <cellStyle name="20% - Accent4 2 3 2 2 3 6 2 2 2" xfId="40267" xr:uid="{00000000-0005-0000-0000-00001D180000}"/>
    <cellStyle name="20% - Accent4 2 3 2 2 3 6 2 3" xfId="30569" xr:uid="{00000000-0005-0000-0000-00001E180000}"/>
    <cellStyle name="20% - Accent4 2 3 2 2 3 6 3" xfId="16412" xr:uid="{00000000-0005-0000-0000-00001F180000}"/>
    <cellStyle name="20% - Accent4 2 3 2 2 3 6 3 2" xfId="35812" xr:uid="{00000000-0005-0000-0000-000020180000}"/>
    <cellStyle name="20% - Accent4 2 3 2 2 3 6 4" xfId="26114" xr:uid="{00000000-0005-0000-0000-000021180000}"/>
    <cellStyle name="20% - Accent4 2 3 2 2 3 7" xfId="6973" xr:uid="{00000000-0005-0000-0000-000022180000}"/>
    <cellStyle name="20% - Accent4 2 3 2 2 3 7 2" xfId="16969" xr:uid="{00000000-0005-0000-0000-000023180000}"/>
    <cellStyle name="20% - Accent4 2 3 2 2 3 7 2 2" xfId="36369" xr:uid="{00000000-0005-0000-0000-000024180000}"/>
    <cellStyle name="20% - Accent4 2 3 2 2 3 7 3" xfId="26671" xr:uid="{00000000-0005-0000-0000-000025180000}"/>
    <cellStyle name="20% - Accent4 2 3 2 2 3 8" xfId="12513" xr:uid="{00000000-0005-0000-0000-000026180000}"/>
    <cellStyle name="20% - Accent4 2 3 2 2 3 8 2" xfId="31914" xr:uid="{00000000-0005-0000-0000-000027180000}"/>
    <cellStyle name="20% - Accent4 2 3 2 2 3 9" xfId="22216" xr:uid="{00000000-0005-0000-0000-000028180000}"/>
    <cellStyle name="20% - Accent4 2 3 2 2 4" xfId="3022" xr:uid="{00000000-0005-0000-0000-000029180000}"/>
    <cellStyle name="20% - Accent4 2 3 2 2 4 2" xfId="5291" xr:uid="{00000000-0005-0000-0000-00002A180000}"/>
    <cellStyle name="20% - Accent4 2 3 2 2 4 2 2" xfId="9755" xr:uid="{00000000-0005-0000-0000-00002B180000}"/>
    <cellStyle name="20% - Accent4 2 3 2 2 4 2 2 2" xfId="19751" xr:uid="{00000000-0005-0000-0000-00002C180000}"/>
    <cellStyle name="20% - Accent4 2 3 2 2 4 2 2 2 2" xfId="39151" xr:uid="{00000000-0005-0000-0000-00002D180000}"/>
    <cellStyle name="20% - Accent4 2 3 2 2 4 2 2 3" xfId="29453" xr:uid="{00000000-0005-0000-0000-00002E180000}"/>
    <cellStyle name="20% - Accent4 2 3 2 2 4 2 3" xfId="15296" xr:uid="{00000000-0005-0000-0000-00002F180000}"/>
    <cellStyle name="20% - Accent4 2 3 2 2 4 2 3 2" xfId="34696" xr:uid="{00000000-0005-0000-0000-000030180000}"/>
    <cellStyle name="20% - Accent4 2 3 2 2 4 2 4" xfId="24998" xr:uid="{00000000-0005-0000-0000-000031180000}"/>
    <cellStyle name="20% - Accent4 2 3 2 2 4 3" xfId="7527" xr:uid="{00000000-0005-0000-0000-000032180000}"/>
    <cellStyle name="20% - Accent4 2 3 2 2 4 3 2" xfId="17523" xr:uid="{00000000-0005-0000-0000-000033180000}"/>
    <cellStyle name="20% - Accent4 2 3 2 2 4 3 2 2" xfId="36923" xr:uid="{00000000-0005-0000-0000-000034180000}"/>
    <cellStyle name="20% - Accent4 2 3 2 2 4 3 3" xfId="27225" xr:uid="{00000000-0005-0000-0000-000035180000}"/>
    <cellStyle name="20% - Accent4 2 3 2 2 4 4" xfId="13068" xr:uid="{00000000-0005-0000-0000-000036180000}"/>
    <cellStyle name="20% - Accent4 2 3 2 2 4 4 2" xfId="32468" xr:uid="{00000000-0005-0000-0000-000037180000}"/>
    <cellStyle name="20% - Accent4 2 3 2 2 4 5" xfId="22770" xr:uid="{00000000-0005-0000-0000-000038180000}"/>
    <cellStyle name="20% - Accent4 2 3 2 2 5" xfId="3605" xr:uid="{00000000-0005-0000-0000-000039180000}"/>
    <cellStyle name="20% - Accent4 2 3 2 2 5 2" xfId="4735" xr:uid="{00000000-0005-0000-0000-00003A180000}"/>
    <cellStyle name="20% - Accent4 2 3 2 2 5 2 2" xfId="9199" xr:uid="{00000000-0005-0000-0000-00003B180000}"/>
    <cellStyle name="20% - Accent4 2 3 2 2 5 2 2 2" xfId="19195" xr:uid="{00000000-0005-0000-0000-00003C180000}"/>
    <cellStyle name="20% - Accent4 2 3 2 2 5 2 2 2 2" xfId="38595" xr:uid="{00000000-0005-0000-0000-00003D180000}"/>
    <cellStyle name="20% - Accent4 2 3 2 2 5 2 2 3" xfId="28897" xr:uid="{00000000-0005-0000-0000-00003E180000}"/>
    <cellStyle name="20% - Accent4 2 3 2 2 5 2 3" xfId="14740" xr:uid="{00000000-0005-0000-0000-00003F180000}"/>
    <cellStyle name="20% - Accent4 2 3 2 2 5 2 3 2" xfId="34140" xr:uid="{00000000-0005-0000-0000-000040180000}"/>
    <cellStyle name="20% - Accent4 2 3 2 2 5 2 4" xfId="24442" xr:uid="{00000000-0005-0000-0000-000041180000}"/>
    <cellStyle name="20% - Accent4 2 3 2 2 5 3" xfId="8084" xr:uid="{00000000-0005-0000-0000-000042180000}"/>
    <cellStyle name="20% - Accent4 2 3 2 2 5 3 2" xfId="18080" xr:uid="{00000000-0005-0000-0000-000043180000}"/>
    <cellStyle name="20% - Accent4 2 3 2 2 5 3 2 2" xfId="37480" xr:uid="{00000000-0005-0000-0000-000044180000}"/>
    <cellStyle name="20% - Accent4 2 3 2 2 5 3 3" xfId="27782" xr:uid="{00000000-0005-0000-0000-000045180000}"/>
    <cellStyle name="20% - Accent4 2 3 2 2 5 4" xfId="13625" xr:uid="{00000000-0005-0000-0000-000046180000}"/>
    <cellStyle name="20% - Accent4 2 3 2 2 5 4 2" xfId="33025" xr:uid="{00000000-0005-0000-0000-000047180000}"/>
    <cellStyle name="20% - Accent4 2 3 2 2 5 5" xfId="23327" xr:uid="{00000000-0005-0000-0000-000048180000}"/>
    <cellStyle name="20% - Accent4 2 3 2 2 6" xfId="4178" xr:uid="{00000000-0005-0000-0000-000049180000}"/>
    <cellStyle name="20% - Accent4 2 3 2 2 6 2" xfId="8642" xr:uid="{00000000-0005-0000-0000-00004A180000}"/>
    <cellStyle name="20% - Accent4 2 3 2 2 6 2 2" xfId="18638" xr:uid="{00000000-0005-0000-0000-00004B180000}"/>
    <cellStyle name="20% - Accent4 2 3 2 2 6 2 2 2" xfId="38038" xr:uid="{00000000-0005-0000-0000-00004C180000}"/>
    <cellStyle name="20% - Accent4 2 3 2 2 6 2 3" xfId="28340" xr:uid="{00000000-0005-0000-0000-00004D180000}"/>
    <cellStyle name="20% - Accent4 2 3 2 2 6 3" xfId="14183" xr:uid="{00000000-0005-0000-0000-00004E180000}"/>
    <cellStyle name="20% - Accent4 2 3 2 2 6 3 2" xfId="33583" xr:uid="{00000000-0005-0000-0000-00004F180000}"/>
    <cellStyle name="20% - Accent4 2 3 2 2 6 4" xfId="23885" xr:uid="{00000000-0005-0000-0000-000050180000}"/>
    <cellStyle name="20% - Accent4 2 3 2 2 7" xfId="5848" xr:uid="{00000000-0005-0000-0000-000051180000}"/>
    <cellStyle name="20% - Accent4 2 3 2 2 7 2" xfId="10312" xr:uid="{00000000-0005-0000-0000-000052180000}"/>
    <cellStyle name="20% - Accent4 2 3 2 2 7 2 2" xfId="20308" xr:uid="{00000000-0005-0000-0000-000053180000}"/>
    <cellStyle name="20% - Accent4 2 3 2 2 7 2 2 2" xfId="39708" xr:uid="{00000000-0005-0000-0000-000054180000}"/>
    <cellStyle name="20% - Accent4 2 3 2 2 7 2 3" xfId="30010" xr:uid="{00000000-0005-0000-0000-000055180000}"/>
    <cellStyle name="20% - Accent4 2 3 2 2 7 3" xfId="15853" xr:uid="{00000000-0005-0000-0000-000056180000}"/>
    <cellStyle name="20% - Accent4 2 3 2 2 7 3 2" xfId="35253" xr:uid="{00000000-0005-0000-0000-000057180000}"/>
    <cellStyle name="20% - Accent4 2 3 2 2 7 4" xfId="25555" xr:uid="{00000000-0005-0000-0000-000058180000}"/>
    <cellStyle name="20% - Accent4 2 3 2 2 8" xfId="6414" xr:uid="{00000000-0005-0000-0000-000059180000}"/>
    <cellStyle name="20% - Accent4 2 3 2 2 8 2" xfId="10869" xr:uid="{00000000-0005-0000-0000-00005A180000}"/>
    <cellStyle name="20% - Accent4 2 3 2 2 8 2 2" xfId="20865" xr:uid="{00000000-0005-0000-0000-00005B180000}"/>
    <cellStyle name="20% - Accent4 2 3 2 2 8 2 2 2" xfId="40265" xr:uid="{00000000-0005-0000-0000-00005C180000}"/>
    <cellStyle name="20% - Accent4 2 3 2 2 8 2 3" xfId="30567" xr:uid="{00000000-0005-0000-0000-00005D180000}"/>
    <cellStyle name="20% - Accent4 2 3 2 2 8 3" xfId="16410" xr:uid="{00000000-0005-0000-0000-00005E180000}"/>
    <cellStyle name="20% - Accent4 2 3 2 2 8 3 2" xfId="35810" xr:uid="{00000000-0005-0000-0000-00005F180000}"/>
    <cellStyle name="20% - Accent4 2 3 2 2 8 4" xfId="26112" xr:uid="{00000000-0005-0000-0000-000060180000}"/>
    <cellStyle name="20% - Accent4 2 3 2 2 9" xfId="6971" xr:uid="{00000000-0005-0000-0000-000061180000}"/>
    <cellStyle name="20% - Accent4 2 3 2 2 9 2" xfId="16967" xr:uid="{00000000-0005-0000-0000-000062180000}"/>
    <cellStyle name="20% - Accent4 2 3 2 2 9 2 2" xfId="36367" xr:uid="{00000000-0005-0000-0000-000063180000}"/>
    <cellStyle name="20% - Accent4 2 3 2 2 9 3" xfId="26669" xr:uid="{00000000-0005-0000-0000-000064180000}"/>
    <cellStyle name="20% - Accent4 2 3 2 3" xfId="2028" xr:uid="{00000000-0005-0000-0000-000065180000}"/>
    <cellStyle name="20% - Accent4 2 3 2 3 2" xfId="3025" xr:uid="{00000000-0005-0000-0000-000066180000}"/>
    <cellStyle name="20% - Accent4 2 3 2 3 2 2" xfId="5294" xr:uid="{00000000-0005-0000-0000-000067180000}"/>
    <cellStyle name="20% - Accent4 2 3 2 3 2 2 2" xfId="9758" xr:uid="{00000000-0005-0000-0000-000068180000}"/>
    <cellStyle name="20% - Accent4 2 3 2 3 2 2 2 2" xfId="19754" xr:uid="{00000000-0005-0000-0000-000069180000}"/>
    <cellStyle name="20% - Accent4 2 3 2 3 2 2 2 2 2" xfId="39154" xr:uid="{00000000-0005-0000-0000-00006A180000}"/>
    <cellStyle name="20% - Accent4 2 3 2 3 2 2 2 3" xfId="29456" xr:uid="{00000000-0005-0000-0000-00006B180000}"/>
    <cellStyle name="20% - Accent4 2 3 2 3 2 2 3" xfId="15299" xr:uid="{00000000-0005-0000-0000-00006C180000}"/>
    <cellStyle name="20% - Accent4 2 3 2 3 2 2 3 2" xfId="34699" xr:uid="{00000000-0005-0000-0000-00006D180000}"/>
    <cellStyle name="20% - Accent4 2 3 2 3 2 2 4" xfId="25001" xr:uid="{00000000-0005-0000-0000-00006E180000}"/>
    <cellStyle name="20% - Accent4 2 3 2 3 2 3" xfId="7530" xr:uid="{00000000-0005-0000-0000-00006F180000}"/>
    <cellStyle name="20% - Accent4 2 3 2 3 2 3 2" xfId="17526" xr:uid="{00000000-0005-0000-0000-000070180000}"/>
    <cellStyle name="20% - Accent4 2 3 2 3 2 3 2 2" xfId="36926" xr:uid="{00000000-0005-0000-0000-000071180000}"/>
    <cellStyle name="20% - Accent4 2 3 2 3 2 3 3" xfId="27228" xr:uid="{00000000-0005-0000-0000-000072180000}"/>
    <cellStyle name="20% - Accent4 2 3 2 3 2 4" xfId="13071" xr:uid="{00000000-0005-0000-0000-000073180000}"/>
    <cellStyle name="20% - Accent4 2 3 2 3 2 4 2" xfId="32471" xr:uid="{00000000-0005-0000-0000-000074180000}"/>
    <cellStyle name="20% - Accent4 2 3 2 3 2 5" xfId="22773" xr:uid="{00000000-0005-0000-0000-000075180000}"/>
    <cellStyle name="20% - Accent4 2 3 2 3 3" xfId="3608" xr:uid="{00000000-0005-0000-0000-000076180000}"/>
    <cellStyle name="20% - Accent4 2 3 2 3 3 2" xfId="4738" xr:uid="{00000000-0005-0000-0000-000077180000}"/>
    <cellStyle name="20% - Accent4 2 3 2 3 3 2 2" xfId="9202" xr:uid="{00000000-0005-0000-0000-000078180000}"/>
    <cellStyle name="20% - Accent4 2 3 2 3 3 2 2 2" xfId="19198" xr:uid="{00000000-0005-0000-0000-000079180000}"/>
    <cellStyle name="20% - Accent4 2 3 2 3 3 2 2 2 2" xfId="38598" xr:uid="{00000000-0005-0000-0000-00007A180000}"/>
    <cellStyle name="20% - Accent4 2 3 2 3 3 2 2 3" xfId="28900" xr:uid="{00000000-0005-0000-0000-00007B180000}"/>
    <cellStyle name="20% - Accent4 2 3 2 3 3 2 3" xfId="14743" xr:uid="{00000000-0005-0000-0000-00007C180000}"/>
    <cellStyle name="20% - Accent4 2 3 2 3 3 2 3 2" xfId="34143" xr:uid="{00000000-0005-0000-0000-00007D180000}"/>
    <cellStyle name="20% - Accent4 2 3 2 3 3 2 4" xfId="24445" xr:uid="{00000000-0005-0000-0000-00007E180000}"/>
    <cellStyle name="20% - Accent4 2 3 2 3 3 3" xfId="8087" xr:uid="{00000000-0005-0000-0000-00007F180000}"/>
    <cellStyle name="20% - Accent4 2 3 2 3 3 3 2" xfId="18083" xr:uid="{00000000-0005-0000-0000-000080180000}"/>
    <cellStyle name="20% - Accent4 2 3 2 3 3 3 2 2" xfId="37483" xr:uid="{00000000-0005-0000-0000-000081180000}"/>
    <cellStyle name="20% - Accent4 2 3 2 3 3 3 3" xfId="27785" xr:uid="{00000000-0005-0000-0000-000082180000}"/>
    <cellStyle name="20% - Accent4 2 3 2 3 3 4" xfId="13628" xr:uid="{00000000-0005-0000-0000-000083180000}"/>
    <cellStyle name="20% - Accent4 2 3 2 3 3 4 2" xfId="33028" xr:uid="{00000000-0005-0000-0000-000084180000}"/>
    <cellStyle name="20% - Accent4 2 3 2 3 3 5" xfId="23330" xr:uid="{00000000-0005-0000-0000-000085180000}"/>
    <cellStyle name="20% - Accent4 2 3 2 3 4" xfId="4181" xr:uid="{00000000-0005-0000-0000-000086180000}"/>
    <cellStyle name="20% - Accent4 2 3 2 3 4 2" xfId="8645" xr:uid="{00000000-0005-0000-0000-000087180000}"/>
    <cellStyle name="20% - Accent4 2 3 2 3 4 2 2" xfId="18641" xr:uid="{00000000-0005-0000-0000-000088180000}"/>
    <cellStyle name="20% - Accent4 2 3 2 3 4 2 2 2" xfId="38041" xr:uid="{00000000-0005-0000-0000-000089180000}"/>
    <cellStyle name="20% - Accent4 2 3 2 3 4 2 3" xfId="28343" xr:uid="{00000000-0005-0000-0000-00008A180000}"/>
    <cellStyle name="20% - Accent4 2 3 2 3 4 3" xfId="14186" xr:uid="{00000000-0005-0000-0000-00008B180000}"/>
    <cellStyle name="20% - Accent4 2 3 2 3 4 3 2" xfId="33586" xr:uid="{00000000-0005-0000-0000-00008C180000}"/>
    <cellStyle name="20% - Accent4 2 3 2 3 4 4" xfId="23888" xr:uid="{00000000-0005-0000-0000-00008D180000}"/>
    <cellStyle name="20% - Accent4 2 3 2 3 5" xfId="5851" xr:uid="{00000000-0005-0000-0000-00008E180000}"/>
    <cellStyle name="20% - Accent4 2 3 2 3 5 2" xfId="10315" xr:uid="{00000000-0005-0000-0000-00008F180000}"/>
    <cellStyle name="20% - Accent4 2 3 2 3 5 2 2" xfId="20311" xr:uid="{00000000-0005-0000-0000-000090180000}"/>
    <cellStyle name="20% - Accent4 2 3 2 3 5 2 2 2" xfId="39711" xr:uid="{00000000-0005-0000-0000-000091180000}"/>
    <cellStyle name="20% - Accent4 2 3 2 3 5 2 3" xfId="30013" xr:uid="{00000000-0005-0000-0000-000092180000}"/>
    <cellStyle name="20% - Accent4 2 3 2 3 5 3" xfId="15856" xr:uid="{00000000-0005-0000-0000-000093180000}"/>
    <cellStyle name="20% - Accent4 2 3 2 3 5 3 2" xfId="35256" xr:uid="{00000000-0005-0000-0000-000094180000}"/>
    <cellStyle name="20% - Accent4 2 3 2 3 5 4" xfId="25558" xr:uid="{00000000-0005-0000-0000-000095180000}"/>
    <cellStyle name="20% - Accent4 2 3 2 3 6" xfId="6417" xr:uid="{00000000-0005-0000-0000-000096180000}"/>
    <cellStyle name="20% - Accent4 2 3 2 3 6 2" xfId="10872" xr:uid="{00000000-0005-0000-0000-000097180000}"/>
    <cellStyle name="20% - Accent4 2 3 2 3 6 2 2" xfId="20868" xr:uid="{00000000-0005-0000-0000-000098180000}"/>
    <cellStyle name="20% - Accent4 2 3 2 3 6 2 2 2" xfId="40268" xr:uid="{00000000-0005-0000-0000-000099180000}"/>
    <cellStyle name="20% - Accent4 2 3 2 3 6 2 3" xfId="30570" xr:uid="{00000000-0005-0000-0000-00009A180000}"/>
    <cellStyle name="20% - Accent4 2 3 2 3 6 3" xfId="16413" xr:uid="{00000000-0005-0000-0000-00009B180000}"/>
    <cellStyle name="20% - Accent4 2 3 2 3 6 3 2" xfId="35813" xr:uid="{00000000-0005-0000-0000-00009C180000}"/>
    <cellStyle name="20% - Accent4 2 3 2 3 6 4" xfId="26115" xr:uid="{00000000-0005-0000-0000-00009D180000}"/>
    <cellStyle name="20% - Accent4 2 3 2 3 7" xfId="6974" xr:uid="{00000000-0005-0000-0000-00009E180000}"/>
    <cellStyle name="20% - Accent4 2 3 2 3 7 2" xfId="16970" xr:uid="{00000000-0005-0000-0000-00009F180000}"/>
    <cellStyle name="20% - Accent4 2 3 2 3 7 2 2" xfId="36370" xr:uid="{00000000-0005-0000-0000-0000A0180000}"/>
    <cellStyle name="20% - Accent4 2 3 2 3 7 3" xfId="26672" xr:uid="{00000000-0005-0000-0000-0000A1180000}"/>
    <cellStyle name="20% - Accent4 2 3 2 3 8" xfId="12514" xr:uid="{00000000-0005-0000-0000-0000A2180000}"/>
    <cellStyle name="20% - Accent4 2 3 2 3 8 2" xfId="31915" xr:uid="{00000000-0005-0000-0000-0000A3180000}"/>
    <cellStyle name="20% - Accent4 2 3 2 3 9" xfId="22217" xr:uid="{00000000-0005-0000-0000-0000A4180000}"/>
    <cellStyle name="20% - Accent4 2 3 2 4" xfId="2029" xr:uid="{00000000-0005-0000-0000-0000A5180000}"/>
    <cellStyle name="20% - Accent4 2 3 2 4 2" xfId="3026" xr:uid="{00000000-0005-0000-0000-0000A6180000}"/>
    <cellStyle name="20% - Accent4 2 3 2 4 2 2" xfId="5295" xr:uid="{00000000-0005-0000-0000-0000A7180000}"/>
    <cellStyle name="20% - Accent4 2 3 2 4 2 2 2" xfId="9759" xr:uid="{00000000-0005-0000-0000-0000A8180000}"/>
    <cellStyle name="20% - Accent4 2 3 2 4 2 2 2 2" xfId="19755" xr:uid="{00000000-0005-0000-0000-0000A9180000}"/>
    <cellStyle name="20% - Accent4 2 3 2 4 2 2 2 2 2" xfId="39155" xr:uid="{00000000-0005-0000-0000-0000AA180000}"/>
    <cellStyle name="20% - Accent4 2 3 2 4 2 2 2 3" xfId="29457" xr:uid="{00000000-0005-0000-0000-0000AB180000}"/>
    <cellStyle name="20% - Accent4 2 3 2 4 2 2 3" xfId="15300" xr:uid="{00000000-0005-0000-0000-0000AC180000}"/>
    <cellStyle name="20% - Accent4 2 3 2 4 2 2 3 2" xfId="34700" xr:uid="{00000000-0005-0000-0000-0000AD180000}"/>
    <cellStyle name="20% - Accent4 2 3 2 4 2 2 4" xfId="25002" xr:uid="{00000000-0005-0000-0000-0000AE180000}"/>
    <cellStyle name="20% - Accent4 2 3 2 4 2 3" xfId="7531" xr:uid="{00000000-0005-0000-0000-0000AF180000}"/>
    <cellStyle name="20% - Accent4 2 3 2 4 2 3 2" xfId="17527" xr:uid="{00000000-0005-0000-0000-0000B0180000}"/>
    <cellStyle name="20% - Accent4 2 3 2 4 2 3 2 2" xfId="36927" xr:uid="{00000000-0005-0000-0000-0000B1180000}"/>
    <cellStyle name="20% - Accent4 2 3 2 4 2 3 3" xfId="27229" xr:uid="{00000000-0005-0000-0000-0000B2180000}"/>
    <cellStyle name="20% - Accent4 2 3 2 4 2 4" xfId="13072" xr:uid="{00000000-0005-0000-0000-0000B3180000}"/>
    <cellStyle name="20% - Accent4 2 3 2 4 2 4 2" xfId="32472" xr:uid="{00000000-0005-0000-0000-0000B4180000}"/>
    <cellStyle name="20% - Accent4 2 3 2 4 2 5" xfId="22774" xr:uid="{00000000-0005-0000-0000-0000B5180000}"/>
    <cellStyle name="20% - Accent4 2 3 2 4 3" xfId="3609" xr:uid="{00000000-0005-0000-0000-0000B6180000}"/>
    <cellStyle name="20% - Accent4 2 3 2 4 3 2" xfId="4739" xr:uid="{00000000-0005-0000-0000-0000B7180000}"/>
    <cellStyle name="20% - Accent4 2 3 2 4 3 2 2" xfId="9203" xr:uid="{00000000-0005-0000-0000-0000B8180000}"/>
    <cellStyle name="20% - Accent4 2 3 2 4 3 2 2 2" xfId="19199" xr:uid="{00000000-0005-0000-0000-0000B9180000}"/>
    <cellStyle name="20% - Accent4 2 3 2 4 3 2 2 2 2" xfId="38599" xr:uid="{00000000-0005-0000-0000-0000BA180000}"/>
    <cellStyle name="20% - Accent4 2 3 2 4 3 2 2 3" xfId="28901" xr:uid="{00000000-0005-0000-0000-0000BB180000}"/>
    <cellStyle name="20% - Accent4 2 3 2 4 3 2 3" xfId="14744" xr:uid="{00000000-0005-0000-0000-0000BC180000}"/>
    <cellStyle name="20% - Accent4 2 3 2 4 3 2 3 2" xfId="34144" xr:uid="{00000000-0005-0000-0000-0000BD180000}"/>
    <cellStyle name="20% - Accent4 2 3 2 4 3 2 4" xfId="24446" xr:uid="{00000000-0005-0000-0000-0000BE180000}"/>
    <cellStyle name="20% - Accent4 2 3 2 4 3 3" xfId="8088" xr:uid="{00000000-0005-0000-0000-0000BF180000}"/>
    <cellStyle name="20% - Accent4 2 3 2 4 3 3 2" xfId="18084" xr:uid="{00000000-0005-0000-0000-0000C0180000}"/>
    <cellStyle name="20% - Accent4 2 3 2 4 3 3 2 2" xfId="37484" xr:uid="{00000000-0005-0000-0000-0000C1180000}"/>
    <cellStyle name="20% - Accent4 2 3 2 4 3 3 3" xfId="27786" xr:uid="{00000000-0005-0000-0000-0000C2180000}"/>
    <cellStyle name="20% - Accent4 2 3 2 4 3 4" xfId="13629" xr:uid="{00000000-0005-0000-0000-0000C3180000}"/>
    <cellStyle name="20% - Accent4 2 3 2 4 3 4 2" xfId="33029" xr:uid="{00000000-0005-0000-0000-0000C4180000}"/>
    <cellStyle name="20% - Accent4 2 3 2 4 3 5" xfId="23331" xr:uid="{00000000-0005-0000-0000-0000C5180000}"/>
    <cellStyle name="20% - Accent4 2 3 2 4 4" xfId="4182" xr:uid="{00000000-0005-0000-0000-0000C6180000}"/>
    <cellStyle name="20% - Accent4 2 3 2 4 4 2" xfId="8646" xr:uid="{00000000-0005-0000-0000-0000C7180000}"/>
    <cellStyle name="20% - Accent4 2 3 2 4 4 2 2" xfId="18642" xr:uid="{00000000-0005-0000-0000-0000C8180000}"/>
    <cellStyle name="20% - Accent4 2 3 2 4 4 2 2 2" xfId="38042" xr:uid="{00000000-0005-0000-0000-0000C9180000}"/>
    <cellStyle name="20% - Accent4 2 3 2 4 4 2 3" xfId="28344" xr:uid="{00000000-0005-0000-0000-0000CA180000}"/>
    <cellStyle name="20% - Accent4 2 3 2 4 4 3" xfId="14187" xr:uid="{00000000-0005-0000-0000-0000CB180000}"/>
    <cellStyle name="20% - Accent4 2 3 2 4 4 3 2" xfId="33587" xr:uid="{00000000-0005-0000-0000-0000CC180000}"/>
    <cellStyle name="20% - Accent4 2 3 2 4 4 4" xfId="23889" xr:uid="{00000000-0005-0000-0000-0000CD180000}"/>
    <cellStyle name="20% - Accent4 2 3 2 4 5" xfId="5852" xr:uid="{00000000-0005-0000-0000-0000CE180000}"/>
    <cellStyle name="20% - Accent4 2 3 2 4 5 2" xfId="10316" xr:uid="{00000000-0005-0000-0000-0000CF180000}"/>
    <cellStyle name="20% - Accent4 2 3 2 4 5 2 2" xfId="20312" xr:uid="{00000000-0005-0000-0000-0000D0180000}"/>
    <cellStyle name="20% - Accent4 2 3 2 4 5 2 2 2" xfId="39712" xr:uid="{00000000-0005-0000-0000-0000D1180000}"/>
    <cellStyle name="20% - Accent4 2 3 2 4 5 2 3" xfId="30014" xr:uid="{00000000-0005-0000-0000-0000D2180000}"/>
    <cellStyle name="20% - Accent4 2 3 2 4 5 3" xfId="15857" xr:uid="{00000000-0005-0000-0000-0000D3180000}"/>
    <cellStyle name="20% - Accent4 2 3 2 4 5 3 2" xfId="35257" xr:uid="{00000000-0005-0000-0000-0000D4180000}"/>
    <cellStyle name="20% - Accent4 2 3 2 4 5 4" xfId="25559" xr:uid="{00000000-0005-0000-0000-0000D5180000}"/>
    <cellStyle name="20% - Accent4 2 3 2 4 6" xfId="6418" xr:uid="{00000000-0005-0000-0000-0000D6180000}"/>
    <cellStyle name="20% - Accent4 2 3 2 4 6 2" xfId="10873" xr:uid="{00000000-0005-0000-0000-0000D7180000}"/>
    <cellStyle name="20% - Accent4 2 3 2 4 6 2 2" xfId="20869" xr:uid="{00000000-0005-0000-0000-0000D8180000}"/>
    <cellStyle name="20% - Accent4 2 3 2 4 6 2 2 2" xfId="40269" xr:uid="{00000000-0005-0000-0000-0000D9180000}"/>
    <cellStyle name="20% - Accent4 2 3 2 4 6 2 3" xfId="30571" xr:uid="{00000000-0005-0000-0000-0000DA180000}"/>
    <cellStyle name="20% - Accent4 2 3 2 4 6 3" xfId="16414" xr:uid="{00000000-0005-0000-0000-0000DB180000}"/>
    <cellStyle name="20% - Accent4 2 3 2 4 6 3 2" xfId="35814" xr:uid="{00000000-0005-0000-0000-0000DC180000}"/>
    <cellStyle name="20% - Accent4 2 3 2 4 6 4" xfId="26116" xr:uid="{00000000-0005-0000-0000-0000DD180000}"/>
    <cellStyle name="20% - Accent4 2 3 2 4 7" xfId="6975" xr:uid="{00000000-0005-0000-0000-0000DE180000}"/>
    <cellStyle name="20% - Accent4 2 3 2 4 7 2" xfId="16971" xr:uid="{00000000-0005-0000-0000-0000DF180000}"/>
    <cellStyle name="20% - Accent4 2 3 2 4 7 2 2" xfId="36371" xr:uid="{00000000-0005-0000-0000-0000E0180000}"/>
    <cellStyle name="20% - Accent4 2 3 2 4 7 3" xfId="26673" xr:uid="{00000000-0005-0000-0000-0000E1180000}"/>
    <cellStyle name="20% - Accent4 2 3 2 4 8" xfId="12515" xr:uid="{00000000-0005-0000-0000-0000E2180000}"/>
    <cellStyle name="20% - Accent4 2 3 2 4 8 2" xfId="31916" xr:uid="{00000000-0005-0000-0000-0000E3180000}"/>
    <cellStyle name="20% - Accent4 2 3 2 4 9" xfId="22218" xr:uid="{00000000-0005-0000-0000-0000E4180000}"/>
    <cellStyle name="20% - Accent4 2 3 2 5" xfId="3021" xr:uid="{00000000-0005-0000-0000-0000E5180000}"/>
    <cellStyle name="20% - Accent4 2 3 2 5 2" xfId="5290" xr:uid="{00000000-0005-0000-0000-0000E6180000}"/>
    <cellStyle name="20% - Accent4 2 3 2 5 2 2" xfId="9754" xr:uid="{00000000-0005-0000-0000-0000E7180000}"/>
    <cellStyle name="20% - Accent4 2 3 2 5 2 2 2" xfId="19750" xr:uid="{00000000-0005-0000-0000-0000E8180000}"/>
    <cellStyle name="20% - Accent4 2 3 2 5 2 2 2 2" xfId="39150" xr:uid="{00000000-0005-0000-0000-0000E9180000}"/>
    <cellStyle name="20% - Accent4 2 3 2 5 2 2 3" xfId="29452" xr:uid="{00000000-0005-0000-0000-0000EA180000}"/>
    <cellStyle name="20% - Accent4 2 3 2 5 2 3" xfId="15295" xr:uid="{00000000-0005-0000-0000-0000EB180000}"/>
    <cellStyle name="20% - Accent4 2 3 2 5 2 3 2" xfId="34695" xr:uid="{00000000-0005-0000-0000-0000EC180000}"/>
    <cellStyle name="20% - Accent4 2 3 2 5 2 4" xfId="24997" xr:uid="{00000000-0005-0000-0000-0000ED180000}"/>
    <cellStyle name="20% - Accent4 2 3 2 5 3" xfId="7526" xr:uid="{00000000-0005-0000-0000-0000EE180000}"/>
    <cellStyle name="20% - Accent4 2 3 2 5 3 2" xfId="17522" xr:uid="{00000000-0005-0000-0000-0000EF180000}"/>
    <cellStyle name="20% - Accent4 2 3 2 5 3 2 2" xfId="36922" xr:uid="{00000000-0005-0000-0000-0000F0180000}"/>
    <cellStyle name="20% - Accent4 2 3 2 5 3 3" xfId="27224" xr:uid="{00000000-0005-0000-0000-0000F1180000}"/>
    <cellStyle name="20% - Accent4 2 3 2 5 4" xfId="13067" xr:uid="{00000000-0005-0000-0000-0000F2180000}"/>
    <cellStyle name="20% - Accent4 2 3 2 5 4 2" xfId="32467" xr:uid="{00000000-0005-0000-0000-0000F3180000}"/>
    <cellStyle name="20% - Accent4 2 3 2 5 5" xfId="22769" xr:uid="{00000000-0005-0000-0000-0000F4180000}"/>
    <cellStyle name="20% - Accent4 2 3 2 6" xfId="3604" xr:uid="{00000000-0005-0000-0000-0000F5180000}"/>
    <cellStyle name="20% - Accent4 2 3 2 6 2" xfId="4734" xr:uid="{00000000-0005-0000-0000-0000F6180000}"/>
    <cellStyle name="20% - Accent4 2 3 2 6 2 2" xfId="9198" xr:uid="{00000000-0005-0000-0000-0000F7180000}"/>
    <cellStyle name="20% - Accent4 2 3 2 6 2 2 2" xfId="19194" xr:uid="{00000000-0005-0000-0000-0000F8180000}"/>
    <cellStyle name="20% - Accent4 2 3 2 6 2 2 2 2" xfId="38594" xr:uid="{00000000-0005-0000-0000-0000F9180000}"/>
    <cellStyle name="20% - Accent4 2 3 2 6 2 2 3" xfId="28896" xr:uid="{00000000-0005-0000-0000-0000FA180000}"/>
    <cellStyle name="20% - Accent4 2 3 2 6 2 3" xfId="14739" xr:uid="{00000000-0005-0000-0000-0000FB180000}"/>
    <cellStyle name="20% - Accent4 2 3 2 6 2 3 2" xfId="34139" xr:uid="{00000000-0005-0000-0000-0000FC180000}"/>
    <cellStyle name="20% - Accent4 2 3 2 6 2 4" xfId="24441" xr:uid="{00000000-0005-0000-0000-0000FD180000}"/>
    <cellStyle name="20% - Accent4 2 3 2 6 3" xfId="8083" xr:uid="{00000000-0005-0000-0000-0000FE180000}"/>
    <cellStyle name="20% - Accent4 2 3 2 6 3 2" xfId="18079" xr:uid="{00000000-0005-0000-0000-0000FF180000}"/>
    <cellStyle name="20% - Accent4 2 3 2 6 3 2 2" xfId="37479" xr:uid="{00000000-0005-0000-0000-000000190000}"/>
    <cellStyle name="20% - Accent4 2 3 2 6 3 3" xfId="27781" xr:uid="{00000000-0005-0000-0000-000001190000}"/>
    <cellStyle name="20% - Accent4 2 3 2 6 4" xfId="13624" xr:uid="{00000000-0005-0000-0000-000002190000}"/>
    <cellStyle name="20% - Accent4 2 3 2 6 4 2" xfId="33024" xr:uid="{00000000-0005-0000-0000-000003190000}"/>
    <cellStyle name="20% - Accent4 2 3 2 6 5" xfId="23326" xr:uid="{00000000-0005-0000-0000-000004190000}"/>
    <cellStyle name="20% - Accent4 2 3 2 7" xfId="4177" xr:uid="{00000000-0005-0000-0000-000005190000}"/>
    <cellStyle name="20% - Accent4 2 3 2 7 2" xfId="8641" xr:uid="{00000000-0005-0000-0000-000006190000}"/>
    <cellStyle name="20% - Accent4 2 3 2 7 2 2" xfId="18637" xr:uid="{00000000-0005-0000-0000-000007190000}"/>
    <cellStyle name="20% - Accent4 2 3 2 7 2 2 2" xfId="38037" xr:uid="{00000000-0005-0000-0000-000008190000}"/>
    <cellStyle name="20% - Accent4 2 3 2 7 2 3" xfId="28339" xr:uid="{00000000-0005-0000-0000-000009190000}"/>
    <cellStyle name="20% - Accent4 2 3 2 7 3" xfId="14182" xr:uid="{00000000-0005-0000-0000-00000A190000}"/>
    <cellStyle name="20% - Accent4 2 3 2 7 3 2" xfId="33582" xr:uid="{00000000-0005-0000-0000-00000B190000}"/>
    <cellStyle name="20% - Accent4 2 3 2 7 4" xfId="23884" xr:uid="{00000000-0005-0000-0000-00000C190000}"/>
    <cellStyle name="20% - Accent4 2 3 2 8" xfId="5847" xr:uid="{00000000-0005-0000-0000-00000D190000}"/>
    <cellStyle name="20% - Accent4 2 3 2 8 2" xfId="10311" xr:uid="{00000000-0005-0000-0000-00000E190000}"/>
    <cellStyle name="20% - Accent4 2 3 2 8 2 2" xfId="20307" xr:uid="{00000000-0005-0000-0000-00000F190000}"/>
    <cellStyle name="20% - Accent4 2 3 2 8 2 2 2" xfId="39707" xr:uid="{00000000-0005-0000-0000-000010190000}"/>
    <cellStyle name="20% - Accent4 2 3 2 8 2 3" xfId="30009" xr:uid="{00000000-0005-0000-0000-000011190000}"/>
    <cellStyle name="20% - Accent4 2 3 2 8 3" xfId="15852" xr:uid="{00000000-0005-0000-0000-000012190000}"/>
    <cellStyle name="20% - Accent4 2 3 2 8 3 2" xfId="35252" xr:uid="{00000000-0005-0000-0000-000013190000}"/>
    <cellStyle name="20% - Accent4 2 3 2 8 4" xfId="25554" xr:uid="{00000000-0005-0000-0000-000014190000}"/>
    <cellStyle name="20% - Accent4 2 3 2 9" xfId="6413" xr:uid="{00000000-0005-0000-0000-000015190000}"/>
    <cellStyle name="20% - Accent4 2 3 2 9 2" xfId="10868" xr:uid="{00000000-0005-0000-0000-000016190000}"/>
    <cellStyle name="20% - Accent4 2 3 2 9 2 2" xfId="20864" xr:uid="{00000000-0005-0000-0000-000017190000}"/>
    <cellStyle name="20% - Accent4 2 3 2 9 2 2 2" xfId="40264" xr:uid="{00000000-0005-0000-0000-000018190000}"/>
    <cellStyle name="20% - Accent4 2 3 2 9 2 3" xfId="30566" xr:uid="{00000000-0005-0000-0000-000019190000}"/>
    <cellStyle name="20% - Accent4 2 3 2 9 3" xfId="16409" xr:uid="{00000000-0005-0000-0000-00001A190000}"/>
    <cellStyle name="20% - Accent4 2 3 2 9 3 2" xfId="35809" xr:uid="{00000000-0005-0000-0000-00001B190000}"/>
    <cellStyle name="20% - Accent4 2 3 2 9 4" xfId="26111" xr:uid="{00000000-0005-0000-0000-00001C190000}"/>
    <cellStyle name="20% - Accent4 2 3 3" xfId="2030" xr:uid="{00000000-0005-0000-0000-00001D190000}"/>
    <cellStyle name="20% - Accent4 2 3 3 10" xfId="12516" xr:uid="{00000000-0005-0000-0000-00001E190000}"/>
    <cellStyle name="20% - Accent4 2 3 3 10 2" xfId="31917" xr:uid="{00000000-0005-0000-0000-00001F190000}"/>
    <cellStyle name="20% - Accent4 2 3 3 11" xfId="22219" xr:uid="{00000000-0005-0000-0000-000020190000}"/>
    <cellStyle name="20% - Accent4 2 3 3 2" xfId="2031" xr:uid="{00000000-0005-0000-0000-000021190000}"/>
    <cellStyle name="20% - Accent4 2 3 3 2 2" xfId="3028" xr:uid="{00000000-0005-0000-0000-000022190000}"/>
    <cellStyle name="20% - Accent4 2 3 3 2 2 2" xfId="5297" xr:uid="{00000000-0005-0000-0000-000023190000}"/>
    <cellStyle name="20% - Accent4 2 3 3 2 2 2 2" xfId="9761" xr:uid="{00000000-0005-0000-0000-000024190000}"/>
    <cellStyle name="20% - Accent4 2 3 3 2 2 2 2 2" xfId="19757" xr:uid="{00000000-0005-0000-0000-000025190000}"/>
    <cellStyle name="20% - Accent4 2 3 3 2 2 2 2 2 2" xfId="39157" xr:uid="{00000000-0005-0000-0000-000026190000}"/>
    <cellStyle name="20% - Accent4 2 3 3 2 2 2 2 3" xfId="29459" xr:uid="{00000000-0005-0000-0000-000027190000}"/>
    <cellStyle name="20% - Accent4 2 3 3 2 2 2 3" xfId="15302" xr:uid="{00000000-0005-0000-0000-000028190000}"/>
    <cellStyle name="20% - Accent4 2 3 3 2 2 2 3 2" xfId="34702" xr:uid="{00000000-0005-0000-0000-000029190000}"/>
    <cellStyle name="20% - Accent4 2 3 3 2 2 2 4" xfId="25004" xr:uid="{00000000-0005-0000-0000-00002A190000}"/>
    <cellStyle name="20% - Accent4 2 3 3 2 2 3" xfId="7533" xr:uid="{00000000-0005-0000-0000-00002B190000}"/>
    <cellStyle name="20% - Accent4 2 3 3 2 2 3 2" xfId="17529" xr:uid="{00000000-0005-0000-0000-00002C190000}"/>
    <cellStyle name="20% - Accent4 2 3 3 2 2 3 2 2" xfId="36929" xr:uid="{00000000-0005-0000-0000-00002D190000}"/>
    <cellStyle name="20% - Accent4 2 3 3 2 2 3 3" xfId="27231" xr:uid="{00000000-0005-0000-0000-00002E190000}"/>
    <cellStyle name="20% - Accent4 2 3 3 2 2 4" xfId="13074" xr:uid="{00000000-0005-0000-0000-00002F190000}"/>
    <cellStyle name="20% - Accent4 2 3 3 2 2 4 2" xfId="32474" xr:uid="{00000000-0005-0000-0000-000030190000}"/>
    <cellStyle name="20% - Accent4 2 3 3 2 2 5" xfId="22776" xr:uid="{00000000-0005-0000-0000-000031190000}"/>
    <cellStyle name="20% - Accent4 2 3 3 2 3" xfId="3611" xr:uid="{00000000-0005-0000-0000-000032190000}"/>
    <cellStyle name="20% - Accent4 2 3 3 2 3 2" xfId="4741" xr:uid="{00000000-0005-0000-0000-000033190000}"/>
    <cellStyle name="20% - Accent4 2 3 3 2 3 2 2" xfId="9205" xr:uid="{00000000-0005-0000-0000-000034190000}"/>
    <cellStyle name="20% - Accent4 2 3 3 2 3 2 2 2" xfId="19201" xr:uid="{00000000-0005-0000-0000-000035190000}"/>
    <cellStyle name="20% - Accent4 2 3 3 2 3 2 2 2 2" xfId="38601" xr:uid="{00000000-0005-0000-0000-000036190000}"/>
    <cellStyle name="20% - Accent4 2 3 3 2 3 2 2 3" xfId="28903" xr:uid="{00000000-0005-0000-0000-000037190000}"/>
    <cellStyle name="20% - Accent4 2 3 3 2 3 2 3" xfId="14746" xr:uid="{00000000-0005-0000-0000-000038190000}"/>
    <cellStyle name="20% - Accent4 2 3 3 2 3 2 3 2" xfId="34146" xr:uid="{00000000-0005-0000-0000-000039190000}"/>
    <cellStyle name="20% - Accent4 2 3 3 2 3 2 4" xfId="24448" xr:uid="{00000000-0005-0000-0000-00003A190000}"/>
    <cellStyle name="20% - Accent4 2 3 3 2 3 3" xfId="8090" xr:uid="{00000000-0005-0000-0000-00003B190000}"/>
    <cellStyle name="20% - Accent4 2 3 3 2 3 3 2" xfId="18086" xr:uid="{00000000-0005-0000-0000-00003C190000}"/>
    <cellStyle name="20% - Accent4 2 3 3 2 3 3 2 2" xfId="37486" xr:uid="{00000000-0005-0000-0000-00003D190000}"/>
    <cellStyle name="20% - Accent4 2 3 3 2 3 3 3" xfId="27788" xr:uid="{00000000-0005-0000-0000-00003E190000}"/>
    <cellStyle name="20% - Accent4 2 3 3 2 3 4" xfId="13631" xr:uid="{00000000-0005-0000-0000-00003F190000}"/>
    <cellStyle name="20% - Accent4 2 3 3 2 3 4 2" xfId="33031" xr:uid="{00000000-0005-0000-0000-000040190000}"/>
    <cellStyle name="20% - Accent4 2 3 3 2 3 5" xfId="23333" xr:uid="{00000000-0005-0000-0000-000041190000}"/>
    <cellStyle name="20% - Accent4 2 3 3 2 4" xfId="4184" xr:uid="{00000000-0005-0000-0000-000042190000}"/>
    <cellStyle name="20% - Accent4 2 3 3 2 4 2" xfId="8648" xr:uid="{00000000-0005-0000-0000-000043190000}"/>
    <cellStyle name="20% - Accent4 2 3 3 2 4 2 2" xfId="18644" xr:uid="{00000000-0005-0000-0000-000044190000}"/>
    <cellStyle name="20% - Accent4 2 3 3 2 4 2 2 2" xfId="38044" xr:uid="{00000000-0005-0000-0000-000045190000}"/>
    <cellStyle name="20% - Accent4 2 3 3 2 4 2 3" xfId="28346" xr:uid="{00000000-0005-0000-0000-000046190000}"/>
    <cellStyle name="20% - Accent4 2 3 3 2 4 3" xfId="14189" xr:uid="{00000000-0005-0000-0000-000047190000}"/>
    <cellStyle name="20% - Accent4 2 3 3 2 4 3 2" xfId="33589" xr:uid="{00000000-0005-0000-0000-000048190000}"/>
    <cellStyle name="20% - Accent4 2 3 3 2 4 4" xfId="23891" xr:uid="{00000000-0005-0000-0000-000049190000}"/>
    <cellStyle name="20% - Accent4 2 3 3 2 5" xfId="5854" xr:uid="{00000000-0005-0000-0000-00004A190000}"/>
    <cellStyle name="20% - Accent4 2 3 3 2 5 2" xfId="10318" xr:uid="{00000000-0005-0000-0000-00004B190000}"/>
    <cellStyle name="20% - Accent4 2 3 3 2 5 2 2" xfId="20314" xr:uid="{00000000-0005-0000-0000-00004C190000}"/>
    <cellStyle name="20% - Accent4 2 3 3 2 5 2 2 2" xfId="39714" xr:uid="{00000000-0005-0000-0000-00004D190000}"/>
    <cellStyle name="20% - Accent4 2 3 3 2 5 2 3" xfId="30016" xr:uid="{00000000-0005-0000-0000-00004E190000}"/>
    <cellStyle name="20% - Accent4 2 3 3 2 5 3" xfId="15859" xr:uid="{00000000-0005-0000-0000-00004F190000}"/>
    <cellStyle name="20% - Accent4 2 3 3 2 5 3 2" xfId="35259" xr:uid="{00000000-0005-0000-0000-000050190000}"/>
    <cellStyle name="20% - Accent4 2 3 3 2 5 4" xfId="25561" xr:uid="{00000000-0005-0000-0000-000051190000}"/>
    <cellStyle name="20% - Accent4 2 3 3 2 6" xfId="6420" xr:uid="{00000000-0005-0000-0000-000052190000}"/>
    <cellStyle name="20% - Accent4 2 3 3 2 6 2" xfId="10875" xr:uid="{00000000-0005-0000-0000-000053190000}"/>
    <cellStyle name="20% - Accent4 2 3 3 2 6 2 2" xfId="20871" xr:uid="{00000000-0005-0000-0000-000054190000}"/>
    <cellStyle name="20% - Accent4 2 3 3 2 6 2 2 2" xfId="40271" xr:uid="{00000000-0005-0000-0000-000055190000}"/>
    <cellStyle name="20% - Accent4 2 3 3 2 6 2 3" xfId="30573" xr:uid="{00000000-0005-0000-0000-000056190000}"/>
    <cellStyle name="20% - Accent4 2 3 3 2 6 3" xfId="16416" xr:uid="{00000000-0005-0000-0000-000057190000}"/>
    <cellStyle name="20% - Accent4 2 3 3 2 6 3 2" xfId="35816" xr:uid="{00000000-0005-0000-0000-000058190000}"/>
    <cellStyle name="20% - Accent4 2 3 3 2 6 4" xfId="26118" xr:uid="{00000000-0005-0000-0000-000059190000}"/>
    <cellStyle name="20% - Accent4 2 3 3 2 7" xfId="6977" xr:uid="{00000000-0005-0000-0000-00005A190000}"/>
    <cellStyle name="20% - Accent4 2 3 3 2 7 2" xfId="16973" xr:uid="{00000000-0005-0000-0000-00005B190000}"/>
    <cellStyle name="20% - Accent4 2 3 3 2 7 2 2" xfId="36373" xr:uid="{00000000-0005-0000-0000-00005C190000}"/>
    <cellStyle name="20% - Accent4 2 3 3 2 7 3" xfId="26675" xr:uid="{00000000-0005-0000-0000-00005D190000}"/>
    <cellStyle name="20% - Accent4 2 3 3 2 8" xfId="12517" xr:uid="{00000000-0005-0000-0000-00005E190000}"/>
    <cellStyle name="20% - Accent4 2 3 3 2 8 2" xfId="31918" xr:uid="{00000000-0005-0000-0000-00005F190000}"/>
    <cellStyle name="20% - Accent4 2 3 3 2 9" xfId="22220" xr:uid="{00000000-0005-0000-0000-000060190000}"/>
    <cellStyle name="20% - Accent4 2 3 3 3" xfId="2032" xr:uid="{00000000-0005-0000-0000-000061190000}"/>
    <cellStyle name="20% - Accent4 2 3 3 3 2" xfId="3029" xr:uid="{00000000-0005-0000-0000-000062190000}"/>
    <cellStyle name="20% - Accent4 2 3 3 3 2 2" xfId="5298" xr:uid="{00000000-0005-0000-0000-000063190000}"/>
    <cellStyle name="20% - Accent4 2 3 3 3 2 2 2" xfId="9762" xr:uid="{00000000-0005-0000-0000-000064190000}"/>
    <cellStyle name="20% - Accent4 2 3 3 3 2 2 2 2" xfId="19758" xr:uid="{00000000-0005-0000-0000-000065190000}"/>
    <cellStyle name="20% - Accent4 2 3 3 3 2 2 2 2 2" xfId="39158" xr:uid="{00000000-0005-0000-0000-000066190000}"/>
    <cellStyle name="20% - Accent4 2 3 3 3 2 2 2 3" xfId="29460" xr:uid="{00000000-0005-0000-0000-000067190000}"/>
    <cellStyle name="20% - Accent4 2 3 3 3 2 2 3" xfId="15303" xr:uid="{00000000-0005-0000-0000-000068190000}"/>
    <cellStyle name="20% - Accent4 2 3 3 3 2 2 3 2" xfId="34703" xr:uid="{00000000-0005-0000-0000-000069190000}"/>
    <cellStyle name="20% - Accent4 2 3 3 3 2 2 4" xfId="25005" xr:uid="{00000000-0005-0000-0000-00006A190000}"/>
    <cellStyle name="20% - Accent4 2 3 3 3 2 3" xfId="7534" xr:uid="{00000000-0005-0000-0000-00006B190000}"/>
    <cellStyle name="20% - Accent4 2 3 3 3 2 3 2" xfId="17530" xr:uid="{00000000-0005-0000-0000-00006C190000}"/>
    <cellStyle name="20% - Accent4 2 3 3 3 2 3 2 2" xfId="36930" xr:uid="{00000000-0005-0000-0000-00006D190000}"/>
    <cellStyle name="20% - Accent4 2 3 3 3 2 3 3" xfId="27232" xr:uid="{00000000-0005-0000-0000-00006E190000}"/>
    <cellStyle name="20% - Accent4 2 3 3 3 2 4" xfId="13075" xr:uid="{00000000-0005-0000-0000-00006F190000}"/>
    <cellStyle name="20% - Accent4 2 3 3 3 2 4 2" xfId="32475" xr:uid="{00000000-0005-0000-0000-000070190000}"/>
    <cellStyle name="20% - Accent4 2 3 3 3 2 5" xfId="22777" xr:uid="{00000000-0005-0000-0000-000071190000}"/>
    <cellStyle name="20% - Accent4 2 3 3 3 3" xfId="3612" xr:uid="{00000000-0005-0000-0000-000072190000}"/>
    <cellStyle name="20% - Accent4 2 3 3 3 3 2" xfId="4742" xr:uid="{00000000-0005-0000-0000-000073190000}"/>
    <cellStyle name="20% - Accent4 2 3 3 3 3 2 2" xfId="9206" xr:uid="{00000000-0005-0000-0000-000074190000}"/>
    <cellStyle name="20% - Accent4 2 3 3 3 3 2 2 2" xfId="19202" xr:uid="{00000000-0005-0000-0000-000075190000}"/>
    <cellStyle name="20% - Accent4 2 3 3 3 3 2 2 2 2" xfId="38602" xr:uid="{00000000-0005-0000-0000-000076190000}"/>
    <cellStyle name="20% - Accent4 2 3 3 3 3 2 2 3" xfId="28904" xr:uid="{00000000-0005-0000-0000-000077190000}"/>
    <cellStyle name="20% - Accent4 2 3 3 3 3 2 3" xfId="14747" xr:uid="{00000000-0005-0000-0000-000078190000}"/>
    <cellStyle name="20% - Accent4 2 3 3 3 3 2 3 2" xfId="34147" xr:uid="{00000000-0005-0000-0000-000079190000}"/>
    <cellStyle name="20% - Accent4 2 3 3 3 3 2 4" xfId="24449" xr:uid="{00000000-0005-0000-0000-00007A190000}"/>
    <cellStyle name="20% - Accent4 2 3 3 3 3 3" xfId="8091" xr:uid="{00000000-0005-0000-0000-00007B190000}"/>
    <cellStyle name="20% - Accent4 2 3 3 3 3 3 2" xfId="18087" xr:uid="{00000000-0005-0000-0000-00007C190000}"/>
    <cellStyle name="20% - Accent4 2 3 3 3 3 3 2 2" xfId="37487" xr:uid="{00000000-0005-0000-0000-00007D190000}"/>
    <cellStyle name="20% - Accent4 2 3 3 3 3 3 3" xfId="27789" xr:uid="{00000000-0005-0000-0000-00007E190000}"/>
    <cellStyle name="20% - Accent4 2 3 3 3 3 4" xfId="13632" xr:uid="{00000000-0005-0000-0000-00007F190000}"/>
    <cellStyle name="20% - Accent4 2 3 3 3 3 4 2" xfId="33032" xr:uid="{00000000-0005-0000-0000-000080190000}"/>
    <cellStyle name="20% - Accent4 2 3 3 3 3 5" xfId="23334" xr:uid="{00000000-0005-0000-0000-000081190000}"/>
    <cellStyle name="20% - Accent4 2 3 3 3 4" xfId="4185" xr:uid="{00000000-0005-0000-0000-000082190000}"/>
    <cellStyle name="20% - Accent4 2 3 3 3 4 2" xfId="8649" xr:uid="{00000000-0005-0000-0000-000083190000}"/>
    <cellStyle name="20% - Accent4 2 3 3 3 4 2 2" xfId="18645" xr:uid="{00000000-0005-0000-0000-000084190000}"/>
    <cellStyle name="20% - Accent4 2 3 3 3 4 2 2 2" xfId="38045" xr:uid="{00000000-0005-0000-0000-000085190000}"/>
    <cellStyle name="20% - Accent4 2 3 3 3 4 2 3" xfId="28347" xr:uid="{00000000-0005-0000-0000-000086190000}"/>
    <cellStyle name="20% - Accent4 2 3 3 3 4 3" xfId="14190" xr:uid="{00000000-0005-0000-0000-000087190000}"/>
    <cellStyle name="20% - Accent4 2 3 3 3 4 3 2" xfId="33590" xr:uid="{00000000-0005-0000-0000-000088190000}"/>
    <cellStyle name="20% - Accent4 2 3 3 3 4 4" xfId="23892" xr:uid="{00000000-0005-0000-0000-000089190000}"/>
    <cellStyle name="20% - Accent4 2 3 3 3 5" xfId="5855" xr:uid="{00000000-0005-0000-0000-00008A190000}"/>
    <cellStyle name="20% - Accent4 2 3 3 3 5 2" xfId="10319" xr:uid="{00000000-0005-0000-0000-00008B190000}"/>
    <cellStyle name="20% - Accent4 2 3 3 3 5 2 2" xfId="20315" xr:uid="{00000000-0005-0000-0000-00008C190000}"/>
    <cellStyle name="20% - Accent4 2 3 3 3 5 2 2 2" xfId="39715" xr:uid="{00000000-0005-0000-0000-00008D190000}"/>
    <cellStyle name="20% - Accent4 2 3 3 3 5 2 3" xfId="30017" xr:uid="{00000000-0005-0000-0000-00008E190000}"/>
    <cellStyle name="20% - Accent4 2 3 3 3 5 3" xfId="15860" xr:uid="{00000000-0005-0000-0000-00008F190000}"/>
    <cellStyle name="20% - Accent4 2 3 3 3 5 3 2" xfId="35260" xr:uid="{00000000-0005-0000-0000-000090190000}"/>
    <cellStyle name="20% - Accent4 2 3 3 3 5 4" xfId="25562" xr:uid="{00000000-0005-0000-0000-000091190000}"/>
    <cellStyle name="20% - Accent4 2 3 3 3 6" xfId="6421" xr:uid="{00000000-0005-0000-0000-000092190000}"/>
    <cellStyle name="20% - Accent4 2 3 3 3 6 2" xfId="10876" xr:uid="{00000000-0005-0000-0000-000093190000}"/>
    <cellStyle name="20% - Accent4 2 3 3 3 6 2 2" xfId="20872" xr:uid="{00000000-0005-0000-0000-000094190000}"/>
    <cellStyle name="20% - Accent4 2 3 3 3 6 2 2 2" xfId="40272" xr:uid="{00000000-0005-0000-0000-000095190000}"/>
    <cellStyle name="20% - Accent4 2 3 3 3 6 2 3" xfId="30574" xr:uid="{00000000-0005-0000-0000-000096190000}"/>
    <cellStyle name="20% - Accent4 2 3 3 3 6 3" xfId="16417" xr:uid="{00000000-0005-0000-0000-000097190000}"/>
    <cellStyle name="20% - Accent4 2 3 3 3 6 3 2" xfId="35817" xr:uid="{00000000-0005-0000-0000-000098190000}"/>
    <cellStyle name="20% - Accent4 2 3 3 3 6 4" xfId="26119" xr:uid="{00000000-0005-0000-0000-000099190000}"/>
    <cellStyle name="20% - Accent4 2 3 3 3 7" xfId="6978" xr:uid="{00000000-0005-0000-0000-00009A190000}"/>
    <cellStyle name="20% - Accent4 2 3 3 3 7 2" xfId="16974" xr:uid="{00000000-0005-0000-0000-00009B190000}"/>
    <cellStyle name="20% - Accent4 2 3 3 3 7 2 2" xfId="36374" xr:uid="{00000000-0005-0000-0000-00009C190000}"/>
    <cellStyle name="20% - Accent4 2 3 3 3 7 3" xfId="26676" xr:uid="{00000000-0005-0000-0000-00009D190000}"/>
    <cellStyle name="20% - Accent4 2 3 3 3 8" xfId="12518" xr:uid="{00000000-0005-0000-0000-00009E190000}"/>
    <cellStyle name="20% - Accent4 2 3 3 3 8 2" xfId="31919" xr:uid="{00000000-0005-0000-0000-00009F190000}"/>
    <cellStyle name="20% - Accent4 2 3 3 3 9" xfId="22221" xr:uid="{00000000-0005-0000-0000-0000A0190000}"/>
    <cellStyle name="20% - Accent4 2 3 3 4" xfId="3027" xr:uid="{00000000-0005-0000-0000-0000A1190000}"/>
    <cellStyle name="20% - Accent4 2 3 3 4 2" xfId="5296" xr:uid="{00000000-0005-0000-0000-0000A2190000}"/>
    <cellStyle name="20% - Accent4 2 3 3 4 2 2" xfId="9760" xr:uid="{00000000-0005-0000-0000-0000A3190000}"/>
    <cellStyle name="20% - Accent4 2 3 3 4 2 2 2" xfId="19756" xr:uid="{00000000-0005-0000-0000-0000A4190000}"/>
    <cellStyle name="20% - Accent4 2 3 3 4 2 2 2 2" xfId="39156" xr:uid="{00000000-0005-0000-0000-0000A5190000}"/>
    <cellStyle name="20% - Accent4 2 3 3 4 2 2 3" xfId="29458" xr:uid="{00000000-0005-0000-0000-0000A6190000}"/>
    <cellStyle name="20% - Accent4 2 3 3 4 2 3" xfId="15301" xr:uid="{00000000-0005-0000-0000-0000A7190000}"/>
    <cellStyle name="20% - Accent4 2 3 3 4 2 3 2" xfId="34701" xr:uid="{00000000-0005-0000-0000-0000A8190000}"/>
    <cellStyle name="20% - Accent4 2 3 3 4 2 4" xfId="25003" xr:uid="{00000000-0005-0000-0000-0000A9190000}"/>
    <cellStyle name="20% - Accent4 2 3 3 4 3" xfId="7532" xr:uid="{00000000-0005-0000-0000-0000AA190000}"/>
    <cellStyle name="20% - Accent4 2 3 3 4 3 2" xfId="17528" xr:uid="{00000000-0005-0000-0000-0000AB190000}"/>
    <cellStyle name="20% - Accent4 2 3 3 4 3 2 2" xfId="36928" xr:uid="{00000000-0005-0000-0000-0000AC190000}"/>
    <cellStyle name="20% - Accent4 2 3 3 4 3 3" xfId="27230" xr:uid="{00000000-0005-0000-0000-0000AD190000}"/>
    <cellStyle name="20% - Accent4 2 3 3 4 4" xfId="13073" xr:uid="{00000000-0005-0000-0000-0000AE190000}"/>
    <cellStyle name="20% - Accent4 2 3 3 4 4 2" xfId="32473" xr:uid="{00000000-0005-0000-0000-0000AF190000}"/>
    <cellStyle name="20% - Accent4 2 3 3 4 5" xfId="22775" xr:uid="{00000000-0005-0000-0000-0000B0190000}"/>
    <cellStyle name="20% - Accent4 2 3 3 5" xfId="3610" xr:uid="{00000000-0005-0000-0000-0000B1190000}"/>
    <cellStyle name="20% - Accent4 2 3 3 5 2" xfId="4740" xr:uid="{00000000-0005-0000-0000-0000B2190000}"/>
    <cellStyle name="20% - Accent4 2 3 3 5 2 2" xfId="9204" xr:uid="{00000000-0005-0000-0000-0000B3190000}"/>
    <cellStyle name="20% - Accent4 2 3 3 5 2 2 2" xfId="19200" xr:uid="{00000000-0005-0000-0000-0000B4190000}"/>
    <cellStyle name="20% - Accent4 2 3 3 5 2 2 2 2" xfId="38600" xr:uid="{00000000-0005-0000-0000-0000B5190000}"/>
    <cellStyle name="20% - Accent4 2 3 3 5 2 2 3" xfId="28902" xr:uid="{00000000-0005-0000-0000-0000B6190000}"/>
    <cellStyle name="20% - Accent4 2 3 3 5 2 3" xfId="14745" xr:uid="{00000000-0005-0000-0000-0000B7190000}"/>
    <cellStyle name="20% - Accent4 2 3 3 5 2 3 2" xfId="34145" xr:uid="{00000000-0005-0000-0000-0000B8190000}"/>
    <cellStyle name="20% - Accent4 2 3 3 5 2 4" xfId="24447" xr:uid="{00000000-0005-0000-0000-0000B9190000}"/>
    <cellStyle name="20% - Accent4 2 3 3 5 3" xfId="8089" xr:uid="{00000000-0005-0000-0000-0000BA190000}"/>
    <cellStyle name="20% - Accent4 2 3 3 5 3 2" xfId="18085" xr:uid="{00000000-0005-0000-0000-0000BB190000}"/>
    <cellStyle name="20% - Accent4 2 3 3 5 3 2 2" xfId="37485" xr:uid="{00000000-0005-0000-0000-0000BC190000}"/>
    <cellStyle name="20% - Accent4 2 3 3 5 3 3" xfId="27787" xr:uid="{00000000-0005-0000-0000-0000BD190000}"/>
    <cellStyle name="20% - Accent4 2 3 3 5 4" xfId="13630" xr:uid="{00000000-0005-0000-0000-0000BE190000}"/>
    <cellStyle name="20% - Accent4 2 3 3 5 4 2" xfId="33030" xr:uid="{00000000-0005-0000-0000-0000BF190000}"/>
    <cellStyle name="20% - Accent4 2 3 3 5 5" xfId="23332" xr:uid="{00000000-0005-0000-0000-0000C0190000}"/>
    <cellStyle name="20% - Accent4 2 3 3 6" xfId="4183" xr:uid="{00000000-0005-0000-0000-0000C1190000}"/>
    <cellStyle name="20% - Accent4 2 3 3 6 2" xfId="8647" xr:uid="{00000000-0005-0000-0000-0000C2190000}"/>
    <cellStyle name="20% - Accent4 2 3 3 6 2 2" xfId="18643" xr:uid="{00000000-0005-0000-0000-0000C3190000}"/>
    <cellStyle name="20% - Accent4 2 3 3 6 2 2 2" xfId="38043" xr:uid="{00000000-0005-0000-0000-0000C4190000}"/>
    <cellStyle name="20% - Accent4 2 3 3 6 2 3" xfId="28345" xr:uid="{00000000-0005-0000-0000-0000C5190000}"/>
    <cellStyle name="20% - Accent4 2 3 3 6 3" xfId="14188" xr:uid="{00000000-0005-0000-0000-0000C6190000}"/>
    <cellStyle name="20% - Accent4 2 3 3 6 3 2" xfId="33588" xr:uid="{00000000-0005-0000-0000-0000C7190000}"/>
    <cellStyle name="20% - Accent4 2 3 3 6 4" xfId="23890" xr:uid="{00000000-0005-0000-0000-0000C8190000}"/>
    <cellStyle name="20% - Accent4 2 3 3 7" xfId="5853" xr:uid="{00000000-0005-0000-0000-0000C9190000}"/>
    <cellStyle name="20% - Accent4 2 3 3 7 2" xfId="10317" xr:uid="{00000000-0005-0000-0000-0000CA190000}"/>
    <cellStyle name="20% - Accent4 2 3 3 7 2 2" xfId="20313" xr:uid="{00000000-0005-0000-0000-0000CB190000}"/>
    <cellStyle name="20% - Accent4 2 3 3 7 2 2 2" xfId="39713" xr:uid="{00000000-0005-0000-0000-0000CC190000}"/>
    <cellStyle name="20% - Accent4 2 3 3 7 2 3" xfId="30015" xr:uid="{00000000-0005-0000-0000-0000CD190000}"/>
    <cellStyle name="20% - Accent4 2 3 3 7 3" xfId="15858" xr:uid="{00000000-0005-0000-0000-0000CE190000}"/>
    <cellStyle name="20% - Accent4 2 3 3 7 3 2" xfId="35258" xr:uid="{00000000-0005-0000-0000-0000CF190000}"/>
    <cellStyle name="20% - Accent4 2 3 3 7 4" xfId="25560" xr:uid="{00000000-0005-0000-0000-0000D0190000}"/>
    <cellStyle name="20% - Accent4 2 3 3 8" xfId="6419" xr:uid="{00000000-0005-0000-0000-0000D1190000}"/>
    <cellStyle name="20% - Accent4 2 3 3 8 2" xfId="10874" xr:uid="{00000000-0005-0000-0000-0000D2190000}"/>
    <cellStyle name="20% - Accent4 2 3 3 8 2 2" xfId="20870" xr:uid="{00000000-0005-0000-0000-0000D3190000}"/>
    <cellStyle name="20% - Accent4 2 3 3 8 2 2 2" xfId="40270" xr:uid="{00000000-0005-0000-0000-0000D4190000}"/>
    <cellStyle name="20% - Accent4 2 3 3 8 2 3" xfId="30572" xr:uid="{00000000-0005-0000-0000-0000D5190000}"/>
    <cellStyle name="20% - Accent4 2 3 3 8 3" xfId="16415" xr:uid="{00000000-0005-0000-0000-0000D6190000}"/>
    <cellStyle name="20% - Accent4 2 3 3 8 3 2" xfId="35815" xr:uid="{00000000-0005-0000-0000-0000D7190000}"/>
    <cellStyle name="20% - Accent4 2 3 3 8 4" xfId="26117" xr:uid="{00000000-0005-0000-0000-0000D8190000}"/>
    <cellStyle name="20% - Accent4 2 3 3 9" xfId="6976" xr:uid="{00000000-0005-0000-0000-0000D9190000}"/>
    <cellStyle name="20% - Accent4 2 3 3 9 2" xfId="16972" xr:uid="{00000000-0005-0000-0000-0000DA190000}"/>
    <cellStyle name="20% - Accent4 2 3 3 9 2 2" xfId="36372" xr:uid="{00000000-0005-0000-0000-0000DB190000}"/>
    <cellStyle name="20% - Accent4 2 3 3 9 3" xfId="26674" xr:uid="{00000000-0005-0000-0000-0000DC190000}"/>
    <cellStyle name="20% - Accent4 2 3 4" xfId="2033" xr:uid="{00000000-0005-0000-0000-0000DD190000}"/>
    <cellStyle name="20% - Accent4 2 3 4 2" xfId="3030" xr:uid="{00000000-0005-0000-0000-0000DE190000}"/>
    <cellStyle name="20% - Accent4 2 3 4 2 2" xfId="5299" xr:uid="{00000000-0005-0000-0000-0000DF190000}"/>
    <cellStyle name="20% - Accent4 2 3 4 2 2 2" xfId="9763" xr:uid="{00000000-0005-0000-0000-0000E0190000}"/>
    <cellStyle name="20% - Accent4 2 3 4 2 2 2 2" xfId="19759" xr:uid="{00000000-0005-0000-0000-0000E1190000}"/>
    <cellStyle name="20% - Accent4 2 3 4 2 2 2 2 2" xfId="39159" xr:uid="{00000000-0005-0000-0000-0000E2190000}"/>
    <cellStyle name="20% - Accent4 2 3 4 2 2 2 3" xfId="29461" xr:uid="{00000000-0005-0000-0000-0000E3190000}"/>
    <cellStyle name="20% - Accent4 2 3 4 2 2 3" xfId="15304" xr:uid="{00000000-0005-0000-0000-0000E4190000}"/>
    <cellStyle name="20% - Accent4 2 3 4 2 2 3 2" xfId="34704" xr:uid="{00000000-0005-0000-0000-0000E5190000}"/>
    <cellStyle name="20% - Accent4 2 3 4 2 2 4" xfId="25006" xr:uid="{00000000-0005-0000-0000-0000E6190000}"/>
    <cellStyle name="20% - Accent4 2 3 4 2 3" xfId="7535" xr:uid="{00000000-0005-0000-0000-0000E7190000}"/>
    <cellStyle name="20% - Accent4 2 3 4 2 3 2" xfId="17531" xr:uid="{00000000-0005-0000-0000-0000E8190000}"/>
    <cellStyle name="20% - Accent4 2 3 4 2 3 2 2" xfId="36931" xr:uid="{00000000-0005-0000-0000-0000E9190000}"/>
    <cellStyle name="20% - Accent4 2 3 4 2 3 3" xfId="27233" xr:uid="{00000000-0005-0000-0000-0000EA190000}"/>
    <cellStyle name="20% - Accent4 2 3 4 2 4" xfId="13076" xr:uid="{00000000-0005-0000-0000-0000EB190000}"/>
    <cellStyle name="20% - Accent4 2 3 4 2 4 2" xfId="32476" xr:uid="{00000000-0005-0000-0000-0000EC190000}"/>
    <cellStyle name="20% - Accent4 2 3 4 2 5" xfId="22778" xr:uid="{00000000-0005-0000-0000-0000ED190000}"/>
    <cellStyle name="20% - Accent4 2 3 4 3" xfId="3613" xr:uid="{00000000-0005-0000-0000-0000EE190000}"/>
    <cellStyle name="20% - Accent4 2 3 4 3 2" xfId="4743" xr:uid="{00000000-0005-0000-0000-0000EF190000}"/>
    <cellStyle name="20% - Accent4 2 3 4 3 2 2" xfId="9207" xr:uid="{00000000-0005-0000-0000-0000F0190000}"/>
    <cellStyle name="20% - Accent4 2 3 4 3 2 2 2" xfId="19203" xr:uid="{00000000-0005-0000-0000-0000F1190000}"/>
    <cellStyle name="20% - Accent4 2 3 4 3 2 2 2 2" xfId="38603" xr:uid="{00000000-0005-0000-0000-0000F2190000}"/>
    <cellStyle name="20% - Accent4 2 3 4 3 2 2 3" xfId="28905" xr:uid="{00000000-0005-0000-0000-0000F3190000}"/>
    <cellStyle name="20% - Accent4 2 3 4 3 2 3" xfId="14748" xr:uid="{00000000-0005-0000-0000-0000F4190000}"/>
    <cellStyle name="20% - Accent4 2 3 4 3 2 3 2" xfId="34148" xr:uid="{00000000-0005-0000-0000-0000F5190000}"/>
    <cellStyle name="20% - Accent4 2 3 4 3 2 4" xfId="24450" xr:uid="{00000000-0005-0000-0000-0000F6190000}"/>
    <cellStyle name="20% - Accent4 2 3 4 3 3" xfId="8092" xr:uid="{00000000-0005-0000-0000-0000F7190000}"/>
    <cellStyle name="20% - Accent4 2 3 4 3 3 2" xfId="18088" xr:uid="{00000000-0005-0000-0000-0000F8190000}"/>
    <cellStyle name="20% - Accent4 2 3 4 3 3 2 2" xfId="37488" xr:uid="{00000000-0005-0000-0000-0000F9190000}"/>
    <cellStyle name="20% - Accent4 2 3 4 3 3 3" xfId="27790" xr:uid="{00000000-0005-0000-0000-0000FA190000}"/>
    <cellStyle name="20% - Accent4 2 3 4 3 4" xfId="13633" xr:uid="{00000000-0005-0000-0000-0000FB190000}"/>
    <cellStyle name="20% - Accent4 2 3 4 3 4 2" xfId="33033" xr:uid="{00000000-0005-0000-0000-0000FC190000}"/>
    <cellStyle name="20% - Accent4 2 3 4 3 5" xfId="23335" xr:uid="{00000000-0005-0000-0000-0000FD190000}"/>
    <cellStyle name="20% - Accent4 2 3 4 4" xfId="4186" xr:uid="{00000000-0005-0000-0000-0000FE190000}"/>
    <cellStyle name="20% - Accent4 2 3 4 4 2" xfId="8650" xr:uid="{00000000-0005-0000-0000-0000FF190000}"/>
    <cellStyle name="20% - Accent4 2 3 4 4 2 2" xfId="18646" xr:uid="{00000000-0005-0000-0000-0000001A0000}"/>
    <cellStyle name="20% - Accent4 2 3 4 4 2 2 2" xfId="38046" xr:uid="{00000000-0005-0000-0000-0000011A0000}"/>
    <cellStyle name="20% - Accent4 2 3 4 4 2 3" xfId="28348" xr:uid="{00000000-0005-0000-0000-0000021A0000}"/>
    <cellStyle name="20% - Accent4 2 3 4 4 3" xfId="14191" xr:uid="{00000000-0005-0000-0000-0000031A0000}"/>
    <cellStyle name="20% - Accent4 2 3 4 4 3 2" xfId="33591" xr:uid="{00000000-0005-0000-0000-0000041A0000}"/>
    <cellStyle name="20% - Accent4 2 3 4 4 4" xfId="23893" xr:uid="{00000000-0005-0000-0000-0000051A0000}"/>
    <cellStyle name="20% - Accent4 2 3 4 5" xfId="5856" xr:uid="{00000000-0005-0000-0000-0000061A0000}"/>
    <cellStyle name="20% - Accent4 2 3 4 5 2" xfId="10320" xr:uid="{00000000-0005-0000-0000-0000071A0000}"/>
    <cellStyle name="20% - Accent4 2 3 4 5 2 2" xfId="20316" xr:uid="{00000000-0005-0000-0000-0000081A0000}"/>
    <cellStyle name="20% - Accent4 2 3 4 5 2 2 2" xfId="39716" xr:uid="{00000000-0005-0000-0000-0000091A0000}"/>
    <cellStyle name="20% - Accent4 2 3 4 5 2 3" xfId="30018" xr:uid="{00000000-0005-0000-0000-00000A1A0000}"/>
    <cellStyle name="20% - Accent4 2 3 4 5 3" xfId="15861" xr:uid="{00000000-0005-0000-0000-00000B1A0000}"/>
    <cellStyle name="20% - Accent4 2 3 4 5 3 2" xfId="35261" xr:uid="{00000000-0005-0000-0000-00000C1A0000}"/>
    <cellStyle name="20% - Accent4 2 3 4 5 4" xfId="25563" xr:uid="{00000000-0005-0000-0000-00000D1A0000}"/>
    <cellStyle name="20% - Accent4 2 3 4 6" xfId="6422" xr:uid="{00000000-0005-0000-0000-00000E1A0000}"/>
    <cellStyle name="20% - Accent4 2 3 4 6 2" xfId="10877" xr:uid="{00000000-0005-0000-0000-00000F1A0000}"/>
    <cellStyle name="20% - Accent4 2 3 4 6 2 2" xfId="20873" xr:uid="{00000000-0005-0000-0000-0000101A0000}"/>
    <cellStyle name="20% - Accent4 2 3 4 6 2 2 2" xfId="40273" xr:uid="{00000000-0005-0000-0000-0000111A0000}"/>
    <cellStyle name="20% - Accent4 2 3 4 6 2 3" xfId="30575" xr:uid="{00000000-0005-0000-0000-0000121A0000}"/>
    <cellStyle name="20% - Accent4 2 3 4 6 3" xfId="16418" xr:uid="{00000000-0005-0000-0000-0000131A0000}"/>
    <cellStyle name="20% - Accent4 2 3 4 6 3 2" xfId="35818" xr:uid="{00000000-0005-0000-0000-0000141A0000}"/>
    <cellStyle name="20% - Accent4 2 3 4 6 4" xfId="26120" xr:uid="{00000000-0005-0000-0000-0000151A0000}"/>
    <cellStyle name="20% - Accent4 2 3 4 7" xfId="6979" xr:uid="{00000000-0005-0000-0000-0000161A0000}"/>
    <cellStyle name="20% - Accent4 2 3 4 7 2" xfId="16975" xr:uid="{00000000-0005-0000-0000-0000171A0000}"/>
    <cellStyle name="20% - Accent4 2 3 4 7 2 2" xfId="36375" xr:uid="{00000000-0005-0000-0000-0000181A0000}"/>
    <cellStyle name="20% - Accent4 2 3 4 7 3" xfId="26677" xr:uid="{00000000-0005-0000-0000-0000191A0000}"/>
    <cellStyle name="20% - Accent4 2 3 4 8" xfId="12519" xr:uid="{00000000-0005-0000-0000-00001A1A0000}"/>
    <cellStyle name="20% - Accent4 2 3 4 8 2" xfId="31920" xr:uid="{00000000-0005-0000-0000-00001B1A0000}"/>
    <cellStyle name="20% - Accent4 2 3 4 9" xfId="22222" xr:uid="{00000000-0005-0000-0000-00001C1A0000}"/>
    <cellStyle name="20% - Accent4 2 3 5" xfId="2034" xr:uid="{00000000-0005-0000-0000-00001D1A0000}"/>
    <cellStyle name="20% - Accent4 2 3 5 2" xfId="3031" xr:uid="{00000000-0005-0000-0000-00001E1A0000}"/>
    <cellStyle name="20% - Accent4 2 3 5 2 2" xfId="5300" xr:uid="{00000000-0005-0000-0000-00001F1A0000}"/>
    <cellStyle name="20% - Accent4 2 3 5 2 2 2" xfId="9764" xr:uid="{00000000-0005-0000-0000-0000201A0000}"/>
    <cellStyle name="20% - Accent4 2 3 5 2 2 2 2" xfId="19760" xr:uid="{00000000-0005-0000-0000-0000211A0000}"/>
    <cellStyle name="20% - Accent4 2 3 5 2 2 2 2 2" xfId="39160" xr:uid="{00000000-0005-0000-0000-0000221A0000}"/>
    <cellStyle name="20% - Accent4 2 3 5 2 2 2 3" xfId="29462" xr:uid="{00000000-0005-0000-0000-0000231A0000}"/>
    <cellStyle name="20% - Accent4 2 3 5 2 2 3" xfId="15305" xr:uid="{00000000-0005-0000-0000-0000241A0000}"/>
    <cellStyle name="20% - Accent4 2 3 5 2 2 3 2" xfId="34705" xr:uid="{00000000-0005-0000-0000-0000251A0000}"/>
    <cellStyle name="20% - Accent4 2 3 5 2 2 4" xfId="25007" xr:uid="{00000000-0005-0000-0000-0000261A0000}"/>
    <cellStyle name="20% - Accent4 2 3 5 2 3" xfId="7536" xr:uid="{00000000-0005-0000-0000-0000271A0000}"/>
    <cellStyle name="20% - Accent4 2 3 5 2 3 2" xfId="17532" xr:uid="{00000000-0005-0000-0000-0000281A0000}"/>
    <cellStyle name="20% - Accent4 2 3 5 2 3 2 2" xfId="36932" xr:uid="{00000000-0005-0000-0000-0000291A0000}"/>
    <cellStyle name="20% - Accent4 2 3 5 2 3 3" xfId="27234" xr:uid="{00000000-0005-0000-0000-00002A1A0000}"/>
    <cellStyle name="20% - Accent4 2 3 5 2 4" xfId="13077" xr:uid="{00000000-0005-0000-0000-00002B1A0000}"/>
    <cellStyle name="20% - Accent4 2 3 5 2 4 2" xfId="32477" xr:uid="{00000000-0005-0000-0000-00002C1A0000}"/>
    <cellStyle name="20% - Accent4 2 3 5 2 5" xfId="22779" xr:uid="{00000000-0005-0000-0000-00002D1A0000}"/>
    <cellStyle name="20% - Accent4 2 3 5 3" xfId="3614" xr:uid="{00000000-0005-0000-0000-00002E1A0000}"/>
    <cellStyle name="20% - Accent4 2 3 5 3 2" xfId="4744" xr:uid="{00000000-0005-0000-0000-00002F1A0000}"/>
    <cellStyle name="20% - Accent4 2 3 5 3 2 2" xfId="9208" xr:uid="{00000000-0005-0000-0000-0000301A0000}"/>
    <cellStyle name="20% - Accent4 2 3 5 3 2 2 2" xfId="19204" xr:uid="{00000000-0005-0000-0000-0000311A0000}"/>
    <cellStyle name="20% - Accent4 2 3 5 3 2 2 2 2" xfId="38604" xr:uid="{00000000-0005-0000-0000-0000321A0000}"/>
    <cellStyle name="20% - Accent4 2 3 5 3 2 2 3" xfId="28906" xr:uid="{00000000-0005-0000-0000-0000331A0000}"/>
    <cellStyle name="20% - Accent4 2 3 5 3 2 3" xfId="14749" xr:uid="{00000000-0005-0000-0000-0000341A0000}"/>
    <cellStyle name="20% - Accent4 2 3 5 3 2 3 2" xfId="34149" xr:uid="{00000000-0005-0000-0000-0000351A0000}"/>
    <cellStyle name="20% - Accent4 2 3 5 3 2 4" xfId="24451" xr:uid="{00000000-0005-0000-0000-0000361A0000}"/>
    <cellStyle name="20% - Accent4 2 3 5 3 3" xfId="8093" xr:uid="{00000000-0005-0000-0000-0000371A0000}"/>
    <cellStyle name="20% - Accent4 2 3 5 3 3 2" xfId="18089" xr:uid="{00000000-0005-0000-0000-0000381A0000}"/>
    <cellStyle name="20% - Accent4 2 3 5 3 3 2 2" xfId="37489" xr:uid="{00000000-0005-0000-0000-0000391A0000}"/>
    <cellStyle name="20% - Accent4 2 3 5 3 3 3" xfId="27791" xr:uid="{00000000-0005-0000-0000-00003A1A0000}"/>
    <cellStyle name="20% - Accent4 2 3 5 3 4" xfId="13634" xr:uid="{00000000-0005-0000-0000-00003B1A0000}"/>
    <cellStyle name="20% - Accent4 2 3 5 3 4 2" xfId="33034" xr:uid="{00000000-0005-0000-0000-00003C1A0000}"/>
    <cellStyle name="20% - Accent4 2 3 5 3 5" xfId="23336" xr:uid="{00000000-0005-0000-0000-00003D1A0000}"/>
    <cellStyle name="20% - Accent4 2 3 5 4" xfId="4187" xr:uid="{00000000-0005-0000-0000-00003E1A0000}"/>
    <cellStyle name="20% - Accent4 2 3 5 4 2" xfId="8651" xr:uid="{00000000-0005-0000-0000-00003F1A0000}"/>
    <cellStyle name="20% - Accent4 2 3 5 4 2 2" xfId="18647" xr:uid="{00000000-0005-0000-0000-0000401A0000}"/>
    <cellStyle name="20% - Accent4 2 3 5 4 2 2 2" xfId="38047" xr:uid="{00000000-0005-0000-0000-0000411A0000}"/>
    <cellStyle name="20% - Accent4 2 3 5 4 2 3" xfId="28349" xr:uid="{00000000-0005-0000-0000-0000421A0000}"/>
    <cellStyle name="20% - Accent4 2 3 5 4 3" xfId="14192" xr:uid="{00000000-0005-0000-0000-0000431A0000}"/>
    <cellStyle name="20% - Accent4 2 3 5 4 3 2" xfId="33592" xr:uid="{00000000-0005-0000-0000-0000441A0000}"/>
    <cellStyle name="20% - Accent4 2 3 5 4 4" xfId="23894" xr:uid="{00000000-0005-0000-0000-0000451A0000}"/>
    <cellStyle name="20% - Accent4 2 3 5 5" xfId="5857" xr:uid="{00000000-0005-0000-0000-0000461A0000}"/>
    <cellStyle name="20% - Accent4 2 3 5 5 2" xfId="10321" xr:uid="{00000000-0005-0000-0000-0000471A0000}"/>
    <cellStyle name="20% - Accent4 2 3 5 5 2 2" xfId="20317" xr:uid="{00000000-0005-0000-0000-0000481A0000}"/>
    <cellStyle name="20% - Accent4 2 3 5 5 2 2 2" xfId="39717" xr:uid="{00000000-0005-0000-0000-0000491A0000}"/>
    <cellStyle name="20% - Accent4 2 3 5 5 2 3" xfId="30019" xr:uid="{00000000-0005-0000-0000-00004A1A0000}"/>
    <cellStyle name="20% - Accent4 2 3 5 5 3" xfId="15862" xr:uid="{00000000-0005-0000-0000-00004B1A0000}"/>
    <cellStyle name="20% - Accent4 2 3 5 5 3 2" xfId="35262" xr:uid="{00000000-0005-0000-0000-00004C1A0000}"/>
    <cellStyle name="20% - Accent4 2 3 5 5 4" xfId="25564" xr:uid="{00000000-0005-0000-0000-00004D1A0000}"/>
    <cellStyle name="20% - Accent4 2 3 5 6" xfId="6423" xr:uid="{00000000-0005-0000-0000-00004E1A0000}"/>
    <cellStyle name="20% - Accent4 2 3 5 6 2" xfId="10878" xr:uid="{00000000-0005-0000-0000-00004F1A0000}"/>
    <cellStyle name="20% - Accent4 2 3 5 6 2 2" xfId="20874" xr:uid="{00000000-0005-0000-0000-0000501A0000}"/>
    <cellStyle name="20% - Accent4 2 3 5 6 2 2 2" xfId="40274" xr:uid="{00000000-0005-0000-0000-0000511A0000}"/>
    <cellStyle name="20% - Accent4 2 3 5 6 2 3" xfId="30576" xr:uid="{00000000-0005-0000-0000-0000521A0000}"/>
    <cellStyle name="20% - Accent4 2 3 5 6 3" xfId="16419" xr:uid="{00000000-0005-0000-0000-0000531A0000}"/>
    <cellStyle name="20% - Accent4 2 3 5 6 3 2" xfId="35819" xr:uid="{00000000-0005-0000-0000-0000541A0000}"/>
    <cellStyle name="20% - Accent4 2 3 5 6 4" xfId="26121" xr:uid="{00000000-0005-0000-0000-0000551A0000}"/>
    <cellStyle name="20% - Accent4 2 3 5 7" xfId="6980" xr:uid="{00000000-0005-0000-0000-0000561A0000}"/>
    <cellStyle name="20% - Accent4 2 3 5 7 2" xfId="16976" xr:uid="{00000000-0005-0000-0000-0000571A0000}"/>
    <cellStyle name="20% - Accent4 2 3 5 7 2 2" xfId="36376" xr:uid="{00000000-0005-0000-0000-0000581A0000}"/>
    <cellStyle name="20% - Accent4 2 3 5 7 3" xfId="26678" xr:uid="{00000000-0005-0000-0000-0000591A0000}"/>
    <cellStyle name="20% - Accent4 2 3 5 8" xfId="12520" xr:uid="{00000000-0005-0000-0000-00005A1A0000}"/>
    <cellStyle name="20% - Accent4 2 3 5 8 2" xfId="31921" xr:uid="{00000000-0005-0000-0000-00005B1A0000}"/>
    <cellStyle name="20% - Accent4 2 3 5 9" xfId="22223" xr:uid="{00000000-0005-0000-0000-00005C1A0000}"/>
    <cellStyle name="20% - Accent4 2 3 6" xfId="11970" xr:uid="{00000000-0005-0000-0000-00005D1A0000}"/>
    <cellStyle name="20% - Accent4 2 3 6 2" xfId="21674" xr:uid="{00000000-0005-0000-0000-00005E1A0000}"/>
    <cellStyle name="20% - Accent4 2 3 6 2 2" xfId="41074" xr:uid="{00000000-0005-0000-0000-00005F1A0000}"/>
    <cellStyle name="20% - Accent4 2 3 6 3" xfId="31376" xr:uid="{00000000-0005-0000-0000-0000601A0000}"/>
    <cellStyle name="20% - Accent4 2 3 7" xfId="1164" xr:uid="{00000000-0005-0000-0000-0000611A0000}"/>
    <cellStyle name="20% - Accent4 2 3 8" xfId="12326" xr:uid="{00000000-0005-0000-0000-0000621A0000}"/>
    <cellStyle name="20% - Accent4 2 3 8 2" xfId="31729" xr:uid="{00000000-0005-0000-0000-0000631A0000}"/>
    <cellStyle name="20% - Accent4 2 3 9" xfId="22031" xr:uid="{00000000-0005-0000-0000-0000641A0000}"/>
    <cellStyle name="20% - Accent4 2 4" xfId="1166" xr:uid="{00000000-0005-0000-0000-0000651A0000}"/>
    <cellStyle name="20% - Accent4 2 4 2" xfId="2035" xr:uid="{00000000-0005-0000-0000-0000661A0000}"/>
    <cellStyle name="20% - Accent4 2 4 2 10" xfId="12521" xr:uid="{00000000-0005-0000-0000-0000671A0000}"/>
    <cellStyle name="20% - Accent4 2 4 2 10 2" xfId="31922" xr:uid="{00000000-0005-0000-0000-0000681A0000}"/>
    <cellStyle name="20% - Accent4 2 4 2 11" xfId="22224" xr:uid="{00000000-0005-0000-0000-0000691A0000}"/>
    <cellStyle name="20% - Accent4 2 4 2 2" xfId="2036" xr:uid="{00000000-0005-0000-0000-00006A1A0000}"/>
    <cellStyle name="20% - Accent4 2 4 2 2 2" xfId="3033" xr:uid="{00000000-0005-0000-0000-00006B1A0000}"/>
    <cellStyle name="20% - Accent4 2 4 2 2 2 2" xfId="5302" xr:uid="{00000000-0005-0000-0000-00006C1A0000}"/>
    <cellStyle name="20% - Accent4 2 4 2 2 2 2 2" xfId="9766" xr:uid="{00000000-0005-0000-0000-00006D1A0000}"/>
    <cellStyle name="20% - Accent4 2 4 2 2 2 2 2 2" xfId="19762" xr:uid="{00000000-0005-0000-0000-00006E1A0000}"/>
    <cellStyle name="20% - Accent4 2 4 2 2 2 2 2 2 2" xfId="39162" xr:uid="{00000000-0005-0000-0000-00006F1A0000}"/>
    <cellStyle name="20% - Accent4 2 4 2 2 2 2 2 3" xfId="29464" xr:uid="{00000000-0005-0000-0000-0000701A0000}"/>
    <cellStyle name="20% - Accent4 2 4 2 2 2 2 3" xfId="15307" xr:uid="{00000000-0005-0000-0000-0000711A0000}"/>
    <cellStyle name="20% - Accent4 2 4 2 2 2 2 3 2" xfId="34707" xr:uid="{00000000-0005-0000-0000-0000721A0000}"/>
    <cellStyle name="20% - Accent4 2 4 2 2 2 2 4" xfId="25009" xr:uid="{00000000-0005-0000-0000-0000731A0000}"/>
    <cellStyle name="20% - Accent4 2 4 2 2 2 3" xfId="7538" xr:uid="{00000000-0005-0000-0000-0000741A0000}"/>
    <cellStyle name="20% - Accent4 2 4 2 2 2 3 2" xfId="17534" xr:uid="{00000000-0005-0000-0000-0000751A0000}"/>
    <cellStyle name="20% - Accent4 2 4 2 2 2 3 2 2" xfId="36934" xr:uid="{00000000-0005-0000-0000-0000761A0000}"/>
    <cellStyle name="20% - Accent4 2 4 2 2 2 3 3" xfId="27236" xr:uid="{00000000-0005-0000-0000-0000771A0000}"/>
    <cellStyle name="20% - Accent4 2 4 2 2 2 4" xfId="13079" xr:uid="{00000000-0005-0000-0000-0000781A0000}"/>
    <cellStyle name="20% - Accent4 2 4 2 2 2 4 2" xfId="32479" xr:uid="{00000000-0005-0000-0000-0000791A0000}"/>
    <cellStyle name="20% - Accent4 2 4 2 2 2 5" xfId="22781" xr:uid="{00000000-0005-0000-0000-00007A1A0000}"/>
    <cellStyle name="20% - Accent4 2 4 2 2 3" xfId="3616" xr:uid="{00000000-0005-0000-0000-00007B1A0000}"/>
    <cellStyle name="20% - Accent4 2 4 2 2 3 2" xfId="4746" xr:uid="{00000000-0005-0000-0000-00007C1A0000}"/>
    <cellStyle name="20% - Accent4 2 4 2 2 3 2 2" xfId="9210" xr:uid="{00000000-0005-0000-0000-00007D1A0000}"/>
    <cellStyle name="20% - Accent4 2 4 2 2 3 2 2 2" xfId="19206" xr:uid="{00000000-0005-0000-0000-00007E1A0000}"/>
    <cellStyle name="20% - Accent4 2 4 2 2 3 2 2 2 2" xfId="38606" xr:uid="{00000000-0005-0000-0000-00007F1A0000}"/>
    <cellStyle name="20% - Accent4 2 4 2 2 3 2 2 3" xfId="28908" xr:uid="{00000000-0005-0000-0000-0000801A0000}"/>
    <cellStyle name="20% - Accent4 2 4 2 2 3 2 3" xfId="14751" xr:uid="{00000000-0005-0000-0000-0000811A0000}"/>
    <cellStyle name="20% - Accent4 2 4 2 2 3 2 3 2" xfId="34151" xr:uid="{00000000-0005-0000-0000-0000821A0000}"/>
    <cellStyle name="20% - Accent4 2 4 2 2 3 2 4" xfId="24453" xr:uid="{00000000-0005-0000-0000-0000831A0000}"/>
    <cellStyle name="20% - Accent4 2 4 2 2 3 3" xfId="8095" xr:uid="{00000000-0005-0000-0000-0000841A0000}"/>
    <cellStyle name="20% - Accent4 2 4 2 2 3 3 2" xfId="18091" xr:uid="{00000000-0005-0000-0000-0000851A0000}"/>
    <cellStyle name="20% - Accent4 2 4 2 2 3 3 2 2" xfId="37491" xr:uid="{00000000-0005-0000-0000-0000861A0000}"/>
    <cellStyle name="20% - Accent4 2 4 2 2 3 3 3" xfId="27793" xr:uid="{00000000-0005-0000-0000-0000871A0000}"/>
    <cellStyle name="20% - Accent4 2 4 2 2 3 4" xfId="13636" xr:uid="{00000000-0005-0000-0000-0000881A0000}"/>
    <cellStyle name="20% - Accent4 2 4 2 2 3 4 2" xfId="33036" xr:uid="{00000000-0005-0000-0000-0000891A0000}"/>
    <cellStyle name="20% - Accent4 2 4 2 2 3 5" xfId="23338" xr:uid="{00000000-0005-0000-0000-00008A1A0000}"/>
    <cellStyle name="20% - Accent4 2 4 2 2 4" xfId="4189" xr:uid="{00000000-0005-0000-0000-00008B1A0000}"/>
    <cellStyle name="20% - Accent4 2 4 2 2 4 2" xfId="8653" xr:uid="{00000000-0005-0000-0000-00008C1A0000}"/>
    <cellStyle name="20% - Accent4 2 4 2 2 4 2 2" xfId="18649" xr:uid="{00000000-0005-0000-0000-00008D1A0000}"/>
    <cellStyle name="20% - Accent4 2 4 2 2 4 2 2 2" xfId="38049" xr:uid="{00000000-0005-0000-0000-00008E1A0000}"/>
    <cellStyle name="20% - Accent4 2 4 2 2 4 2 3" xfId="28351" xr:uid="{00000000-0005-0000-0000-00008F1A0000}"/>
    <cellStyle name="20% - Accent4 2 4 2 2 4 3" xfId="14194" xr:uid="{00000000-0005-0000-0000-0000901A0000}"/>
    <cellStyle name="20% - Accent4 2 4 2 2 4 3 2" xfId="33594" xr:uid="{00000000-0005-0000-0000-0000911A0000}"/>
    <cellStyle name="20% - Accent4 2 4 2 2 4 4" xfId="23896" xr:uid="{00000000-0005-0000-0000-0000921A0000}"/>
    <cellStyle name="20% - Accent4 2 4 2 2 5" xfId="5859" xr:uid="{00000000-0005-0000-0000-0000931A0000}"/>
    <cellStyle name="20% - Accent4 2 4 2 2 5 2" xfId="10323" xr:uid="{00000000-0005-0000-0000-0000941A0000}"/>
    <cellStyle name="20% - Accent4 2 4 2 2 5 2 2" xfId="20319" xr:uid="{00000000-0005-0000-0000-0000951A0000}"/>
    <cellStyle name="20% - Accent4 2 4 2 2 5 2 2 2" xfId="39719" xr:uid="{00000000-0005-0000-0000-0000961A0000}"/>
    <cellStyle name="20% - Accent4 2 4 2 2 5 2 3" xfId="30021" xr:uid="{00000000-0005-0000-0000-0000971A0000}"/>
    <cellStyle name="20% - Accent4 2 4 2 2 5 3" xfId="15864" xr:uid="{00000000-0005-0000-0000-0000981A0000}"/>
    <cellStyle name="20% - Accent4 2 4 2 2 5 3 2" xfId="35264" xr:uid="{00000000-0005-0000-0000-0000991A0000}"/>
    <cellStyle name="20% - Accent4 2 4 2 2 5 4" xfId="25566" xr:uid="{00000000-0005-0000-0000-00009A1A0000}"/>
    <cellStyle name="20% - Accent4 2 4 2 2 6" xfId="6425" xr:uid="{00000000-0005-0000-0000-00009B1A0000}"/>
    <cellStyle name="20% - Accent4 2 4 2 2 6 2" xfId="10880" xr:uid="{00000000-0005-0000-0000-00009C1A0000}"/>
    <cellStyle name="20% - Accent4 2 4 2 2 6 2 2" xfId="20876" xr:uid="{00000000-0005-0000-0000-00009D1A0000}"/>
    <cellStyle name="20% - Accent4 2 4 2 2 6 2 2 2" xfId="40276" xr:uid="{00000000-0005-0000-0000-00009E1A0000}"/>
    <cellStyle name="20% - Accent4 2 4 2 2 6 2 3" xfId="30578" xr:uid="{00000000-0005-0000-0000-00009F1A0000}"/>
    <cellStyle name="20% - Accent4 2 4 2 2 6 3" xfId="16421" xr:uid="{00000000-0005-0000-0000-0000A01A0000}"/>
    <cellStyle name="20% - Accent4 2 4 2 2 6 3 2" xfId="35821" xr:uid="{00000000-0005-0000-0000-0000A11A0000}"/>
    <cellStyle name="20% - Accent4 2 4 2 2 6 4" xfId="26123" xr:uid="{00000000-0005-0000-0000-0000A21A0000}"/>
    <cellStyle name="20% - Accent4 2 4 2 2 7" xfId="6982" xr:uid="{00000000-0005-0000-0000-0000A31A0000}"/>
    <cellStyle name="20% - Accent4 2 4 2 2 7 2" xfId="16978" xr:uid="{00000000-0005-0000-0000-0000A41A0000}"/>
    <cellStyle name="20% - Accent4 2 4 2 2 7 2 2" xfId="36378" xr:uid="{00000000-0005-0000-0000-0000A51A0000}"/>
    <cellStyle name="20% - Accent4 2 4 2 2 7 3" xfId="26680" xr:uid="{00000000-0005-0000-0000-0000A61A0000}"/>
    <cellStyle name="20% - Accent4 2 4 2 2 8" xfId="12522" xr:uid="{00000000-0005-0000-0000-0000A71A0000}"/>
    <cellStyle name="20% - Accent4 2 4 2 2 8 2" xfId="31923" xr:uid="{00000000-0005-0000-0000-0000A81A0000}"/>
    <cellStyle name="20% - Accent4 2 4 2 2 9" xfId="22225" xr:uid="{00000000-0005-0000-0000-0000A91A0000}"/>
    <cellStyle name="20% - Accent4 2 4 2 3" xfId="2037" xr:uid="{00000000-0005-0000-0000-0000AA1A0000}"/>
    <cellStyle name="20% - Accent4 2 4 2 3 2" xfId="3034" xr:uid="{00000000-0005-0000-0000-0000AB1A0000}"/>
    <cellStyle name="20% - Accent4 2 4 2 3 2 2" xfId="5303" xr:uid="{00000000-0005-0000-0000-0000AC1A0000}"/>
    <cellStyle name="20% - Accent4 2 4 2 3 2 2 2" xfId="9767" xr:uid="{00000000-0005-0000-0000-0000AD1A0000}"/>
    <cellStyle name="20% - Accent4 2 4 2 3 2 2 2 2" xfId="19763" xr:uid="{00000000-0005-0000-0000-0000AE1A0000}"/>
    <cellStyle name="20% - Accent4 2 4 2 3 2 2 2 2 2" xfId="39163" xr:uid="{00000000-0005-0000-0000-0000AF1A0000}"/>
    <cellStyle name="20% - Accent4 2 4 2 3 2 2 2 3" xfId="29465" xr:uid="{00000000-0005-0000-0000-0000B01A0000}"/>
    <cellStyle name="20% - Accent4 2 4 2 3 2 2 3" xfId="15308" xr:uid="{00000000-0005-0000-0000-0000B11A0000}"/>
    <cellStyle name="20% - Accent4 2 4 2 3 2 2 3 2" xfId="34708" xr:uid="{00000000-0005-0000-0000-0000B21A0000}"/>
    <cellStyle name="20% - Accent4 2 4 2 3 2 2 4" xfId="25010" xr:uid="{00000000-0005-0000-0000-0000B31A0000}"/>
    <cellStyle name="20% - Accent4 2 4 2 3 2 3" xfId="7539" xr:uid="{00000000-0005-0000-0000-0000B41A0000}"/>
    <cellStyle name="20% - Accent4 2 4 2 3 2 3 2" xfId="17535" xr:uid="{00000000-0005-0000-0000-0000B51A0000}"/>
    <cellStyle name="20% - Accent4 2 4 2 3 2 3 2 2" xfId="36935" xr:uid="{00000000-0005-0000-0000-0000B61A0000}"/>
    <cellStyle name="20% - Accent4 2 4 2 3 2 3 3" xfId="27237" xr:uid="{00000000-0005-0000-0000-0000B71A0000}"/>
    <cellStyle name="20% - Accent4 2 4 2 3 2 4" xfId="13080" xr:uid="{00000000-0005-0000-0000-0000B81A0000}"/>
    <cellStyle name="20% - Accent4 2 4 2 3 2 4 2" xfId="32480" xr:uid="{00000000-0005-0000-0000-0000B91A0000}"/>
    <cellStyle name="20% - Accent4 2 4 2 3 2 5" xfId="22782" xr:uid="{00000000-0005-0000-0000-0000BA1A0000}"/>
    <cellStyle name="20% - Accent4 2 4 2 3 3" xfId="3617" xr:uid="{00000000-0005-0000-0000-0000BB1A0000}"/>
    <cellStyle name="20% - Accent4 2 4 2 3 3 2" xfId="4747" xr:uid="{00000000-0005-0000-0000-0000BC1A0000}"/>
    <cellStyle name="20% - Accent4 2 4 2 3 3 2 2" xfId="9211" xr:uid="{00000000-0005-0000-0000-0000BD1A0000}"/>
    <cellStyle name="20% - Accent4 2 4 2 3 3 2 2 2" xfId="19207" xr:uid="{00000000-0005-0000-0000-0000BE1A0000}"/>
    <cellStyle name="20% - Accent4 2 4 2 3 3 2 2 2 2" xfId="38607" xr:uid="{00000000-0005-0000-0000-0000BF1A0000}"/>
    <cellStyle name="20% - Accent4 2 4 2 3 3 2 2 3" xfId="28909" xr:uid="{00000000-0005-0000-0000-0000C01A0000}"/>
    <cellStyle name="20% - Accent4 2 4 2 3 3 2 3" xfId="14752" xr:uid="{00000000-0005-0000-0000-0000C11A0000}"/>
    <cellStyle name="20% - Accent4 2 4 2 3 3 2 3 2" xfId="34152" xr:uid="{00000000-0005-0000-0000-0000C21A0000}"/>
    <cellStyle name="20% - Accent4 2 4 2 3 3 2 4" xfId="24454" xr:uid="{00000000-0005-0000-0000-0000C31A0000}"/>
    <cellStyle name="20% - Accent4 2 4 2 3 3 3" xfId="8096" xr:uid="{00000000-0005-0000-0000-0000C41A0000}"/>
    <cellStyle name="20% - Accent4 2 4 2 3 3 3 2" xfId="18092" xr:uid="{00000000-0005-0000-0000-0000C51A0000}"/>
    <cellStyle name="20% - Accent4 2 4 2 3 3 3 2 2" xfId="37492" xr:uid="{00000000-0005-0000-0000-0000C61A0000}"/>
    <cellStyle name="20% - Accent4 2 4 2 3 3 3 3" xfId="27794" xr:uid="{00000000-0005-0000-0000-0000C71A0000}"/>
    <cellStyle name="20% - Accent4 2 4 2 3 3 4" xfId="13637" xr:uid="{00000000-0005-0000-0000-0000C81A0000}"/>
    <cellStyle name="20% - Accent4 2 4 2 3 3 4 2" xfId="33037" xr:uid="{00000000-0005-0000-0000-0000C91A0000}"/>
    <cellStyle name="20% - Accent4 2 4 2 3 3 5" xfId="23339" xr:uid="{00000000-0005-0000-0000-0000CA1A0000}"/>
    <cellStyle name="20% - Accent4 2 4 2 3 4" xfId="4190" xr:uid="{00000000-0005-0000-0000-0000CB1A0000}"/>
    <cellStyle name="20% - Accent4 2 4 2 3 4 2" xfId="8654" xr:uid="{00000000-0005-0000-0000-0000CC1A0000}"/>
    <cellStyle name="20% - Accent4 2 4 2 3 4 2 2" xfId="18650" xr:uid="{00000000-0005-0000-0000-0000CD1A0000}"/>
    <cellStyle name="20% - Accent4 2 4 2 3 4 2 2 2" xfId="38050" xr:uid="{00000000-0005-0000-0000-0000CE1A0000}"/>
    <cellStyle name="20% - Accent4 2 4 2 3 4 2 3" xfId="28352" xr:uid="{00000000-0005-0000-0000-0000CF1A0000}"/>
    <cellStyle name="20% - Accent4 2 4 2 3 4 3" xfId="14195" xr:uid="{00000000-0005-0000-0000-0000D01A0000}"/>
    <cellStyle name="20% - Accent4 2 4 2 3 4 3 2" xfId="33595" xr:uid="{00000000-0005-0000-0000-0000D11A0000}"/>
    <cellStyle name="20% - Accent4 2 4 2 3 4 4" xfId="23897" xr:uid="{00000000-0005-0000-0000-0000D21A0000}"/>
    <cellStyle name="20% - Accent4 2 4 2 3 5" xfId="5860" xr:uid="{00000000-0005-0000-0000-0000D31A0000}"/>
    <cellStyle name="20% - Accent4 2 4 2 3 5 2" xfId="10324" xr:uid="{00000000-0005-0000-0000-0000D41A0000}"/>
    <cellStyle name="20% - Accent4 2 4 2 3 5 2 2" xfId="20320" xr:uid="{00000000-0005-0000-0000-0000D51A0000}"/>
    <cellStyle name="20% - Accent4 2 4 2 3 5 2 2 2" xfId="39720" xr:uid="{00000000-0005-0000-0000-0000D61A0000}"/>
    <cellStyle name="20% - Accent4 2 4 2 3 5 2 3" xfId="30022" xr:uid="{00000000-0005-0000-0000-0000D71A0000}"/>
    <cellStyle name="20% - Accent4 2 4 2 3 5 3" xfId="15865" xr:uid="{00000000-0005-0000-0000-0000D81A0000}"/>
    <cellStyle name="20% - Accent4 2 4 2 3 5 3 2" xfId="35265" xr:uid="{00000000-0005-0000-0000-0000D91A0000}"/>
    <cellStyle name="20% - Accent4 2 4 2 3 5 4" xfId="25567" xr:uid="{00000000-0005-0000-0000-0000DA1A0000}"/>
    <cellStyle name="20% - Accent4 2 4 2 3 6" xfId="6426" xr:uid="{00000000-0005-0000-0000-0000DB1A0000}"/>
    <cellStyle name="20% - Accent4 2 4 2 3 6 2" xfId="10881" xr:uid="{00000000-0005-0000-0000-0000DC1A0000}"/>
    <cellStyle name="20% - Accent4 2 4 2 3 6 2 2" xfId="20877" xr:uid="{00000000-0005-0000-0000-0000DD1A0000}"/>
    <cellStyle name="20% - Accent4 2 4 2 3 6 2 2 2" xfId="40277" xr:uid="{00000000-0005-0000-0000-0000DE1A0000}"/>
    <cellStyle name="20% - Accent4 2 4 2 3 6 2 3" xfId="30579" xr:uid="{00000000-0005-0000-0000-0000DF1A0000}"/>
    <cellStyle name="20% - Accent4 2 4 2 3 6 3" xfId="16422" xr:uid="{00000000-0005-0000-0000-0000E01A0000}"/>
    <cellStyle name="20% - Accent4 2 4 2 3 6 3 2" xfId="35822" xr:uid="{00000000-0005-0000-0000-0000E11A0000}"/>
    <cellStyle name="20% - Accent4 2 4 2 3 6 4" xfId="26124" xr:uid="{00000000-0005-0000-0000-0000E21A0000}"/>
    <cellStyle name="20% - Accent4 2 4 2 3 7" xfId="6983" xr:uid="{00000000-0005-0000-0000-0000E31A0000}"/>
    <cellStyle name="20% - Accent4 2 4 2 3 7 2" xfId="16979" xr:uid="{00000000-0005-0000-0000-0000E41A0000}"/>
    <cellStyle name="20% - Accent4 2 4 2 3 7 2 2" xfId="36379" xr:uid="{00000000-0005-0000-0000-0000E51A0000}"/>
    <cellStyle name="20% - Accent4 2 4 2 3 7 3" xfId="26681" xr:uid="{00000000-0005-0000-0000-0000E61A0000}"/>
    <cellStyle name="20% - Accent4 2 4 2 3 8" xfId="12523" xr:uid="{00000000-0005-0000-0000-0000E71A0000}"/>
    <cellStyle name="20% - Accent4 2 4 2 3 8 2" xfId="31924" xr:uid="{00000000-0005-0000-0000-0000E81A0000}"/>
    <cellStyle name="20% - Accent4 2 4 2 3 9" xfId="22226" xr:uid="{00000000-0005-0000-0000-0000E91A0000}"/>
    <cellStyle name="20% - Accent4 2 4 2 4" xfId="3032" xr:uid="{00000000-0005-0000-0000-0000EA1A0000}"/>
    <cellStyle name="20% - Accent4 2 4 2 4 2" xfId="5301" xr:uid="{00000000-0005-0000-0000-0000EB1A0000}"/>
    <cellStyle name="20% - Accent4 2 4 2 4 2 2" xfId="9765" xr:uid="{00000000-0005-0000-0000-0000EC1A0000}"/>
    <cellStyle name="20% - Accent4 2 4 2 4 2 2 2" xfId="19761" xr:uid="{00000000-0005-0000-0000-0000ED1A0000}"/>
    <cellStyle name="20% - Accent4 2 4 2 4 2 2 2 2" xfId="39161" xr:uid="{00000000-0005-0000-0000-0000EE1A0000}"/>
    <cellStyle name="20% - Accent4 2 4 2 4 2 2 3" xfId="29463" xr:uid="{00000000-0005-0000-0000-0000EF1A0000}"/>
    <cellStyle name="20% - Accent4 2 4 2 4 2 3" xfId="15306" xr:uid="{00000000-0005-0000-0000-0000F01A0000}"/>
    <cellStyle name="20% - Accent4 2 4 2 4 2 3 2" xfId="34706" xr:uid="{00000000-0005-0000-0000-0000F11A0000}"/>
    <cellStyle name="20% - Accent4 2 4 2 4 2 4" xfId="25008" xr:uid="{00000000-0005-0000-0000-0000F21A0000}"/>
    <cellStyle name="20% - Accent4 2 4 2 4 3" xfId="7537" xr:uid="{00000000-0005-0000-0000-0000F31A0000}"/>
    <cellStyle name="20% - Accent4 2 4 2 4 3 2" xfId="17533" xr:uid="{00000000-0005-0000-0000-0000F41A0000}"/>
    <cellStyle name="20% - Accent4 2 4 2 4 3 2 2" xfId="36933" xr:uid="{00000000-0005-0000-0000-0000F51A0000}"/>
    <cellStyle name="20% - Accent4 2 4 2 4 3 3" xfId="27235" xr:uid="{00000000-0005-0000-0000-0000F61A0000}"/>
    <cellStyle name="20% - Accent4 2 4 2 4 4" xfId="13078" xr:uid="{00000000-0005-0000-0000-0000F71A0000}"/>
    <cellStyle name="20% - Accent4 2 4 2 4 4 2" xfId="32478" xr:uid="{00000000-0005-0000-0000-0000F81A0000}"/>
    <cellStyle name="20% - Accent4 2 4 2 4 5" xfId="22780" xr:uid="{00000000-0005-0000-0000-0000F91A0000}"/>
    <cellStyle name="20% - Accent4 2 4 2 5" xfId="3615" xr:uid="{00000000-0005-0000-0000-0000FA1A0000}"/>
    <cellStyle name="20% - Accent4 2 4 2 5 2" xfId="4745" xr:uid="{00000000-0005-0000-0000-0000FB1A0000}"/>
    <cellStyle name="20% - Accent4 2 4 2 5 2 2" xfId="9209" xr:uid="{00000000-0005-0000-0000-0000FC1A0000}"/>
    <cellStyle name="20% - Accent4 2 4 2 5 2 2 2" xfId="19205" xr:uid="{00000000-0005-0000-0000-0000FD1A0000}"/>
    <cellStyle name="20% - Accent4 2 4 2 5 2 2 2 2" xfId="38605" xr:uid="{00000000-0005-0000-0000-0000FE1A0000}"/>
    <cellStyle name="20% - Accent4 2 4 2 5 2 2 3" xfId="28907" xr:uid="{00000000-0005-0000-0000-0000FF1A0000}"/>
    <cellStyle name="20% - Accent4 2 4 2 5 2 3" xfId="14750" xr:uid="{00000000-0005-0000-0000-0000001B0000}"/>
    <cellStyle name="20% - Accent4 2 4 2 5 2 3 2" xfId="34150" xr:uid="{00000000-0005-0000-0000-0000011B0000}"/>
    <cellStyle name="20% - Accent4 2 4 2 5 2 4" xfId="24452" xr:uid="{00000000-0005-0000-0000-0000021B0000}"/>
    <cellStyle name="20% - Accent4 2 4 2 5 3" xfId="8094" xr:uid="{00000000-0005-0000-0000-0000031B0000}"/>
    <cellStyle name="20% - Accent4 2 4 2 5 3 2" xfId="18090" xr:uid="{00000000-0005-0000-0000-0000041B0000}"/>
    <cellStyle name="20% - Accent4 2 4 2 5 3 2 2" xfId="37490" xr:uid="{00000000-0005-0000-0000-0000051B0000}"/>
    <cellStyle name="20% - Accent4 2 4 2 5 3 3" xfId="27792" xr:uid="{00000000-0005-0000-0000-0000061B0000}"/>
    <cellStyle name="20% - Accent4 2 4 2 5 4" xfId="13635" xr:uid="{00000000-0005-0000-0000-0000071B0000}"/>
    <cellStyle name="20% - Accent4 2 4 2 5 4 2" xfId="33035" xr:uid="{00000000-0005-0000-0000-0000081B0000}"/>
    <cellStyle name="20% - Accent4 2 4 2 5 5" xfId="23337" xr:uid="{00000000-0005-0000-0000-0000091B0000}"/>
    <cellStyle name="20% - Accent4 2 4 2 6" xfId="4188" xr:uid="{00000000-0005-0000-0000-00000A1B0000}"/>
    <cellStyle name="20% - Accent4 2 4 2 6 2" xfId="8652" xr:uid="{00000000-0005-0000-0000-00000B1B0000}"/>
    <cellStyle name="20% - Accent4 2 4 2 6 2 2" xfId="18648" xr:uid="{00000000-0005-0000-0000-00000C1B0000}"/>
    <cellStyle name="20% - Accent4 2 4 2 6 2 2 2" xfId="38048" xr:uid="{00000000-0005-0000-0000-00000D1B0000}"/>
    <cellStyle name="20% - Accent4 2 4 2 6 2 3" xfId="28350" xr:uid="{00000000-0005-0000-0000-00000E1B0000}"/>
    <cellStyle name="20% - Accent4 2 4 2 6 3" xfId="14193" xr:uid="{00000000-0005-0000-0000-00000F1B0000}"/>
    <cellStyle name="20% - Accent4 2 4 2 6 3 2" xfId="33593" xr:uid="{00000000-0005-0000-0000-0000101B0000}"/>
    <cellStyle name="20% - Accent4 2 4 2 6 4" xfId="23895" xr:uid="{00000000-0005-0000-0000-0000111B0000}"/>
    <cellStyle name="20% - Accent4 2 4 2 7" xfId="5858" xr:uid="{00000000-0005-0000-0000-0000121B0000}"/>
    <cellStyle name="20% - Accent4 2 4 2 7 2" xfId="10322" xr:uid="{00000000-0005-0000-0000-0000131B0000}"/>
    <cellStyle name="20% - Accent4 2 4 2 7 2 2" xfId="20318" xr:uid="{00000000-0005-0000-0000-0000141B0000}"/>
    <cellStyle name="20% - Accent4 2 4 2 7 2 2 2" xfId="39718" xr:uid="{00000000-0005-0000-0000-0000151B0000}"/>
    <cellStyle name="20% - Accent4 2 4 2 7 2 3" xfId="30020" xr:uid="{00000000-0005-0000-0000-0000161B0000}"/>
    <cellStyle name="20% - Accent4 2 4 2 7 3" xfId="15863" xr:uid="{00000000-0005-0000-0000-0000171B0000}"/>
    <cellStyle name="20% - Accent4 2 4 2 7 3 2" xfId="35263" xr:uid="{00000000-0005-0000-0000-0000181B0000}"/>
    <cellStyle name="20% - Accent4 2 4 2 7 4" xfId="25565" xr:uid="{00000000-0005-0000-0000-0000191B0000}"/>
    <cellStyle name="20% - Accent4 2 4 2 8" xfId="6424" xr:uid="{00000000-0005-0000-0000-00001A1B0000}"/>
    <cellStyle name="20% - Accent4 2 4 2 8 2" xfId="10879" xr:uid="{00000000-0005-0000-0000-00001B1B0000}"/>
    <cellStyle name="20% - Accent4 2 4 2 8 2 2" xfId="20875" xr:uid="{00000000-0005-0000-0000-00001C1B0000}"/>
    <cellStyle name="20% - Accent4 2 4 2 8 2 2 2" xfId="40275" xr:uid="{00000000-0005-0000-0000-00001D1B0000}"/>
    <cellStyle name="20% - Accent4 2 4 2 8 2 3" xfId="30577" xr:uid="{00000000-0005-0000-0000-00001E1B0000}"/>
    <cellStyle name="20% - Accent4 2 4 2 8 3" xfId="16420" xr:uid="{00000000-0005-0000-0000-00001F1B0000}"/>
    <cellStyle name="20% - Accent4 2 4 2 8 3 2" xfId="35820" xr:uid="{00000000-0005-0000-0000-0000201B0000}"/>
    <cellStyle name="20% - Accent4 2 4 2 8 4" xfId="26122" xr:uid="{00000000-0005-0000-0000-0000211B0000}"/>
    <cellStyle name="20% - Accent4 2 4 2 9" xfId="6981" xr:uid="{00000000-0005-0000-0000-0000221B0000}"/>
    <cellStyle name="20% - Accent4 2 4 2 9 2" xfId="16977" xr:uid="{00000000-0005-0000-0000-0000231B0000}"/>
    <cellStyle name="20% - Accent4 2 4 2 9 2 2" xfId="36377" xr:uid="{00000000-0005-0000-0000-0000241B0000}"/>
    <cellStyle name="20% - Accent4 2 4 2 9 3" xfId="26679" xr:uid="{00000000-0005-0000-0000-0000251B0000}"/>
    <cellStyle name="20% - Accent4 2 4 3" xfId="2038" xr:uid="{00000000-0005-0000-0000-0000261B0000}"/>
    <cellStyle name="20% - Accent4 2 4 3 10" xfId="12524" xr:uid="{00000000-0005-0000-0000-0000271B0000}"/>
    <cellStyle name="20% - Accent4 2 4 3 10 2" xfId="31925" xr:uid="{00000000-0005-0000-0000-0000281B0000}"/>
    <cellStyle name="20% - Accent4 2 4 3 11" xfId="22227" xr:uid="{00000000-0005-0000-0000-0000291B0000}"/>
    <cellStyle name="20% - Accent4 2 4 3 2" xfId="2039" xr:uid="{00000000-0005-0000-0000-00002A1B0000}"/>
    <cellStyle name="20% - Accent4 2 4 3 2 2" xfId="3036" xr:uid="{00000000-0005-0000-0000-00002B1B0000}"/>
    <cellStyle name="20% - Accent4 2 4 3 2 2 2" xfId="5305" xr:uid="{00000000-0005-0000-0000-00002C1B0000}"/>
    <cellStyle name="20% - Accent4 2 4 3 2 2 2 2" xfId="9769" xr:uid="{00000000-0005-0000-0000-00002D1B0000}"/>
    <cellStyle name="20% - Accent4 2 4 3 2 2 2 2 2" xfId="19765" xr:uid="{00000000-0005-0000-0000-00002E1B0000}"/>
    <cellStyle name="20% - Accent4 2 4 3 2 2 2 2 2 2" xfId="39165" xr:uid="{00000000-0005-0000-0000-00002F1B0000}"/>
    <cellStyle name="20% - Accent4 2 4 3 2 2 2 2 3" xfId="29467" xr:uid="{00000000-0005-0000-0000-0000301B0000}"/>
    <cellStyle name="20% - Accent4 2 4 3 2 2 2 3" xfId="15310" xr:uid="{00000000-0005-0000-0000-0000311B0000}"/>
    <cellStyle name="20% - Accent4 2 4 3 2 2 2 3 2" xfId="34710" xr:uid="{00000000-0005-0000-0000-0000321B0000}"/>
    <cellStyle name="20% - Accent4 2 4 3 2 2 2 4" xfId="25012" xr:uid="{00000000-0005-0000-0000-0000331B0000}"/>
    <cellStyle name="20% - Accent4 2 4 3 2 2 3" xfId="7541" xr:uid="{00000000-0005-0000-0000-0000341B0000}"/>
    <cellStyle name="20% - Accent4 2 4 3 2 2 3 2" xfId="17537" xr:uid="{00000000-0005-0000-0000-0000351B0000}"/>
    <cellStyle name="20% - Accent4 2 4 3 2 2 3 2 2" xfId="36937" xr:uid="{00000000-0005-0000-0000-0000361B0000}"/>
    <cellStyle name="20% - Accent4 2 4 3 2 2 3 3" xfId="27239" xr:uid="{00000000-0005-0000-0000-0000371B0000}"/>
    <cellStyle name="20% - Accent4 2 4 3 2 2 4" xfId="13082" xr:uid="{00000000-0005-0000-0000-0000381B0000}"/>
    <cellStyle name="20% - Accent4 2 4 3 2 2 4 2" xfId="32482" xr:uid="{00000000-0005-0000-0000-0000391B0000}"/>
    <cellStyle name="20% - Accent4 2 4 3 2 2 5" xfId="22784" xr:uid="{00000000-0005-0000-0000-00003A1B0000}"/>
    <cellStyle name="20% - Accent4 2 4 3 2 3" xfId="3619" xr:uid="{00000000-0005-0000-0000-00003B1B0000}"/>
    <cellStyle name="20% - Accent4 2 4 3 2 3 2" xfId="4749" xr:uid="{00000000-0005-0000-0000-00003C1B0000}"/>
    <cellStyle name="20% - Accent4 2 4 3 2 3 2 2" xfId="9213" xr:uid="{00000000-0005-0000-0000-00003D1B0000}"/>
    <cellStyle name="20% - Accent4 2 4 3 2 3 2 2 2" xfId="19209" xr:uid="{00000000-0005-0000-0000-00003E1B0000}"/>
    <cellStyle name="20% - Accent4 2 4 3 2 3 2 2 2 2" xfId="38609" xr:uid="{00000000-0005-0000-0000-00003F1B0000}"/>
    <cellStyle name="20% - Accent4 2 4 3 2 3 2 2 3" xfId="28911" xr:uid="{00000000-0005-0000-0000-0000401B0000}"/>
    <cellStyle name="20% - Accent4 2 4 3 2 3 2 3" xfId="14754" xr:uid="{00000000-0005-0000-0000-0000411B0000}"/>
    <cellStyle name="20% - Accent4 2 4 3 2 3 2 3 2" xfId="34154" xr:uid="{00000000-0005-0000-0000-0000421B0000}"/>
    <cellStyle name="20% - Accent4 2 4 3 2 3 2 4" xfId="24456" xr:uid="{00000000-0005-0000-0000-0000431B0000}"/>
    <cellStyle name="20% - Accent4 2 4 3 2 3 3" xfId="8098" xr:uid="{00000000-0005-0000-0000-0000441B0000}"/>
    <cellStyle name="20% - Accent4 2 4 3 2 3 3 2" xfId="18094" xr:uid="{00000000-0005-0000-0000-0000451B0000}"/>
    <cellStyle name="20% - Accent4 2 4 3 2 3 3 2 2" xfId="37494" xr:uid="{00000000-0005-0000-0000-0000461B0000}"/>
    <cellStyle name="20% - Accent4 2 4 3 2 3 3 3" xfId="27796" xr:uid="{00000000-0005-0000-0000-0000471B0000}"/>
    <cellStyle name="20% - Accent4 2 4 3 2 3 4" xfId="13639" xr:uid="{00000000-0005-0000-0000-0000481B0000}"/>
    <cellStyle name="20% - Accent4 2 4 3 2 3 4 2" xfId="33039" xr:uid="{00000000-0005-0000-0000-0000491B0000}"/>
    <cellStyle name="20% - Accent4 2 4 3 2 3 5" xfId="23341" xr:uid="{00000000-0005-0000-0000-00004A1B0000}"/>
    <cellStyle name="20% - Accent4 2 4 3 2 4" xfId="4192" xr:uid="{00000000-0005-0000-0000-00004B1B0000}"/>
    <cellStyle name="20% - Accent4 2 4 3 2 4 2" xfId="8656" xr:uid="{00000000-0005-0000-0000-00004C1B0000}"/>
    <cellStyle name="20% - Accent4 2 4 3 2 4 2 2" xfId="18652" xr:uid="{00000000-0005-0000-0000-00004D1B0000}"/>
    <cellStyle name="20% - Accent4 2 4 3 2 4 2 2 2" xfId="38052" xr:uid="{00000000-0005-0000-0000-00004E1B0000}"/>
    <cellStyle name="20% - Accent4 2 4 3 2 4 2 3" xfId="28354" xr:uid="{00000000-0005-0000-0000-00004F1B0000}"/>
    <cellStyle name="20% - Accent4 2 4 3 2 4 3" xfId="14197" xr:uid="{00000000-0005-0000-0000-0000501B0000}"/>
    <cellStyle name="20% - Accent4 2 4 3 2 4 3 2" xfId="33597" xr:uid="{00000000-0005-0000-0000-0000511B0000}"/>
    <cellStyle name="20% - Accent4 2 4 3 2 4 4" xfId="23899" xr:uid="{00000000-0005-0000-0000-0000521B0000}"/>
    <cellStyle name="20% - Accent4 2 4 3 2 5" xfId="5862" xr:uid="{00000000-0005-0000-0000-0000531B0000}"/>
    <cellStyle name="20% - Accent4 2 4 3 2 5 2" xfId="10326" xr:uid="{00000000-0005-0000-0000-0000541B0000}"/>
    <cellStyle name="20% - Accent4 2 4 3 2 5 2 2" xfId="20322" xr:uid="{00000000-0005-0000-0000-0000551B0000}"/>
    <cellStyle name="20% - Accent4 2 4 3 2 5 2 2 2" xfId="39722" xr:uid="{00000000-0005-0000-0000-0000561B0000}"/>
    <cellStyle name="20% - Accent4 2 4 3 2 5 2 3" xfId="30024" xr:uid="{00000000-0005-0000-0000-0000571B0000}"/>
    <cellStyle name="20% - Accent4 2 4 3 2 5 3" xfId="15867" xr:uid="{00000000-0005-0000-0000-0000581B0000}"/>
    <cellStyle name="20% - Accent4 2 4 3 2 5 3 2" xfId="35267" xr:uid="{00000000-0005-0000-0000-0000591B0000}"/>
    <cellStyle name="20% - Accent4 2 4 3 2 5 4" xfId="25569" xr:uid="{00000000-0005-0000-0000-00005A1B0000}"/>
    <cellStyle name="20% - Accent4 2 4 3 2 6" xfId="6428" xr:uid="{00000000-0005-0000-0000-00005B1B0000}"/>
    <cellStyle name="20% - Accent4 2 4 3 2 6 2" xfId="10883" xr:uid="{00000000-0005-0000-0000-00005C1B0000}"/>
    <cellStyle name="20% - Accent4 2 4 3 2 6 2 2" xfId="20879" xr:uid="{00000000-0005-0000-0000-00005D1B0000}"/>
    <cellStyle name="20% - Accent4 2 4 3 2 6 2 2 2" xfId="40279" xr:uid="{00000000-0005-0000-0000-00005E1B0000}"/>
    <cellStyle name="20% - Accent4 2 4 3 2 6 2 3" xfId="30581" xr:uid="{00000000-0005-0000-0000-00005F1B0000}"/>
    <cellStyle name="20% - Accent4 2 4 3 2 6 3" xfId="16424" xr:uid="{00000000-0005-0000-0000-0000601B0000}"/>
    <cellStyle name="20% - Accent4 2 4 3 2 6 3 2" xfId="35824" xr:uid="{00000000-0005-0000-0000-0000611B0000}"/>
    <cellStyle name="20% - Accent4 2 4 3 2 6 4" xfId="26126" xr:uid="{00000000-0005-0000-0000-0000621B0000}"/>
    <cellStyle name="20% - Accent4 2 4 3 2 7" xfId="6985" xr:uid="{00000000-0005-0000-0000-0000631B0000}"/>
    <cellStyle name="20% - Accent4 2 4 3 2 7 2" xfId="16981" xr:uid="{00000000-0005-0000-0000-0000641B0000}"/>
    <cellStyle name="20% - Accent4 2 4 3 2 7 2 2" xfId="36381" xr:uid="{00000000-0005-0000-0000-0000651B0000}"/>
    <cellStyle name="20% - Accent4 2 4 3 2 7 3" xfId="26683" xr:uid="{00000000-0005-0000-0000-0000661B0000}"/>
    <cellStyle name="20% - Accent4 2 4 3 2 8" xfId="12525" xr:uid="{00000000-0005-0000-0000-0000671B0000}"/>
    <cellStyle name="20% - Accent4 2 4 3 2 8 2" xfId="31926" xr:uid="{00000000-0005-0000-0000-0000681B0000}"/>
    <cellStyle name="20% - Accent4 2 4 3 2 9" xfId="22228" xr:uid="{00000000-0005-0000-0000-0000691B0000}"/>
    <cellStyle name="20% - Accent4 2 4 3 3" xfId="2040" xr:uid="{00000000-0005-0000-0000-00006A1B0000}"/>
    <cellStyle name="20% - Accent4 2 4 3 3 2" xfId="3037" xr:uid="{00000000-0005-0000-0000-00006B1B0000}"/>
    <cellStyle name="20% - Accent4 2 4 3 3 2 2" xfId="5306" xr:uid="{00000000-0005-0000-0000-00006C1B0000}"/>
    <cellStyle name="20% - Accent4 2 4 3 3 2 2 2" xfId="9770" xr:uid="{00000000-0005-0000-0000-00006D1B0000}"/>
    <cellStyle name="20% - Accent4 2 4 3 3 2 2 2 2" xfId="19766" xr:uid="{00000000-0005-0000-0000-00006E1B0000}"/>
    <cellStyle name="20% - Accent4 2 4 3 3 2 2 2 2 2" xfId="39166" xr:uid="{00000000-0005-0000-0000-00006F1B0000}"/>
    <cellStyle name="20% - Accent4 2 4 3 3 2 2 2 3" xfId="29468" xr:uid="{00000000-0005-0000-0000-0000701B0000}"/>
    <cellStyle name="20% - Accent4 2 4 3 3 2 2 3" xfId="15311" xr:uid="{00000000-0005-0000-0000-0000711B0000}"/>
    <cellStyle name="20% - Accent4 2 4 3 3 2 2 3 2" xfId="34711" xr:uid="{00000000-0005-0000-0000-0000721B0000}"/>
    <cellStyle name="20% - Accent4 2 4 3 3 2 2 4" xfId="25013" xr:uid="{00000000-0005-0000-0000-0000731B0000}"/>
    <cellStyle name="20% - Accent4 2 4 3 3 2 3" xfId="7542" xr:uid="{00000000-0005-0000-0000-0000741B0000}"/>
    <cellStyle name="20% - Accent4 2 4 3 3 2 3 2" xfId="17538" xr:uid="{00000000-0005-0000-0000-0000751B0000}"/>
    <cellStyle name="20% - Accent4 2 4 3 3 2 3 2 2" xfId="36938" xr:uid="{00000000-0005-0000-0000-0000761B0000}"/>
    <cellStyle name="20% - Accent4 2 4 3 3 2 3 3" xfId="27240" xr:uid="{00000000-0005-0000-0000-0000771B0000}"/>
    <cellStyle name="20% - Accent4 2 4 3 3 2 4" xfId="13083" xr:uid="{00000000-0005-0000-0000-0000781B0000}"/>
    <cellStyle name="20% - Accent4 2 4 3 3 2 4 2" xfId="32483" xr:uid="{00000000-0005-0000-0000-0000791B0000}"/>
    <cellStyle name="20% - Accent4 2 4 3 3 2 5" xfId="22785" xr:uid="{00000000-0005-0000-0000-00007A1B0000}"/>
    <cellStyle name="20% - Accent4 2 4 3 3 3" xfId="3620" xr:uid="{00000000-0005-0000-0000-00007B1B0000}"/>
    <cellStyle name="20% - Accent4 2 4 3 3 3 2" xfId="4750" xr:uid="{00000000-0005-0000-0000-00007C1B0000}"/>
    <cellStyle name="20% - Accent4 2 4 3 3 3 2 2" xfId="9214" xr:uid="{00000000-0005-0000-0000-00007D1B0000}"/>
    <cellStyle name="20% - Accent4 2 4 3 3 3 2 2 2" xfId="19210" xr:uid="{00000000-0005-0000-0000-00007E1B0000}"/>
    <cellStyle name="20% - Accent4 2 4 3 3 3 2 2 2 2" xfId="38610" xr:uid="{00000000-0005-0000-0000-00007F1B0000}"/>
    <cellStyle name="20% - Accent4 2 4 3 3 3 2 2 3" xfId="28912" xr:uid="{00000000-0005-0000-0000-0000801B0000}"/>
    <cellStyle name="20% - Accent4 2 4 3 3 3 2 3" xfId="14755" xr:uid="{00000000-0005-0000-0000-0000811B0000}"/>
    <cellStyle name="20% - Accent4 2 4 3 3 3 2 3 2" xfId="34155" xr:uid="{00000000-0005-0000-0000-0000821B0000}"/>
    <cellStyle name="20% - Accent4 2 4 3 3 3 2 4" xfId="24457" xr:uid="{00000000-0005-0000-0000-0000831B0000}"/>
    <cellStyle name="20% - Accent4 2 4 3 3 3 3" xfId="8099" xr:uid="{00000000-0005-0000-0000-0000841B0000}"/>
    <cellStyle name="20% - Accent4 2 4 3 3 3 3 2" xfId="18095" xr:uid="{00000000-0005-0000-0000-0000851B0000}"/>
    <cellStyle name="20% - Accent4 2 4 3 3 3 3 2 2" xfId="37495" xr:uid="{00000000-0005-0000-0000-0000861B0000}"/>
    <cellStyle name="20% - Accent4 2 4 3 3 3 3 3" xfId="27797" xr:uid="{00000000-0005-0000-0000-0000871B0000}"/>
    <cellStyle name="20% - Accent4 2 4 3 3 3 4" xfId="13640" xr:uid="{00000000-0005-0000-0000-0000881B0000}"/>
    <cellStyle name="20% - Accent4 2 4 3 3 3 4 2" xfId="33040" xr:uid="{00000000-0005-0000-0000-0000891B0000}"/>
    <cellStyle name="20% - Accent4 2 4 3 3 3 5" xfId="23342" xr:uid="{00000000-0005-0000-0000-00008A1B0000}"/>
    <cellStyle name="20% - Accent4 2 4 3 3 4" xfId="4193" xr:uid="{00000000-0005-0000-0000-00008B1B0000}"/>
    <cellStyle name="20% - Accent4 2 4 3 3 4 2" xfId="8657" xr:uid="{00000000-0005-0000-0000-00008C1B0000}"/>
    <cellStyle name="20% - Accent4 2 4 3 3 4 2 2" xfId="18653" xr:uid="{00000000-0005-0000-0000-00008D1B0000}"/>
    <cellStyle name="20% - Accent4 2 4 3 3 4 2 2 2" xfId="38053" xr:uid="{00000000-0005-0000-0000-00008E1B0000}"/>
    <cellStyle name="20% - Accent4 2 4 3 3 4 2 3" xfId="28355" xr:uid="{00000000-0005-0000-0000-00008F1B0000}"/>
    <cellStyle name="20% - Accent4 2 4 3 3 4 3" xfId="14198" xr:uid="{00000000-0005-0000-0000-0000901B0000}"/>
    <cellStyle name="20% - Accent4 2 4 3 3 4 3 2" xfId="33598" xr:uid="{00000000-0005-0000-0000-0000911B0000}"/>
    <cellStyle name="20% - Accent4 2 4 3 3 4 4" xfId="23900" xr:uid="{00000000-0005-0000-0000-0000921B0000}"/>
    <cellStyle name="20% - Accent4 2 4 3 3 5" xfId="5863" xr:uid="{00000000-0005-0000-0000-0000931B0000}"/>
    <cellStyle name="20% - Accent4 2 4 3 3 5 2" xfId="10327" xr:uid="{00000000-0005-0000-0000-0000941B0000}"/>
    <cellStyle name="20% - Accent4 2 4 3 3 5 2 2" xfId="20323" xr:uid="{00000000-0005-0000-0000-0000951B0000}"/>
    <cellStyle name="20% - Accent4 2 4 3 3 5 2 2 2" xfId="39723" xr:uid="{00000000-0005-0000-0000-0000961B0000}"/>
    <cellStyle name="20% - Accent4 2 4 3 3 5 2 3" xfId="30025" xr:uid="{00000000-0005-0000-0000-0000971B0000}"/>
    <cellStyle name="20% - Accent4 2 4 3 3 5 3" xfId="15868" xr:uid="{00000000-0005-0000-0000-0000981B0000}"/>
    <cellStyle name="20% - Accent4 2 4 3 3 5 3 2" xfId="35268" xr:uid="{00000000-0005-0000-0000-0000991B0000}"/>
    <cellStyle name="20% - Accent4 2 4 3 3 5 4" xfId="25570" xr:uid="{00000000-0005-0000-0000-00009A1B0000}"/>
    <cellStyle name="20% - Accent4 2 4 3 3 6" xfId="6429" xr:uid="{00000000-0005-0000-0000-00009B1B0000}"/>
    <cellStyle name="20% - Accent4 2 4 3 3 6 2" xfId="10884" xr:uid="{00000000-0005-0000-0000-00009C1B0000}"/>
    <cellStyle name="20% - Accent4 2 4 3 3 6 2 2" xfId="20880" xr:uid="{00000000-0005-0000-0000-00009D1B0000}"/>
    <cellStyle name="20% - Accent4 2 4 3 3 6 2 2 2" xfId="40280" xr:uid="{00000000-0005-0000-0000-00009E1B0000}"/>
    <cellStyle name="20% - Accent4 2 4 3 3 6 2 3" xfId="30582" xr:uid="{00000000-0005-0000-0000-00009F1B0000}"/>
    <cellStyle name="20% - Accent4 2 4 3 3 6 3" xfId="16425" xr:uid="{00000000-0005-0000-0000-0000A01B0000}"/>
    <cellStyle name="20% - Accent4 2 4 3 3 6 3 2" xfId="35825" xr:uid="{00000000-0005-0000-0000-0000A11B0000}"/>
    <cellStyle name="20% - Accent4 2 4 3 3 6 4" xfId="26127" xr:uid="{00000000-0005-0000-0000-0000A21B0000}"/>
    <cellStyle name="20% - Accent4 2 4 3 3 7" xfId="6986" xr:uid="{00000000-0005-0000-0000-0000A31B0000}"/>
    <cellStyle name="20% - Accent4 2 4 3 3 7 2" xfId="16982" xr:uid="{00000000-0005-0000-0000-0000A41B0000}"/>
    <cellStyle name="20% - Accent4 2 4 3 3 7 2 2" xfId="36382" xr:uid="{00000000-0005-0000-0000-0000A51B0000}"/>
    <cellStyle name="20% - Accent4 2 4 3 3 7 3" xfId="26684" xr:uid="{00000000-0005-0000-0000-0000A61B0000}"/>
    <cellStyle name="20% - Accent4 2 4 3 3 8" xfId="12526" xr:uid="{00000000-0005-0000-0000-0000A71B0000}"/>
    <cellStyle name="20% - Accent4 2 4 3 3 8 2" xfId="31927" xr:uid="{00000000-0005-0000-0000-0000A81B0000}"/>
    <cellStyle name="20% - Accent4 2 4 3 3 9" xfId="22229" xr:uid="{00000000-0005-0000-0000-0000A91B0000}"/>
    <cellStyle name="20% - Accent4 2 4 3 4" xfId="3035" xr:uid="{00000000-0005-0000-0000-0000AA1B0000}"/>
    <cellStyle name="20% - Accent4 2 4 3 4 2" xfId="5304" xr:uid="{00000000-0005-0000-0000-0000AB1B0000}"/>
    <cellStyle name="20% - Accent4 2 4 3 4 2 2" xfId="9768" xr:uid="{00000000-0005-0000-0000-0000AC1B0000}"/>
    <cellStyle name="20% - Accent4 2 4 3 4 2 2 2" xfId="19764" xr:uid="{00000000-0005-0000-0000-0000AD1B0000}"/>
    <cellStyle name="20% - Accent4 2 4 3 4 2 2 2 2" xfId="39164" xr:uid="{00000000-0005-0000-0000-0000AE1B0000}"/>
    <cellStyle name="20% - Accent4 2 4 3 4 2 2 3" xfId="29466" xr:uid="{00000000-0005-0000-0000-0000AF1B0000}"/>
    <cellStyle name="20% - Accent4 2 4 3 4 2 3" xfId="15309" xr:uid="{00000000-0005-0000-0000-0000B01B0000}"/>
    <cellStyle name="20% - Accent4 2 4 3 4 2 3 2" xfId="34709" xr:uid="{00000000-0005-0000-0000-0000B11B0000}"/>
    <cellStyle name="20% - Accent4 2 4 3 4 2 4" xfId="25011" xr:uid="{00000000-0005-0000-0000-0000B21B0000}"/>
    <cellStyle name="20% - Accent4 2 4 3 4 3" xfId="7540" xr:uid="{00000000-0005-0000-0000-0000B31B0000}"/>
    <cellStyle name="20% - Accent4 2 4 3 4 3 2" xfId="17536" xr:uid="{00000000-0005-0000-0000-0000B41B0000}"/>
    <cellStyle name="20% - Accent4 2 4 3 4 3 2 2" xfId="36936" xr:uid="{00000000-0005-0000-0000-0000B51B0000}"/>
    <cellStyle name="20% - Accent4 2 4 3 4 3 3" xfId="27238" xr:uid="{00000000-0005-0000-0000-0000B61B0000}"/>
    <cellStyle name="20% - Accent4 2 4 3 4 4" xfId="13081" xr:uid="{00000000-0005-0000-0000-0000B71B0000}"/>
    <cellStyle name="20% - Accent4 2 4 3 4 4 2" xfId="32481" xr:uid="{00000000-0005-0000-0000-0000B81B0000}"/>
    <cellStyle name="20% - Accent4 2 4 3 4 5" xfId="22783" xr:uid="{00000000-0005-0000-0000-0000B91B0000}"/>
    <cellStyle name="20% - Accent4 2 4 3 5" xfId="3618" xr:uid="{00000000-0005-0000-0000-0000BA1B0000}"/>
    <cellStyle name="20% - Accent4 2 4 3 5 2" xfId="4748" xr:uid="{00000000-0005-0000-0000-0000BB1B0000}"/>
    <cellStyle name="20% - Accent4 2 4 3 5 2 2" xfId="9212" xr:uid="{00000000-0005-0000-0000-0000BC1B0000}"/>
    <cellStyle name="20% - Accent4 2 4 3 5 2 2 2" xfId="19208" xr:uid="{00000000-0005-0000-0000-0000BD1B0000}"/>
    <cellStyle name="20% - Accent4 2 4 3 5 2 2 2 2" xfId="38608" xr:uid="{00000000-0005-0000-0000-0000BE1B0000}"/>
    <cellStyle name="20% - Accent4 2 4 3 5 2 2 3" xfId="28910" xr:uid="{00000000-0005-0000-0000-0000BF1B0000}"/>
    <cellStyle name="20% - Accent4 2 4 3 5 2 3" xfId="14753" xr:uid="{00000000-0005-0000-0000-0000C01B0000}"/>
    <cellStyle name="20% - Accent4 2 4 3 5 2 3 2" xfId="34153" xr:uid="{00000000-0005-0000-0000-0000C11B0000}"/>
    <cellStyle name="20% - Accent4 2 4 3 5 2 4" xfId="24455" xr:uid="{00000000-0005-0000-0000-0000C21B0000}"/>
    <cellStyle name="20% - Accent4 2 4 3 5 3" xfId="8097" xr:uid="{00000000-0005-0000-0000-0000C31B0000}"/>
    <cellStyle name="20% - Accent4 2 4 3 5 3 2" xfId="18093" xr:uid="{00000000-0005-0000-0000-0000C41B0000}"/>
    <cellStyle name="20% - Accent4 2 4 3 5 3 2 2" xfId="37493" xr:uid="{00000000-0005-0000-0000-0000C51B0000}"/>
    <cellStyle name="20% - Accent4 2 4 3 5 3 3" xfId="27795" xr:uid="{00000000-0005-0000-0000-0000C61B0000}"/>
    <cellStyle name="20% - Accent4 2 4 3 5 4" xfId="13638" xr:uid="{00000000-0005-0000-0000-0000C71B0000}"/>
    <cellStyle name="20% - Accent4 2 4 3 5 4 2" xfId="33038" xr:uid="{00000000-0005-0000-0000-0000C81B0000}"/>
    <cellStyle name="20% - Accent4 2 4 3 5 5" xfId="23340" xr:uid="{00000000-0005-0000-0000-0000C91B0000}"/>
    <cellStyle name="20% - Accent4 2 4 3 6" xfId="4191" xr:uid="{00000000-0005-0000-0000-0000CA1B0000}"/>
    <cellStyle name="20% - Accent4 2 4 3 6 2" xfId="8655" xr:uid="{00000000-0005-0000-0000-0000CB1B0000}"/>
    <cellStyle name="20% - Accent4 2 4 3 6 2 2" xfId="18651" xr:uid="{00000000-0005-0000-0000-0000CC1B0000}"/>
    <cellStyle name="20% - Accent4 2 4 3 6 2 2 2" xfId="38051" xr:uid="{00000000-0005-0000-0000-0000CD1B0000}"/>
    <cellStyle name="20% - Accent4 2 4 3 6 2 3" xfId="28353" xr:uid="{00000000-0005-0000-0000-0000CE1B0000}"/>
    <cellStyle name="20% - Accent4 2 4 3 6 3" xfId="14196" xr:uid="{00000000-0005-0000-0000-0000CF1B0000}"/>
    <cellStyle name="20% - Accent4 2 4 3 6 3 2" xfId="33596" xr:uid="{00000000-0005-0000-0000-0000D01B0000}"/>
    <cellStyle name="20% - Accent4 2 4 3 6 4" xfId="23898" xr:uid="{00000000-0005-0000-0000-0000D11B0000}"/>
    <cellStyle name="20% - Accent4 2 4 3 7" xfId="5861" xr:uid="{00000000-0005-0000-0000-0000D21B0000}"/>
    <cellStyle name="20% - Accent4 2 4 3 7 2" xfId="10325" xr:uid="{00000000-0005-0000-0000-0000D31B0000}"/>
    <cellStyle name="20% - Accent4 2 4 3 7 2 2" xfId="20321" xr:uid="{00000000-0005-0000-0000-0000D41B0000}"/>
    <cellStyle name="20% - Accent4 2 4 3 7 2 2 2" xfId="39721" xr:uid="{00000000-0005-0000-0000-0000D51B0000}"/>
    <cellStyle name="20% - Accent4 2 4 3 7 2 3" xfId="30023" xr:uid="{00000000-0005-0000-0000-0000D61B0000}"/>
    <cellStyle name="20% - Accent4 2 4 3 7 3" xfId="15866" xr:uid="{00000000-0005-0000-0000-0000D71B0000}"/>
    <cellStyle name="20% - Accent4 2 4 3 7 3 2" xfId="35266" xr:uid="{00000000-0005-0000-0000-0000D81B0000}"/>
    <cellStyle name="20% - Accent4 2 4 3 7 4" xfId="25568" xr:uid="{00000000-0005-0000-0000-0000D91B0000}"/>
    <cellStyle name="20% - Accent4 2 4 3 8" xfId="6427" xr:uid="{00000000-0005-0000-0000-0000DA1B0000}"/>
    <cellStyle name="20% - Accent4 2 4 3 8 2" xfId="10882" xr:uid="{00000000-0005-0000-0000-0000DB1B0000}"/>
    <cellStyle name="20% - Accent4 2 4 3 8 2 2" xfId="20878" xr:uid="{00000000-0005-0000-0000-0000DC1B0000}"/>
    <cellStyle name="20% - Accent4 2 4 3 8 2 2 2" xfId="40278" xr:uid="{00000000-0005-0000-0000-0000DD1B0000}"/>
    <cellStyle name="20% - Accent4 2 4 3 8 2 3" xfId="30580" xr:uid="{00000000-0005-0000-0000-0000DE1B0000}"/>
    <cellStyle name="20% - Accent4 2 4 3 8 3" xfId="16423" xr:uid="{00000000-0005-0000-0000-0000DF1B0000}"/>
    <cellStyle name="20% - Accent4 2 4 3 8 3 2" xfId="35823" xr:uid="{00000000-0005-0000-0000-0000E01B0000}"/>
    <cellStyle name="20% - Accent4 2 4 3 8 4" xfId="26125" xr:uid="{00000000-0005-0000-0000-0000E11B0000}"/>
    <cellStyle name="20% - Accent4 2 4 3 9" xfId="6984" xr:uid="{00000000-0005-0000-0000-0000E21B0000}"/>
    <cellStyle name="20% - Accent4 2 4 3 9 2" xfId="16980" xr:uid="{00000000-0005-0000-0000-0000E31B0000}"/>
    <cellStyle name="20% - Accent4 2 4 3 9 2 2" xfId="36380" xr:uid="{00000000-0005-0000-0000-0000E41B0000}"/>
    <cellStyle name="20% - Accent4 2 4 3 9 3" xfId="26682" xr:uid="{00000000-0005-0000-0000-0000E51B0000}"/>
    <cellStyle name="20% - Accent4 2 4 4" xfId="2041" xr:uid="{00000000-0005-0000-0000-0000E61B0000}"/>
    <cellStyle name="20% - Accent4 2 4 4 2" xfId="3038" xr:uid="{00000000-0005-0000-0000-0000E71B0000}"/>
    <cellStyle name="20% - Accent4 2 4 4 2 2" xfId="5307" xr:uid="{00000000-0005-0000-0000-0000E81B0000}"/>
    <cellStyle name="20% - Accent4 2 4 4 2 2 2" xfId="9771" xr:uid="{00000000-0005-0000-0000-0000E91B0000}"/>
    <cellStyle name="20% - Accent4 2 4 4 2 2 2 2" xfId="19767" xr:uid="{00000000-0005-0000-0000-0000EA1B0000}"/>
    <cellStyle name="20% - Accent4 2 4 4 2 2 2 2 2" xfId="39167" xr:uid="{00000000-0005-0000-0000-0000EB1B0000}"/>
    <cellStyle name="20% - Accent4 2 4 4 2 2 2 3" xfId="29469" xr:uid="{00000000-0005-0000-0000-0000EC1B0000}"/>
    <cellStyle name="20% - Accent4 2 4 4 2 2 3" xfId="15312" xr:uid="{00000000-0005-0000-0000-0000ED1B0000}"/>
    <cellStyle name="20% - Accent4 2 4 4 2 2 3 2" xfId="34712" xr:uid="{00000000-0005-0000-0000-0000EE1B0000}"/>
    <cellStyle name="20% - Accent4 2 4 4 2 2 4" xfId="25014" xr:uid="{00000000-0005-0000-0000-0000EF1B0000}"/>
    <cellStyle name="20% - Accent4 2 4 4 2 3" xfId="7543" xr:uid="{00000000-0005-0000-0000-0000F01B0000}"/>
    <cellStyle name="20% - Accent4 2 4 4 2 3 2" xfId="17539" xr:uid="{00000000-0005-0000-0000-0000F11B0000}"/>
    <cellStyle name="20% - Accent4 2 4 4 2 3 2 2" xfId="36939" xr:uid="{00000000-0005-0000-0000-0000F21B0000}"/>
    <cellStyle name="20% - Accent4 2 4 4 2 3 3" xfId="27241" xr:uid="{00000000-0005-0000-0000-0000F31B0000}"/>
    <cellStyle name="20% - Accent4 2 4 4 2 4" xfId="13084" xr:uid="{00000000-0005-0000-0000-0000F41B0000}"/>
    <cellStyle name="20% - Accent4 2 4 4 2 4 2" xfId="32484" xr:uid="{00000000-0005-0000-0000-0000F51B0000}"/>
    <cellStyle name="20% - Accent4 2 4 4 2 5" xfId="22786" xr:uid="{00000000-0005-0000-0000-0000F61B0000}"/>
    <cellStyle name="20% - Accent4 2 4 4 3" xfId="3621" xr:uid="{00000000-0005-0000-0000-0000F71B0000}"/>
    <cellStyle name="20% - Accent4 2 4 4 3 2" xfId="4751" xr:uid="{00000000-0005-0000-0000-0000F81B0000}"/>
    <cellStyle name="20% - Accent4 2 4 4 3 2 2" xfId="9215" xr:uid="{00000000-0005-0000-0000-0000F91B0000}"/>
    <cellStyle name="20% - Accent4 2 4 4 3 2 2 2" xfId="19211" xr:uid="{00000000-0005-0000-0000-0000FA1B0000}"/>
    <cellStyle name="20% - Accent4 2 4 4 3 2 2 2 2" xfId="38611" xr:uid="{00000000-0005-0000-0000-0000FB1B0000}"/>
    <cellStyle name="20% - Accent4 2 4 4 3 2 2 3" xfId="28913" xr:uid="{00000000-0005-0000-0000-0000FC1B0000}"/>
    <cellStyle name="20% - Accent4 2 4 4 3 2 3" xfId="14756" xr:uid="{00000000-0005-0000-0000-0000FD1B0000}"/>
    <cellStyle name="20% - Accent4 2 4 4 3 2 3 2" xfId="34156" xr:uid="{00000000-0005-0000-0000-0000FE1B0000}"/>
    <cellStyle name="20% - Accent4 2 4 4 3 2 4" xfId="24458" xr:uid="{00000000-0005-0000-0000-0000FF1B0000}"/>
    <cellStyle name="20% - Accent4 2 4 4 3 3" xfId="8100" xr:uid="{00000000-0005-0000-0000-0000001C0000}"/>
    <cellStyle name="20% - Accent4 2 4 4 3 3 2" xfId="18096" xr:uid="{00000000-0005-0000-0000-0000011C0000}"/>
    <cellStyle name="20% - Accent4 2 4 4 3 3 2 2" xfId="37496" xr:uid="{00000000-0005-0000-0000-0000021C0000}"/>
    <cellStyle name="20% - Accent4 2 4 4 3 3 3" xfId="27798" xr:uid="{00000000-0005-0000-0000-0000031C0000}"/>
    <cellStyle name="20% - Accent4 2 4 4 3 4" xfId="13641" xr:uid="{00000000-0005-0000-0000-0000041C0000}"/>
    <cellStyle name="20% - Accent4 2 4 4 3 4 2" xfId="33041" xr:uid="{00000000-0005-0000-0000-0000051C0000}"/>
    <cellStyle name="20% - Accent4 2 4 4 3 5" xfId="23343" xr:uid="{00000000-0005-0000-0000-0000061C0000}"/>
    <cellStyle name="20% - Accent4 2 4 4 4" xfId="4194" xr:uid="{00000000-0005-0000-0000-0000071C0000}"/>
    <cellStyle name="20% - Accent4 2 4 4 4 2" xfId="8658" xr:uid="{00000000-0005-0000-0000-0000081C0000}"/>
    <cellStyle name="20% - Accent4 2 4 4 4 2 2" xfId="18654" xr:uid="{00000000-0005-0000-0000-0000091C0000}"/>
    <cellStyle name="20% - Accent4 2 4 4 4 2 2 2" xfId="38054" xr:uid="{00000000-0005-0000-0000-00000A1C0000}"/>
    <cellStyle name="20% - Accent4 2 4 4 4 2 3" xfId="28356" xr:uid="{00000000-0005-0000-0000-00000B1C0000}"/>
    <cellStyle name="20% - Accent4 2 4 4 4 3" xfId="14199" xr:uid="{00000000-0005-0000-0000-00000C1C0000}"/>
    <cellStyle name="20% - Accent4 2 4 4 4 3 2" xfId="33599" xr:uid="{00000000-0005-0000-0000-00000D1C0000}"/>
    <cellStyle name="20% - Accent4 2 4 4 4 4" xfId="23901" xr:uid="{00000000-0005-0000-0000-00000E1C0000}"/>
    <cellStyle name="20% - Accent4 2 4 4 5" xfId="5864" xr:uid="{00000000-0005-0000-0000-00000F1C0000}"/>
    <cellStyle name="20% - Accent4 2 4 4 5 2" xfId="10328" xr:uid="{00000000-0005-0000-0000-0000101C0000}"/>
    <cellStyle name="20% - Accent4 2 4 4 5 2 2" xfId="20324" xr:uid="{00000000-0005-0000-0000-0000111C0000}"/>
    <cellStyle name="20% - Accent4 2 4 4 5 2 2 2" xfId="39724" xr:uid="{00000000-0005-0000-0000-0000121C0000}"/>
    <cellStyle name="20% - Accent4 2 4 4 5 2 3" xfId="30026" xr:uid="{00000000-0005-0000-0000-0000131C0000}"/>
    <cellStyle name="20% - Accent4 2 4 4 5 3" xfId="15869" xr:uid="{00000000-0005-0000-0000-0000141C0000}"/>
    <cellStyle name="20% - Accent4 2 4 4 5 3 2" xfId="35269" xr:uid="{00000000-0005-0000-0000-0000151C0000}"/>
    <cellStyle name="20% - Accent4 2 4 4 5 4" xfId="25571" xr:uid="{00000000-0005-0000-0000-0000161C0000}"/>
    <cellStyle name="20% - Accent4 2 4 4 6" xfId="6430" xr:uid="{00000000-0005-0000-0000-0000171C0000}"/>
    <cellStyle name="20% - Accent4 2 4 4 6 2" xfId="10885" xr:uid="{00000000-0005-0000-0000-0000181C0000}"/>
    <cellStyle name="20% - Accent4 2 4 4 6 2 2" xfId="20881" xr:uid="{00000000-0005-0000-0000-0000191C0000}"/>
    <cellStyle name="20% - Accent4 2 4 4 6 2 2 2" xfId="40281" xr:uid="{00000000-0005-0000-0000-00001A1C0000}"/>
    <cellStyle name="20% - Accent4 2 4 4 6 2 3" xfId="30583" xr:uid="{00000000-0005-0000-0000-00001B1C0000}"/>
    <cellStyle name="20% - Accent4 2 4 4 6 3" xfId="16426" xr:uid="{00000000-0005-0000-0000-00001C1C0000}"/>
    <cellStyle name="20% - Accent4 2 4 4 6 3 2" xfId="35826" xr:uid="{00000000-0005-0000-0000-00001D1C0000}"/>
    <cellStyle name="20% - Accent4 2 4 4 6 4" xfId="26128" xr:uid="{00000000-0005-0000-0000-00001E1C0000}"/>
    <cellStyle name="20% - Accent4 2 4 4 7" xfId="6987" xr:uid="{00000000-0005-0000-0000-00001F1C0000}"/>
    <cellStyle name="20% - Accent4 2 4 4 7 2" xfId="16983" xr:uid="{00000000-0005-0000-0000-0000201C0000}"/>
    <cellStyle name="20% - Accent4 2 4 4 7 2 2" xfId="36383" xr:uid="{00000000-0005-0000-0000-0000211C0000}"/>
    <cellStyle name="20% - Accent4 2 4 4 7 3" xfId="26685" xr:uid="{00000000-0005-0000-0000-0000221C0000}"/>
    <cellStyle name="20% - Accent4 2 4 4 8" xfId="12527" xr:uid="{00000000-0005-0000-0000-0000231C0000}"/>
    <cellStyle name="20% - Accent4 2 4 4 8 2" xfId="31928" xr:uid="{00000000-0005-0000-0000-0000241C0000}"/>
    <cellStyle name="20% - Accent4 2 4 4 9" xfId="22230" xr:uid="{00000000-0005-0000-0000-0000251C0000}"/>
    <cellStyle name="20% - Accent4 2 4 5" xfId="2042" xr:uid="{00000000-0005-0000-0000-0000261C0000}"/>
    <cellStyle name="20% - Accent4 2 4 5 2" xfId="3039" xr:uid="{00000000-0005-0000-0000-0000271C0000}"/>
    <cellStyle name="20% - Accent4 2 4 5 2 2" xfId="5308" xr:uid="{00000000-0005-0000-0000-0000281C0000}"/>
    <cellStyle name="20% - Accent4 2 4 5 2 2 2" xfId="9772" xr:uid="{00000000-0005-0000-0000-0000291C0000}"/>
    <cellStyle name="20% - Accent4 2 4 5 2 2 2 2" xfId="19768" xr:uid="{00000000-0005-0000-0000-00002A1C0000}"/>
    <cellStyle name="20% - Accent4 2 4 5 2 2 2 2 2" xfId="39168" xr:uid="{00000000-0005-0000-0000-00002B1C0000}"/>
    <cellStyle name="20% - Accent4 2 4 5 2 2 2 3" xfId="29470" xr:uid="{00000000-0005-0000-0000-00002C1C0000}"/>
    <cellStyle name="20% - Accent4 2 4 5 2 2 3" xfId="15313" xr:uid="{00000000-0005-0000-0000-00002D1C0000}"/>
    <cellStyle name="20% - Accent4 2 4 5 2 2 3 2" xfId="34713" xr:uid="{00000000-0005-0000-0000-00002E1C0000}"/>
    <cellStyle name="20% - Accent4 2 4 5 2 2 4" xfId="25015" xr:uid="{00000000-0005-0000-0000-00002F1C0000}"/>
    <cellStyle name="20% - Accent4 2 4 5 2 3" xfId="7544" xr:uid="{00000000-0005-0000-0000-0000301C0000}"/>
    <cellStyle name="20% - Accent4 2 4 5 2 3 2" xfId="17540" xr:uid="{00000000-0005-0000-0000-0000311C0000}"/>
    <cellStyle name="20% - Accent4 2 4 5 2 3 2 2" xfId="36940" xr:uid="{00000000-0005-0000-0000-0000321C0000}"/>
    <cellStyle name="20% - Accent4 2 4 5 2 3 3" xfId="27242" xr:uid="{00000000-0005-0000-0000-0000331C0000}"/>
    <cellStyle name="20% - Accent4 2 4 5 2 4" xfId="13085" xr:uid="{00000000-0005-0000-0000-0000341C0000}"/>
    <cellStyle name="20% - Accent4 2 4 5 2 4 2" xfId="32485" xr:uid="{00000000-0005-0000-0000-0000351C0000}"/>
    <cellStyle name="20% - Accent4 2 4 5 2 5" xfId="22787" xr:uid="{00000000-0005-0000-0000-0000361C0000}"/>
    <cellStyle name="20% - Accent4 2 4 5 3" xfId="3622" xr:uid="{00000000-0005-0000-0000-0000371C0000}"/>
    <cellStyle name="20% - Accent4 2 4 5 3 2" xfId="4752" xr:uid="{00000000-0005-0000-0000-0000381C0000}"/>
    <cellStyle name="20% - Accent4 2 4 5 3 2 2" xfId="9216" xr:uid="{00000000-0005-0000-0000-0000391C0000}"/>
    <cellStyle name="20% - Accent4 2 4 5 3 2 2 2" xfId="19212" xr:uid="{00000000-0005-0000-0000-00003A1C0000}"/>
    <cellStyle name="20% - Accent4 2 4 5 3 2 2 2 2" xfId="38612" xr:uid="{00000000-0005-0000-0000-00003B1C0000}"/>
    <cellStyle name="20% - Accent4 2 4 5 3 2 2 3" xfId="28914" xr:uid="{00000000-0005-0000-0000-00003C1C0000}"/>
    <cellStyle name="20% - Accent4 2 4 5 3 2 3" xfId="14757" xr:uid="{00000000-0005-0000-0000-00003D1C0000}"/>
    <cellStyle name="20% - Accent4 2 4 5 3 2 3 2" xfId="34157" xr:uid="{00000000-0005-0000-0000-00003E1C0000}"/>
    <cellStyle name="20% - Accent4 2 4 5 3 2 4" xfId="24459" xr:uid="{00000000-0005-0000-0000-00003F1C0000}"/>
    <cellStyle name="20% - Accent4 2 4 5 3 3" xfId="8101" xr:uid="{00000000-0005-0000-0000-0000401C0000}"/>
    <cellStyle name="20% - Accent4 2 4 5 3 3 2" xfId="18097" xr:uid="{00000000-0005-0000-0000-0000411C0000}"/>
    <cellStyle name="20% - Accent4 2 4 5 3 3 2 2" xfId="37497" xr:uid="{00000000-0005-0000-0000-0000421C0000}"/>
    <cellStyle name="20% - Accent4 2 4 5 3 3 3" xfId="27799" xr:uid="{00000000-0005-0000-0000-0000431C0000}"/>
    <cellStyle name="20% - Accent4 2 4 5 3 4" xfId="13642" xr:uid="{00000000-0005-0000-0000-0000441C0000}"/>
    <cellStyle name="20% - Accent4 2 4 5 3 4 2" xfId="33042" xr:uid="{00000000-0005-0000-0000-0000451C0000}"/>
    <cellStyle name="20% - Accent4 2 4 5 3 5" xfId="23344" xr:uid="{00000000-0005-0000-0000-0000461C0000}"/>
    <cellStyle name="20% - Accent4 2 4 5 4" xfId="4195" xr:uid="{00000000-0005-0000-0000-0000471C0000}"/>
    <cellStyle name="20% - Accent4 2 4 5 4 2" xfId="8659" xr:uid="{00000000-0005-0000-0000-0000481C0000}"/>
    <cellStyle name="20% - Accent4 2 4 5 4 2 2" xfId="18655" xr:uid="{00000000-0005-0000-0000-0000491C0000}"/>
    <cellStyle name="20% - Accent4 2 4 5 4 2 2 2" xfId="38055" xr:uid="{00000000-0005-0000-0000-00004A1C0000}"/>
    <cellStyle name="20% - Accent4 2 4 5 4 2 3" xfId="28357" xr:uid="{00000000-0005-0000-0000-00004B1C0000}"/>
    <cellStyle name="20% - Accent4 2 4 5 4 3" xfId="14200" xr:uid="{00000000-0005-0000-0000-00004C1C0000}"/>
    <cellStyle name="20% - Accent4 2 4 5 4 3 2" xfId="33600" xr:uid="{00000000-0005-0000-0000-00004D1C0000}"/>
    <cellStyle name="20% - Accent4 2 4 5 4 4" xfId="23902" xr:uid="{00000000-0005-0000-0000-00004E1C0000}"/>
    <cellStyle name="20% - Accent4 2 4 5 5" xfId="5865" xr:uid="{00000000-0005-0000-0000-00004F1C0000}"/>
    <cellStyle name="20% - Accent4 2 4 5 5 2" xfId="10329" xr:uid="{00000000-0005-0000-0000-0000501C0000}"/>
    <cellStyle name="20% - Accent4 2 4 5 5 2 2" xfId="20325" xr:uid="{00000000-0005-0000-0000-0000511C0000}"/>
    <cellStyle name="20% - Accent4 2 4 5 5 2 2 2" xfId="39725" xr:uid="{00000000-0005-0000-0000-0000521C0000}"/>
    <cellStyle name="20% - Accent4 2 4 5 5 2 3" xfId="30027" xr:uid="{00000000-0005-0000-0000-0000531C0000}"/>
    <cellStyle name="20% - Accent4 2 4 5 5 3" xfId="15870" xr:uid="{00000000-0005-0000-0000-0000541C0000}"/>
    <cellStyle name="20% - Accent4 2 4 5 5 3 2" xfId="35270" xr:uid="{00000000-0005-0000-0000-0000551C0000}"/>
    <cellStyle name="20% - Accent4 2 4 5 5 4" xfId="25572" xr:uid="{00000000-0005-0000-0000-0000561C0000}"/>
    <cellStyle name="20% - Accent4 2 4 5 6" xfId="6431" xr:uid="{00000000-0005-0000-0000-0000571C0000}"/>
    <cellStyle name="20% - Accent4 2 4 5 6 2" xfId="10886" xr:uid="{00000000-0005-0000-0000-0000581C0000}"/>
    <cellStyle name="20% - Accent4 2 4 5 6 2 2" xfId="20882" xr:uid="{00000000-0005-0000-0000-0000591C0000}"/>
    <cellStyle name="20% - Accent4 2 4 5 6 2 2 2" xfId="40282" xr:uid="{00000000-0005-0000-0000-00005A1C0000}"/>
    <cellStyle name="20% - Accent4 2 4 5 6 2 3" xfId="30584" xr:uid="{00000000-0005-0000-0000-00005B1C0000}"/>
    <cellStyle name="20% - Accent4 2 4 5 6 3" xfId="16427" xr:uid="{00000000-0005-0000-0000-00005C1C0000}"/>
    <cellStyle name="20% - Accent4 2 4 5 6 3 2" xfId="35827" xr:uid="{00000000-0005-0000-0000-00005D1C0000}"/>
    <cellStyle name="20% - Accent4 2 4 5 6 4" xfId="26129" xr:uid="{00000000-0005-0000-0000-00005E1C0000}"/>
    <cellStyle name="20% - Accent4 2 4 5 7" xfId="6988" xr:uid="{00000000-0005-0000-0000-00005F1C0000}"/>
    <cellStyle name="20% - Accent4 2 4 5 7 2" xfId="16984" xr:uid="{00000000-0005-0000-0000-0000601C0000}"/>
    <cellStyle name="20% - Accent4 2 4 5 7 2 2" xfId="36384" xr:uid="{00000000-0005-0000-0000-0000611C0000}"/>
    <cellStyle name="20% - Accent4 2 4 5 7 3" xfId="26686" xr:uid="{00000000-0005-0000-0000-0000621C0000}"/>
    <cellStyle name="20% - Accent4 2 4 5 8" xfId="12528" xr:uid="{00000000-0005-0000-0000-0000631C0000}"/>
    <cellStyle name="20% - Accent4 2 4 5 8 2" xfId="31929" xr:uid="{00000000-0005-0000-0000-0000641C0000}"/>
    <cellStyle name="20% - Accent4 2 4 5 9" xfId="22231" xr:uid="{00000000-0005-0000-0000-0000651C0000}"/>
    <cellStyle name="20% - Accent4 2 5" xfId="1168" xr:uid="{00000000-0005-0000-0000-0000661C0000}"/>
    <cellStyle name="20% - Accent4 2 5 2" xfId="2043" xr:uid="{00000000-0005-0000-0000-0000671C0000}"/>
    <cellStyle name="20% - Accent4 2 5 2 10" xfId="12529" xr:uid="{00000000-0005-0000-0000-0000681C0000}"/>
    <cellStyle name="20% - Accent4 2 5 2 10 2" xfId="31930" xr:uid="{00000000-0005-0000-0000-0000691C0000}"/>
    <cellStyle name="20% - Accent4 2 5 2 11" xfId="22232" xr:uid="{00000000-0005-0000-0000-00006A1C0000}"/>
    <cellStyle name="20% - Accent4 2 5 2 2" xfId="2044" xr:uid="{00000000-0005-0000-0000-00006B1C0000}"/>
    <cellStyle name="20% - Accent4 2 5 2 2 2" xfId="3041" xr:uid="{00000000-0005-0000-0000-00006C1C0000}"/>
    <cellStyle name="20% - Accent4 2 5 2 2 2 2" xfId="5310" xr:uid="{00000000-0005-0000-0000-00006D1C0000}"/>
    <cellStyle name="20% - Accent4 2 5 2 2 2 2 2" xfId="9774" xr:uid="{00000000-0005-0000-0000-00006E1C0000}"/>
    <cellStyle name="20% - Accent4 2 5 2 2 2 2 2 2" xfId="19770" xr:uid="{00000000-0005-0000-0000-00006F1C0000}"/>
    <cellStyle name="20% - Accent4 2 5 2 2 2 2 2 2 2" xfId="39170" xr:uid="{00000000-0005-0000-0000-0000701C0000}"/>
    <cellStyle name="20% - Accent4 2 5 2 2 2 2 2 3" xfId="29472" xr:uid="{00000000-0005-0000-0000-0000711C0000}"/>
    <cellStyle name="20% - Accent4 2 5 2 2 2 2 3" xfId="15315" xr:uid="{00000000-0005-0000-0000-0000721C0000}"/>
    <cellStyle name="20% - Accent4 2 5 2 2 2 2 3 2" xfId="34715" xr:uid="{00000000-0005-0000-0000-0000731C0000}"/>
    <cellStyle name="20% - Accent4 2 5 2 2 2 2 4" xfId="25017" xr:uid="{00000000-0005-0000-0000-0000741C0000}"/>
    <cellStyle name="20% - Accent4 2 5 2 2 2 3" xfId="7546" xr:uid="{00000000-0005-0000-0000-0000751C0000}"/>
    <cellStyle name="20% - Accent4 2 5 2 2 2 3 2" xfId="17542" xr:uid="{00000000-0005-0000-0000-0000761C0000}"/>
    <cellStyle name="20% - Accent4 2 5 2 2 2 3 2 2" xfId="36942" xr:uid="{00000000-0005-0000-0000-0000771C0000}"/>
    <cellStyle name="20% - Accent4 2 5 2 2 2 3 3" xfId="27244" xr:uid="{00000000-0005-0000-0000-0000781C0000}"/>
    <cellStyle name="20% - Accent4 2 5 2 2 2 4" xfId="13087" xr:uid="{00000000-0005-0000-0000-0000791C0000}"/>
    <cellStyle name="20% - Accent4 2 5 2 2 2 4 2" xfId="32487" xr:uid="{00000000-0005-0000-0000-00007A1C0000}"/>
    <cellStyle name="20% - Accent4 2 5 2 2 2 5" xfId="22789" xr:uid="{00000000-0005-0000-0000-00007B1C0000}"/>
    <cellStyle name="20% - Accent4 2 5 2 2 3" xfId="3624" xr:uid="{00000000-0005-0000-0000-00007C1C0000}"/>
    <cellStyle name="20% - Accent4 2 5 2 2 3 2" xfId="4754" xr:uid="{00000000-0005-0000-0000-00007D1C0000}"/>
    <cellStyle name="20% - Accent4 2 5 2 2 3 2 2" xfId="9218" xr:uid="{00000000-0005-0000-0000-00007E1C0000}"/>
    <cellStyle name="20% - Accent4 2 5 2 2 3 2 2 2" xfId="19214" xr:uid="{00000000-0005-0000-0000-00007F1C0000}"/>
    <cellStyle name="20% - Accent4 2 5 2 2 3 2 2 2 2" xfId="38614" xr:uid="{00000000-0005-0000-0000-0000801C0000}"/>
    <cellStyle name="20% - Accent4 2 5 2 2 3 2 2 3" xfId="28916" xr:uid="{00000000-0005-0000-0000-0000811C0000}"/>
    <cellStyle name="20% - Accent4 2 5 2 2 3 2 3" xfId="14759" xr:uid="{00000000-0005-0000-0000-0000821C0000}"/>
    <cellStyle name="20% - Accent4 2 5 2 2 3 2 3 2" xfId="34159" xr:uid="{00000000-0005-0000-0000-0000831C0000}"/>
    <cellStyle name="20% - Accent4 2 5 2 2 3 2 4" xfId="24461" xr:uid="{00000000-0005-0000-0000-0000841C0000}"/>
    <cellStyle name="20% - Accent4 2 5 2 2 3 3" xfId="8103" xr:uid="{00000000-0005-0000-0000-0000851C0000}"/>
    <cellStyle name="20% - Accent4 2 5 2 2 3 3 2" xfId="18099" xr:uid="{00000000-0005-0000-0000-0000861C0000}"/>
    <cellStyle name="20% - Accent4 2 5 2 2 3 3 2 2" xfId="37499" xr:uid="{00000000-0005-0000-0000-0000871C0000}"/>
    <cellStyle name="20% - Accent4 2 5 2 2 3 3 3" xfId="27801" xr:uid="{00000000-0005-0000-0000-0000881C0000}"/>
    <cellStyle name="20% - Accent4 2 5 2 2 3 4" xfId="13644" xr:uid="{00000000-0005-0000-0000-0000891C0000}"/>
    <cellStyle name="20% - Accent4 2 5 2 2 3 4 2" xfId="33044" xr:uid="{00000000-0005-0000-0000-00008A1C0000}"/>
    <cellStyle name="20% - Accent4 2 5 2 2 3 5" xfId="23346" xr:uid="{00000000-0005-0000-0000-00008B1C0000}"/>
    <cellStyle name="20% - Accent4 2 5 2 2 4" xfId="4197" xr:uid="{00000000-0005-0000-0000-00008C1C0000}"/>
    <cellStyle name="20% - Accent4 2 5 2 2 4 2" xfId="8661" xr:uid="{00000000-0005-0000-0000-00008D1C0000}"/>
    <cellStyle name="20% - Accent4 2 5 2 2 4 2 2" xfId="18657" xr:uid="{00000000-0005-0000-0000-00008E1C0000}"/>
    <cellStyle name="20% - Accent4 2 5 2 2 4 2 2 2" xfId="38057" xr:uid="{00000000-0005-0000-0000-00008F1C0000}"/>
    <cellStyle name="20% - Accent4 2 5 2 2 4 2 3" xfId="28359" xr:uid="{00000000-0005-0000-0000-0000901C0000}"/>
    <cellStyle name="20% - Accent4 2 5 2 2 4 3" xfId="14202" xr:uid="{00000000-0005-0000-0000-0000911C0000}"/>
    <cellStyle name="20% - Accent4 2 5 2 2 4 3 2" xfId="33602" xr:uid="{00000000-0005-0000-0000-0000921C0000}"/>
    <cellStyle name="20% - Accent4 2 5 2 2 4 4" xfId="23904" xr:uid="{00000000-0005-0000-0000-0000931C0000}"/>
    <cellStyle name="20% - Accent4 2 5 2 2 5" xfId="5867" xr:uid="{00000000-0005-0000-0000-0000941C0000}"/>
    <cellStyle name="20% - Accent4 2 5 2 2 5 2" xfId="10331" xr:uid="{00000000-0005-0000-0000-0000951C0000}"/>
    <cellStyle name="20% - Accent4 2 5 2 2 5 2 2" xfId="20327" xr:uid="{00000000-0005-0000-0000-0000961C0000}"/>
    <cellStyle name="20% - Accent4 2 5 2 2 5 2 2 2" xfId="39727" xr:uid="{00000000-0005-0000-0000-0000971C0000}"/>
    <cellStyle name="20% - Accent4 2 5 2 2 5 2 3" xfId="30029" xr:uid="{00000000-0005-0000-0000-0000981C0000}"/>
    <cellStyle name="20% - Accent4 2 5 2 2 5 3" xfId="15872" xr:uid="{00000000-0005-0000-0000-0000991C0000}"/>
    <cellStyle name="20% - Accent4 2 5 2 2 5 3 2" xfId="35272" xr:uid="{00000000-0005-0000-0000-00009A1C0000}"/>
    <cellStyle name="20% - Accent4 2 5 2 2 5 4" xfId="25574" xr:uid="{00000000-0005-0000-0000-00009B1C0000}"/>
    <cellStyle name="20% - Accent4 2 5 2 2 6" xfId="6433" xr:uid="{00000000-0005-0000-0000-00009C1C0000}"/>
    <cellStyle name="20% - Accent4 2 5 2 2 6 2" xfId="10888" xr:uid="{00000000-0005-0000-0000-00009D1C0000}"/>
    <cellStyle name="20% - Accent4 2 5 2 2 6 2 2" xfId="20884" xr:uid="{00000000-0005-0000-0000-00009E1C0000}"/>
    <cellStyle name="20% - Accent4 2 5 2 2 6 2 2 2" xfId="40284" xr:uid="{00000000-0005-0000-0000-00009F1C0000}"/>
    <cellStyle name="20% - Accent4 2 5 2 2 6 2 3" xfId="30586" xr:uid="{00000000-0005-0000-0000-0000A01C0000}"/>
    <cellStyle name="20% - Accent4 2 5 2 2 6 3" xfId="16429" xr:uid="{00000000-0005-0000-0000-0000A11C0000}"/>
    <cellStyle name="20% - Accent4 2 5 2 2 6 3 2" xfId="35829" xr:uid="{00000000-0005-0000-0000-0000A21C0000}"/>
    <cellStyle name="20% - Accent4 2 5 2 2 6 4" xfId="26131" xr:uid="{00000000-0005-0000-0000-0000A31C0000}"/>
    <cellStyle name="20% - Accent4 2 5 2 2 7" xfId="6990" xr:uid="{00000000-0005-0000-0000-0000A41C0000}"/>
    <cellStyle name="20% - Accent4 2 5 2 2 7 2" xfId="16986" xr:uid="{00000000-0005-0000-0000-0000A51C0000}"/>
    <cellStyle name="20% - Accent4 2 5 2 2 7 2 2" xfId="36386" xr:uid="{00000000-0005-0000-0000-0000A61C0000}"/>
    <cellStyle name="20% - Accent4 2 5 2 2 7 3" xfId="26688" xr:uid="{00000000-0005-0000-0000-0000A71C0000}"/>
    <cellStyle name="20% - Accent4 2 5 2 2 8" xfId="12530" xr:uid="{00000000-0005-0000-0000-0000A81C0000}"/>
    <cellStyle name="20% - Accent4 2 5 2 2 8 2" xfId="31931" xr:uid="{00000000-0005-0000-0000-0000A91C0000}"/>
    <cellStyle name="20% - Accent4 2 5 2 2 9" xfId="22233" xr:uid="{00000000-0005-0000-0000-0000AA1C0000}"/>
    <cellStyle name="20% - Accent4 2 5 2 3" xfId="2045" xr:uid="{00000000-0005-0000-0000-0000AB1C0000}"/>
    <cellStyle name="20% - Accent4 2 5 2 3 2" xfId="3042" xr:uid="{00000000-0005-0000-0000-0000AC1C0000}"/>
    <cellStyle name="20% - Accent4 2 5 2 3 2 2" xfId="5311" xr:uid="{00000000-0005-0000-0000-0000AD1C0000}"/>
    <cellStyle name="20% - Accent4 2 5 2 3 2 2 2" xfId="9775" xr:uid="{00000000-0005-0000-0000-0000AE1C0000}"/>
    <cellStyle name="20% - Accent4 2 5 2 3 2 2 2 2" xfId="19771" xr:uid="{00000000-0005-0000-0000-0000AF1C0000}"/>
    <cellStyle name="20% - Accent4 2 5 2 3 2 2 2 2 2" xfId="39171" xr:uid="{00000000-0005-0000-0000-0000B01C0000}"/>
    <cellStyle name="20% - Accent4 2 5 2 3 2 2 2 3" xfId="29473" xr:uid="{00000000-0005-0000-0000-0000B11C0000}"/>
    <cellStyle name="20% - Accent4 2 5 2 3 2 2 3" xfId="15316" xr:uid="{00000000-0005-0000-0000-0000B21C0000}"/>
    <cellStyle name="20% - Accent4 2 5 2 3 2 2 3 2" xfId="34716" xr:uid="{00000000-0005-0000-0000-0000B31C0000}"/>
    <cellStyle name="20% - Accent4 2 5 2 3 2 2 4" xfId="25018" xr:uid="{00000000-0005-0000-0000-0000B41C0000}"/>
    <cellStyle name="20% - Accent4 2 5 2 3 2 3" xfId="7547" xr:uid="{00000000-0005-0000-0000-0000B51C0000}"/>
    <cellStyle name="20% - Accent4 2 5 2 3 2 3 2" xfId="17543" xr:uid="{00000000-0005-0000-0000-0000B61C0000}"/>
    <cellStyle name="20% - Accent4 2 5 2 3 2 3 2 2" xfId="36943" xr:uid="{00000000-0005-0000-0000-0000B71C0000}"/>
    <cellStyle name="20% - Accent4 2 5 2 3 2 3 3" xfId="27245" xr:uid="{00000000-0005-0000-0000-0000B81C0000}"/>
    <cellStyle name="20% - Accent4 2 5 2 3 2 4" xfId="13088" xr:uid="{00000000-0005-0000-0000-0000B91C0000}"/>
    <cellStyle name="20% - Accent4 2 5 2 3 2 4 2" xfId="32488" xr:uid="{00000000-0005-0000-0000-0000BA1C0000}"/>
    <cellStyle name="20% - Accent4 2 5 2 3 2 5" xfId="22790" xr:uid="{00000000-0005-0000-0000-0000BB1C0000}"/>
    <cellStyle name="20% - Accent4 2 5 2 3 3" xfId="3625" xr:uid="{00000000-0005-0000-0000-0000BC1C0000}"/>
    <cellStyle name="20% - Accent4 2 5 2 3 3 2" xfId="4755" xr:uid="{00000000-0005-0000-0000-0000BD1C0000}"/>
    <cellStyle name="20% - Accent4 2 5 2 3 3 2 2" xfId="9219" xr:uid="{00000000-0005-0000-0000-0000BE1C0000}"/>
    <cellStyle name="20% - Accent4 2 5 2 3 3 2 2 2" xfId="19215" xr:uid="{00000000-0005-0000-0000-0000BF1C0000}"/>
    <cellStyle name="20% - Accent4 2 5 2 3 3 2 2 2 2" xfId="38615" xr:uid="{00000000-0005-0000-0000-0000C01C0000}"/>
    <cellStyle name="20% - Accent4 2 5 2 3 3 2 2 3" xfId="28917" xr:uid="{00000000-0005-0000-0000-0000C11C0000}"/>
    <cellStyle name="20% - Accent4 2 5 2 3 3 2 3" xfId="14760" xr:uid="{00000000-0005-0000-0000-0000C21C0000}"/>
    <cellStyle name="20% - Accent4 2 5 2 3 3 2 3 2" xfId="34160" xr:uid="{00000000-0005-0000-0000-0000C31C0000}"/>
    <cellStyle name="20% - Accent4 2 5 2 3 3 2 4" xfId="24462" xr:uid="{00000000-0005-0000-0000-0000C41C0000}"/>
    <cellStyle name="20% - Accent4 2 5 2 3 3 3" xfId="8104" xr:uid="{00000000-0005-0000-0000-0000C51C0000}"/>
    <cellStyle name="20% - Accent4 2 5 2 3 3 3 2" xfId="18100" xr:uid="{00000000-0005-0000-0000-0000C61C0000}"/>
    <cellStyle name="20% - Accent4 2 5 2 3 3 3 2 2" xfId="37500" xr:uid="{00000000-0005-0000-0000-0000C71C0000}"/>
    <cellStyle name="20% - Accent4 2 5 2 3 3 3 3" xfId="27802" xr:uid="{00000000-0005-0000-0000-0000C81C0000}"/>
    <cellStyle name="20% - Accent4 2 5 2 3 3 4" xfId="13645" xr:uid="{00000000-0005-0000-0000-0000C91C0000}"/>
    <cellStyle name="20% - Accent4 2 5 2 3 3 4 2" xfId="33045" xr:uid="{00000000-0005-0000-0000-0000CA1C0000}"/>
    <cellStyle name="20% - Accent4 2 5 2 3 3 5" xfId="23347" xr:uid="{00000000-0005-0000-0000-0000CB1C0000}"/>
    <cellStyle name="20% - Accent4 2 5 2 3 4" xfId="4198" xr:uid="{00000000-0005-0000-0000-0000CC1C0000}"/>
    <cellStyle name="20% - Accent4 2 5 2 3 4 2" xfId="8662" xr:uid="{00000000-0005-0000-0000-0000CD1C0000}"/>
    <cellStyle name="20% - Accent4 2 5 2 3 4 2 2" xfId="18658" xr:uid="{00000000-0005-0000-0000-0000CE1C0000}"/>
    <cellStyle name="20% - Accent4 2 5 2 3 4 2 2 2" xfId="38058" xr:uid="{00000000-0005-0000-0000-0000CF1C0000}"/>
    <cellStyle name="20% - Accent4 2 5 2 3 4 2 3" xfId="28360" xr:uid="{00000000-0005-0000-0000-0000D01C0000}"/>
    <cellStyle name="20% - Accent4 2 5 2 3 4 3" xfId="14203" xr:uid="{00000000-0005-0000-0000-0000D11C0000}"/>
    <cellStyle name="20% - Accent4 2 5 2 3 4 3 2" xfId="33603" xr:uid="{00000000-0005-0000-0000-0000D21C0000}"/>
    <cellStyle name="20% - Accent4 2 5 2 3 4 4" xfId="23905" xr:uid="{00000000-0005-0000-0000-0000D31C0000}"/>
    <cellStyle name="20% - Accent4 2 5 2 3 5" xfId="5868" xr:uid="{00000000-0005-0000-0000-0000D41C0000}"/>
    <cellStyle name="20% - Accent4 2 5 2 3 5 2" xfId="10332" xr:uid="{00000000-0005-0000-0000-0000D51C0000}"/>
    <cellStyle name="20% - Accent4 2 5 2 3 5 2 2" xfId="20328" xr:uid="{00000000-0005-0000-0000-0000D61C0000}"/>
    <cellStyle name="20% - Accent4 2 5 2 3 5 2 2 2" xfId="39728" xr:uid="{00000000-0005-0000-0000-0000D71C0000}"/>
    <cellStyle name="20% - Accent4 2 5 2 3 5 2 3" xfId="30030" xr:uid="{00000000-0005-0000-0000-0000D81C0000}"/>
    <cellStyle name="20% - Accent4 2 5 2 3 5 3" xfId="15873" xr:uid="{00000000-0005-0000-0000-0000D91C0000}"/>
    <cellStyle name="20% - Accent4 2 5 2 3 5 3 2" xfId="35273" xr:uid="{00000000-0005-0000-0000-0000DA1C0000}"/>
    <cellStyle name="20% - Accent4 2 5 2 3 5 4" xfId="25575" xr:uid="{00000000-0005-0000-0000-0000DB1C0000}"/>
    <cellStyle name="20% - Accent4 2 5 2 3 6" xfId="6434" xr:uid="{00000000-0005-0000-0000-0000DC1C0000}"/>
    <cellStyle name="20% - Accent4 2 5 2 3 6 2" xfId="10889" xr:uid="{00000000-0005-0000-0000-0000DD1C0000}"/>
    <cellStyle name="20% - Accent4 2 5 2 3 6 2 2" xfId="20885" xr:uid="{00000000-0005-0000-0000-0000DE1C0000}"/>
    <cellStyle name="20% - Accent4 2 5 2 3 6 2 2 2" xfId="40285" xr:uid="{00000000-0005-0000-0000-0000DF1C0000}"/>
    <cellStyle name="20% - Accent4 2 5 2 3 6 2 3" xfId="30587" xr:uid="{00000000-0005-0000-0000-0000E01C0000}"/>
    <cellStyle name="20% - Accent4 2 5 2 3 6 3" xfId="16430" xr:uid="{00000000-0005-0000-0000-0000E11C0000}"/>
    <cellStyle name="20% - Accent4 2 5 2 3 6 3 2" xfId="35830" xr:uid="{00000000-0005-0000-0000-0000E21C0000}"/>
    <cellStyle name="20% - Accent4 2 5 2 3 6 4" xfId="26132" xr:uid="{00000000-0005-0000-0000-0000E31C0000}"/>
    <cellStyle name="20% - Accent4 2 5 2 3 7" xfId="6991" xr:uid="{00000000-0005-0000-0000-0000E41C0000}"/>
    <cellStyle name="20% - Accent4 2 5 2 3 7 2" xfId="16987" xr:uid="{00000000-0005-0000-0000-0000E51C0000}"/>
    <cellStyle name="20% - Accent4 2 5 2 3 7 2 2" xfId="36387" xr:uid="{00000000-0005-0000-0000-0000E61C0000}"/>
    <cellStyle name="20% - Accent4 2 5 2 3 7 3" xfId="26689" xr:uid="{00000000-0005-0000-0000-0000E71C0000}"/>
    <cellStyle name="20% - Accent4 2 5 2 3 8" xfId="12531" xr:uid="{00000000-0005-0000-0000-0000E81C0000}"/>
    <cellStyle name="20% - Accent4 2 5 2 3 8 2" xfId="31932" xr:uid="{00000000-0005-0000-0000-0000E91C0000}"/>
    <cellStyle name="20% - Accent4 2 5 2 3 9" xfId="22234" xr:uid="{00000000-0005-0000-0000-0000EA1C0000}"/>
    <cellStyle name="20% - Accent4 2 5 2 4" xfId="3040" xr:uid="{00000000-0005-0000-0000-0000EB1C0000}"/>
    <cellStyle name="20% - Accent4 2 5 2 4 2" xfId="5309" xr:uid="{00000000-0005-0000-0000-0000EC1C0000}"/>
    <cellStyle name="20% - Accent4 2 5 2 4 2 2" xfId="9773" xr:uid="{00000000-0005-0000-0000-0000ED1C0000}"/>
    <cellStyle name="20% - Accent4 2 5 2 4 2 2 2" xfId="19769" xr:uid="{00000000-0005-0000-0000-0000EE1C0000}"/>
    <cellStyle name="20% - Accent4 2 5 2 4 2 2 2 2" xfId="39169" xr:uid="{00000000-0005-0000-0000-0000EF1C0000}"/>
    <cellStyle name="20% - Accent4 2 5 2 4 2 2 3" xfId="29471" xr:uid="{00000000-0005-0000-0000-0000F01C0000}"/>
    <cellStyle name="20% - Accent4 2 5 2 4 2 3" xfId="15314" xr:uid="{00000000-0005-0000-0000-0000F11C0000}"/>
    <cellStyle name="20% - Accent4 2 5 2 4 2 3 2" xfId="34714" xr:uid="{00000000-0005-0000-0000-0000F21C0000}"/>
    <cellStyle name="20% - Accent4 2 5 2 4 2 4" xfId="25016" xr:uid="{00000000-0005-0000-0000-0000F31C0000}"/>
    <cellStyle name="20% - Accent4 2 5 2 4 3" xfId="7545" xr:uid="{00000000-0005-0000-0000-0000F41C0000}"/>
    <cellStyle name="20% - Accent4 2 5 2 4 3 2" xfId="17541" xr:uid="{00000000-0005-0000-0000-0000F51C0000}"/>
    <cellStyle name="20% - Accent4 2 5 2 4 3 2 2" xfId="36941" xr:uid="{00000000-0005-0000-0000-0000F61C0000}"/>
    <cellStyle name="20% - Accent4 2 5 2 4 3 3" xfId="27243" xr:uid="{00000000-0005-0000-0000-0000F71C0000}"/>
    <cellStyle name="20% - Accent4 2 5 2 4 4" xfId="13086" xr:uid="{00000000-0005-0000-0000-0000F81C0000}"/>
    <cellStyle name="20% - Accent4 2 5 2 4 4 2" xfId="32486" xr:uid="{00000000-0005-0000-0000-0000F91C0000}"/>
    <cellStyle name="20% - Accent4 2 5 2 4 5" xfId="22788" xr:uid="{00000000-0005-0000-0000-0000FA1C0000}"/>
    <cellStyle name="20% - Accent4 2 5 2 5" xfId="3623" xr:uid="{00000000-0005-0000-0000-0000FB1C0000}"/>
    <cellStyle name="20% - Accent4 2 5 2 5 2" xfId="4753" xr:uid="{00000000-0005-0000-0000-0000FC1C0000}"/>
    <cellStyle name="20% - Accent4 2 5 2 5 2 2" xfId="9217" xr:uid="{00000000-0005-0000-0000-0000FD1C0000}"/>
    <cellStyle name="20% - Accent4 2 5 2 5 2 2 2" xfId="19213" xr:uid="{00000000-0005-0000-0000-0000FE1C0000}"/>
    <cellStyle name="20% - Accent4 2 5 2 5 2 2 2 2" xfId="38613" xr:uid="{00000000-0005-0000-0000-0000FF1C0000}"/>
    <cellStyle name="20% - Accent4 2 5 2 5 2 2 3" xfId="28915" xr:uid="{00000000-0005-0000-0000-0000001D0000}"/>
    <cellStyle name="20% - Accent4 2 5 2 5 2 3" xfId="14758" xr:uid="{00000000-0005-0000-0000-0000011D0000}"/>
    <cellStyle name="20% - Accent4 2 5 2 5 2 3 2" xfId="34158" xr:uid="{00000000-0005-0000-0000-0000021D0000}"/>
    <cellStyle name="20% - Accent4 2 5 2 5 2 4" xfId="24460" xr:uid="{00000000-0005-0000-0000-0000031D0000}"/>
    <cellStyle name="20% - Accent4 2 5 2 5 3" xfId="8102" xr:uid="{00000000-0005-0000-0000-0000041D0000}"/>
    <cellStyle name="20% - Accent4 2 5 2 5 3 2" xfId="18098" xr:uid="{00000000-0005-0000-0000-0000051D0000}"/>
    <cellStyle name="20% - Accent4 2 5 2 5 3 2 2" xfId="37498" xr:uid="{00000000-0005-0000-0000-0000061D0000}"/>
    <cellStyle name="20% - Accent4 2 5 2 5 3 3" xfId="27800" xr:uid="{00000000-0005-0000-0000-0000071D0000}"/>
    <cellStyle name="20% - Accent4 2 5 2 5 4" xfId="13643" xr:uid="{00000000-0005-0000-0000-0000081D0000}"/>
    <cellStyle name="20% - Accent4 2 5 2 5 4 2" xfId="33043" xr:uid="{00000000-0005-0000-0000-0000091D0000}"/>
    <cellStyle name="20% - Accent4 2 5 2 5 5" xfId="23345" xr:uid="{00000000-0005-0000-0000-00000A1D0000}"/>
    <cellStyle name="20% - Accent4 2 5 2 6" xfId="4196" xr:uid="{00000000-0005-0000-0000-00000B1D0000}"/>
    <cellStyle name="20% - Accent4 2 5 2 6 2" xfId="8660" xr:uid="{00000000-0005-0000-0000-00000C1D0000}"/>
    <cellStyle name="20% - Accent4 2 5 2 6 2 2" xfId="18656" xr:uid="{00000000-0005-0000-0000-00000D1D0000}"/>
    <cellStyle name="20% - Accent4 2 5 2 6 2 2 2" xfId="38056" xr:uid="{00000000-0005-0000-0000-00000E1D0000}"/>
    <cellStyle name="20% - Accent4 2 5 2 6 2 3" xfId="28358" xr:uid="{00000000-0005-0000-0000-00000F1D0000}"/>
    <cellStyle name="20% - Accent4 2 5 2 6 3" xfId="14201" xr:uid="{00000000-0005-0000-0000-0000101D0000}"/>
    <cellStyle name="20% - Accent4 2 5 2 6 3 2" xfId="33601" xr:uid="{00000000-0005-0000-0000-0000111D0000}"/>
    <cellStyle name="20% - Accent4 2 5 2 6 4" xfId="23903" xr:uid="{00000000-0005-0000-0000-0000121D0000}"/>
    <cellStyle name="20% - Accent4 2 5 2 7" xfId="5866" xr:uid="{00000000-0005-0000-0000-0000131D0000}"/>
    <cellStyle name="20% - Accent4 2 5 2 7 2" xfId="10330" xr:uid="{00000000-0005-0000-0000-0000141D0000}"/>
    <cellStyle name="20% - Accent4 2 5 2 7 2 2" xfId="20326" xr:uid="{00000000-0005-0000-0000-0000151D0000}"/>
    <cellStyle name="20% - Accent4 2 5 2 7 2 2 2" xfId="39726" xr:uid="{00000000-0005-0000-0000-0000161D0000}"/>
    <cellStyle name="20% - Accent4 2 5 2 7 2 3" xfId="30028" xr:uid="{00000000-0005-0000-0000-0000171D0000}"/>
    <cellStyle name="20% - Accent4 2 5 2 7 3" xfId="15871" xr:uid="{00000000-0005-0000-0000-0000181D0000}"/>
    <cellStyle name="20% - Accent4 2 5 2 7 3 2" xfId="35271" xr:uid="{00000000-0005-0000-0000-0000191D0000}"/>
    <cellStyle name="20% - Accent4 2 5 2 7 4" xfId="25573" xr:uid="{00000000-0005-0000-0000-00001A1D0000}"/>
    <cellStyle name="20% - Accent4 2 5 2 8" xfId="6432" xr:uid="{00000000-0005-0000-0000-00001B1D0000}"/>
    <cellStyle name="20% - Accent4 2 5 2 8 2" xfId="10887" xr:uid="{00000000-0005-0000-0000-00001C1D0000}"/>
    <cellStyle name="20% - Accent4 2 5 2 8 2 2" xfId="20883" xr:uid="{00000000-0005-0000-0000-00001D1D0000}"/>
    <cellStyle name="20% - Accent4 2 5 2 8 2 2 2" xfId="40283" xr:uid="{00000000-0005-0000-0000-00001E1D0000}"/>
    <cellStyle name="20% - Accent4 2 5 2 8 2 3" xfId="30585" xr:uid="{00000000-0005-0000-0000-00001F1D0000}"/>
    <cellStyle name="20% - Accent4 2 5 2 8 3" xfId="16428" xr:uid="{00000000-0005-0000-0000-0000201D0000}"/>
    <cellStyle name="20% - Accent4 2 5 2 8 3 2" xfId="35828" xr:uid="{00000000-0005-0000-0000-0000211D0000}"/>
    <cellStyle name="20% - Accent4 2 5 2 8 4" xfId="26130" xr:uid="{00000000-0005-0000-0000-0000221D0000}"/>
    <cellStyle name="20% - Accent4 2 5 2 9" xfId="6989" xr:uid="{00000000-0005-0000-0000-0000231D0000}"/>
    <cellStyle name="20% - Accent4 2 5 2 9 2" xfId="16985" xr:uid="{00000000-0005-0000-0000-0000241D0000}"/>
    <cellStyle name="20% - Accent4 2 5 2 9 2 2" xfId="36385" xr:uid="{00000000-0005-0000-0000-0000251D0000}"/>
    <cellStyle name="20% - Accent4 2 5 2 9 3" xfId="26687" xr:uid="{00000000-0005-0000-0000-0000261D0000}"/>
    <cellStyle name="20% - Accent4 2 5 3" xfId="2046" xr:uid="{00000000-0005-0000-0000-0000271D0000}"/>
    <cellStyle name="20% - Accent4 2 5 3 2" xfId="3043" xr:uid="{00000000-0005-0000-0000-0000281D0000}"/>
    <cellStyle name="20% - Accent4 2 5 3 2 2" xfId="5312" xr:uid="{00000000-0005-0000-0000-0000291D0000}"/>
    <cellStyle name="20% - Accent4 2 5 3 2 2 2" xfId="9776" xr:uid="{00000000-0005-0000-0000-00002A1D0000}"/>
    <cellStyle name="20% - Accent4 2 5 3 2 2 2 2" xfId="19772" xr:uid="{00000000-0005-0000-0000-00002B1D0000}"/>
    <cellStyle name="20% - Accent4 2 5 3 2 2 2 2 2" xfId="39172" xr:uid="{00000000-0005-0000-0000-00002C1D0000}"/>
    <cellStyle name="20% - Accent4 2 5 3 2 2 2 3" xfId="29474" xr:uid="{00000000-0005-0000-0000-00002D1D0000}"/>
    <cellStyle name="20% - Accent4 2 5 3 2 2 3" xfId="15317" xr:uid="{00000000-0005-0000-0000-00002E1D0000}"/>
    <cellStyle name="20% - Accent4 2 5 3 2 2 3 2" xfId="34717" xr:uid="{00000000-0005-0000-0000-00002F1D0000}"/>
    <cellStyle name="20% - Accent4 2 5 3 2 2 4" xfId="25019" xr:uid="{00000000-0005-0000-0000-0000301D0000}"/>
    <cellStyle name="20% - Accent4 2 5 3 2 3" xfId="7548" xr:uid="{00000000-0005-0000-0000-0000311D0000}"/>
    <cellStyle name="20% - Accent4 2 5 3 2 3 2" xfId="17544" xr:uid="{00000000-0005-0000-0000-0000321D0000}"/>
    <cellStyle name="20% - Accent4 2 5 3 2 3 2 2" xfId="36944" xr:uid="{00000000-0005-0000-0000-0000331D0000}"/>
    <cellStyle name="20% - Accent4 2 5 3 2 3 3" xfId="27246" xr:uid="{00000000-0005-0000-0000-0000341D0000}"/>
    <cellStyle name="20% - Accent4 2 5 3 2 4" xfId="13089" xr:uid="{00000000-0005-0000-0000-0000351D0000}"/>
    <cellStyle name="20% - Accent4 2 5 3 2 4 2" xfId="32489" xr:uid="{00000000-0005-0000-0000-0000361D0000}"/>
    <cellStyle name="20% - Accent4 2 5 3 2 5" xfId="22791" xr:uid="{00000000-0005-0000-0000-0000371D0000}"/>
    <cellStyle name="20% - Accent4 2 5 3 3" xfId="3626" xr:uid="{00000000-0005-0000-0000-0000381D0000}"/>
    <cellStyle name="20% - Accent4 2 5 3 3 2" xfId="4756" xr:uid="{00000000-0005-0000-0000-0000391D0000}"/>
    <cellStyle name="20% - Accent4 2 5 3 3 2 2" xfId="9220" xr:uid="{00000000-0005-0000-0000-00003A1D0000}"/>
    <cellStyle name="20% - Accent4 2 5 3 3 2 2 2" xfId="19216" xr:uid="{00000000-0005-0000-0000-00003B1D0000}"/>
    <cellStyle name="20% - Accent4 2 5 3 3 2 2 2 2" xfId="38616" xr:uid="{00000000-0005-0000-0000-00003C1D0000}"/>
    <cellStyle name="20% - Accent4 2 5 3 3 2 2 3" xfId="28918" xr:uid="{00000000-0005-0000-0000-00003D1D0000}"/>
    <cellStyle name="20% - Accent4 2 5 3 3 2 3" xfId="14761" xr:uid="{00000000-0005-0000-0000-00003E1D0000}"/>
    <cellStyle name="20% - Accent4 2 5 3 3 2 3 2" xfId="34161" xr:uid="{00000000-0005-0000-0000-00003F1D0000}"/>
    <cellStyle name="20% - Accent4 2 5 3 3 2 4" xfId="24463" xr:uid="{00000000-0005-0000-0000-0000401D0000}"/>
    <cellStyle name="20% - Accent4 2 5 3 3 3" xfId="8105" xr:uid="{00000000-0005-0000-0000-0000411D0000}"/>
    <cellStyle name="20% - Accent4 2 5 3 3 3 2" xfId="18101" xr:uid="{00000000-0005-0000-0000-0000421D0000}"/>
    <cellStyle name="20% - Accent4 2 5 3 3 3 2 2" xfId="37501" xr:uid="{00000000-0005-0000-0000-0000431D0000}"/>
    <cellStyle name="20% - Accent4 2 5 3 3 3 3" xfId="27803" xr:uid="{00000000-0005-0000-0000-0000441D0000}"/>
    <cellStyle name="20% - Accent4 2 5 3 3 4" xfId="13646" xr:uid="{00000000-0005-0000-0000-0000451D0000}"/>
    <cellStyle name="20% - Accent4 2 5 3 3 4 2" xfId="33046" xr:uid="{00000000-0005-0000-0000-0000461D0000}"/>
    <cellStyle name="20% - Accent4 2 5 3 3 5" xfId="23348" xr:uid="{00000000-0005-0000-0000-0000471D0000}"/>
    <cellStyle name="20% - Accent4 2 5 3 4" xfId="4199" xr:uid="{00000000-0005-0000-0000-0000481D0000}"/>
    <cellStyle name="20% - Accent4 2 5 3 4 2" xfId="8663" xr:uid="{00000000-0005-0000-0000-0000491D0000}"/>
    <cellStyle name="20% - Accent4 2 5 3 4 2 2" xfId="18659" xr:uid="{00000000-0005-0000-0000-00004A1D0000}"/>
    <cellStyle name="20% - Accent4 2 5 3 4 2 2 2" xfId="38059" xr:uid="{00000000-0005-0000-0000-00004B1D0000}"/>
    <cellStyle name="20% - Accent4 2 5 3 4 2 3" xfId="28361" xr:uid="{00000000-0005-0000-0000-00004C1D0000}"/>
    <cellStyle name="20% - Accent4 2 5 3 4 3" xfId="14204" xr:uid="{00000000-0005-0000-0000-00004D1D0000}"/>
    <cellStyle name="20% - Accent4 2 5 3 4 3 2" xfId="33604" xr:uid="{00000000-0005-0000-0000-00004E1D0000}"/>
    <cellStyle name="20% - Accent4 2 5 3 4 4" xfId="23906" xr:uid="{00000000-0005-0000-0000-00004F1D0000}"/>
    <cellStyle name="20% - Accent4 2 5 3 5" xfId="5869" xr:uid="{00000000-0005-0000-0000-0000501D0000}"/>
    <cellStyle name="20% - Accent4 2 5 3 5 2" xfId="10333" xr:uid="{00000000-0005-0000-0000-0000511D0000}"/>
    <cellStyle name="20% - Accent4 2 5 3 5 2 2" xfId="20329" xr:uid="{00000000-0005-0000-0000-0000521D0000}"/>
    <cellStyle name="20% - Accent4 2 5 3 5 2 2 2" xfId="39729" xr:uid="{00000000-0005-0000-0000-0000531D0000}"/>
    <cellStyle name="20% - Accent4 2 5 3 5 2 3" xfId="30031" xr:uid="{00000000-0005-0000-0000-0000541D0000}"/>
    <cellStyle name="20% - Accent4 2 5 3 5 3" xfId="15874" xr:uid="{00000000-0005-0000-0000-0000551D0000}"/>
    <cellStyle name="20% - Accent4 2 5 3 5 3 2" xfId="35274" xr:uid="{00000000-0005-0000-0000-0000561D0000}"/>
    <cellStyle name="20% - Accent4 2 5 3 5 4" xfId="25576" xr:uid="{00000000-0005-0000-0000-0000571D0000}"/>
    <cellStyle name="20% - Accent4 2 5 3 6" xfId="6435" xr:uid="{00000000-0005-0000-0000-0000581D0000}"/>
    <cellStyle name="20% - Accent4 2 5 3 6 2" xfId="10890" xr:uid="{00000000-0005-0000-0000-0000591D0000}"/>
    <cellStyle name="20% - Accent4 2 5 3 6 2 2" xfId="20886" xr:uid="{00000000-0005-0000-0000-00005A1D0000}"/>
    <cellStyle name="20% - Accent4 2 5 3 6 2 2 2" xfId="40286" xr:uid="{00000000-0005-0000-0000-00005B1D0000}"/>
    <cellStyle name="20% - Accent4 2 5 3 6 2 3" xfId="30588" xr:uid="{00000000-0005-0000-0000-00005C1D0000}"/>
    <cellStyle name="20% - Accent4 2 5 3 6 3" xfId="16431" xr:uid="{00000000-0005-0000-0000-00005D1D0000}"/>
    <cellStyle name="20% - Accent4 2 5 3 6 3 2" xfId="35831" xr:uid="{00000000-0005-0000-0000-00005E1D0000}"/>
    <cellStyle name="20% - Accent4 2 5 3 6 4" xfId="26133" xr:uid="{00000000-0005-0000-0000-00005F1D0000}"/>
    <cellStyle name="20% - Accent4 2 5 3 7" xfId="6992" xr:uid="{00000000-0005-0000-0000-0000601D0000}"/>
    <cellStyle name="20% - Accent4 2 5 3 7 2" xfId="16988" xr:uid="{00000000-0005-0000-0000-0000611D0000}"/>
    <cellStyle name="20% - Accent4 2 5 3 7 2 2" xfId="36388" xr:uid="{00000000-0005-0000-0000-0000621D0000}"/>
    <cellStyle name="20% - Accent4 2 5 3 7 3" xfId="26690" xr:uid="{00000000-0005-0000-0000-0000631D0000}"/>
    <cellStyle name="20% - Accent4 2 5 3 8" xfId="12532" xr:uid="{00000000-0005-0000-0000-0000641D0000}"/>
    <cellStyle name="20% - Accent4 2 5 3 8 2" xfId="31933" xr:uid="{00000000-0005-0000-0000-0000651D0000}"/>
    <cellStyle name="20% - Accent4 2 5 3 9" xfId="22235" xr:uid="{00000000-0005-0000-0000-0000661D0000}"/>
    <cellStyle name="20% - Accent4 2 5 4" xfId="2047" xr:uid="{00000000-0005-0000-0000-0000671D0000}"/>
    <cellStyle name="20% - Accent4 2 5 4 2" xfId="3044" xr:uid="{00000000-0005-0000-0000-0000681D0000}"/>
    <cellStyle name="20% - Accent4 2 5 4 2 2" xfId="5313" xr:uid="{00000000-0005-0000-0000-0000691D0000}"/>
    <cellStyle name="20% - Accent4 2 5 4 2 2 2" xfId="9777" xr:uid="{00000000-0005-0000-0000-00006A1D0000}"/>
    <cellStyle name="20% - Accent4 2 5 4 2 2 2 2" xfId="19773" xr:uid="{00000000-0005-0000-0000-00006B1D0000}"/>
    <cellStyle name="20% - Accent4 2 5 4 2 2 2 2 2" xfId="39173" xr:uid="{00000000-0005-0000-0000-00006C1D0000}"/>
    <cellStyle name="20% - Accent4 2 5 4 2 2 2 3" xfId="29475" xr:uid="{00000000-0005-0000-0000-00006D1D0000}"/>
    <cellStyle name="20% - Accent4 2 5 4 2 2 3" xfId="15318" xr:uid="{00000000-0005-0000-0000-00006E1D0000}"/>
    <cellStyle name="20% - Accent4 2 5 4 2 2 3 2" xfId="34718" xr:uid="{00000000-0005-0000-0000-00006F1D0000}"/>
    <cellStyle name="20% - Accent4 2 5 4 2 2 4" xfId="25020" xr:uid="{00000000-0005-0000-0000-0000701D0000}"/>
    <cellStyle name="20% - Accent4 2 5 4 2 3" xfId="7549" xr:uid="{00000000-0005-0000-0000-0000711D0000}"/>
    <cellStyle name="20% - Accent4 2 5 4 2 3 2" xfId="17545" xr:uid="{00000000-0005-0000-0000-0000721D0000}"/>
    <cellStyle name="20% - Accent4 2 5 4 2 3 2 2" xfId="36945" xr:uid="{00000000-0005-0000-0000-0000731D0000}"/>
    <cellStyle name="20% - Accent4 2 5 4 2 3 3" xfId="27247" xr:uid="{00000000-0005-0000-0000-0000741D0000}"/>
    <cellStyle name="20% - Accent4 2 5 4 2 4" xfId="13090" xr:uid="{00000000-0005-0000-0000-0000751D0000}"/>
    <cellStyle name="20% - Accent4 2 5 4 2 4 2" xfId="32490" xr:uid="{00000000-0005-0000-0000-0000761D0000}"/>
    <cellStyle name="20% - Accent4 2 5 4 2 5" xfId="22792" xr:uid="{00000000-0005-0000-0000-0000771D0000}"/>
    <cellStyle name="20% - Accent4 2 5 4 3" xfId="3627" xr:uid="{00000000-0005-0000-0000-0000781D0000}"/>
    <cellStyle name="20% - Accent4 2 5 4 3 2" xfId="4757" xr:uid="{00000000-0005-0000-0000-0000791D0000}"/>
    <cellStyle name="20% - Accent4 2 5 4 3 2 2" xfId="9221" xr:uid="{00000000-0005-0000-0000-00007A1D0000}"/>
    <cellStyle name="20% - Accent4 2 5 4 3 2 2 2" xfId="19217" xr:uid="{00000000-0005-0000-0000-00007B1D0000}"/>
    <cellStyle name="20% - Accent4 2 5 4 3 2 2 2 2" xfId="38617" xr:uid="{00000000-0005-0000-0000-00007C1D0000}"/>
    <cellStyle name="20% - Accent4 2 5 4 3 2 2 3" xfId="28919" xr:uid="{00000000-0005-0000-0000-00007D1D0000}"/>
    <cellStyle name="20% - Accent4 2 5 4 3 2 3" xfId="14762" xr:uid="{00000000-0005-0000-0000-00007E1D0000}"/>
    <cellStyle name="20% - Accent4 2 5 4 3 2 3 2" xfId="34162" xr:uid="{00000000-0005-0000-0000-00007F1D0000}"/>
    <cellStyle name="20% - Accent4 2 5 4 3 2 4" xfId="24464" xr:uid="{00000000-0005-0000-0000-0000801D0000}"/>
    <cellStyle name="20% - Accent4 2 5 4 3 3" xfId="8106" xr:uid="{00000000-0005-0000-0000-0000811D0000}"/>
    <cellStyle name="20% - Accent4 2 5 4 3 3 2" xfId="18102" xr:uid="{00000000-0005-0000-0000-0000821D0000}"/>
    <cellStyle name="20% - Accent4 2 5 4 3 3 2 2" xfId="37502" xr:uid="{00000000-0005-0000-0000-0000831D0000}"/>
    <cellStyle name="20% - Accent4 2 5 4 3 3 3" xfId="27804" xr:uid="{00000000-0005-0000-0000-0000841D0000}"/>
    <cellStyle name="20% - Accent4 2 5 4 3 4" xfId="13647" xr:uid="{00000000-0005-0000-0000-0000851D0000}"/>
    <cellStyle name="20% - Accent4 2 5 4 3 4 2" xfId="33047" xr:uid="{00000000-0005-0000-0000-0000861D0000}"/>
    <cellStyle name="20% - Accent4 2 5 4 3 5" xfId="23349" xr:uid="{00000000-0005-0000-0000-0000871D0000}"/>
    <cellStyle name="20% - Accent4 2 5 4 4" xfId="4200" xr:uid="{00000000-0005-0000-0000-0000881D0000}"/>
    <cellStyle name="20% - Accent4 2 5 4 4 2" xfId="8664" xr:uid="{00000000-0005-0000-0000-0000891D0000}"/>
    <cellStyle name="20% - Accent4 2 5 4 4 2 2" xfId="18660" xr:uid="{00000000-0005-0000-0000-00008A1D0000}"/>
    <cellStyle name="20% - Accent4 2 5 4 4 2 2 2" xfId="38060" xr:uid="{00000000-0005-0000-0000-00008B1D0000}"/>
    <cellStyle name="20% - Accent4 2 5 4 4 2 3" xfId="28362" xr:uid="{00000000-0005-0000-0000-00008C1D0000}"/>
    <cellStyle name="20% - Accent4 2 5 4 4 3" xfId="14205" xr:uid="{00000000-0005-0000-0000-00008D1D0000}"/>
    <cellStyle name="20% - Accent4 2 5 4 4 3 2" xfId="33605" xr:uid="{00000000-0005-0000-0000-00008E1D0000}"/>
    <cellStyle name="20% - Accent4 2 5 4 4 4" xfId="23907" xr:uid="{00000000-0005-0000-0000-00008F1D0000}"/>
    <cellStyle name="20% - Accent4 2 5 4 5" xfId="5870" xr:uid="{00000000-0005-0000-0000-0000901D0000}"/>
    <cellStyle name="20% - Accent4 2 5 4 5 2" xfId="10334" xr:uid="{00000000-0005-0000-0000-0000911D0000}"/>
    <cellStyle name="20% - Accent4 2 5 4 5 2 2" xfId="20330" xr:uid="{00000000-0005-0000-0000-0000921D0000}"/>
    <cellStyle name="20% - Accent4 2 5 4 5 2 2 2" xfId="39730" xr:uid="{00000000-0005-0000-0000-0000931D0000}"/>
    <cellStyle name="20% - Accent4 2 5 4 5 2 3" xfId="30032" xr:uid="{00000000-0005-0000-0000-0000941D0000}"/>
    <cellStyle name="20% - Accent4 2 5 4 5 3" xfId="15875" xr:uid="{00000000-0005-0000-0000-0000951D0000}"/>
    <cellStyle name="20% - Accent4 2 5 4 5 3 2" xfId="35275" xr:uid="{00000000-0005-0000-0000-0000961D0000}"/>
    <cellStyle name="20% - Accent4 2 5 4 5 4" xfId="25577" xr:uid="{00000000-0005-0000-0000-0000971D0000}"/>
    <cellStyle name="20% - Accent4 2 5 4 6" xfId="6436" xr:uid="{00000000-0005-0000-0000-0000981D0000}"/>
    <cellStyle name="20% - Accent4 2 5 4 6 2" xfId="10891" xr:uid="{00000000-0005-0000-0000-0000991D0000}"/>
    <cellStyle name="20% - Accent4 2 5 4 6 2 2" xfId="20887" xr:uid="{00000000-0005-0000-0000-00009A1D0000}"/>
    <cellStyle name="20% - Accent4 2 5 4 6 2 2 2" xfId="40287" xr:uid="{00000000-0005-0000-0000-00009B1D0000}"/>
    <cellStyle name="20% - Accent4 2 5 4 6 2 3" xfId="30589" xr:uid="{00000000-0005-0000-0000-00009C1D0000}"/>
    <cellStyle name="20% - Accent4 2 5 4 6 3" xfId="16432" xr:uid="{00000000-0005-0000-0000-00009D1D0000}"/>
    <cellStyle name="20% - Accent4 2 5 4 6 3 2" xfId="35832" xr:uid="{00000000-0005-0000-0000-00009E1D0000}"/>
    <cellStyle name="20% - Accent4 2 5 4 6 4" xfId="26134" xr:uid="{00000000-0005-0000-0000-00009F1D0000}"/>
    <cellStyle name="20% - Accent4 2 5 4 7" xfId="6993" xr:uid="{00000000-0005-0000-0000-0000A01D0000}"/>
    <cellStyle name="20% - Accent4 2 5 4 7 2" xfId="16989" xr:uid="{00000000-0005-0000-0000-0000A11D0000}"/>
    <cellStyle name="20% - Accent4 2 5 4 7 2 2" xfId="36389" xr:uid="{00000000-0005-0000-0000-0000A21D0000}"/>
    <cellStyle name="20% - Accent4 2 5 4 7 3" xfId="26691" xr:uid="{00000000-0005-0000-0000-0000A31D0000}"/>
    <cellStyle name="20% - Accent4 2 5 4 8" xfId="12533" xr:uid="{00000000-0005-0000-0000-0000A41D0000}"/>
    <cellStyle name="20% - Accent4 2 5 4 8 2" xfId="31934" xr:uid="{00000000-0005-0000-0000-0000A51D0000}"/>
    <cellStyle name="20% - Accent4 2 5 4 9" xfId="22236" xr:uid="{00000000-0005-0000-0000-0000A61D0000}"/>
    <cellStyle name="20% - Accent4 2 6" xfId="1170" xr:uid="{00000000-0005-0000-0000-0000A71D0000}"/>
    <cellStyle name="20% - Accent4 2 6 2" xfId="2048" xr:uid="{00000000-0005-0000-0000-0000A81D0000}"/>
    <cellStyle name="20% - Accent4 2 6 2 2" xfId="3045" xr:uid="{00000000-0005-0000-0000-0000A91D0000}"/>
    <cellStyle name="20% - Accent4 2 6 2 2 2" xfId="5314" xr:uid="{00000000-0005-0000-0000-0000AA1D0000}"/>
    <cellStyle name="20% - Accent4 2 6 2 2 2 2" xfId="9778" xr:uid="{00000000-0005-0000-0000-0000AB1D0000}"/>
    <cellStyle name="20% - Accent4 2 6 2 2 2 2 2" xfId="19774" xr:uid="{00000000-0005-0000-0000-0000AC1D0000}"/>
    <cellStyle name="20% - Accent4 2 6 2 2 2 2 2 2" xfId="39174" xr:uid="{00000000-0005-0000-0000-0000AD1D0000}"/>
    <cellStyle name="20% - Accent4 2 6 2 2 2 2 3" xfId="29476" xr:uid="{00000000-0005-0000-0000-0000AE1D0000}"/>
    <cellStyle name="20% - Accent4 2 6 2 2 2 3" xfId="15319" xr:uid="{00000000-0005-0000-0000-0000AF1D0000}"/>
    <cellStyle name="20% - Accent4 2 6 2 2 2 3 2" xfId="34719" xr:uid="{00000000-0005-0000-0000-0000B01D0000}"/>
    <cellStyle name="20% - Accent4 2 6 2 2 2 4" xfId="25021" xr:uid="{00000000-0005-0000-0000-0000B11D0000}"/>
    <cellStyle name="20% - Accent4 2 6 2 2 3" xfId="7550" xr:uid="{00000000-0005-0000-0000-0000B21D0000}"/>
    <cellStyle name="20% - Accent4 2 6 2 2 3 2" xfId="17546" xr:uid="{00000000-0005-0000-0000-0000B31D0000}"/>
    <cellStyle name="20% - Accent4 2 6 2 2 3 2 2" xfId="36946" xr:uid="{00000000-0005-0000-0000-0000B41D0000}"/>
    <cellStyle name="20% - Accent4 2 6 2 2 3 3" xfId="27248" xr:uid="{00000000-0005-0000-0000-0000B51D0000}"/>
    <cellStyle name="20% - Accent4 2 6 2 2 4" xfId="13091" xr:uid="{00000000-0005-0000-0000-0000B61D0000}"/>
    <cellStyle name="20% - Accent4 2 6 2 2 4 2" xfId="32491" xr:uid="{00000000-0005-0000-0000-0000B71D0000}"/>
    <cellStyle name="20% - Accent4 2 6 2 2 5" xfId="22793" xr:uid="{00000000-0005-0000-0000-0000B81D0000}"/>
    <cellStyle name="20% - Accent4 2 6 2 3" xfId="3628" xr:uid="{00000000-0005-0000-0000-0000B91D0000}"/>
    <cellStyle name="20% - Accent4 2 6 2 3 2" xfId="4758" xr:uid="{00000000-0005-0000-0000-0000BA1D0000}"/>
    <cellStyle name="20% - Accent4 2 6 2 3 2 2" xfId="9222" xr:uid="{00000000-0005-0000-0000-0000BB1D0000}"/>
    <cellStyle name="20% - Accent4 2 6 2 3 2 2 2" xfId="19218" xr:uid="{00000000-0005-0000-0000-0000BC1D0000}"/>
    <cellStyle name="20% - Accent4 2 6 2 3 2 2 2 2" xfId="38618" xr:uid="{00000000-0005-0000-0000-0000BD1D0000}"/>
    <cellStyle name="20% - Accent4 2 6 2 3 2 2 3" xfId="28920" xr:uid="{00000000-0005-0000-0000-0000BE1D0000}"/>
    <cellStyle name="20% - Accent4 2 6 2 3 2 3" xfId="14763" xr:uid="{00000000-0005-0000-0000-0000BF1D0000}"/>
    <cellStyle name="20% - Accent4 2 6 2 3 2 3 2" xfId="34163" xr:uid="{00000000-0005-0000-0000-0000C01D0000}"/>
    <cellStyle name="20% - Accent4 2 6 2 3 2 4" xfId="24465" xr:uid="{00000000-0005-0000-0000-0000C11D0000}"/>
    <cellStyle name="20% - Accent4 2 6 2 3 3" xfId="8107" xr:uid="{00000000-0005-0000-0000-0000C21D0000}"/>
    <cellStyle name="20% - Accent4 2 6 2 3 3 2" xfId="18103" xr:uid="{00000000-0005-0000-0000-0000C31D0000}"/>
    <cellStyle name="20% - Accent4 2 6 2 3 3 2 2" xfId="37503" xr:uid="{00000000-0005-0000-0000-0000C41D0000}"/>
    <cellStyle name="20% - Accent4 2 6 2 3 3 3" xfId="27805" xr:uid="{00000000-0005-0000-0000-0000C51D0000}"/>
    <cellStyle name="20% - Accent4 2 6 2 3 4" xfId="13648" xr:uid="{00000000-0005-0000-0000-0000C61D0000}"/>
    <cellStyle name="20% - Accent4 2 6 2 3 4 2" xfId="33048" xr:uid="{00000000-0005-0000-0000-0000C71D0000}"/>
    <cellStyle name="20% - Accent4 2 6 2 3 5" xfId="23350" xr:uid="{00000000-0005-0000-0000-0000C81D0000}"/>
    <cellStyle name="20% - Accent4 2 6 2 4" xfId="4201" xr:uid="{00000000-0005-0000-0000-0000C91D0000}"/>
    <cellStyle name="20% - Accent4 2 6 2 4 2" xfId="8665" xr:uid="{00000000-0005-0000-0000-0000CA1D0000}"/>
    <cellStyle name="20% - Accent4 2 6 2 4 2 2" xfId="18661" xr:uid="{00000000-0005-0000-0000-0000CB1D0000}"/>
    <cellStyle name="20% - Accent4 2 6 2 4 2 2 2" xfId="38061" xr:uid="{00000000-0005-0000-0000-0000CC1D0000}"/>
    <cellStyle name="20% - Accent4 2 6 2 4 2 3" xfId="28363" xr:uid="{00000000-0005-0000-0000-0000CD1D0000}"/>
    <cellStyle name="20% - Accent4 2 6 2 4 3" xfId="14206" xr:uid="{00000000-0005-0000-0000-0000CE1D0000}"/>
    <cellStyle name="20% - Accent4 2 6 2 4 3 2" xfId="33606" xr:uid="{00000000-0005-0000-0000-0000CF1D0000}"/>
    <cellStyle name="20% - Accent4 2 6 2 4 4" xfId="23908" xr:uid="{00000000-0005-0000-0000-0000D01D0000}"/>
    <cellStyle name="20% - Accent4 2 6 2 5" xfId="5871" xr:uid="{00000000-0005-0000-0000-0000D11D0000}"/>
    <cellStyle name="20% - Accent4 2 6 2 5 2" xfId="10335" xr:uid="{00000000-0005-0000-0000-0000D21D0000}"/>
    <cellStyle name="20% - Accent4 2 6 2 5 2 2" xfId="20331" xr:uid="{00000000-0005-0000-0000-0000D31D0000}"/>
    <cellStyle name="20% - Accent4 2 6 2 5 2 2 2" xfId="39731" xr:uid="{00000000-0005-0000-0000-0000D41D0000}"/>
    <cellStyle name="20% - Accent4 2 6 2 5 2 3" xfId="30033" xr:uid="{00000000-0005-0000-0000-0000D51D0000}"/>
    <cellStyle name="20% - Accent4 2 6 2 5 3" xfId="15876" xr:uid="{00000000-0005-0000-0000-0000D61D0000}"/>
    <cellStyle name="20% - Accent4 2 6 2 5 3 2" xfId="35276" xr:uid="{00000000-0005-0000-0000-0000D71D0000}"/>
    <cellStyle name="20% - Accent4 2 6 2 5 4" xfId="25578" xr:uid="{00000000-0005-0000-0000-0000D81D0000}"/>
    <cellStyle name="20% - Accent4 2 6 2 6" xfId="6437" xr:uid="{00000000-0005-0000-0000-0000D91D0000}"/>
    <cellStyle name="20% - Accent4 2 6 2 6 2" xfId="10892" xr:uid="{00000000-0005-0000-0000-0000DA1D0000}"/>
    <cellStyle name="20% - Accent4 2 6 2 6 2 2" xfId="20888" xr:uid="{00000000-0005-0000-0000-0000DB1D0000}"/>
    <cellStyle name="20% - Accent4 2 6 2 6 2 2 2" xfId="40288" xr:uid="{00000000-0005-0000-0000-0000DC1D0000}"/>
    <cellStyle name="20% - Accent4 2 6 2 6 2 3" xfId="30590" xr:uid="{00000000-0005-0000-0000-0000DD1D0000}"/>
    <cellStyle name="20% - Accent4 2 6 2 6 3" xfId="16433" xr:uid="{00000000-0005-0000-0000-0000DE1D0000}"/>
    <cellStyle name="20% - Accent4 2 6 2 6 3 2" xfId="35833" xr:uid="{00000000-0005-0000-0000-0000DF1D0000}"/>
    <cellStyle name="20% - Accent4 2 6 2 6 4" xfId="26135" xr:uid="{00000000-0005-0000-0000-0000E01D0000}"/>
    <cellStyle name="20% - Accent4 2 6 2 7" xfId="6994" xr:uid="{00000000-0005-0000-0000-0000E11D0000}"/>
    <cellStyle name="20% - Accent4 2 6 2 7 2" xfId="16990" xr:uid="{00000000-0005-0000-0000-0000E21D0000}"/>
    <cellStyle name="20% - Accent4 2 6 2 7 2 2" xfId="36390" xr:uid="{00000000-0005-0000-0000-0000E31D0000}"/>
    <cellStyle name="20% - Accent4 2 6 2 7 3" xfId="26692" xr:uid="{00000000-0005-0000-0000-0000E41D0000}"/>
    <cellStyle name="20% - Accent4 2 6 2 8" xfId="12534" xr:uid="{00000000-0005-0000-0000-0000E51D0000}"/>
    <cellStyle name="20% - Accent4 2 6 2 8 2" xfId="31935" xr:uid="{00000000-0005-0000-0000-0000E61D0000}"/>
    <cellStyle name="20% - Accent4 2 6 2 9" xfId="22237" xr:uid="{00000000-0005-0000-0000-0000E71D0000}"/>
    <cellStyle name="20% - Accent4 2 6 3" xfId="2049" xr:uid="{00000000-0005-0000-0000-0000E81D0000}"/>
    <cellStyle name="20% - Accent4 2 6 3 2" xfId="3046" xr:uid="{00000000-0005-0000-0000-0000E91D0000}"/>
    <cellStyle name="20% - Accent4 2 6 3 2 2" xfId="5315" xr:uid="{00000000-0005-0000-0000-0000EA1D0000}"/>
    <cellStyle name="20% - Accent4 2 6 3 2 2 2" xfId="9779" xr:uid="{00000000-0005-0000-0000-0000EB1D0000}"/>
    <cellStyle name="20% - Accent4 2 6 3 2 2 2 2" xfId="19775" xr:uid="{00000000-0005-0000-0000-0000EC1D0000}"/>
    <cellStyle name="20% - Accent4 2 6 3 2 2 2 2 2" xfId="39175" xr:uid="{00000000-0005-0000-0000-0000ED1D0000}"/>
    <cellStyle name="20% - Accent4 2 6 3 2 2 2 3" xfId="29477" xr:uid="{00000000-0005-0000-0000-0000EE1D0000}"/>
    <cellStyle name="20% - Accent4 2 6 3 2 2 3" xfId="15320" xr:uid="{00000000-0005-0000-0000-0000EF1D0000}"/>
    <cellStyle name="20% - Accent4 2 6 3 2 2 3 2" xfId="34720" xr:uid="{00000000-0005-0000-0000-0000F01D0000}"/>
    <cellStyle name="20% - Accent4 2 6 3 2 2 4" xfId="25022" xr:uid="{00000000-0005-0000-0000-0000F11D0000}"/>
    <cellStyle name="20% - Accent4 2 6 3 2 3" xfId="7551" xr:uid="{00000000-0005-0000-0000-0000F21D0000}"/>
    <cellStyle name="20% - Accent4 2 6 3 2 3 2" xfId="17547" xr:uid="{00000000-0005-0000-0000-0000F31D0000}"/>
    <cellStyle name="20% - Accent4 2 6 3 2 3 2 2" xfId="36947" xr:uid="{00000000-0005-0000-0000-0000F41D0000}"/>
    <cellStyle name="20% - Accent4 2 6 3 2 3 3" xfId="27249" xr:uid="{00000000-0005-0000-0000-0000F51D0000}"/>
    <cellStyle name="20% - Accent4 2 6 3 2 4" xfId="13092" xr:uid="{00000000-0005-0000-0000-0000F61D0000}"/>
    <cellStyle name="20% - Accent4 2 6 3 2 4 2" xfId="32492" xr:uid="{00000000-0005-0000-0000-0000F71D0000}"/>
    <cellStyle name="20% - Accent4 2 6 3 2 5" xfId="22794" xr:uid="{00000000-0005-0000-0000-0000F81D0000}"/>
    <cellStyle name="20% - Accent4 2 6 3 3" xfId="3629" xr:uid="{00000000-0005-0000-0000-0000F91D0000}"/>
    <cellStyle name="20% - Accent4 2 6 3 3 2" xfId="4759" xr:uid="{00000000-0005-0000-0000-0000FA1D0000}"/>
    <cellStyle name="20% - Accent4 2 6 3 3 2 2" xfId="9223" xr:uid="{00000000-0005-0000-0000-0000FB1D0000}"/>
    <cellStyle name="20% - Accent4 2 6 3 3 2 2 2" xfId="19219" xr:uid="{00000000-0005-0000-0000-0000FC1D0000}"/>
    <cellStyle name="20% - Accent4 2 6 3 3 2 2 2 2" xfId="38619" xr:uid="{00000000-0005-0000-0000-0000FD1D0000}"/>
    <cellStyle name="20% - Accent4 2 6 3 3 2 2 3" xfId="28921" xr:uid="{00000000-0005-0000-0000-0000FE1D0000}"/>
    <cellStyle name="20% - Accent4 2 6 3 3 2 3" xfId="14764" xr:uid="{00000000-0005-0000-0000-0000FF1D0000}"/>
    <cellStyle name="20% - Accent4 2 6 3 3 2 3 2" xfId="34164" xr:uid="{00000000-0005-0000-0000-0000001E0000}"/>
    <cellStyle name="20% - Accent4 2 6 3 3 2 4" xfId="24466" xr:uid="{00000000-0005-0000-0000-0000011E0000}"/>
    <cellStyle name="20% - Accent4 2 6 3 3 3" xfId="8108" xr:uid="{00000000-0005-0000-0000-0000021E0000}"/>
    <cellStyle name="20% - Accent4 2 6 3 3 3 2" xfId="18104" xr:uid="{00000000-0005-0000-0000-0000031E0000}"/>
    <cellStyle name="20% - Accent4 2 6 3 3 3 2 2" xfId="37504" xr:uid="{00000000-0005-0000-0000-0000041E0000}"/>
    <cellStyle name="20% - Accent4 2 6 3 3 3 3" xfId="27806" xr:uid="{00000000-0005-0000-0000-0000051E0000}"/>
    <cellStyle name="20% - Accent4 2 6 3 3 4" xfId="13649" xr:uid="{00000000-0005-0000-0000-0000061E0000}"/>
    <cellStyle name="20% - Accent4 2 6 3 3 4 2" xfId="33049" xr:uid="{00000000-0005-0000-0000-0000071E0000}"/>
    <cellStyle name="20% - Accent4 2 6 3 3 5" xfId="23351" xr:uid="{00000000-0005-0000-0000-0000081E0000}"/>
    <cellStyle name="20% - Accent4 2 6 3 4" xfId="4202" xr:uid="{00000000-0005-0000-0000-0000091E0000}"/>
    <cellStyle name="20% - Accent4 2 6 3 4 2" xfId="8666" xr:uid="{00000000-0005-0000-0000-00000A1E0000}"/>
    <cellStyle name="20% - Accent4 2 6 3 4 2 2" xfId="18662" xr:uid="{00000000-0005-0000-0000-00000B1E0000}"/>
    <cellStyle name="20% - Accent4 2 6 3 4 2 2 2" xfId="38062" xr:uid="{00000000-0005-0000-0000-00000C1E0000}"/>
    <cellStyle name="20% - Accent4 2 6 3 4 2 3" xfId="28364" xr:uid="{00000000-0005-0000-0000-00000D1E0000}"/>
    <cellStyle name="20% - Accent4 2 6 3 4 3" xfId="14207" xr:uid="{00000000-0005-0000-0000-00000E1E0000}"/>
    <cellStyle name="20% - Accent4 2 6 3 4 3 2" xfId="33607" xr:uid="{00000000-0005-0000-0000-00000F1E0000}"/>
    <cellStyle name="20% - Accent4 2 6 3 4 4" xfId="23909" xr:uid="{00000000-0005-0000-0000-0000101E0000}"/>
    <cellStyle name="20% - Accent4 2 6 3 5" xfId="5872" xr:uid="{00000000-0005-0000-0000-0000111E0000}"/>
    <cellStyle name="20% - Accent4 2 6 3 5 2" xfId="10336" xr:uid="{00000000-0005-0000-0000-0000121E0000}"/>
    <cellStyle name="20% - Accent4 2 6 3 5 2 2" xfId="20332" xr:uid="{00000000-0005-0000-0000-0000131E0000}"/>
    <cellStyle name="20% - Accent4 2 6 3 5 2 2 2" xfId="39732" xr:uid="{00000000-0005-0000-0000-0000141E0000}"/>
    <cellStyle name="20% - Accent4 2 6 3 5 2 3" xfId="30034" xr:uid="{00000000-0005-0000-0000-0000151E0000}"/>
    <cellStyle name="20% - Accent4 2 6 3 5 3" xfId="15877" xr:uid="{00000000-0005-0000-0000-0000161E0000}"/>
    <cellStyle name="20% - Accent4 2 6 3 5 3 2" xfId="35277" xr:uid="{00000000-0005-0000-0000-0000171E0000}"/>
    <cellStyle name="20% - Accent4 2 6 3 5 4" xfId="25579" xr:uid="{00000000-0005-0000-0000-0000181E0000}"/>
    <cellStyle name="20% - Accent4 2 6 3 6" xfId="6438" xr:uid="{00000000-0005-0000-0000-0000191E0000}"/>
    <cellStyle name="20% - Accent4 2 6 3 6 2" xfId="10893" xr:uid="{00000000-0005-0000-0000-00001A1E0000}"/>
    <cellStyle name="20% - Accent4 2 6 3 6 2 2" xfId="20889" xr:uid="{00000000-0005-0000-0000-00001B1E0000}"/>
    <cellStyle name="20% - Accent4 2 6 3 6 2 2 2" xfId="40289" xr:uid="{00000000-0005-0000-0000-00001C1E0000}"/>
    <cellStyle name="20% - Accent4 2 6 3 6 2 3" xfId="30591" xr:uid="{00000000-0005-0000-0000-00001D1E0000}"/>
    <cellStyle name="20% - Accent4 2 6 3 6 3" xfId="16434" xr:uid="{00000000-0005-0000-0000-00001E1E0000}"/>
    <cellStyle name="20% - Accent4 2 6 3 6 3 2" xfId="35834" xr:uid="{00000000-0005-0000-0000-00001F1E0000}"/>
    <cellStyle name="20% - Accent4 2 6 3 6 4" xfId="26136" xr:uid="{00000000-0005-0000-0000-0000201E0000}"/>
    <cellStyle name="20% - Accent4 2 6 3 7" xfId="6995" xr:uid="{00000000-0005-0000-0000-0000211E0000}"/>
    <cellStyle name="20% - Accent4 2 6 3 7 2" xfId="16991" xr:uid="{00000000-0005-0000-0000-0000221E0000}"/>
    <cellStyle name="20% - Accent4 2 6 3 7 2 2" xfId="36391" xr:uid="{00000000-0005-0000-0000-0000231E0000}"/>
    <cellStyle name="20% - Accent4 2 6 3 7 3" xfId="26693" xr:uid="{00000000-0005-0000-0000-0000241E0000}"/>
    <cellStyle name="20% - Accent4 2 6 3 8" xfId="12535" xr:uid="{00000000-0005-0000-0000-0000251E0000}"/>
    <cellStyle name="20% - Accent4 2 6 3 8 2" xfId="31936" xr:uid="{00000000-0005-0000-0000-0000261E0000}"/>
    <cellStyle name="20% - Accent4 2 6 3 9" xfId="22238" xr:uid="{00000000-0005-0000-0000-0000271E0000}"/>
    <cellStyle name="20% - Accent4 2 7" xfId="1733" xr:uid="{00000000-0005-0000-0000-0000281E0000}"/>
    <cellStyle name="20% - Accent4 2 7 2" xfId="2899" xr:uid="{00000000-0005-0000-0000-0000291E0000}"/>
    <cellStyle name="20% - Accent4 2 7 2 2" xfId="5168" xr:uid="{00000000-0005-0000-0000-00002A1E0000}"/>
    <cellStyle name="20% - Accent4 2 7 2 2 2" xfId="9632" xr:uid="{00000000-0005-0000-0000-00002B1E0000}"/>
    <cellStyle name="20% - Accent4 2 7 2 2 2 2" xfId="19628" xr:uid="{00000000-0005-0000-0000-00002C1E0000}"/>
    <cellStyle name="20% - Accent4 2 7 2 2 2 2 2" xfId="39028" xr:uid="{00000000-0005-0000-0000-00002D1E0000}"/>
    <cellStyle name="20% - Accent4 2 7 2 2 2 3" xfId="29330" xr:uid="{00000000-0005-0000-0000-00002E1E0000}"/>
    <cellStyle name="20% - Accent4 2 7 2 2 3" xfId="15173" xr:uid="{00000000-0005-0000-0000-00002F1E0000}"/>
    <cellStyle name="20% - Accent4 2 7 2 2 3 2" xfId="34573" xr:uid="{00000000-0005-0000-0000-0000301E0000}"/>
    <cellStyle name="20% - Accent4 2 7 2 2 4" xfId="24875" xr:uid="{00000000-0005-0000-0000-0000311E0000}"/>
    <cellStyle name="20% - Accent4 2 7 2 3" xfId="7404" xr:uid="{00000000-0005-0000-0000-0000321E0000}"/>
    <cellStyle name="20% - Accent4 2 7 2 3 2" xfId="17400" xr:uid="{00000000-0005-0000-0000-0000331E0000}"/>
    <cellStyle name="20% - Accent4 2 7 2 3 2 2" xfId="36800" xr:uid="{00000000-0005-0000-0000-0000341E0000}"/>
    <cellStyle name="20% - Accent4 2 7 2 3 3" xfId="27102" xr:uid="{00000000-0005-0000-0000-0000351E0000}"/>
    <cellStyle name="20% - Accent4 2 7 2 4" xfId="12945" xr:uid="{00000000-0005-0000-0000-0000361E0000}"/>
    <cellStyle name="20% - Accent4 2 7 2 4 2" xfId="32345" xr:uid="{00000000-0005-0000-0000-0000371E0000}"/>
    <cellStyle name="20% - Accent4 2 7 2 5" xfId="22647" xr:uid="{00000000-0005-0000-0000-0000381E0000}"/>
    <cellStyle name="20% - Accent4 2 7 3" xfId="3482" xr:uid="{00000000-0005-0000-0000-0000391E0000}"/>
    <cellStyle name="20% - Accent4 2 7 3 2" xfId="4612" xr:uid="{00000000-0005-0000-0000-00003A1E0000}"/>
    <cellStyle name="20% - Accent4 2 7 3 2 2" xfId="9076" xr:uid="{00000000-0005-0000-0000-00003B1E0000}"/>
    <cellStyle name="20% - Accent4 2 7 3 2 2 2" xfId="19072" xr:uid="{00000000-0005-0000-0000-00003C1E0000}"/>
    <cellStyle name="20% - Accent4 2 7 3 2 2 2 2" xfId="38472" xr:uid="{00000000-0005-0000-0000-00003D1E0000}"/>
    <cellStyle name="20% - Accent4 2 7 3 2 2 3" xfId="28774" xr:uid="{00000000-0005-0000-0000-00003E1E0000}"/>
    <cellStyle name="20% - Accent4 2 7 3 2 3" xfId="14617" xr:uid="{00000000-0005-0000-0000-00003F1E0000}"/>
    <cellStyle name="20% - Accent4 2 7 3 2 3 2" xfId="34017" xr:uid="{00000000-0005-0000-0000-0000401E0000}"/>
    <cellStyle name="20% - Accent4 2 7 3 2 4" xfId="24319" xr:uid="{00000000-0005-0000-0000-0000411E0000}"/>
    <cellStyle name="20% - Accent4 2 7 3 3" xfId="7961" xr:uid="{00000000-0005-0000-0000-0000421E0000}"/>
    <cellStyle name="20% - Accent4 2 7 3 3 2" xfId="17957" xr:uid="{00000000-0005-0000-0000-0000431E0000}"/>
    <cellStyle name="20% - Accent4 2 7 3 3 2 2" xfId="37357" xr:uid="{00000000-0005-0000-0000-0000441E0000}"/>
    <cellStyle name="20% - Accent4 2 7 3 3 3" xfId="27659" xr:uid="{00000000-0005-0000-0000-0000451E0000}"/>
    <cellStyle name="20% - Accent4 2 7 3 4" xfId="13502" xr:uid="{00000000-0005-0000-0000-0000461E0000}"/>
    <cellStyle name="20% - Accent4 2 7 3 4 2" xfId="32902" xr:uid="{00000000-0005-0000-0000-0000471E0000}"/>
    <cellStyle name="20% - Accent4 2 7 3 5" xfId="23204" xr:uid="{00000000-0005-0000-0000-0000481E0000}"/>
    <cellStyle name="20% - Accent4 2 7 4" xfId="4055" xr:uid="{00000000-0005-0000-0000-0000491E0000}"/>
    <cellStyle name="20% - Accent4 2 7 4 2" xfId="8519" xr:uid="{00000000-0005-0000-0000-00004A1E0000}"/>
    <cellStyle name="20% - Accent4 2 7 4 2 2" xfId="18515" xr:uid="{00000000-0005-0000-0000-00004B1E0000}"/>
    <cellStyle name="20% - Accent4 2 7 4 2 2 2" xfId="37915" xr:uid="{00000000-0005-0000-0000-00004C1E0000}"/>
    <cellStyle name="20% - Accent4 2 7 4 2 3" xfId="28217" xr:uid="{00000000-0005-0000-0000-00004D1E0000}"/>
    <cellStyle name="20% - Accent4 2 7 4 3" xfId="14060" xr:uid="{00000000-0005-0000-0000-00004E1E0000}"/>
    <cellStyle name="20% - Accent4 2 7 4 3 2" xfId="33460" xr:uid="{00000000-0005-0000-0000-00004F1E0000}"/>
    <cellStyle name="20% - Accent4 2 7 4 4" xfId="23762" xr:uid="{00000000-0005-0000-0000-0000501E0000}"/>
    <cellStyle name="20% - Accent4 2 7 5" xfId="5725" xr:uid="{00000000-0005-0000-0000-0000511E0000}"/>
    <cellStyle name="20% - Accent4 2 7 5 2" xfId="10189" xr:uid="{00000000-0005-0000-0000-0000521E0000}"/>
    <cellStyle name="20% - Accent4 2 7 5 2 2" xfId="20185" xr:uid="{00000000-0005-0000-0000-0000531E0000}"/>
    <cellStyle name="20% - Accent4 2 7 5 2 2 2" xfId="39585" xr:uid="{00000000-0005-0000-0000-0000541E0000}"/>
    <cellStyle name="20% - Accent4 2 7 5 2 3" xfId="29887" xr:uid="{00000000-0005-0000-0000-0000551E0000}"/>
    <cellStyle name="20% - Accent4 2 7 5 3" xfId="15730" xr:uid="{00000000-0005-0000-0000-0000561E0000}"/>
    <cellStyle name="20% - Accent4 2 7 5 3 2" xfId="35130" xr:uid="{00000000-0005-0000-0000-0000571E0000}"/>
    <cellStyle name="20% - Accent4 2 7 5 4" xfId="25432" xr:uid="{00000000-0005-0000-0000-0000581E0000}"/>
    <cellStyle name="20% - Accent4 2 7 6" xfId="6291" xr:uid="{00000000-0005-0000-0000-0000591E0000}"/>
    <cellStyle name="20% - Accent4 2 7 6 2" xfId="10746" xr:uid="{00000000-0005-0000-0000-00005A1E0000}"/>
    <cellStyle name="20% - Accent4 2 7 6 2 2" xfId="20742" xr:uid="{00000000-0005-0000-0000-00005B1E0000}"/>
    <cellStyle name="20% - Accent4 2 7 6 2 2 2" xfId="40142" xr:uid="{00000000-0005-0000-0000-00005C1E0000}"/>
    <cellStyle name="20% - Accent4 2 7 6 2 3" xfId="30444" xr:uid="{00000000-0005-0000-0000-00005D1E0000}"/>
    <cellStyle name="20% - Accent4 2 7 6 3" xfId="16287" xr:uid="{00000000-0005-0000-0000-00005E1E0000}"/>
    <cellStyle name="20% - Accent4 2 7 6 3 2" xfId="35687" xr:uid="{00000000-0005-0000-0000-00005F1E0000}"/>
    <cellStyle name="20% - Accent4 2 7 6 4" xfId="25989" xr:uid="{00000000-0005-0000-0000-0000601E0000}"/>
    <cellStyle name="20% - Accent4 2 7 7" xfId="6848" xr:uid="{00000000-0005-0000-0000-0000611E0000}"/>
    <cellStyle name="20% - Accent4 2 7 7 2" xfId="16844" xr:uid="{00000000-0005-0000-0000-0000621E0000}"/>
    <cellStyle name="20% - Accent4 2 7 7 2 2" xfId="36244" xr:uid="{00000000-0005-0000-0000-0000631E0000}"/>
    <cellStyle name="20% - Accent4 2 7 7 3" xfId="26546" xr:uid="{00000000-0005-0000-0000-0000641E0000}"/>
    <cellStyle name="20% - Accent4 2 7 8" xfId="12388" xr:uid="{00000000-0005-0000-0000-0000651E0000}"/>
    <cellStyle name="20% - Accent4 2 7 8 2" xfId="31789" xr:uid="{00000000-0005-0000-0000-0000661E0000}"/>
    <cellStyle name="20% - Accent4 2 7 9" xfId="22091" xr:uid="{00000000-0005-0000-0000-0000671E0000}"/>
    <cellStyle name="20% - Accent4 2 8" xfId="1830" xr:uid="{00000000-0005-0000-0000-0000681E0000}"/>
    <cellStyle name="20% - Accent4 2 8 2" xfId="2910" xr:uid="{00000000-0005-0000-0000-0000691E0000}"/>
    <cellStyle name="20% - Accent4 2 8 2 2" xfId="5179" xr:uid="{00000000-0005-0000-0000-00006A1E0000}"/>
    <cellStyle name="20% - Accent4 2 8 2 2 2" xfId="9643" xr:uid="{00000000-0005-0000-0000-00006B1E0000}"/>
    <cellStyle name="20% - Accent4 2 8 2 2 2 2" xfId="19639" xr:uid="{00000000-0005-0000-0000-00006C1E0000}"/>
    <cellStyle name="20% - Accent4 2 8 2 2 2 2 2" xfId="39039" xr:uid="{00000000-0005-0000-0000-00006D1E0000}"/>
    <cellStyle name="20% - Accent4 2 8 2 2 2 3" xfId="29341" xr:uid="{00000000-0005-0000-0000-00006E1E0000}"/>
    <cellStyle name="20% - Accent4 2 8 2 2 3" xfId="15184" xr:uid="{00000000-0005-0000-0000-00006F1E0000}"/>
    <cellStyle name="20% - Accent4 2 8 2 2 3 2" xfId="34584" xr:uid="{00000000-0005-0000-0000-0000701E0000}"/>
    <cellStyle name="20% - Accent4 2 8 2 2 4" xfId="24886" xr:uid="{00000000-0005-0000-0000-0000711E0000}"/>
    <cellStyle name="20% - Accent4 2 8 2 3" xfId="7415" xr:uid="{00000000-0005-0000-0000-0000721E0000}"/>
    <cellStyle name="20% - Accent4 2 8 2 3 2" xfId="17411" xr:uid="{00000000-0005-0000-0000-0000731E0000}"/>
    <cellStyle name="20% - Accent4 2 8 2 3 2 2" xfId="36811" xr:uid="{00000000-0005-0000-0000-0000741E0000}"/>
    <cellStyle name="20% - Accent4 2 8 2 3 3" xfId="27113" xr:uid="{00000000-0005-0000-0000-0000751E0000}"/>
    <cellStyle name="20% - Accent4 2 8 2 4" xfId="12956" xr:uid="{00000000-0005-0000-0000-0000761E0000}"/>
    <cellStyle name="20% - Accent4 2 8 2 4 2" xfId="32356" xr:uid="{00000000-0005-0000-0000-0000771E0000}"/>
    <cellStyle name="20% - Accent4 2 8 2 5" xfId="22658" xr:uid="{00000000-0005-0000-0000-0000781E0000}"/>
    <cellStyle name="20% - Accent4 2 8 3" xfId="3493" xr:uid="{00000000-0005-0000-0000-0000791E0000}"/>
    <cellStyle name="20% - Accent4 2 8 3 2" xfId="4623" xr:uid="{00000000-0005-0000-0000-00007A1E0000}"/>
    <cellStyle name="20% - Accent4 2 8 3 2 2" xfId="9087" xr:uid="{00000000-0005-0000-0000-00007B1E0000}"/>
    <cellStyle name="20% - Accent4 2 8 3 2 2 2" xfId="19083" xr:uid="{00000000-0005-0000-0000-00007C1E0000}"/>
    <cellStyle name="20% - Accent4 2 8 3 2 2 2 2" xfId="38483" xr:uid="{00000000-0005-0000-0000-00007D1E0000}"/>
    <cellStyle name="20% - Accent4 2 8 3 2 2 3" xfId="28785" xr:uid="{00000000-0005-0000-0000-00007E1E0000}"/>
    <cellStyle name="20% - Accent4 2 8 3 2 3" xfId="14628" xr:uid="{00000000-0005-0000-0000-00007F1E0000}"/>
    <cellStyle name="20% - Accent4 2 8 3 2 3 2" xfId="34028" xr:uid="{00000000-0005-0000-0000-0000801E0000}"/>
    <cellStyle name="20% - Accent4 2 8 3 2 4" xfId="24330" xr:uid="{00000000-0005-0000-0000-0000811E0000}"/>
    <cellStyle name="20% - Accent4 2 8 3 3" xfId="7972" xr:uid="{00000000-0005-0000-0000-0000821E0000}"/>
    <cellStyle name="20% - Accent4 2 8 3 3 2" xfId="17968" xr:uid="{00000000-0005-0000-0000-0000831E0000}"/>
    <cellStyle name="20% - Accent4 2 8 3 3 2 2" xfId="37368" xr:uid="{00000000-0005-0000-0000-0000841E0000}"/>
    <cellStyle name="20% - Accent4 2 8 3 3 3" xfId="27670" xr:uid="{00000000-0005-0000-0000-0000851E0000}"/>
    <cellStyle name="20% - Accent4 2 8 3 4" xfId="13513" xr:uid="{00000000-0005-0000-0000-0000861E0000}"/>
    <cellStyle name="20% - Accent4 2 8 3 4 2" xfId="32913" xr:uid="{00000000-0005-0000-0000-0000871E0000}"/>
    <cellStyle name="20% - Accent4 2 8 3 5" xfId="23215" xr:uid="{00000000-0005-0000-0000-0000881E0000}"/>
    <cellStyle name="20% - Accent4 2 8 4" xfId="4066" xr:uid="{00000000-0005-0000-0000-0000891E0000}"/>
    <cellStyle name="20% - Accent4 2 8 4 2" xfId="8530" xr:uid="{00000000-0005-0000-0000-00008A1E0000}"/>
    <cellStyle name="20% - Accent4 2 8 4 2 2" xfId="18526" xr:uid="{00000000-0005-0000-0000-00008B1E0000}"/>
    <cellStyle name="20% - Accent4 2 8 4 2 2 2" xfId="37926" xr:uid="{00000000-0005-0000-0000-00008C1E0000}"/>
    <cellStyle name="20% - Accent4 2 8 4 2 3" xfId="28228" xr:uid="{00000000-0005-0000-0000-00008D1E0000}"/>
    <cellStyle name="20% - Accent4 2 8 4 3" xfId="14071" xr:uid="{00000000-0005-0000-0000-00008E1E0000}"/>
    <cellStyle name="20% - Accent4 2 8 4 3 2" xfId="33471" xr:uid="{00000000-0005-0000-0000-00008F1E0000}"/>
    <cellStyle name="20% - Accent4 2 8 4 4" xfId="23773" xr:uid="{00000000-0005-0000-0000-0000901E0000}"/>
    <cellStyle name="20% - Accent4 2 8 5" xfId="5736" xr:uid="{00000000-0005-0000-0000-0000911E0000}"/>
    <cellStyle name="20% - Accent4 2 8 5 2" xfId="10200" xr:uid="{00000000-0005-0000-0000-0000921E0000}"/>
    <cellStyle name="20% - Accent4 2 8 5 2 2" xfId="20196" xr:uid="{00000000-0005-0000-0000-0000931E0000}"/>
    <cellStyle name="20% - Accent4 2 8 5 2 2 2" xfId="39596" xr:uid="{00000000-0005-0000-0000-0000941E0000}"/>
    <cellStyle name="20% - Accent4 2 8 5 2 3" xfId="29898" xr:uid="{00000000-0005-0000-0000-0000951E0000}"/>
    <cellStyle name="20% - Accent4 2 8 5 3" xfId="15741" xr:uid="{00000000-0005-0000-0000-0000961E0000}"/>
    <cellStyle name="20% - Accent4 2 8 5 3 2" xfId="35141" xr:uid="{00000000-0005-0000-0000-0000971E0000}"/>
    <cellStyle name="20% - Accent4 2 8 5 4" xfId="25443" xr:uid="{00000000-0005-0000-0000-0000981E0000}"/>
    <cellStyle name="20% - Accent4 2 8 6" xfId="6302" xr:uid="{00000000-0005-0000-0000-0000991E0000}"/>
    <cellStyle name="20% - Accent4 2 8 6 2" xfId="10757" xr:uid="{00000000-0005-0000-0000-00009A1E0000}"/>
    <cellStyle name="20% - Accent4 2 8 6 2 2" xfId="20753" xr:uid="{00000000-0005-0000-0000-00009B1E0000}"/>
    <cellStyle name="20% - Accent4 2 8 6 2 2 2" xfId="40153" xr:uid="{00000000-0005-0000-0000-00009C1E0000}"/>
    <cellStyle name="20% - Accent4 2 8 6 2 3" xfId="30455" xr:uid="{00000000-0005-0000-0000-00009D1E0000}"/>
    <cellStyle name="20% - Accent4 2 8 6 3" xfId="16298" xr:uid="{00000000-0005-0000-0000-00009E1E0000}"/>
    <cellStyle name="20% - Accent4 2 8 6 3 2" xfId="35698" xr:uid="{00000000-0005-0000-0000-00009F1E0000}"/>
    <cellStyle name="20% - Accent4 2 8 6 4" xfId="26000" xr:uid="{00000000-0005-0000-0000-0000A01E0000}"/>
    <cellStyle name="20% - Accent4 2 8 7" xfId="6859" xr:uid="{00000000-0005-0000-0000-0000A11E0000}"/>
    <cellStyle name="20% - Accent4 2 8 7 2" xfId="16855" xr:uid="{00000000-0005-0000-0000-0000A21E0000}"/>
    <cellStyle name="20% - Accent4 2 8 7 2 2" xfId="36255" xr:uid="{00000000-0005-0000-0000-0000A31E0000}"/>
    <cellStyle name="20% - Accent4 2 8 7 3" xfId="26557" xr:uid="{00000000-0005-0000-0000-0000A41E0000}"/>
    <cellStyle name="20% - Accent4 2 8 8" xfId="12399" xr:uid="{00000000-0005-0000-0000-0000A51E0000}"/>
    <cellStyle name="20% - Accent4 2 8 8 2" xfId="31800" xr:uid="{00000000-0005-0000-0000-0000A61E0000}"/>
    <cellStyle name="20% - Accent4 2 8 9" xfId="22102" xr:uid="{00000000-0005-0000-0000-0000A71E0000}"/>
    <cellStyle name="20% - Accent4 2 9" xfId="2050" xr:uid="{00000000-0005-0000-0000-0000A81E0000}"/>
    <cellStyle name="20% - Accent4 20" xfId="1085" xr:uid="{00000000-0005-0000-0000-0000A91E0000}"/>
    <cellStyle name="20% - Accent4 20 2" xfId="11956" xr:uid="{00000000-0005-0000-0000-0000AA1E0000}"/>
    <cellStyle name="20% - Accent4 20 2 2" xfId="21660" xr:uid="{00000000-0005-0000-0000-0000AB1E0000}"/>
    <cellStyle name="20% - Accent4 20 2 2 2" xfId="41060" xr:uid="{00000000-0005-0000-0000-0000AC1E0000}"/>
    <cellStyle name="20% - Accent4 20 2 3" xfId="31362" xr:uid="{00000000-0005-0000-0000-0000AD1E0000}"/>
    <cellStyle name="20% - Accent4 20 3" xfId="12312" xr:uid="{00000000-0005-0000-0000-0000AE1E0000}"/>
    <cellStyle name="20% - Accent4 20 3 2" xfId="31715" xr:uid="{00000000-0005-0000-0000-0000AF1E0000}"/>
    <cellStyle name="20% - Accent4 20 4" xfId="22017" xr:uid="{00000000-0005-0000-0000-0000B01E0000}"/>
    <cellStyle name="20% - Accent4 21" xfId="11839" xr:uid="{00000000-0005-0000-0000-0000B11E0000}"/>
    <cellStyle name="20% - Accent4 21 2" xfId="21543" xr:uid="{00000000-0005-0000-0000-0000B21E0000}"/>
    <cellStyle name="20% - Accent4 21 2 2" xfId="40943" xr:uid="{00000000-0005-0000-0000-0000B31E0000}"/>
    <cellStyle name="20% - Accent4 21 3" xfId="31245" xr:uid="{00000000-0005-0000-0000-0000B41E0000}"/>
    <cellStyle name="20% - Accent4 22" xfId="12195" xr:uid="{00000000-0005-0000-0000-0000B51E0000}"/>
    <cellStyle name="20% - Accent4 22 2" xfId="31598" xr:uid="{00000000-0005-0000-0000-0000B61E0000}"/>
    <cellStyle name="20% - Accent4 23" xfId="21900" xr:uid="{00000000-0005-0000-0000-0000B71E0000}"/>
    <cellStyle name="20% - Accent4 3" xfId="50" xr:uid="{00000000-0005-0000-0000-0000B81E0000}"/>
    <cellStyle name="20% - Accent4 3 2" xfId="2051" xr:uid="{00000000-0005-0000-0000-0000B91E0000}"/>
    <cellStyle name="20% - Accent4 3 3" xfId="2607" xr:uid="{00000000-0005-0000-0000-0000BA1E0000}"/>
    <cellStyle name="20% - Accent4 3 4" xfId="11383" xr:uid="{00000000-0005-0000-0000-0000BB1E0000}"/>
    <cellStyle name="20% - Accent4 3 5" xfId="1172" xr:uid="{00000000-0005-0000-0000-0000BC1E0000}"/>
    <cellStyle name="20% - Accent4 4" xfId="51" xr:uid="{00000000-0005-0000-0000-0000BD1E0000}"/>
    <cellStyle name="20% - Accent4 4 2" xfId="2773" xr:uid="{00000000-0005-0000-0000-0000BE1E0000}"/>
    <cellStyle name="20% - Accent4 4 3" xfId="11384" xr:uid="{00000000-0005-0000-0000-0000BF1E0000}"/>
    <cellStyle name="20% - Accent4 4 4" xfId="1174" xr:uid="{00000000-0005-0000-0000-0000C01E0000}"/>
    <cellStyle name="20% - Accent4 5" xfId="52" xr:uid="{00000000-0005-0000-0000-0000C11E0000}"/>
    <cellStyle name="20% - Accent4 5 2" xfId="11385" xr:uid="{00000000-0005-0000-0000-0000C21E0000}"/>
    <cellStyle name="20% - Accent4 5 3" xfId="1665" xr:uid="{00000000-0005-0000-0000-0000C31E0000}"/>
    <cellStyle name="20% - Accent4 6" xfId="53" xr:uid="{00000000-0005-0000-0000-0000C41E0000}"/>
    <cellStyle name="20% - Accent4 6 2" xfId="11386" xr:uid="{00000000-0005-0000-0000-0000C51E0000}"/>
    <cellStyle name="20% - Accent4 6 3" xfId="1829" xr:uid="{00000000-0005-0000-0000-0000C61E0000}"/>
    <cellStyle name="20% - Accent4 7" xfId="54" xr:uid="{00000000-0005-0000-0000-0000C71E0000}"/>
    <cellStyle name="20% - Accent4 8" xfId="55" xr:uid="{00000000-0005-0000-0000-0000C81E0000}"/>
    <cellStyle name="20% - Accent4 9" xfId="56" xr:uid="{00000000-0005-0000-0000-0000C91E0000}"/>
    <cellStyle name="20% - Accent5" xfId="957" builtinId="46" customBuiltin="1"/>
    <cellStyle name="20% - Accent5 10" xfId="57" xr:uid="{00000000-0005-0000-0000-0000CB1E0000}"/>
    <cellStyle name="20% - Accent5 11" xfId="58" xr:uid="{00000000-0005-0000-0000-0000CC1E0000}"/>
    <cellStyle name="20% - Accent5 12" xfId="59" xr:uid="{00000000-0005-0000-0000-0000CD1E0000}"/>
    <cellStyle name="20% - Accent5 13" xfId="60" xr:uid="{00000000-0005-0000-0000-0000CE1E0000}"/>
    <cellStyle name="20% - Accent5 14" xfId="61" xr:uid="{00000000-0005-0000-0000-0000CF1E0000}"/>
    <cellStyle name="20% - Accent5 15" xfId="62" xr:uid="{00000000-0005-0000-0000-0000D01E0000}"/>
    <cellStyle name="20% - Accent5 16" xfId="674" xr:uid="{00000000-0005-0000-0000-0000D11E0000}"/>
    <cellStyle name="20% - Accent5 17" xfId="997" xr:uid="{00000000-0005-0000-0000-0000D21E0000}"/>
    <cellStyle name="20% - Accent5 17 2" xfId="11868" xr:uid="{00000000-0005-0000-0000-0000D31E0000}"/>
    <cellStyle name="20% - Accent5 17 2 2" xfId="21572" xr:uid="{00000000-0005-0000-0000-0000D41E0000}"/>
    <cellStyle name="20% - Accent5 17 2 2 2" xfId="40972" xr:uid="{00000000-0005-0000-0000-0000D51E0000}"/>
    <cellStyle name="20% - Accent5 17 2 3" xfId="31274" xr:uid="{00000000-0005-0000-0000-0000D61E0000}"/>
    <cellStyle name="20% - Accent5 17 3" xfId="12224" xr:uid="{00000000-0005-0000-0000-0000D71E0000}"/>
    <cellStyle name="20% - Accent5 17 3 2" xfId="31627" xr:uid="{00000000-0005-0000-0000-0000D81E0000}"/>
    <cellStyle name="20% - Accent5 17 4" xfId="21929" xr:uid="{00000000-0005-0000-0000-0000D91E0000}"/>
    <cellStyle name="20% - Accent5 18" xfId="1027" xr:uid="{00000000-0005-0000-0000-0000DA1E0000}"/>
    <cellStyle name="20% - Accent5 18 2" xfId="11898" xr:uid="{00000000-0005-0000-0000-0000DB1E0000}"/>
    <cellStyle name="20% - Accent5 18 2 2" xfId="21602" xr:uid="{00000000-0005-0000-0000-0000DC1E0000}"/>
    <cellStyle name="20% - Accent5 18 2 2 2" xfId="41002" xr:uid="{00000000-0005-0000-0000-0000DD1E0000}"/>
    <cellStyle name="20% - Accent5 18 2 3" xfId="31304" xr:uid="{00000000-0005-0000-0000-0000DE1E0000}"/>
    <cellStyle name="20% - Accent5 18 3" xfId="12254" xr:uid="{00000000-0005-0000-0000-0000DF1E0000}"/>
    <cellStyle name="20% - Accent5 18 3 2" xfId="31657" xr:uid="{00000000-0005-0000-0000-0000E01E0000}"/>
    <cellStyle name="20% - Accent5 18 4" xfId="21959" xr:uid="{00000000-0005-0000-0000-0000E11E0000}"/>
    <cellStyle name="20% - Accent5 19" xfId="1072" xr:uid="{00000000-0005-0000-0000-0000E21E0000}"/>
    <cellStyle name="20% - Accent5 19 2" xfId="11943" xr:uid="{00000000-0005-0000-0000-0000E31E0000}"/>
    <cellStyle name="20% - Accent5 19 2 2" xfId="21647" xr:uid="{00000000-0005-0000-0000-0000E41E0000}"/>
    <cellStyle name="20% - Accent5 19 2 2 2" xfId="41047" xr:uid="{00000000-0005-0000-0000-0000E51E0000}"/>
    <cellStyle name="20% - Accent5 19 2 3" xfId="31349" xr:uid="{00000000-0005-0000-0000-0000E61E0000}"/>
    <cellStyle name="20% - Accent5 19 3" xfId="12299" xr:uid="{00000000-0005-0000-0000-0000E71E0000}"/>
    <cellStyle name="20% - Accent5 19 3 2" xfId="31702" xr:uid="{00000000-0005-0000-0000-0000E81E0000}"/>
    <cellStyle name="20% - Accent5 19 4" xfId="22004" xr:uid="{00000000-0005-0000-0000-0000E91E0000}"/>
    <cellStyle name="20% - Accent5 2" xfId="63" xr:uid="{00000000-0005-0000-0000-0000EA1E0000}"/>
    <cellStyle name="20% - Accent5 2 10" xfId="2052" xr:uid="{00000000-0005-0000-0000-0000EB1E0000}"/>
    <cellStyle name="20% - Accent5 2 10 2" xfId="3047" xr:uid="{00000000-0005-0000-0000-0000EC1E0000}"/>
    <cellStyle name="20% - Accent5 2 10 2 2" xfId="5316" xr:uid="{00000000-0005-0000-0000-0000ED1E0000}"/>
    <cellStyle name="20% - Accent5 2 10 2 2 2" xfId="9780" xr:uid="{00000000-0005-0000-0000-0000EE1E0000}"/>
    <cellStyle name="20% - Accent5 2 10 2 2 2 2" xfId="19776" xr:uid="{00000000-0005-0000-0000-0000EF1E0000}"/>
    <cellStyle name="20% - Accent5 2 10 2 2 2 2 2" xfId="39176" xr:uid="{00000000-0005-0000-0000-0000F01E0000}"/>
    <cellStyle name="20% - Accent5 2 10 2 2 2 3" xfId="29478" xr:uid="{00000000-0005-0000-0000-0000F11E0000}"/>
    <cellStyle name="20% - Accent5 2 10 2 2 3" xfId="15321" xr:uid="{00000000-0005-0000-0000-0000F21E0000}"/>
    <cellStyle name="20% - Accent5 2 10 2 2 3 2" xfId="34721" xr:uid="{00000000-0005-0000-0000-0000F31E0000}"/>
    <cellStyle name="20% - Accent5 2 10 2 2 4" xfId="25023" xr:uid="{00000000-0005-0000-0000-0000F41E0000}"/>
    <cellStyle name="20% - Accent5 2 10 2 3" xfId="7552" xr:uid="{00000000-0005-0000-0000-0000F51E0000}"/>
    <cellStyle name="20% - Accent5 2 10 2 3 2" xfId="17548" xr:uid="{00000000-0005-0000-0000-0000F61E0000}"/>
    <cellStyle name="20% - Accent5 2 10 2 3 2 2" xfId="36948" xr:uid="{00000000-0005-0000-0000-0000F71E0000}"/>
    <cellStyle name="20% - Accent5 2 10 2 3 3" xfId="27250" xr:uid="{00000000-0005-0000-0000-0000F81E0000}"/>
    <cellStyle name="20% - Accent5 2 10 2 4" xfId="13093" xr:uid="{00000000-0005-0000-0000-0000F91E0000}"/>
    <cellStyle name="20% - Accent5 2 10 2 4 2" xfId="32493" xr:uid="{00000000-0005-0000-0000-0000FA1E0000}"/>
    <cellStyle name="20% - Accent5 2 10 2 5" xfId="22795" xr:uid="{00000000-0005-0000-0000-0000FB1E0000}"/>
    <cellStyle name="20% - Accent5 2 10 3" xfId="3630" xr:uid="{00000000-0005-0000-0000-0000FC1E0000}"/>
    <cellStyle name="20% - Accent5 2 10 3 2" xfId="4760" xr:uid="{00000000-0005-0000-0000-0000FD1E0000}"/>
    <cellStyle name="20% - Accent5 2 10 3 2 2" xfId="9224" xr:uid="{00000000-0005-0000-0000-0000FE1E0000}"/>
    <cellStyle name="20% - Accent5 2 10 3 2 2 2" xfId="19220" xr:uid="{00000000-0005-0000-0000-0000FF1E0000}"/>
    <cellStyle name="20% - Accent5 2 10 3 2 2 2 2" xfId="38620" xr:uid="{00000000-0005-0000-0000-0000001F0000}"/>
    <cellStyle name="20% - Accent5 2 10 3 2 2 3" xfId="28922" xr:uid="{00000000-0005-0000-0000-0000011F0000}"/>
    <cellStyle name="20% - Accent5 2 10 3 2 3" xfId="14765" xr:uid="{00000000-0005-0000-0000-0000021F0000}"/>
    <cellStyle name="20% - Accent5 2 10 3 2 3 2" xfId="34165" xr:uid="{00000000-0005-0000-0000-0000031F0000}"/>
    <cellStyle name="20% - Accent5 2 10 3 2 4" xfId="24467" xr:uid="{00000000-0005-0000-0000-0000041F0000}"/>
    <cellStyle name="20% - Accent5 2 10 3 3" xfId="8109" xr:uid="{00000000-0005-0000-0000-0000051F0000}"/>
    <cellStyle name="20% - Accent5 2 10 3 3 2" xfId="18105" xr:uid="{00000000-0005-0000-0000-0000061F0000}"/>
    <cellStyle name="20% - Accent5 2 10 3 3 2 2" xfId="37505" xr:uid="{00000000-0005-0000-0000-0000071F0000}"/>
    <cellStyle name="20% - Accent5 2 10 3 3 3" xfId="27807" xr:uid="{00000000-0005-0000-0000-0000081F0000}"/>
    <cellStyle name="20% - Accent5 2 10 3 4" xfId="13650" xr:uid="{00000000-0005-0000-0000-0000091F0000}"/>
    <cellStyle name="20% - Accent5 2 10 3 4 2" xfId="33050" xr:uid="{00000000-0005-0000-0000-00000A1F0000}"/>
    <cellStyle name="20% - Accent5 2 10 3 5" xfId="23352" xr:uid="{00000000-0005-0000-0000-00000B1F0000}"/>
    <cellStyle name="20% - Accent5 2 10 4" xfId="4203" xr:uid="{00000000-0005-0000-0000-00000C1F0000}"/>
    <cellStyle name="20% - Accent5 2 10 4 2" xfId="8667" xr:uid="{00000000-0005-0000-0000-00000D1F0000}"/>
    <cellStyle name="20% - Accent5 2 10 4 2 2" xfId="18663" xr:uid="{00000000-0005-0000-0000-00000E1F0000}"/>
    <cellStyle name="20% - Accent5 2 10 4 2 2 2" xfId="38063" xr:uid="{00000000-0005-0000-0000-00000F1F0000}"/>
    <cellStyle name="20% - Accent5 2 10 4 2 3" xfId="28365" xr:uid="{00000000-0005-0000-0000-0000101F0000}"/>
    <cellStyle name="20% - Accent5 2 10 4 3" xfId="14208" xr:uid="{00000000-0005-0000-0000-0000111F0000}"/>
    <cellStyle name="20% - Accent5 2 10 4 3 2" xfId="33608" xr:uid="{00000000-0005-0000-0000-0000121F0000}"/>
    <cellStyle name="20% - Accent5 2 10 4 4" xfId="23910" xr:uid="{00000000-0005-0000-0000-0000131F0000}"/>
    <cellStyle name="20% - Accent5 2 10 5" xfId="5873" xr:uid="{00000000-0005-0000-0000-0000141F0000}"/>
    <cellStyle name="20% - Accent5 2 10 5 2" xfId="10337" xr:uid="{00000000-0005-0000-0000-0000151F0000}"/>
    <cellStyle name="20% - Accent5 2 10 5 2 2" xfId="20333" xr:uid="{00000000-0005-0000-0000-0000161F0000}"/>
    <cellStyle name="20% - Accent5 2 10 5 2 2 2" xfId="39733" xr:uid="{00000000-0005-0000-0000-0000171F0000}"/>
    <cellStyle name="20% - Accent5 2 10 5 2 3" xfId="30035" xr:uid="{00000000-0005-0000-0000-0000181F0000}"/>
    <cellStyle name="20% - Accent5 2 10 5 3" xfId="15878" xr:uid="{00000000-0005-0000-0000-0000191F0000}"/>
    <cellStyle name="20% - Accent5 2 10 5 3 2" xfId="35278" xr:uid="{00000000-0005-0000-0000-00001A1F0000}"/>
    <cellStyle name="20% - Accent5 2 10 5 4" xfId="25580" xr:uid="{00000000-0005-0000-0000-00001B1F0000}"/>
    <cellStyle name="20% - Accent5 2 10 6" xfId="6439" xr:uid="{00000000-0005-0000-0000-00001C1F0000}"/>
    <cellStyle name="20% - Accent5 2 10 6 2" xfId="10894" xr:uid="{00000000-0005-0000-0000-00001D1F0000}"/>
    <cellStyle name="20% - Accent5 2 10 6 2 2" xfId="20890" xr:uid="{00000000-0005-0000-0000-00001E1F0000}"/>
    <cellStyle name="20% - Accent5 2 10 6 2 2 2" xfId="40290" xr:uid="{00000000-0005-0000-0000-00001F1F0000}"/>
    <cellStyle name="20% - Accent5 2 10 6 2 3" xfId="30592" xr:uid="{00000000-0005-0000-0000-0000201F0000}"/>
    <cellStyle name="20% - Accent5 2 10 6 3" xfId="16435" xr:uid="{00000000-0005-0000-0000-0000211F0000}"/>
    <cellStyle name="20% - Accent5 2 10 6 3 2" xfId="35835" xr:uid="{00000000-0005-0000-0000-0000221F0000}"/>
    <cellStyle name="20% - Accent5 2 10 6 4" xfId="26137" xr:uid="{00000000-0005-0000-0000-0000231F0000}"/>
    <cellStyle name="20% - Accent5 2 10 7" xfId="6996" xr:uid="{00000000-0005-0000-0000-0000241F0000}"/>
    <cellStyle name="20% - Accent5 2 10 7 2" xfId="16992" xr:uid="{00000000-0005-0000-0000-0000251F0000}"/>
    <cellStyle name="20% - Accent5 2 10 7 2 2" xfId="36392" xr:uid="{00000000-0005-0000-0000-0000261F0000}"/>
    <cellStyle name="20% - Accent5 2 10 7 3" xfId="26694" xr:uid="{00000000-0005-0000-0000-0000271F0000}"/>
    <cellStyle name="20% - Accent5 2 10 8" xfId="12536" xr:uid="{00000000-0005-0000-0000-0000281F0000}"/>
    <cellStyle name="20% - Accent5 2 10 8 2" xfId="31937" xr:uid="{00000000-0005-0000-0000-0000291F0000}"/>
    <cellStyle name="20% - Accent5 2 10 9" xfId="22239" xr:uid="{00000000-0005-0000-0000-00002A1F0000}"/>
    <cellStyle name="20% - Accent5 2 11" xfId="2579" xr:uid="{00000000-0005-0000-0000-00002B1F0000}"/>
    <cellStyle name="20% - Accent5 2 12" xfId="11312" xr:uid="{00000000-0005-0000-0000-00002C1F0000}"/>
    <cellStyle name="20% - Accent5 2 12 2" xfId="21297" xr:uid="{00000000-0005-0000-0000-00002D1F0000}"/>
    <cellStyle name="20% - Accent5 2 12 2 2" xfId="40697" xr:uid="{00000000-0005-0000-0000-00002E1F0000}"/>
    <cellStyle name="20% - Accent5 2 12 3" xfId="30999" xr:uid="{00000000-0005-0000-0000-00002F1F0000}"/>
    <cellStyle name="20% - Accent5 2 13" xfId="11341" xr:uid="{00000000-0005-0000-0000-0000301F0000}"/>
    <cellStyle name="20% - Accent5 2 13 2" xfId="21323" xr:uid="{00000000-0005-0000-0000-0000311F0000}"/>
    <cellStyle name="20% - Accent5 2 13 2 2" xfId="40723" xr:uid="{00000000-0005-0000-0000-0000321F0000}"/>
    <cellStyle name="20% - Accent5 2 13 3" xfId="31025" xr:uid="{00000000-0005-0000-0000-0000331F0000}"/>
    <cellStyle name="20% - Accent5 2 14" xfId="1176" xr:uid="{00000000-0005-0000-0000-0000341F0000}"/>
    <cellStyle name="20% - Accent5 2 15" xfId="1137" xr:uid="{00000000-0005-0000-0000-0000351F0000}"/>
    <cellStyle name="20% - Accent5 2 15 2" xfId="12356" xr:uid="{00000000-0005-0000-0000-0000361F0000}"/>
    <cellStyle name="20% - Accent5 2 15 2 2" xfId="31758" xr:uid="{00000000-0005-0000-0000-0000371F0000}"/>
    <cellStyle name="20% - Accent5 2 15 3" xfId="22060" xr:uid="{00000000-0005-0000-0000-0000381F0000}"/>
    <cellStyle name="20% - Accent5 2 2" xfId="733" xr:uid="{00000000-0005-0000-0000-0000391F0000}"/>
    <cellStyle name="20% - Accent5 2 2 2" xfId="1748" xr:uid="{00000000-0005-0000-0000-00003A1F0000}"/>
    <cellStyle name="20% - Accent5 2 2 3" xfId="1178" xr:uid="{00000000-0005-0000-0000-00003B1F0000}"/>
    <cellStyle name="20% - Accent5 2 2 4" xfId="11690" xr:uid="{00000000-0005-0000-0000-00003C1F0000}"/>
    <cellStyle name="20% - Accent5 2 2 4 2" xfId="21406" xr:uid="{00000000-0005-0000-0000-00003D1F0000}"/>
    <cellStyle name="20% - Accent5 2 2 4 2 2" xfId="40806" xr:uid="{00000000-0005-0000-0000-00003E1F0000}"/>
    <cellStyle name="20% - Accent5 2 2 4 3" xfId="31108" xr:uid="{00000000-0005-0000-0000-00003F1F0000}"/>
    <cellStyle name="20% - Accent5 2 2 5" xfId="1167" xr:uid="{00000000-0005-0000-0000-0000401F0000}"/>
    <cellStyle name="20% - Accent5 2 2 6" xfId="12058" xr:uid="{00000000-0005-0000-0000-0000411F0000}"/>
    <cellStyle name="20% - Accent5 2 2 6 2" xfId="31461" xr:uid="{00000000-0005-0000-0000-0000421F0000}"/>
    <cellStyle name="20% - Accent5 2 2 7" xfId="21763" xr:uid="{00000000-0005-0000-0000-0000431F0000}"/>
    <cellStyle name="20% - Accent5 2 3" xfId="1107" xr:uid="{00000000-0005-0000-0000-0000441F0000}"/>
    <cellStyle name="20% - Accent5 2 3 2" xfId="2053" xr:uid="{00000000-0005-0000-0000-0000451F0000}"/>
    <cellStyle name="20% - Accent5 2 3 2 10" xfId="6997" xr:uid="{00000000-0005-0000-0000-0000461F0000}"/>
    <cellStyle name="20% - Accent5 2 3 2 10 2" xfId="16993" xr:uid="{00000000-0005-0000-0000-0000471F0000}"/>
    <cellStyle name="20% - Accent5 2 3 2 10 2 2" xfId="36393" xr:uid="{00000000-0005-0000-0000-0000481F0000}"/>
    <cellStyle name="20% - Accent5 2 3 2 10 3" xfId="26695" xr:uid="{00000000-0005-0000-0000-0000491F0000}"/>
    <cellStyle name="20% - Accent5 2 3 2 11" xfId="12537" xr:uid="{00000000-0005-0000-0000-00004A1F0000}"/>
    <cellStyle name="20% - Accent5 2 3 2 11 2" xfId="31938" xr:uid="{00000000-0005-0000-0000-00004B1F0000}"/>
    <cellStyle name="20% - Accent5 2 3 2 12" xfId="22240" xr:uid="{00000000-0005-0000-0000-00004C1F0000}"/>
    <cellStyle name="20% - Accent5 2 3 2 2" xfId="2054" xr:uid="{00000000-0005-0000-0000-00004D1F0000}"/>
    <cellStyle name="20% - Accent5 2 3 2 2 10" xfId="12538" xr:uid="{00000000-0005-0000-0000-00004E1F0000}"/>
    <cellStyle name="20% - Accent5 2 3 2 2 10 2" xfId="31939" xr:uid="{00000000-0005-0000-0000-00004F1F0000}"/>
    <cellStyle name="20% - Accent5 2 3 2 2 11" xfId="22241" xr:uid="{00000000-0005-0000-0000-0000501F0000}"/>
    <cellStyle name="20% - Accent5 2 3 2 2 2" xfId="2055" xr:uid="{00000000-0005-0000-0000-0000511F0000}"/>
    <cellStyle name="20% - Accent5 2 3 2 2 2 2" xfId="3050" xr:uid="{00000000-0005-0000-0000-0000521F0000}"/>
    <cellStyle name="20% - Accent5 2 3 2 2 2 2 2" xfId="5319" xr:uid="{00000000-0005-0000-0000-0000531F0000}"/>
    <cellStyle name="20% - Accent5 2 3 2 2 2 2 2 2" xfId="9783" xr:uid="{00000000-0005-0000-0000-0000541F0000}"/>
    <cellStyle name="20% - Accent5 2 3 2 2 2 2 2 2 2" xfId="19779" xr:uid="{00000000-0005-0000-0000-0000551F0000}"/>
    <cellStyle name="20% - Accent5 2 3 2 2 2 2 2 2 2 2" xfId="39179" xr:uid="{00000000-0005-0000-0000-0000561F0000}"/>
    <cellStyle name="20% - Accent5 2 3 2 2 2 2 2 2 3" xfId="29481" xr:uid="{00000000-0005-0000-0000-0000571F0000}"/>
    <cellStyle name="20% - Accent5 2 3 2 2 2 2 2 3" xfId="15324" xr:uid="{00000000-0005-0000-0000-0000581F0000}"/>
    <cellStyle name="20% - Accent5 2 3 2 2 2 2 2 3 2" xfId="34724" xr:uid="{00000000-0005-0000-0000-0000591F0000}"/>
    <cellStyle name="20% - Accent5 2 3 2 2 2 2 2 4" xfId="25026" xr:uid="{00000000-0005-0000-0000-00005A1F0000}"/>
    <cellStyle name="20% - Accent5 2 3 2 2 2 2 3" xfId="7555" xr:uid="{00000000-0005-0000-0000-00005B1F0000}"/>
    <cellStyle name="20% - Accent5 2 3 2 2 2 2 3 2" xfId="17551" xr:uid="{00000000-0005-0000-0000-00005C1F0000}"/>
    <cellStyle name="20% - Accent5 2 3 2 2 2 2 3 2 2" xfId="36951" xr:uid="{00000000-0005-0000-0000-00005D1F0000}"/>
    <cellStyle name="20% - Accent5 2 3 2 2 2 2 3 3" xfId="27253" xr:uid="{00000000-0005-0000-0000-00005E1F0000}"/>
    <cellStyle name="20% - Accent5 2 3 2 2 2 2 4" xfId="13096" xr:uid="{00000000-0005-0000-0000-00005F1F0000}"/>
    <cellStyle name="20% - Accent5 2 3 2 2 2 2 4 2" xfId="32496" xr:uid="{00000000-0005-0000-0000-0000601F0000}"/>
    <cellStyle name="20% - Accent5 2 3 2 2 2 2 5" xfId="22798" xr:uid="{00000000-0005-0000-0000-0000611F0000}"/>
    <cellStyle name="20% - Accent5 2 3 2 2 2 3" xfId="3633" xr:uid="{00000000-0005-0000-0000-0000621F0000}"/>
    <cellStyle name="20% - Accent5 2 3 2 2 2 3 2" xfId="4763" xr:uid="{00000000-0005-0000-0000-0000631F0000}"/>
    <cellStyle name="20% - Accent5 2 3 2 2 2 3 2 2" xfId="9227" xr:uid="{00000000-0005-0000-0000-0000641F0000}"/>
    <cellStyle name="20% - Accent5 2 3 2 2 2 3 2 2 2" xfId="19223" xr:uid="{00000000-0005-0000-0000-0000651F0000}"/>
    <cellStyle name="20% - Accent5 2 3 2 2 2 3 2 2 2 2" xfId="38623" xr:uid="{00000000-0005-0000-0000-0000661F0000}"/>
    <cellStyle name="20% - Accent5 2 3 2 2 2 3 2 2 3" xfId="28925" xr:uid="{00000000-0005-0000-0000-0000671F0000}"/>
    <cellStyle name="20% - Accent5 2 3 2 2 2 3 2 3" xfId="14768" xr:uid="{00000000-0005-0000-0000-0000681F0000}"/>
    <cellStyle name="20% - Accent5 2 3 2 2 2 3 2 3 2" xfId="34168" xr:uid="{00000000-0005-0000-0000-0000691F0000}"/>
    <cellStyle name="20% - Accent5 2 3 2 2 2 3 2 4" xfId="24470" xr:uid="{00000000-0005-0000-0000-00006A1F0000}"/>
    <cellStyle name="20% - Accent5 2 3 2 2 2 3 3" xfId="8112" xr:uid="{00000000-0005-0000-0000-00006B1F0000}"/>
    <cellStyle name="20% - Accent5 2 3 2 2 2 3 3 2" xfId="18108" xr:uid="{00000000-0005-0000-0000-00006C1F0000}"/>
    <cellStyle name="20% - Accent5 2 3 2 2 2 3 3 2 2" xfId="37508" xr:uid="{00000000-0005-0000-0000-00006D1F0000}"/>
    <cellStyle name="20% - Accent5 2 3 2 2 2 3 3 3" xfId="27810" xr:uid="{00000000-0005-0000-0000-00006E1F0000}"/>
    <cellStyle name="20% - Accent5 2 3 2 2 2 3 4" xfId="13653" xr:uid="{00000000-0005-0000-0000-00006F1F0000}"/>
    <cellStyle name="20% - Accent5 2 3 2 2 2 3 4 2" xfId="33053" xr:uid="{00000000-0005-0000-0000-0000701F0000}"/>
    <cellStyle name="20% - Accent5 2 3 2 2 2 3 5" xfId="23355" xr:uid="{00000000-0005-0000-0000-0000711F0000}"/>
    <cellStyle name="20% - Accent5 2 3 2 2 2 4" xfId="4206" xr:uid="{00000000-0005-0000-0000-0000721F0000}"/>
    <cellStyle name="20% - Accent5 2 3 2 2 2 4 2" xfId="8670" xr:uid="{00000000-0005-0000-0000-0000731F0000}"/>
    <cellStyle name="20% - Accent5 2 3 2 2 2 4 2 2" xfId="18666" xr:uid="{00000000-0005-0000-0000-0000741F0000}"/>
    <cellStyle name="20% - Accent5 2 3 2 2 2 4 2 2 2" xfId="38066" xr:uid="{00000000-0005-0000-0000-0000751F0000}"/>
    <cellStyle name="20% - Accent5 2 3 2 2 2 4 2 3" xfId="28368" xr:uid="{00000000-0005-0000-0000-0000761F0000}"/>
    <cellStyle name="20% - Accent5 2 3 2 2 2 4 3" xfId="14211" xr:uid="{00000000-0005-0000-0000-0000771F0000}"/>
    <cellStyle name="20% - Accent5 2 3 2 2 2 4 3 2" xfId="33611" xr:uid="{00000000-0005-0000-0000-0000781F0000}"/>
    <cellStyle name="20% - Accent5 2 3 2 2 2 4 4" xfId="23913" xr:uid="{00000000-0005-0000-0000-0000791F0000}"/>
    <cellStyle name="20% - Accent5 2 3 2 2 2 5" xfId="5876" xr:uid="{00000000-0005-0000-0000-00007A1F0000}"/>
    <cellStyle name="20% - Accent5 2 3 2 2 2 5 2" xfId="10340" xr:uid="{00000000-0005-0000-0000-00007B1F0000}"/>
    <cellStyle name="20% - Accent5 2 3 2 2 2 5 2 2" xfId="20336" xr:uid="{00000000-0005-0000-0000-00007C1F0000}"/>
    <cellStyle name="20% - Accent5 2 3 2 2 2 5 2 2 2" xfId="39736" xr:uid="{00000000-0005-0000-0000-00007D1F0000}"/>
    <cellStyle name="20% - Accent5 2 3 2 2 2 5 2 3" xfId="30038" xr:uid="{00000000-0005-0000-0000-00007E1F0000}"/>
    <cellStyle name="20% - Accent5 2 3 2 2 2 5 3" xfId="15881" xr:uid="{00000000-0005-0000-0000-00007F1F0000}"/>
    <cellStyle name="20% - Accent5 2 3 2 2 2 5 3 2" xfId="35281" xr:uid="{00000000-0005-0000-0000-0000801F0000}"/>
    <cellStyle name="20% - Accent5 2 3 2 2 2 5 4" xfId="25583" xr:uid="{00000000-0005-0000-0000-0000811F0000}"/>
    <cellStyle name="20% - Accent5 2 3 2 2 2 6" xfId="6442" xr:uid="{00000000-0005-0000-0000-0000821F0000}"/>
    <cellStyle name="20% - Accent5 2 3 2 2 2 6 2" xfId="10897" xr:uid="{00000000-0005-0000-0000-0000831F0000}"/>
    <cellStyle name="20% - Accent5 2 3 2 2 2 6 2 2" xfId="20893" xr:uid="{00000000-0005-0000-0000-0000841F0000}"/>
    <cellStyle name="20% - Accent5 2 3 2 2 2 6 2 2 2" xfId="40293" xr:uid="{00000000-0005-0000-0000-0000851F0000}"/>
    <cellStyle name="20% - Accent5 2 3 2 2 2 6 2 3" xfId="30595" xr:uid="{00000000-0005-0000-0000-0000861F0000}"/>
    <cellStyle name="20% - Accent5 2 3 2 2 2 6 3" xfId="16438" xr:uid="{00000000-0005-0000-0000-0000871F0000}"/>
    <cellStyle name="20% - Accent5 2 3 2 2 2 6 3 2" xfId="35838" xr:uid="{00000000-0005-0000-0000-0000881F0000}"/>
    <cellStyle name="20% - Accent5 2 3 2 2 2 6 4" xfId="26140" xr:uid="{00000000-0005-0000-0000-0000891F0000}"/>
    <cellStyle name="20% - Accent5 2 3 2 2 2 7" xfId="6999" xr:uid="{00000000-0005-0000-0000-00008A1F0000}"/>
    <cellStyle name="20% - Accent5 2 3 2 2 2 7 2" xfId="16995" xr:uid="{00000000-0005-0000-0000-00008B1F0000}"/>
    <cellStyle name="20% - Accent5 2 3 2 2 2 7 2 2" xfId="36395" xr:uid="{00000000-0005-0000-0000-00008C1F0000}"/>
    <cellStyle name="20% - Accent5 2 3 2 2 2 7 3" xfId="26697" xr:uid="{00000000-0005-0000-0000-00008D1F0000}"/>
    <cellStyle name="20% - Accent5 2 3 2 2 2 8" xfId="12539" xr:uid="{00000000-0005-0000-0000-00008E1F0000}"/>
    <cellStyle name="20% - Accent5 2 3 2 2 2 8 2" xfId="31940" xr:uid="{00000000-0005-0000-0000-00008F1F0000}"/>
    <cellStyle name="20% - Accent5 2 3 2 2 2 9" xfId="22242" xr:uid="{00000000-0005-0000-0000-0000901F0000}"/>
    <cellStyle name="20% - Accent5 2 3 2 2 3" xfId="2056" xr:uid="{00000000-0005-0000-0000-0000911F0000}"/>
    <cellStyle name="20% - Accent5 2 3 2 2 3 2" xfId="3051" xr:uid="{00000000-0005-0000-0000-0000921F0000}"/>
    <cellStyle name="20% - Accent5 2 3 2 2 3 2 2" xfId="5320" xr:uid="{00000000-0005-0000-0000-0000931F0000}"/>
    <cellStyle name="20% - Accent5 2 3 2 2 3 2 2 2" xfId="9784" xr:uid="{00000000-0005-0000-0000-0000941F0000}"/>
    <cellStyle name="20% - Accent5 2 3 2 2 3 2 2 2 2" xfId="19780" xr:uid="{00000000-0005-0000-0000-0000951F0000}"/>
    <cellStyle name="20% - Accent5 2 3 2 2 3 2 2 2 2 2" xfId="39180" xr:uid="{00000000-0005-0000-0000-0000961F0000}"/>
    <cellStyle name="20% - Accent5 2 3 2 2 3 2 2 2 3" xfId="29482" xr:uid="{00000000-0005-0000-0000-0000971F0000}"/>
    <cellStyle name="20% - Accent5 2 3 2 2 3 2 2 3" xfId="15325" xr:uid="{00000000-0005-0000-0000-0000981F0000}"/>
    <cellStyle name="20% - Accent5 2 3 2 2 3 2 2 3 2" xfId="34725" xr:uid="{00000000-0005-0000-0000-0000991F0000}"/>
    <cellStyle name="20% - Accent5 2 3 2 2 3 2 2 4" xfId="25027" xr:uid="{00000000-0005-0000-0000-00009A1F0000}"/>
    <cellStyle name="20% - Accent5 2 3 2 2 3 2 3" xfId="7556" xr:uid="{00000000-0005-0000-0000-00009B1F0000}"/>
    <cellStyle name="20% - Accent5 2 3 2 2 3 2 3 2" xfId="17552" xr:uid="{00000000-0005-0000-0000-00009C1F0000}"/>
    <cellStyle name="20% - Accent5 2 3 2 2 3 2 3 2 2" xfId="36952" xr:uid="{00000000-0005-0000-0000-00009D1F0000}"/>
    <cellStyle name="20% - Accent5 2 3 2 2 3 2 3 3" xfId="27254" xr:uid="{00000000-0005-0000-0000-00009E1F0000}"/>
    <cellStyle name="20% - Accent5 2 3 2 2 3 2 4" xfId="13097" xr:uid="{00000000-0005-0000-0000-00009F1F0000}"/>
    <cellStyle name="20% - Accent5 2 3 2 2 3 2 4 2" xfId="32497" xr:uid="{00000000-0005-0000-0000-0000A01F0000}"/>
    <cellStyle name="20% - Accent5 2 3 2 2 3 2 5" xfId="22799" xr:uid="{00000000-0005-0000-0000-0000A11F0000}"/>
    <cellStyle name="20% - Accent5 2 3 2 2 3 3" xfId="3634" xr:uid="{00000000-0005-0000-0000-0000A21F0000}"/>
    <cellStyle name="20% - Accent5 2 3 2 2 3 3 2" xfId="4764" xr:uid="{00000000-0005-0000-0000-0000A31F0000}"/>
    <cellStyle name="20% - Accent5 2 3 2 2 3 3 2 2" xfId="9228" xr:uid="{00000000-0005-0000-0000-0000A41F0000}"/>
    <cellStyle name="20% - Accent5 2 3 2 2 3 3 2 2 2" xfId="19224" xr:uid="{00000000-0005-0000-0000-0000A51F0000}"/>
    <cellStyle name="20% - Accent5 2 3 2 2 3 3 2 2 2 2" xfId="38624" xr:uid="{00000000-0005-0000-0000-0000A61F0000}"/>
    <cellStyle name="20% - Accent5 2 3 2 2 3 3 2 2 3" xfId="28926" xr:uid="{00000000-0005-0000-0000-0000A71F0000}"/>
    <cellStyle name="20% - Accent5 2 3 2 2 3 3 2 3" xfId="14769" xr:uid="{00000000-0005-0000-0000-0000A81F0000}"/>
    <cellStyle name="20% - Accent5 2 3 2 2 3 3 2 3 2" xfId="34169" xr:uid="{00000000-0005-0000-0000-0000A91F0000}"/>
    <cellStyle name="20% - Accent5 2 3 2 2 3 3 2 4" xfId="24471" xr:uid="{00000000-0005-0000-0000-0000AA1F0000}"/>
    <cellStyle name="20% - Accent5 2 3 2 2 3 3 3" xfId="8113" xr:uid="{00000000-0005-0000-0000-0000AB1F0000}"/>
    <cellStyle name="20% - Accent5 2 3 2 2 3 3 3 2" xfId="18109" xr:uid="{00000000-0005-0000-0000-0000AC1F0000}"/>
    <cellStyle name="20% - Accent5 2 3 2 2 3 3 3 2 2" xfId="37509" xr:uid="{00000000-0005-0000-0000-0000AD1F0000}"/>
    <cellStyle name="20% - Accent5 2 3 2 2 3 3 3 3" xfId="27811" xr:uid="{00000000-0005-0000-0000-0000AE1F0000}"/>
    <cellStyle name="20% - Accent5 2 3 2 2 3 3 4" xfId="13654" xr:uid="{00000000-0005-0000-0000-0000AF1F0000}"/>
    <cellStyle name="20% - Accent5 2 3 2 2 3 3 4 2" xfId="33054" xr:uid="{00000000-0005-0000-0000-0000B01F0000}"/>
    <cellStyle name="20% - Accent5 2 3 2 2 3 3 5" xfId="23356" xr:uid="{00000000-0005-0000-0000-0000B11F0000}"/>
    <cellStyle name="20% - Accent5 2 3 2 2 3 4" xfId="4207" xr:uid="{00000000-0005-0000-0000-0000B21F0000}"/>
    <cellStyle name="20% - Accent5 2 3 2 2 3 4 2" xfId="8671" xr:uid="{00000000-0005-0000-0000-0000B31F0000}"/>
    <cellStyle name="20% - Accent5 2 3 2 2 3 4 2 2" xfId="18667" xr:uid="{00000000-0005-0000-0000-0000B41F0000}"/>
    <cellStyle name="20% - Accent5 2 3 2 2 3 4 2 2 2" xfId="38067" xr:uid="{00000000-0005-0000-0000-0000B51F0000}"/>
    <cellStyle name="20% - Accent5 2 3 2 2 3 4 2 3" xfId="28369" xr:uid="{00000000-0005-0000-0000-0000B61F0000}"/>
    <cellStyle name="20% - Accent5 2 3 2 2 3 4 3" xfId="14212" xr:uid="{00000000-0005-0000-0000-0000B71F0000}"/>
    <cellStyle name="20% - Accent5 2 3 2 2 3 4 3 2" xfId="33612" xr:uid="{00000000-0005-0000-0000-0000B81F0000}"/>
    <cellStyle name="20% - Accent5 2 3 2 2 3 4 4" xfId="23914" xr:uid="{00000000-0005-0000-0000-0000B91F0000}"/>
    <cellStyle name="20% - Accent5 2 3 2 2 3 5" xfId="5877" xr:uid="{00000000-0005-0000-0000-0000BA1F0000}"/>
    <cellStyle name="20% - Accent5 2 3 2 2 3 5 2" xfId="10341" xr:uid="{00000000-0005-0000-0000-0000BB1F0000}"/>
    <cellStyle name="20% - Accent5 2 3 2 2 3 5 2 2" xfId="20337" xr:uid="{00000000-0005-0000-0000-0000BC1F0000}"/>
    <cellStyle name="20% - Accent5 2 3 2 2 3 5 2 2 2" xfId="39737" xr:uid="{00000000-0005-0000-0000-0000BD1F0000}"/>
    <cellStyle name="20% - Accent5 2 3 2 2 3 5 2 3" xfId="30039" xr:uid="{00000000-0005-0000-0000-0000BE1F0000}"/>
    <cellStyle name="20% - Accent5 2 3 2 2 3 5 3" xfId="15882" xr:uid="{00000000-0005-0000-0000-0000BF1F0000}"/>
    <cellStyle name="20% - Accent5 2 3 2 2 3 5 3 2" xfId="35282" xr:uid="{00000000-0005-0000-0000-0000C01F0000}"/>
    <cellStyle name="20% - Accent5 2 3 2 2 3 5 4" xfId="25584" xr:uid="{00000000-0005-0000-0000-0000C11F0000}"/>
    <cellStyle name="20% - Accent5 2 3 2 2 3 6" xfId="6443" xr:uid="{00000000-0005-0000-0000-0000C21F0000}"/>
    <cellStyle name="20% - Accent5 2 3 2 2 3 6 2" xfId="10898" xr:uid="{00000000-0005-0000-0000-0000C31F0000}"/>
    <cellStyle name="20% - Accent5 2 3 2 2 3 6 2 2" xfId="20894" xr:uid="{00000000-0005-0000-0000-0000C41F0000}"/>
    <cellStyle name="20% - Accent5 2 3 2 2 3 6 2 2 2" xfId="40294" xr:uid="{00000000-0005-0000-0000-0000C51F0000}"/>
    <cellStyle name="20% - Accent5 2 3 2 2 3 6 2 3" xfId="30596" xr:uid="{00000000-0005-0000-0000-0000C61F0000}"/>
    <cellStyle name="20% - Accent5 2 3 2 2 3 6 3" xfId="16439" xr:uid="{00000000-0005-0000-0000-0000C71F0000}"/>
    <cellStyle name="20% - Accent5 2 3 2 2 3 6 3 2" xfId="35839" xr:uid="{00000000-0005-0000-0000-0000C81F0000}"/>
    <cellStyle name="20% - Accent5 2 3 2 2 3 6 4" xfId="26141" xr:uid="{00000000-0005-0000-0000-0000C91F0000}"/>
    <cellStyle name="20% - Accent5 2 3 2 2 3 7" xfId="7000" xr:uid="{00000000-0005-0000-0000-0000CA1F0000}"/>
    <cellStyle name="20% - Accent5 2 3 2 2 3 7 2" xfId="16996" xr:uid="{00000000-0005-0000-0000-0000CB1F0000}"/>
    <cellStyle name="20% - Accent5 2 3 2 2 3 7 2 2" xfId="36396" xr:uid="{00000000-0005-0000-0000-0000CC1F0000}"/>
    <cellStyle name="20% - Accent5 2 3 2 2 3 7 3" xfId="26698" xr:uid="{00000000-0005-0000-0000-0000CD1F0000}"/>
    <cellStyle name="20% - Accent5 2 3 2 2 3 8" xfId="12540" xr:uid="{00000000-0005-0000-0000-0000CE1F0000}"/>
    <cellStyle name="20% - Accent5 2 3 2 2 3 8 2" xfId="31941" xr:uid="{00000000-0005-0000-0000-0000CF1F0000}"/>
    <cellStyle name="20% - Accent5 2 3 2 2 3 9" xfId="22243" xr:uid="{00000000-0005-0000-0000-0000D01F0000}"/>
    <cellStyle name="20% - Accent5 2 3 2 2 4" xfId="3049" xr:uid="{00000000-0005-0000-0000-0000D11F0000}"/>
    <cellStyle name="20% - Accent5 2 3 2 2 4 2" xfId="5318" xr:uid="{00000000-0005-0000-0000-0000D21F0000}"/>
    <cellStyle name="20% - Accent5 2 3 2 2 4 2 2" xfId="9782" xr:uid="{00000000-0005-0000-0000-0000D31F0000}"/>
    <cellStyle name="20% - Accent5 2 3 2 2 4 2 2 2" xfId="19778" xr:uid="{00000000-0005-0000-0000-0000D41F0000}"/>
    <cellStyle name="20% - Accent5 2 3 2 2 4 2 2 2 2" xfId="39178" xr:uid="{00000000-0005-0000-0000-0000D51F0000}"/>
    <cellStyle name="20% - Accent5 2 3 2 2 4 2 2 3" xfId="29480" xr:uid="{00000000-0005-0000-0000-0000D61F0000}"/>
    <cellStyle name="20% - Accent5 2 3 2 2 4 2 3" xfId="15323" xr:uid="{00000000-0005-0000-0000-0000D71F0000}"/>
    <cellStyle name="20% - Accent5 2 3 2 2 4 2 3 2" xfId="34723" xr:uid="{00000000-0005-0000-0000-0000D81F0000}"/>
    <cellStyle name="20% - Accent5 2 3 2 2 4 2 4" xfId="25025" xr:uid="{00000000-0005-0000-0000-0000D91F0000}"/>
    <cellStyle name="20% - Accent5 2 3 2 2 4 3" xfId="7554" xr:uid="{00000000-0005-0000-0000-0000DA1F0000}"/>
    <cellStyle name="20% - Accent5 2 3 2 2 4 3 2" xfId="17550" xr:uid="{00000000-0005-0000-0000-0000DB1F0000}"/>
    <cellStyle name="20% - Accent5 2 3 2 2 4 3 2 2" xfId="36950" xr:uid="{00000000-0005-0000-0000-0000DC1F0000}"/>
    <cellStyle name="20% - Accent5 2 3 2 2 4 3 3" xfId="27252" xr:uid="{00000000-0005-0000-0000-0000DD1F0000}"/>
    <cellStyle name="20% - Accent5 2 3 2 2 4 4" xfId="13095" xr:uid="{00000000-0005-0000-0000-0000DE1F0000}"/>
    <cellStyle name="20% - Accent5 2 3 2 2 4 4 2" xfId="32495" xr:uid="{00000000-0005-0000-0000-0000DF1F0000}"/>
    <cellStyle name="20% - Accent5 2 3 2 2 4 5" xfId="22797" xr:uid="{00000000-0005-0000-0000-0000E01F0000}"/>
    <cellStyle name="20% - Accent5 2 3 2 2 5" xfId="3632" xr:uid="{00000000-0005-0000-0000-0000E11F0000}"/>
    <cellStyle name="20% - Accent5 2 3 2 2 5 2" xfId="4762" xr:uid="{00000000-0005-0000-0000-0000E21F0000}"/>
    <cellStyle name="20% - Accent5 2 3 2 2 5 2 2" xfId="9226" xr:uid="{00000000-0005-0000-0000-0000E31F0000}"/>
    <cellStyle name="20% - Accent5 2 3 2 2 5 2 2 2" xfId="19222" xr:uid="{00000000-0005-0000-0000-0000E41F0000}"/>
    <cellStyle name="20% - Accent5 2 3 2 2 5 2 2 2 2" xfId="38622" xr:uid="{00000000-0005-0000-0000-0000E51F0000}"/>
    <cellStyle name="20% - Accent5 2 3 2 2 5 2 2 3" xfId="28924" xr:uid="{00000000-0005-0000-0000-0000E61F0000}"/>
    <cellStyle name="20% - Accent5 2 3 2 2 5 2 3" xfId="14767" xr:uid="{00000000-0005-0000-0000-0000E71F0000}"/>
    <cellStyle name="20% - Accent5 2 3 2 2 5 2 3 2" xfId="34167" xr:uid="{00000000-0005-0000-0000-0000E81F0000}"/>
    <cellStyle name="20% - Accent5 2 3 2 2 5 2 4" xfId="24469" xr:uid="{00000000-0005-0000-0000-0000E91F0000}"/>
    <cellStyle name="20% - Accent5 2 3 2 2 5 3" xfId="8111" xr:uid="{00000000-0005-0000-0000-0000EA1F0000}"/>
    <cellStyle name="20% - Accent5 2 3 2 2 5 3 2" xfId="18107" xr:uid="{00000000-0005-0000-0000-0000EB1F0000}"/>
    <cellStyle name="20% - Accent5 2 3 2 2 5 3 2 2" xfId="37507" xr:uid="{00000000-0005-0000-0000-0000EC1F0000}"/>
    <cellStyle name="20% - Accent5 2 3 2 2 5 3 3" xfId="27809" xr:uid="{00000000-0005-0000-0000-0000ED1F0000}"/>
    <cellStyle name="20% - Accent5 2 3 2 2 5 4" xfId="13652" xr:uid="{00000000-0005-0000-0000-0000EE1F0000}"/>
    <cellStyle name="20% - Accent5 2 3 2 2 5 4 2" xfId="33052" xr:uid="{00000000-0005-0000-0000-0000EF1F0000}"/>
    <cellStyle name="20% - Accent5 2 3 2 2 5 5" xfId="23354" xr:uid="{00000000-0005-0000-0000-0000F01F0000}"/>
    <cellStyle name="20% - Accent5 2 3 2 2 6" xfId="4205" xr:uid="{00000000-0005-0000-0000-0000F11F0000}"/>
    <cellStyle name="20% - Accent5 2 3 2 2 6 2" xfId="8669" xr:uid="{00000000-0005-0000-0000-0000F21F0000}"/>
    <cellStyle name="20% - Accent5 2 3 2 2 6 2 2" xfId="18665" xr:uid="{00000000-0005-0000-0000-0000F31F0000}"/>
    <cellStyle name="20% - Accent5 2 3 2 2 6 2 2 2" xfId="38065" xr:uid="{00000000-0005-0000-0000-0000F41F0000}"/>
    <cellStyle name="20% - Accent5 2 3 2 2 6 2 3" xfId="28367" xr:uid="{00000000-0005-0000-0000-0000F51F0000}"/>
    <cellStyle name="20% - Accent5 2 3 2 2 6 3" xfId="14210" xr:uid="{00000000-0005-0000-0000-0000F61F0000}"/>
    <cellStyle name="20% - Accent5 2 3 2 2 6 3 2" xfId="33610" xr:uid="{00000000-0005-0000-0000-0000F71F0000}"/>
    <cellStyle name="20% - Accent5 2 3 2 2 6 4" xfId="23912" xr:uid="{00000000-0005-0000-0000-0000F81F0000}"/>
    <cellStyle name="20% - Accent5 2 3 2 2 7" xfId="5875" xr:uid="{00000000-0005-0000-0000-0000F91F0000}"/>
    <cellStyle name="20% - Accent5 2 3 2 2 7 2" xfId="10339" xr:uid="{00000000-0005-0000-0000-0000FA1F0000}"/>
    <cellStyle name="20% - Accent5 2 3 2 2 7 2 2" xfId="20335" xr:uid="{00000000-0005-0000-0000-0000FB1F0000}"/>
    <cellStyle name="20% - Accent5 2 3 2 2 7 2 2 2" xfId="39735" xr:uid="{00000000-0005-0000-0000-0000FC1F0000}"/>
    <cellStyle name="20% - Accent5 2 3 2 2 7 2 3" xfId="30037" xr:uid="{00000000-0005-0000-0000-0000FD1F0000}"/>
    <cellStyle name="20% - Accent5 2 3 2 2 7 3" xfId="15880" xr:uid="{00000000-0005-0000-0000-0000FE1F0000}"/>
    <cellStyle name="20% - Accent5 2 3 2 2 7 3 2" xfId="35280" xr:uid="{00000000-0005-0000-0000-0000FF1F0000}"/>
    <cellStyle name="20% - Accent5 2 3 2 2 7 4" xfId="25582" xr:uid="{00000000-0005-0000-0000-000000200000}"/>
    <cellStyle name="20% - Accent5 2 3 2 2 8" xfId="6441" xr:uid="{00000000-0005-0000-0000-000001200000}"/>
    <cellStyle name="20% - Accent5 2 3 2 2 8 2" xfId="10896" xr:uid="{00000000-0005-0000-0000-000002200000}"/>
    <cellStyle name="20% - Accent5 2 3 2 2 8 2 2" xfId="20892" xr:uid="{00000000-0005-0000-0000-000003200000}"/>
    <cellStyle name="20% - Accent5 2 3 2 2 8 2 2 2" xfId="40292" xr:uid="{00000000-0005-0000-0000-000004200000}"/>
    <cellStyle name="20% - Accent5 2 3 2 2 8 2 3" xfId="30594" xr:uid="{00000000-0005-0000-0000-000005200000}"/>
    <cellStyle name="20% - Accent5 2 3 2 2 8 3" xfId="16437" xr:uid="{00000000-0005-0000-0000-000006200000}"/>
    <cellStyle name="20% - Accent5 2 3 2 2 8 3 2" xfId="35837" xr:uid="{00000000-0005-0000-0000-000007200000}"/>
    <cellStyle name="20% - Accent5 2 3 2 2 8 4" xfId="26139" xr:uid="{00000000-0005-0000-0000-000008200000}"/>
    <cellStyle name="20% - Accent5 2 3 2 2 9" xfId="6998" xr:uid="{00000000-0005-0000-0000-000009200000}"/>
    <cellStyle name="20% - Accent5 2 3 2 2 9 2" xfId="16994" xr:uid="{00000000-0005-0000-0000-00000A200000}"/>
    <cellStyle name="20% - Accent5 2 3 2 2 9 2 2" xfId="36394" xr:uid="{00000000-0005-0000-0000-00000B200000}"/>
    <cellStyle name="20% - Accent5 2 3 2 2 9 3" xfId="26696" xr:uid="{00000000-0005-0000-0000-00000C200000}"/>
    <cellStyle name="20% - Accent5 2 3 2 3" xfId="2057" xr:uid="{00000000-0005-0000-0000-00000D200000}"/>
    <cellStyle name="20% - Accent5 2 3 2 3 2" xfId="3052" xr:uid="{00000000-0005-0000-0000-00000E200000}"/>
    <cellStyle name="20% - Accent5 2 3 2 3 2 2" xfId="5321" xr:uid="{00000000-0005-0000-0000-00000F200000}"/>
    <cellStyle name="20% - Accent5 2 3 2 3 2 2 2" xfId="9785" xr:uid="{00000000-0005-0000-0000-000010200000}"/>
    <cellStyle name="20% - Accent5 2 3 2 3 2 2 2 2" xfId="19781" xr:uid="{00000000-0005-0000-0000-000011200000}"/>
    <cellStyle name="20% - Accent5 2 3 2 3 2 2 2 2 2" xfId="39181" xr:uid="{00000000-0005-0000-0000-000012200000}"/>
    <cellStyle name="20% - Accent5 2 3 2 3 2 2 2 3" xfId="29483" xr:uid="{00000000-0005-0000-0000-000013200000}"/>
    <cellStyle name="20% - Accent5 2 3 2 3 2 2 3" xfId="15326" xr:uid="{00000000-0005-0000-0000-000014200000}"/>
    <cellStyle name="20% - Accent5 2 3 2 3 2 2 3 2" xfId="34726" xr:uid="{00000000-0005-0000-0000-000015200000}"/>
    <cellStyle name="20% - Accent5 2 3 2 3 2 2 4" xfId="25028" xr:uid="{00000000-0005-0000-0000-000016200000}"/>
    <cellStyle name="20% - Accent5 2 3 2 3 2 3" xfId="7557" xr:uid="{00000000-0005-0000-0000-000017200000}"/>
    <cellStyle name="20% - Accent5 2 3 2 3 2 3 2" xfId="17553" xr:uid="{00000000-0005-0000-0000-000018200000}"/>
    <cellStyle name="20% - Accent5 2 3 2 3 2 3 2 2" xfId="36953" xr:uid="{00000000-0005-0000-0000-000019200000}"/>
    <cellStyle name="20% - Accent5 2 3 2 3 2 3 3" xfId="27255" xr:uid="{00000000-0005-0000-0000-00001A200000}"/>
    <cellStyle name="20% - Accent5 2 3 2 3 2 4" xfId="13098" xr:uid="{00000000-0005-0000-0000-00001B200000}"/>
    <cellStyle name="20% - Accent5 2 3 2 3 2 4 2" xfId="32498" xr:uid="{00000000-0005-0000-0000-00001C200000}"/>
    <cellStyle name="20% - Accent5 2 3 2 3 2 5" xfId="22800" xr:uid="{00000000-0005-0000-0000-00001D200000}"/>
    <cellStyle name="20% - Accent5 2 3 2 3 3" xfId="3635" xr:uid="{00000000-0005-0000-0000-00001E200000}"/>
    <cellStyle name="20% - Accent5 2 3 2 3 3 2" xfId="4765" xr:uid="{00000000-0005-0000-0000-00001F200000}"/>
    <cellStyle name="20% - Accent5 2 3 2 3 3 2 2" xfId="9229" xr:uid="{00000000-0005-0000-0000-000020200000}"/>
    <cellStyle name="20% - Accent5 2 3 2 3 3 2 2 2" xfId="19225" xr:uid="{00000000-0005-0000-0000-000021200000}"/>
    <cellStyle name="20% - Accent5 2 3 2 3 3 2 2 2 2" xfId="38625" xr:uid="{00000000-0005-0000-0000-000022200000}"/>
    <cellStyle name="20% - Accent5 2 3 2 3 3 2 2 3" xfId="28927" xr:uid="{00000000-0005-0000-0000-000023200000}"/>
    <cellStyle name="20% - Accent5 2 3 2 3 3 2 3" xfId="14770" xr:uid="{00000000-0005-0000-0000-000024200000}"/>
    <cellStyle name="20% - Accent5 2 3 2 3 3 2 3 2" xfId="34170" xr:uid="{00000000-0005-0000-0000-000025200000}"/>
    <cellStyle name="20% - Accent5 2 3 2 3 3 2 4" xfId="24472" xr:uid="{00000000-0005-0000-0000-000026200000}"/>
    <cellStyle name="20% - Accent5 2 3 2 3 3 3" xfId="8114" xr:uid="{00000000-0005-0000-0000-000027200000}"/>
    <cellStyle name="20% - Accent5 2 3 2 3 3 3 2" xfId="18110" xr:uid="{00000000-0005-0000-0000-000028200000}"/>
    <cellStyle name="20% - Accent5 2 3 2 3 3 3 2 2" xfId="37510" xr:uid="{00000000-0005-0000-0000-000029200000}"/>
    <cellStyle name="20% - Accent5 2 3 2 3 3 3 3" xfId="27812" xr:uid="{00000000-0005-0000-0000-00002A200000}"/>
    <cellStyle name="20% - Accent5 2 3 2 3 3 4" xfId="13655" xr:uid="{00000000-0005-0000-0000-00002B200000}"/>
    <cellStyle name="20% - Accent5 2 3 2 3 3 4 2" xfId="33055" xr:uid="{00000000-0005-0000-0000-00002C200000}"/>
    <cellStyle name="20% - Accent5 2 3 2 3 3 5" xfId="23357" xr:uid="{00000000-0005-0000-0000-00002D200000}"/>
    <cellStyle name="20% - Accent5 2 3 2 3 4" xfId="4208" xr:uid="{00000000-0005-0000-0000-00002E200000}"/>
    <cellStyle name="20% - Accent5 2 3 2 3 4 2" xfId="8672" xr:uid="{00000000-0005-0000-0000-00002F200000}"/>
    <cellStyle name="20% - Accent5 2 3 2 3 4 2 2" xfId="18668" xr:uid="{00000000-0005-0000-0000-000030200000}"/>
    <cellStyle name="20% - Accent5 2 3 2 3 4 2 2 2" xfId="38068" xr:uid="{00000000-0005-0000-0000-000031200000}"/>
    <cellStyle name="20% - Accent5 2 3 2 3 4 2 3" xfId="28370" xr:uid="{00000000-0005-0000-0000-000032200000}"/>
    <cellStyle name="20% - Accent5 2 3 2 3 4 3" xfId="14213" xr:uid="{00000000-0005-0000-0000-000033200000}"/>
    <cellStyle name="20% - Accent5 2 3 2 3 4 3 2" xfId="33613" xr:uid="{00000000-0005-0000-0000-000034200000}"/>
    <cellStyle name="20% - Accent5 2 3 2 3 4 4" xfId="23915" xr:uid="{00000000-0005-0000-0000-000035200000}"/>
    <cellStyle name="20% - Accent5 2 3 2 3 5" xfId="5878" xr:uid="{00000000-0005-0000-0000-000036200000}"/>
    <cellStyle name="20% - Accent5 2 3 2 3 5 2" xfId="10342" xr:uid="{00000000-0005-0000-0000-000037200000}"/>
    <cellStyle name="20% - Accent5 2 3 2 3 5 2 2" xfId="20338" xr:uid="{00000000-0005-0000-0000-000038200000}"/>
    <cellStyle name="20% - Accent5 2 3 2 3 5 2 2 2" xfId="39738" xr:uid="{00000000-0005-0000-0000-000039200000}"/>
    <cellStyle name="20% - Accent5 2 3 2 3 5 2 3" xfId="30040" xr:uid="{00000000-0005-0000-0000-00003A200000}"/>
    <cellStyle name="20% - Accent5 2 3 2 3 5 3" xfId="15883" xr:uid="{00000000-0005-0000-0000-00003B200000}"/>
    <cellStyle name="20% - Accent5 2 3 2 3 5 3 2" xfId="35283" xr:uid="{00000000-0005-0000-0000-00003C200000}"/>
    <cellStyle name="20% - Accent5 2 3 2 3 5 4" xfId="25585" xr:uid="{00000000-0005-0000-0000-00003D200000}"/>
    <cellStyle name="20% - Accent5 2 3 2 3 6" xfId="6444" xr:uid="{00000000-0005-0000-0000-00003E200000}"/>
    <cellStyle name="20% - Accent5 2 3 2 3 6 2" xfId="10899" xr:uid="{00000000-0005-0000-0000-00003F200000}"/>
    <cellStyle name="20% - Accent5 2 3 2 3 6 2 2" xfId="20895" xr:uid="{00000000-0005-0000-0000-000040200000}"/>
    <cellStyle name="20% - Accent5 2 3 2 3 6 2 2 2" xfId="40295" xr:uid="{00000000-0005-0000-0000-000041200000}"/>
    <cellStyle name="20% - Accent5 2 3 2 3 6 2 3" xfId="30597" xr:uid="{00000000-0005-0000-0000-000042200000}"/>
    <cellStyle name="20% - Accent5 2 3 2 3 6 3" xfId="16440" xr:uid="{00000000-0005-0000-0000-000043200000}"/>
    <cellStyle name="20% - Accent5 2 3 2 3 6 3 2" xfId="35840" xr:uid="{00000000-0005-0000-0000-000044200000}"/>
    <cellStyle name="20% - Accent5 2 3 2 3 6 4" xfId="26142" xr:uid="{00000000-0005-0000-0000-000045200000}"/>
    <cellStyle name="20% - Accent5 2 3 2 3 7" xfId="7001" xr:uid="{00000000-0005-0000-0000-000046200000}"/>
    <cellStyle name="20% - Accent5 2 3 2 3 7 2" xfId="16997" xr:uid="{00000000-0005-0000-0000-000047200000}"/>
    <cellStyle name="20% - Accent5 2 3 2 3 7 2 2" xfId="36397" xr:uid="{00000000-0005-0000-0000-000048200000}"/>
    <cellStyle name="20% - Accent5 2 3 2 3 7 3" xfId="26699" xr:uid="{00000000-0005-0000-0000-000049200000}"/>
    <cellStyle name="20% - Accent5 2 3 2 3 8" xfId="12541" xr:uid="{00000000-0005-0000-0000-00004A200000}"/>
    <cellStyle name="20% - Accent5 2 3 2 3 8 2" xfId="31942" xr:uid="{00000000-0005-0000-0000-00004B200000}"/>
    <cellStyle name="20% - Accent5 2 3 2 3 9" xfId="22244" xr:uid="{00000000-0005-0000-0000-00004C200000}"/>
    <cellStyle name="20% - Accent5 2 3 2 4" xfId="2058" xr:uid="{00000000-0005-0000-0000-00004D200000}"/>
    <cellStyle name="20% - Accent5 2 3 2 4 2" xfId="3053" xr:uid="{00000000-0005-0000-0000-00004E200000}"/>
    <cellStyle name="20% - Accent5 2 3 2 4 2 2" xfId="5322" xr:uid="{00000000-0005-0000-0000-00004F200000}"/>
    <cellStyle name="20% - Accent5 2 3 2 4 2 2 2" xfId="9786" xr:uid="{00000000-0005-0000-0000-000050200000}"/>
    <cellStyle name="20% - Accent5 2 3 2 4 2 2 2 2" xfId="19782" xr:uid="{00000000-0005-0000-0000-000051200000}"/>
    <cellStyle name="20% - Accent5 2 3 2 4 2 2 2 2 2" xfId="39182" xr:uid="{00000000-0005-0000-0000-000052200000}"/>
    <cellStyle name="20% - Accent5 2 3 2 4 2 2 2 3" xfId="29484" xr:uid="{00000000-0005-0000-0000-000053200000}"/>
    <cellStyle name="20% - Accent5 2 3 2 4 2 2 3" xfId="15327" xr:uid="{00000000-0005-0000-0000-000054200000}"/>
    <cellStyle name="20% - Accent5 2 3 2 4 2 2 3 2" xfId="34727" xr:uid="{00000000-0005-0000-0000-000055200000}"/>
    <cellStyle name="20% - Accent5 2 3 2 4 2 2 4" xfId="25029" xr:uid="{00000000-0005-0000-0000-000056200000}"/>
    <cellStyle name="20% - Accent5 2 3 2 4 2 3" xfId="7558" xr:uid="{00000000-0005-0000-0000-000057200000}"/>
    <cellStyle name="20% - Accent5 2 3 2 4 2 3 2" xfId="17554" xr:uid="{00000000-0005-0000-0000-000058200000}"/>
    <cellStyle name="20% - Accent5 2 3 2 4 2 3 2 2" xfId="36954" xr:uid="{00000000-0005-0000-0000-000059200000}"/>
    <cellStyle name="20% - Accent5 2 3 2 4 2 3 3" xfId="27256" xr:uid="{00000000-0005-0000-0000-00005A200000}"/>
    <cellStyle name="20% - Accent5 2 3 2 4 2 4" xfId="13099" xr:uid="{00000000-0005-0000-0000-00005B200000}"/>
    <cellStyle name="20% - Accent5 2 3 2 4 2 4 2" xfId="32499" xr:uid="{00000000-0005-0000-0000-00005C200000}"/>
    <cellStyle name="20% - Accent5 2 3 2 4 2 5" xfId="22801" xr:uid="{00000000-0005-0000-0000-00005D200000}"/>
    <cellStyle name="20% - Accent5 2 3 2 4 3" xfId="3636" xr:uid="{00000000-0005-0000-0000-00005E200000}"/>
    <cellStyle name="20% - Accent5 2 3 2 4 3 2" xfId="4766" xr:uid="{00000000-0005-0000-0000-00005F200000}"/>
    <cellStyle name="20% - Accent5 2 3 2 4 3 2 2" xfId="9230" xr:uid="{00000000-0005-0000-0000-000060200000}"/>
    <cellStyle name="20% - Accent5 2 3 2 4 3 2 2 2" xfId="19226" xr:uid="{00000000-0005-0000-0000-000061200000}"/>
    <cellStyle name="20% - Accent5 2 3 2 4 3 2 2 2 2" xfId="38626" xr:uid="{00000000-0005-0000-0000-000062200000}"/>
    <cellStyle name="20% - Accent5 2 3 2 4 3 2 2 3" xfId="28928" xr:uid="{00000000-0005-0000-0000-000063200000}"/>
    <cellStyle name="20% - Accent5 2 3 2 4 3 2 3" xfId="14771" xr:uid="{00000000-0005-0000-0000-000064200000}"/>
    <cellStyle name="20% - Accent5 2 3 2 4 3 2 3 2" xfId="34171" xr:uid="{00000000-0005-0000-0000-000065200000}"/>
    <cellStyle name="20% - Accent5 2 3 2 4 3 2 4" xfId="24473" xr:uid="{00000000-0005-0000-0000-000066200000}"/>
    <cellStyle name="20% - Accent5 2 3 2 4 3 3" xfId="8115" xr:uid="{00000000-0005-0000-0000-000067200000}"/>
    <cellStyle name="20% - Accent5 2 3 2 4 3 3 2" xfId="18111" xr:uid="{00000000-0005-0000-0000-000068200000}"/>
    <cellStyle name="20% - Accent5 2 3 2 4 3 3 2 2" xfId="37511" xr:uid="{00000000-0005-0000-0000-000069200000}"/>
    <cellStyle name="20% - Accent5 2 3 2 4 3 3 3" xfId="27813" xr:uid="{00000000-0005-0000-0000-00006A200000}"/>
    <cellStyle name="20% - Accent5 2 3 2 4 3 4" xfId="13656" xr:uid="{00000000-0005-0000-0000-00006B200000}"/>
    <cellStyle name="20% - Accent5 2 3 2 4 3 4 2" xfId="33056" xr:uid="{00000000-0005-0000-0000-00006C200000}"/>
    <cellStyle name="20% - Accent5 2 3 2 4 3 5" xfId="23358" xr:uid="{00000000-0005-0000-0000-00006D200000}"/>
    <cellStyle name="20% - Accent5 2 3 2 4 4" xfId="4209" xr:uid="{00000000-0005-0000-0000-00006E200000}"/>
    <cellStyle name="20% - Accent5 2 3 2 4 4 2" xfId="8673" xr:uid="{00000000-0005-0000-0000-00006F200000}"/>
    <cellStyle name="20% - Accent5 2 3 2 4 4 2 2" xfId="18669" xr:uid="{00000000-0005-0000-0000-000070200000}"/>
    <cellStyle name="20% - Accent5 2 3 2 4 4 2 2 2" xfId="38069" xr:uid="{00000000-0005-0000-0000-000071200000}"/>
    <cellStyle name="20% - Accent5 2 3 2 4 4 2 3" xfId="28371" xr:uid="{00000000-0005-0000-0000-000072200000}"/>
    <cellStyle name="20% - Accent5 2 3 2 4 4 3" xfId="14214" xr:uid="{00000000-0005-0000-0000-000073200000}"/>
    <cellStyle name="20% - Accent5 2 3 2 4 4 3 2" xfId="33614" xr:uid="{00000000-0005-0000-0000-000074200000}"/>
    <cellStyle name="20% - Accent5 2 3 2 4 4 4" xfId="23916" xr:uid="{00000000-0005-0000-0000-000075200000}"/>
    <cellStyle name="20% - Accent5 2 3 2 4 5" xfId="5879" xr:uid="{00000000-0005-0000-0000-000076200000}"/>
    <cellStyle name="20% - Accent5 2 3 2 4 5 2" xfId="10343" xr:uid="{00000000-0005-0000-0000-000077200000}"/>
    <cellStyle name="20% - Accent5 2 3 2 4 5 2 2" xfId="20339" xr:uid="{00000000-0005-0000-0000-000078200000}"/>
    <cellStyle name="20% - Accent5 2 3 2 4 5 2 2 2" xfId="39739" xr:uid="{00000000-0005-0000-0000-000079200000}"/>
    <cellStyle name="20% - Accent5 2 3 2 4 5 2 3" xfId="30041" xr:uid="{00000000-0005-0000-0000-00007A200000}"/>
    <cellStyle name="20% - Accent5 2 3 2 4 5 3" xfId="15884" xr:uid="{00000000-0005-0000-0000-00007B200000}"/>
    <cellStyle name="20% - Accent5 2 3 2 4 5 3 2" xfId="35284" xr:uid="{00000000-0005-0000-0000-00007C200000}"/>
    <cellStyle name="20% - Accent5 2 3 2 4 5 4" xfId="25586" xr:uid="{00000000-0005-0000-0000-00007D200000}"/>
    <cellStyle name="20% - Accent5 2 3 2 4 6" xfId="6445" xr:uid="{00000000-0005-0000-0000-00007E200000}"/>
    <cellStyle name="20% - Accent5 2 3 2 4 6 2" xfId="10900" xr:uid="{00000000-0005-0000-0000-00007F200000}"/>
    <cellStyle name="20% - Accent5 2 3 2 4 6 2 2" xfId="20896" xr:uid="{00000000-0005-0000-0000-000080200000}"/>
    <cellStyle name="20% - Accent5 2 3 2 4 6 2 2 2" xfId="40296" xr:uid="{00000000-0005-0000-0000-000081200000}"/>
    <cellStyle name="20% - Accent5 2 3 2 4 6 2 3" xfId="30598" xr:uid="{00000000-0005-0000-0000-000082200000}"/>
    <cellStyle name="20% - Accent5 2 3 2 4 6 3" xfId="16441" xr:uid="{00000000-0005-0000-0000-000083200000}"/>
    <cellStyle name="20% - Accent5 2 3 2 4 6 3 2" xfId="35841" xr:uid="{00000000-0005-0000-0000-000084200000}"/>
    <cellStyle name="20% - Accent5 2 3 2 4 6 4" xfId="26143" xr:uid="{00000000-0005-0000-0000-000085200000}"/>
    <cellStyle name="20% - Accent5 2 3 2 4 7" xfId="7002" xr:uid="{00000000-0005-0000-0000-000086200000}"/>
    <cellStyle name="20% - Accent5 2 3 2 4 7 2" xfId="16998" xr:uid="{00000000-0005-0000-0000-000087200000}"/>
    <cellStyle name="20% - Accent5 2 3 2 4 7 2 2" xfId="36398" xr:uid="{00000000-0005-0000-0000-000088200000}"/>
    <cellStyle name="20% - Accent5 2 3 2 4 7 3" xfId="26700" xr:uid="{00000000-0005-0000-0000-000089200000}"/>
    <cellStyle name="20% - Accent5 2 3 2 4 8" xfId="12542" xr:uid="{00000000-0005-0000-0000-00008A200000}"/>
    <cellStyle name="20% - Accent5 2 3 2 4 8 2" xfId="31943" xr:uid="{00000000-0005-0000-0000-00008B200000}"/>
    <cellStyle name="20% - Accent5 2 3 2 4 9" xfId="22245" xr:uid="{00000000-0005-0000-0000-00008C200000}"/>
    <cellStyle name="20% - Accent5 2 3 2 5" xfId="3048" xr:uid="{00000000-0005-0000-0000-00008D200000}"/>
    <cellStyle name="20% - Accent5 2 3 2 5 2" xfId="5317" xr:uid="{00000000-0005-0000-0000-00008E200000}"/>
    <cellStyle name="20% - Accent5 2 3 2 5 2 2" xfId="9781" xr:uid="{00000000-0005-0000-0000-00008F200000}"/>
    <cellStyle name="20% - Accent5 2 3 2 5 2 2 2" xfId="19777" xr:uid="{00000000-0005-0000-0000-000090200000}"/>
    <cellStyle name="20% - Accent5 2 3 2 5 2 2 2 2" xfId="39177" xr:uid="{00000000-0005-0000-0000-000091200000}"/>
    <cellStyle name="20% - Accent5 2 3 2 5 2 2 3" xfId="29479" xr:uid="{00000000-0005-0000-0000-000092200000}"/>
    <cellStyle name="20% - Accent5 2 3 2 5 2 3" xfId="15322" xr:uid="{00000000-0005-0000-0000-000093200000}"/>
    <cellStyle name="20% - Accent5 2 3 2 5 2 3 2" xfId="34722" xr:uid="{00000000-0005-0000-0000-000094200000}"/>
    <cellStyle name="20% - Accent5 2 3 2 5 2 4" xfId="25024" xr:uid="{00000000-0005-0000-0000-000095200000}"/>
    <cellStyle name="20% - Accent5 2 3 2 5 3" xfId="7553" xr:uid="{00000000-0005-0000-0000-000096200000}"/>
    <cellStyle name="20% - Accent5 2 3 2 5 3 2" xfId="17549" xr:uid="{00000000-0005-0000-0000-000097200000}"/>
    <cellStyle name="20% - Accent5 2 3 2 5 3 2 2" xfId="36949" xr:uid="{00000000-0005-0000-0000-000098200000}"/>
    <cellStyle name="20% - Accent5 2 3 2 5 3 3" xfId="27251" xr:uid="{00000000-0005-0000-0000-000099200000}"/>
    <cellStyle name="20% - Accent5 2 3 2 5 4" xfId="13094" xr:uid="{00000000-0005-0000-0000-00009A200000}"/>
    <cellStyle name="20% - Accent5 2 3 2 5 4 2" xfId="32494" xr:uid="{00000000-0005-0000-0000-00009B200000}"/>
    <cellStyle name="20% - Accent5 2 3 2 5 5" xfId="22796" xr:uid="{00000000-0005-0000-0000-00009C200000}"/>
    <cellStyle name="20% - Accent5 2 3 2 6" xfId="3631" xr:uid="{00000000-0005-0000-0000-00009D200000}"/>
    <cellStyle name="20% - Accent5 2 3 2 6 2" xfId="4761" xr:uid="{00000000-0005-0000-0000-00009E200000}"/>
    <cellStyle name="20% - Accent5 2 3 2 6 2 2" xfId="9225" xr:uid="{00000000-0005-0000-0000-00009F200000}"/>
    <cellStyle name="20% - Accent5 2 3 2 6 2 2 2" xfId="19221" xr:uid="{00000000-0005-0000-0000-0000A0200000}"/>
    <cellStyle name="20% - Accent5 2 3 2 6 2 2 2 2" xfId="38621" xr:uid="{00000000-0005-0000-0000-0000A1200000}"/>
    <cellStyle name="20% - Accent5 2 3 2 6 2 2 3" xfId="28923" xr:uid="{00000000-0005-0000-0000-0000A2200000}"/>
    <cellStyle name="20% - Accent5 2 3 2 6 2 3" xfId="14766" xr:uid="{00000000-0005-0000-0000-0000A3200000}"/>
    <cellStyle name="20% - Accent5 2 3 2 6 2 3 2" xfId="34166" xr:uid="{00000000-0005-0000-0000-0000A4200000}"/>
    <cellStyle name="20% - Accent5 2 3 2 6 2 4" xfId="24468" xr:uid="{00000000-0005-0000-0000-0000A5200000}"/>
    <cellStyle name="20% - Accent5 2 3 2 6 3" xfId="8110" xr:uid="{00000000-0005-0000-0000-0000A6200000}"/>
    <cellStyle name="20% - Accent5 2 3 2 6 3 2" xfId="18106" xr:uid="{00000000-0005-0000-0000-0000A7200000}"/>
    <cellStyle name="20% - Accent5 2 3 2 6 3 2 2" xfId="37506" xr:uid="{00000000-0005-0000-0000-0000A8200000}"/>
    <cellStyle name="20% - Accent5 2 3 2 6 3 3" xfId="27808" xr:uid="{00000000-0005-0000-0000-0000A9200000}"/>
    <cellStyle name="20% - Accent5 2 3 2 6 4" xfId="13651" xr:uid="{00000000-0005-0000-0000-0000AA200000}"/>
    <cellStyle name="20% - Accent5 2 3 2 6 4 2" xfId="33051" xr:uid="{00000000-0005-0000-0000-0000AB200000}"/>
    <cellStyle name="20% - Accent5 2 3 2 6 5" xfId="23353" xr:uid="{00000000-0005-0000-0000-0000AC200000}"/>
    <cellStyle name="20% - Accent5 2 3 2 7" xfId="4204" xr:uid="{00000000-0005-0000-0000-0000AD200000}"/>
    <cellStyle name="20% - Accent5 2 3 2 7 2" xfId="8668" xr:uid="{00000000-0005-0000-0000-0000AE200000}"/>
    <cellStyle name="20% - Accent5 2 3 2 7 2 2" xfId="18664" xr:uid="{00000000-0005-0000-0000-0000AF200000}"/>
    <cellStyle name="20% - Accent5 2 3 2 7 2 2 2" xfId="38064" xr:uid="{00000000-0005-0000-0000-0000B0200000}"/>
    <cellStyle name="20% - Accent5 2 3 2 7 2 3" xfId="28366" xr:uid="{00000000-0005-0000-0000-0000B1200000}"/>
    <cellStyle name="20% - Accent5 2 3 2 7 3" xfId="14209" xr:uid="{00000000-0005-0000-0000-0000B2200000}"/>
    <cellStyle name="20% - Accent5 2 3 2 7 3 2" xfId="33609" xr:uid="{00000000-0005-0000-0000-0000B3200000}"/>
    <cellStyle name="20% - Accent5 2 3 2 7 4" xfId="23911" xr:uid="{00000000-0005-0000-0000-0000B4200000}"/>
    <cellStyle name="20% - Accent5 2 3 2 8" xfId="5874" xr:uid="{00000000-0005-0000-0000-0000B5200000}"/>
    <cellStyle name="20% - Accent5 2 3 2 8 2" xfId="10338" xr:uid="{00000000-0005-0000-0000-0000B6200000}"/>
    <cellStyle name="20% - Accent5 2 3 2 8 2 2" xfId="20334" xr:uid="{00000000-0005-0000-0000-0000B7200000}"/>
    <cellStyle name="20% - Accent5 2 3 2 8 2 2 2" xfId="39734" xr:uid="{00000000-0005-0000-0000-0000B8200000}"/>
    <cellStyle name="20% - Accent5 2 3 2 8 2 3" xfId="30036" xr:uid="{00000000-0005-0000-0000-0000B9200000}"/>
    <cellStyle name="20% - Accent5 2 3 2 8 3" xfId="15879" xr:uid="{00000000-0005-0000-0000-0000BA200000}"/>
    <cellStyle name="20% - Accent5 2 3 2 8 3 2" xfId="35279" xr:uid="{00000000-0005-0000-0000-0000BB200000}"/>
    <cellStyle name="20% - Accent5 2 3 2 8 4" xfId="25581" xr:uid="{00000000-0005-0000-0000-0000BC200000}"/>
    <cellStyle name="20% - Accent5 2 3 2 9" xfId="6440" xr:uid="{00000000-0005-0000-0000-0000BD200000}"/>
    <cellStyle name="20% - Accent5 2 3 2 9 2" xfId="10895" xr:uid="{00000000-0005-0000-0000-0000BE200000}"/>
    <cellStyle name="20% - Accent5 2 3 2 9 2 2" xfId="20891" xr:uid="{00000000-0005-0000-0000-0000BF200000}"/>
    <cellStyle name="20% - Accent5 2 3 2 9 2 2 2" xfId="40291" xr:uid="{00000000-0005-0000-0000-0000C0200000}"/>
    <cellStyle name="20% - Accent5 2 3 2 9 2 3" xfId="30593" xr:uid="{00000000-0005-0000-0000-0000C1200000}"/>
    <cellStyle name="20% - Accent5 2 3 2 9 3" xfId="16436" xr:uid="{00000000-0005-0000-0000-0000C2200000}"/>
    <cellStyle name="20% - Accent5 2 3 2 9 3 2" xfId="35836" xr:uid="{00000000-0005-0000-0000-0000C3200000}"/>
    <cellStyle name="20% - Accent5 2 3 2 9 4" xfId="26138" xr:uid="{00000000-0005-0000-0000-0000C4200000}"/>
    <cellStyle name="20% - Accent5 2 3 3" xfId="2059" xr:uid="{00000000-0005-0000-0000-0000C5200000}"/>
    <cellStyle name="20% - Accent5 2 3 3 10" xfId="12543" xr:uid="{00000000-0005-0000-0000-0000C6200000}"/>
    <cellStyle name="20% - Accent5 2 3 3 10 2" xfId="31944" xr:uid="{00000000-0005-0000-0000-0000C7200000}"/>
    <cellStyle name="20% - Accent5 2 3 3 11" xfId="22246" xr:uid="{00000000-0005-0000-0000-0000C8200000}"/>
    <cellStyle name="20% - Accent5 2 3 3 2" xfId="2060" xr:uid="{00000000-0005-0000-0000-0000C9200000}"/>
    <cellStyle name="20% - Accent5 2 3 3 2 2" xfId="3055" xr:uid="{00000000-0005-0000-0000-0000CA200000}"/>
    <cellStyle name="20% - Accent5 2 3 3 2 2 2" xfId="5324" xr:uid="{00000000-0005-0000-0000-0000CB200000}"/>
    <cellStyle name="20% - Accent5 2 3 3 2 2 2 2" xfId="9788" xr:uid="{00000000-0005-0000-0000-0000CC200000}"/>
    <cellStyle name="20% - Accent5 2 3 3 2 2 2 2 2" xfId="19784" xr:uid="{00000000-0005-0000-0000-0000CD200000}"/>
    <cellStyle name="20% - Accent5 2 3 3 2 2 2 2 2 2" xfId="39184" xr:uid="{00000000-0005-0000-0000-0000CE200000}"/>
    <cellStyle name="20% - Accent5 2 3 3 2 2 2 2 3" xfId="29486" xr:uid="{00000000-0005-0000-0000-0000CF200000}"/>
    <cellStyle name="20% - Accent5 2 3 3 2 2 2 3" xfId="15329" xr:uid="{00000000-0005-0000-0000-0000D0200000}"/>
    <cellStyle name="20% - Accent5 2 3 3 2 2 2 3 2" xfId="34729" xr:uid="{00000000-0005-0000-0000-0000D1200000}"/>
    <cellStyle name="20% - Accent5 2 3 3 2 2 2 4" xfId="25031" xr:uid="{00000000-0005-0000-0000-0000D2200000}"/>
    <cellStyle name="20% - Accent5 2 3 3 2 2 3" xfId="7560" xr:uid="{00000000-0005-0000-0000-0000D3200000}"/>
    <cellStyle name="20% - Accent5 2 3 3 2 2 3 2" xfId="17556" xr:uid="{00000000-0005-0000-0000-0000D4200000}"/>
    <cellStyle name="20% - Accent5 2 3 3 2 2 3 2 2" xfId="36956" xr:uid="{00000000-0005-0000-0000-0000D5200000}"/>
    <cellStyle name="20% - Accent5 2 3 3 2 2 3 3" xfId="27258" xr:uid="{00000000-0005-0000-0000-0000D6200000}"/>
    <cellStyle name="20% - Accent5 2 3 3 2 2 4" xfId="13101" xr:uid="{00000000-0005-0000-0000-0000D7200000}"/>
    <cellStyle name="20% - Accent5 2 3 3 2 2 4 2" xfId="32501" xr:uid="{00000000-0005-0000-0000-0000D8200000}"/>
    <cellStyle name="20% - Accent5 2 3 3 2 2 5" xfId="22803" xr:uid="{00000000-0005-0000-0000-0000D9200000}"/>
    <cellStyle name="20% - Accent5 2 3 3 2 3" xfId="3638" xr:uid="{00000000-0005-0000-0000-0000DA200000}"/>
    <cellStyle name="20% - Accent5 2 3 3 2 3 2" xfId="4768" xr:uid="{00000000-0005-0000-0000-0000DB200000}"/>
    <cellStyle name="20% - Accent5 2 3 3 2 3 2 2" xfId="9232" xr:uid="{00000000-0005-0000-0000-0000DC200000}"/>
    <cellStyle name="20% - Accent5 2 3 3 2 3 2 2 2" xfId="19228" xr:uid="{00000000-0005-0000-0000-0000DD200000}"/>
    <cellStyle name="20% - Accent5 2 3 3 2 3 2 2 2 2" xfId="38628" xr:uid="{00000000-0005-0000-0000-0000DE200000}"/>
    <cellStyle name="20% - Accent5 2 3 3 2 3 2 2 3" xfId="28930" xr:uid="{00000000-0005-0000-0000-0000DF200000}"/>
    <cellStyle name="20% - Accent5 2 3 3 2 3 2 3" xfId="14773" xr:uid="{00000000-0005-0000-0000-0000E0200000}"/>
    <cellStyle name="20% - Accent5 2 3 3 2 3 2 3 2" xfId="34173" xr:uid="{00000000-0005-0000-0000-0000E1200000}"/>
    <cellStyle name="20% - Accent5 2 3 3 2 3 2 4" xfId="24475" xr:uid="{00000000-0005-0000-0000-0000E2200000}"/>
    <cellStyle name="20% - Accent5 2 3 3 2 3 3" xfId="8117" xr:uid="{00000000-0005-0000-0000-0000E3200000}"/>
    <cellStyle name="20% - Accent5 2 3 3 2 3 3 2" xfId="18113" xr:uid="{00000000-0005-0000-0000-0000E4200000}"/>
    <cellStyle name="20% - Accent5 2 3 3 2 3 3 2 2" xfId="37513" xr:uid="{00000000-0005-0000-0000-0000E5200000}"/>
    <cellStyle name="20% - Accent5 2 3 3 2 3 3 3" xfId="27815" xr:uid="{00000000-0005-0000-0000-0000E6200000}"/>
    <cellStyle name="20% - Accent5 2 3 3 2 3 4" xfId="13658" xr:uid="{00000000-0005-0000-0000-0000E7200000}"/>
    <cellStyle name="20% - Accent5 2 3 3 2 3 4 2" xfId="33058" xr:uid="{00000000-0005-0000-0000-0000E8200000}"/>
    <cellStyle name="20% - Accent5 2 3 3 2 3 5" xfId="23360" xr:uid="{00000000-0005-0000-0000-0000E9200000}"/>
    <cellStyle name="20% - Accent5 2 3 3 2 4" xfId="4211" xr:uid="{00000000-0005-0000-0000-0000EA200000}"/>
    <cellStyle name="20% - Accent5 2 3 3 2 4 2" xfId="8675" xr:uid="{00000000-0005-0000-0000-0000EB200000}"/>
    <cellStyle name="20% - Accent5 2 3 3 2 4 2 2" xfId="18671" xr:uid="{00000000-0005-0000-0000-0000EC200000}"/>
    <cellStyle name="20% - Accent5 2 3 3 2 4 2 2 2" xfId="38071" xr:uid="{00000000-0005-0000-0000-0000ED200000}"/>
    <cellStyle name="20% - Accent5 2 3 3 2 4 2 3" xfId="28373" xr:uid="{00000000-0005-0000-0000-0000EE200000}"/>
    <cellStyle name="20% - Accent5 2 3 3 2 4 3" xfId="14216" xr:uid="{00000000-0005-0000-0000-0000EF200000}"/>
    <cellStyle name="20% - Accent5 2 3 3 2 4 3 2" xfId="33616" xr:uid="{00000000-0005-0000-0000-0000F0200000}"/>
    <cellStyle name="20% - Accent5 2 3 3 2 4 4" xfId="23918" xr:uid="{00000000-0005-0000-0000-0000F1200000}"/>
    <cellStyle name="20% - Accent5 2 3 3 2 5" xfId="5881" xr:uid="{00000000-0005-0000-0000-0000F2200000}"/>
    <cellStyle name="20% - Accent5 2 3 3 2 5 2" xfId="10345" xr:uid="{00000000-0005-0000-0000-0000F3200000}"/>
    <cellStyle name="20% - Accent5 2 3 3 2 5 2 2" xfId="20341" xr:uid="{00000000-0005-0000-0000-0000F4200000}"/>
    <cellStyle name="20% - Accent5 2 3 3 2 5 2 2 2" xfId="39741" xr:uid="{00000000-0005-0000-0000-0000F5200000}"/>
    <cellStyle name="20% - Accent5 2 3 3 2 5 2 3" xfId="30043" xr:uid="{00000000-0005-0000-0000-0000F6200000}"/>
    <cellStyle name="20% - Accent5 2 3 3 2 5 3" xfId="15886" xr:uid="{00000000-0005-0000-0000-0000F7200000}"/>
    <cellStyle name="20% - Accent5 2 3 3 2 5 3 2" xfId="35286" xr:uid="{00000000-0005-0000-0000-0000F8200000}"/>
    <cellStyle name="20% - Accent5 2 3 3 2 5 4" xfId="25588" xr:uid="{00000000-0005-0000-0000-0000F9200000}"/>
    <cellStyle name="20% - Accent5 2 3 3 2 6" xfId="6447" xr:uid="{00000000-0005-0000-0000-0000FA200000}"/>
    <cellStyle name="20% - Accent5 2 3 3 2 6 2" xfId="10902" xr:uid="{00000000-0005-0000-0000-0000FB200000}"/>
    <cellStyle name="20% - Accent5 2 3 3 2 6 2 2" xfId="20898" xr:uid="{00000000-0005-0000-0000-0000FC200000}"/>
    <cellStyle name="20% - Accent5 2 3 3 2 6 2 2 2" xfId="40298" xr:uid="{00000000-0005-0000-0000-0000FD200000}"/>
    <cellStyle name="20% - Accent5 2 3 3 2 6 2 3" xfId="30600" xr:uid="{00000000-0005-0000-0000-0000FE200000}"/>
    <cellStyle name="20% - Accent5 2 3 3 2 6 3" xfId="16443" xr:uid="{00000000-0005-0000-0000-0000FF200000}"/>
    <cellStyle name="20% - Accent5 2 3 3 2 6 3 2" xfId="35843" xr:uid="{00000000-0005-0000-0000-000000210000}"/>
    <cellStyle name="20% - Accent5 2 3 3 2 6 4" xfId="26145" xr:uid="{00000000-0005-0000-0000-000001210000}"/>
    <cellStyle name="20% - Accent5 2 3 3 2 7" xfId="7004" xr:uid="{00000000-0005-0000-0000-000002210000}"/>
    <cellStyle name="20% - Accent5 2 3 3 2 7 2" xfId="17000" xr:uid="{00000000-0005-0000-0000-000003210000}"/>
    <cellStyle name="20% - Accent5 2 3 3 2 7 2 2" xfId="36400" xr:uid="{00000000-0005-0000-0000-000004210000}"/>
    <cellStyle name="20% - Accent5 2 3 3 2 7 3" xfId="26702" xr:uid="{00000000-0005-0000-0000-000005210000}"/>
    <cellStyle name="20% - Accent5 2 3 3 2 8" xfId="12544" xr:uid="{00000000-0005-0000-0000-000006210000}"/>
    <cellStyle name="20% - Accent5 2 3 3 2 8 2" xfId="31945" xr:uid="{00000000-0005-0000-0000-000007210000}"/>
    <cellStyle name="20% - Accent5 2 3 3 2 9" xfId="22247" xr:uid="{00000000-0005-0000-0000-000008210000}"/>
    <cellStyle name="20% - Accent5 2 3 3 3" xfId="2061" xr:uid="{00000000-0005-0000-0000-000009210000}"/>
    <cellStyle name="20% - Accent5 2 3 3 3 2" xfId="3056" xr:uid="{00000000-0005-0000-0000-00000A210000}"/>
    <cellStyle name="20% - Accent5 2 3 3 3 2 2" xfId="5325" xr:uid="{00000000-0005-0000-0000-00000B210000}"/>
    <cellStyle name="20% - Accent5 2 3 3 3 2 2 2" xfId="9789" xr:uid="{00000000-0005-0000-0000-00000C210000}"/>
    <cellStyle name="20% - Accent5 2 3 3 3 2 2 2 2" xfId="19785" xr:uid="{00000000-0005-0000-0000-00000D210000}"/>
    <cellStyle name="20% - Accent5 2 3 3 3 2 2 2 2 2" xfId="39185" xr:uid="{00000000-0005-0000-0000-00000E210000}"/>
    <cellStyle name="20% - Accent5 2 3 3 3 2 2 2 3" xfId="29487" xr:uid="{00000000-0005-0000-0000-00000F210000}"/>
    <cellStyle name="20% - Accent5 2 3 3 3 2 2 3" xfId="15330" xr:uid="{00000000-0005-0000-0000-000010210000}"/>
    <cellStyle name="20% - Accent5 2 3 3 3 2 2 3 2" xfId="34730" xr:uid="{00000000-0005-0000-0000-000011210000}"/>
    <cellStyle name="20% - Accent5 2 3 3 3 2 2 4" xfId="25032" xr:uid="{00000000-0005-0000-0000-000012210000}"/>
    <cellStyle name="20% - Accent5 2 3 3 3 2 3" xfId="7561" xr:uid="{00000000-0005-0000-0000-000013210000}"/>
    <cellStyle name="20% - Accent5 2 3 3 3 2 3 2" xfId="17557" xr:uid="{00000000-0005-0000-0000-000014210000}"/>
    <cellStyle name="20% - Accent5 2 3 3 3 2 3 2 2" xfId="36957" xr:uid="{00000000-0005-0000-0000-000015210000}"/>
    <cellStyle name="20% - Accent5 2 3 3 3 2 3 3" xfId="27259" xr:uid="{00000000-0005-0000-0000-000016210000}"/>
    <cellStyle name="20% - Accent5 2 3 3 3 2 4" xfId="13102" xr:uid="{00000000-0005-0000-0000-000017210000}"/>
    <cellStyle name="20% - Accent5 2 3 3 3 2 4 2" xfId="32502" xr:uid="{00000000-0005-0000-0000-000018210000}"/>
    <cellStyle name="20% - Accent5 2 3 3 3 2 5" xfId="22804" xr:uid="{00000000-0005-0000-0000-000019210000}"/>
    <cellStyle name="20% - Accent5 2 3 3 3 3" xfId="3639" xr:uid="{00000000-0005-0000-0000-00001A210000}"/>
    <cellStyle name="20% - Accent5 2 3 3 3 3 2" xfId="4769" xr:uid="{00000000-0005-0000-0000-00001B210000}"/>
    <cellStyle name="20% - Accent5 2 3 3 3 3 2 2" xfId="9233" xr:uid="{00000000-0005-0000-0000-00001C210000}"/>
    <cellStyle name="20% - Accent5 2 3 3 3 3 2 2 2" xfId="19229" xr:uid="{00000000-0005-0000-0000-00001D210000}"/>
    <cellStyle name="20% - Accent5 2 3 3 3 3 2 2 2 2" xfId="38629" xr:uid="{00000000-0005-0000-0000-00001E210000}"/>
    <cellStyle name="20% - Accent5 2 3 3 3 3 2 2 3" xfId="28931" xr:uid="{00000000-0005-0000-0000-00001F210000}"/>
    <cellStyle name="20% - Accent5 2 3 3 3 3 2 3" xfId="14774" xr:uid="{00000000-0005-0000-0000-000020210000}"/>
    <cellStyle name="20% - Accent5 2 3 3 3 3 2 3 2" xfId="34174" xr:uid="{00000000-0005-0000-0000-000021210000}"/>
    <cellStyle name="20% - Accent5 2 3 3 3 3 2 4" xfId="24476" xr:uid="{00000000-0005-0000-0000-000022210000}"/>
    <cellStyle name="20% - Accent5 2 3 3 3 3 3" xfId="8118" xr:uid="{00000000-0005-0000-0000-000023210000}"/>
    <cellStyle name="20% - Accent5 2 3 3 3 3 3 2" xfId="18114" xr:uid="{00000000-0005-0000-0000-000024210000}"/>
    <cellStyle name="20% - Accent5 2 3 3 3 3 3 2 2" xfId="37514" xr:uid="{00000000-0005-0000-0000-000025210000}"/>
    <cellStyle name="20% - Accent5 2 3 3 3 3 3 3" xfId="27816" xr:uid="{00000000-0005-0000-0000-000026210000}"/>
    <cellStyle name="20% - Accent5 2 3 3 3 3 4" xfId="13659" xr:uid="{00000000-0005-0000-0000-000027210000}"/>
    <cellStyle name="20% - Accent5 2 3 3 3 3 4 2" xfId="33059" xr:uid="{00000000-0005-0000-0000-000028210000}"/>
    <cellStyle name="20% - Accent5 2 3 3 3 3 5" xfId="23361" xr:uid="{00000000-0005-0000-0000-000029210000}"/>
    <cellStyle name="20% - Accent5 2 3 3 3 4" xfId="4212" xr:uid="{00000000-0005-0000-0000-00002A210000}"/>
    <cellStyle name="20% - Accent5 2 3 3 3 4 2" xfId="8676" xr:uid="{00000000-0005-0000-0000-00002B210000}"/>
    <cellStyle name="20% - Accent5 2 3 3 3 4 2 2" xfId="18672" xr:uid="{00000000-0005-0000-0000-00002C210000}"/>
    <cellStyle name="20% - Accent5 2 3 3 3 4 2 2 2" xfId="38072" xr:uid="{00000000-0005-0000-0000-00002D210000}"/>
    <cellStyle name="20% - Accent5 2 3 3 3 4 2 3" xfId="28374" xr:uid="{00000000-0005-0000-0000-00002E210000}"/>
    <cellStyle name="20% - Accent5 2 3 3 3 4 3" xfId="14217" xr:uid="{00000000-0005-0000-0000-00002F210000}"/>
    <cellStyle name="20% - Accent5 2 3 3 3 4 3 2" xfId="33617" xr:uid="{00000000-0005-0000-0000-000030210000}"/>
    <cellStyle name="20% - Accent5 2 3 3 3 4 4" xfId="23919" xr:uid="{00000000-0005-0000-0000-000031210000}"/>
    <cellStyle name="20% - Accent5 2 3 3 3 5" xfId="5882" xr:uid="{00000000-0005-0000-0000-000032210000}"/>
    <cellStyle name="20% - Accent5 2 3 3 3 5 2" xfId="10346" xr:uid="{00000000-0005-0000-0000-000033210000}"/>
    <cellStyle name="20% - Accent5 2 3 3 3 5 2 2" xfId="20342" xr:uid="{00000000-0005-0000-0000-000034210000}"/>
    <cellStyle name="20% - Accent5 2 3 3 3 5 2 2 2" xfId="39742" xr:uid="{00000000-0005-0000-0000-000035210000}"/>
    <cellStyle name="20% - Accent5 2 3 3 3 5 2 3" xfId="30044" xr:uid="{00000000-0005-0000-0000-000036210000}"/>
    <cellStyle name="20% - Accent5 2 3 3 3 5 3" xfId="15887" xr:uid="{00000000-0005-0000-0000-000037210000}"/>
    <cellStyle name="20% - Accent5 2 3 3 3 5 3 2" xfId="35287" xr:uid="{00000000-0005-0000-0000-000038210000}"/>
    <cellStyle name="20% - Accent5 2 3 3 3 5 4" xfId="25589" xr:uid="{00000000-0005-0000-0000-000039210000}"/>
    <cellStyle name="20% - Accent5 2 3 3 3 6" xfId="6448" xr:uid="{00000000-0005-0000-0000-00003A210000}"/>
    <cellStyle name="20% - Accent5 2 3 3 3 6 2" xfId="10903" xr:uid="{00000000-0005-0000-0000-00003B210000}"/>
    <cellStyle name="20% - Accent5 2 3 3 3 6 2 2" xfId="20899" xr:uid="{00000000-0005-0000-0000-00003C210000}"/>
    <cellStyle name="20% - Accent5 2 3 3 3 6 2 2 2" xfId="40299" xr:uid="{00000000-0005-0000-0000-00003D210000}"/>
    <cellStyle name="20% - Accent5 2 3 3 3 6 2 3" xfId="30601" xr:uid="{00000000-0005-0000-0000-00003E210000}"/>
    <cellStyle name="20% - Accent5 2 3 3 3 6 3" xfId="16444" xr:uid="{00000000-0005-0000-0000-00003F210000}"/>
    <cellStyle name="20% - Accent5 2 3 3 3 6 3 2" xfId="35844" xr:uid="{00000000-0005-0000-0000-000040210000}"/>
    <cellStyle name="20% - Accent5 2 3 3 3 6 4" xfId="26146" xr:uid="{00000000-0005-0000-0000-000041210000}"/>
    <cellStyle name="20% - Accent5 2 3 3 3 7" xfId="7005" xr:uid="{00000000-0005-0000-0000-000042210000}"/>
    <cellStyle name="20% - Accent5 2 3 3 3 7 2" xfId="17001" xr:uid="{00000000-0005-0000-0000-000043210000}"/>
    <cellStyle name="20% - Accent5 2 3 3 3 7 2 2" xfId="36401" xr:uid="{00000000-0005-0000-0000-000044210000}"/>
    <cellStyle name="20% - Accent5 2 3 3 3 7 3" xfId="26703" xr:uid="{00000000-0005-0000-0000-000045210000}"/>
    <cellStyle name="20% - Accent5 2 3 3 3 8" xfId="12545" xr:uid="{00000000-0005-0000-0000-000046210000}"/>
    <cellStyle name="20% - Accent5 2 3 3 3 8 2" xfId="31946" xr:uid="{00000000-0005-0000-0000-000047210000}"/>
    <cellStyle name="20% - Accent5 2 3 3 3 9" xfId="22248" xr:uid="{00000000-0005-0000-0000-000048210000}"/>
    <cellStyle name="20% - Accent5 2 3 3 4" xfId="3054" xr:uid="{00000000-0005-0000-0000-000049210000}"/>
    <cellStyle name="20% - Accent5 2 3 3 4 2" xfId="5323" xr:uid="{00000000-0005-0000-0000-00004A210000}"/>
    <cellStyle name="20% - Accent5 2 3 3 4 2 2" xfId="9787" xr:uid="{00000000-0005-0000-0000-00004B210000}"/>
    <cellStyle name="20% - Accent5 2 3 3 4 2 2 2" xfId="19783" xr:uid="{00000000-0005-0000-0000-00004C210000}"/>
    <cellStyle name="20% - Accent5 2 3 3 4 2 2 2 2" xfId="39183" xr:uid="{00000000-0005-0000-0000-00004D210000}"/>
    <cellStyle name="20% - Accent5 2 3 3 4 2 2 3" xfId="29485" xr:uid="{00000000-0005-0000-0000-00004E210000}"/>
    <cellStyle name="20% - Accent5 2 3 3 4 2 3" xfId="15328" xr:uid="{00000000-0005-0000-0000-00004F210000}"/>
    <cellStyle name="20% - Accent5 2 3 3 4 2 3 2" xfId="34728" xr:uid="{00000000-0005-0000-0000-000050210000}"/>
    <cellStyle name="20% - Accent5 2 3 3 4 2 4" xfId="25030" xr:uid="{00000000-0005-0000-0000-000051210000}"/>
    <cellStyle name="20% - Accent5 2 3 3 4 3" xfId="7559" xr:uid="{00000000-0005-0000-0000-000052210000}"/>
    <cellStyle name="20% - Accent5 2 3 3 4 3 2" xfId="17555" xr:uid="{00000000-0005-0000-0000-000053210000}"/>
    <cellStyle name="20% - Accent5 2 3 3 4 3 2 2" xfId="36955" xr:uid="{00000000-0005-0000-0000-000054210000}"/>
    <cellStyle name="20% - Accent5 2 3 3 4 3 3" xfId="27257" xr:uid="{00000000-0005-0000-0000-000055210000}"/>
    <cellStyle name="20% - Accent5 2 3 3 4 4" xfId="13100" xr:uid="{00000000-0005-0000-0000-000056210000}"/>
    <cellStyle name="20% - Accent5 2 3 3 4 4 2" xfId="32500" xr:uid="{00000000-0005-0000-0000-000057210000}"/>
    <cellStyle name="20% - Accent5 2 3 3 4 5" xfId="22802" xr:uid="{00000000-0005-0000-0000-000058210000}"/>
    <cellStyle name="20% - Accent5 2 3 3 5" xfId="3637" xr:uid="{00000000-0005-0000-0000-000059210000}"/>
    <cellStyle name="20% - Accent5 2 3 3 5 2" xfId="4767" xr:uid="{00000000-0005-0000-0000-00005A210000}"/>
    <cellStyle name="20% - Accent5 2 3 3 5 2 2" xfId="9231" xr:uid="{00000000-0005-0000-0000-00005B210000}"/>
    <cellStyle name="20% - Accent5 2 3 3 5 2 2 2" xfId="19227" xr:uid="{00000000-0005-0000-0000-00005C210000}"/>
    <cellStyle name="20% - Accent5 2 3 3 5 2 2 2 2" xfId="38627" xr:uid="{00000000-0005-0000-0000-00005D210000}"/>
    <cellStyle name="20% - Accent5 2 3 3 5 2 2 3" xfId="28929" xr:uid="{00000000-0005-0000-0000-00005E210000}"/>
    <cellStyle name="20% - Accent5 2 3 3 5 2 3" xfId="14772" xr:uid="{00000000-0005-0000-0000-00005F210000}"/>
    <cellStyle name="20% - Accent5 2 3 3 5 2 3 2" xfId="34172" xr:uid="{00000000-0005-0000-0000-000060210000}"/>
    <cellStyle name="20% - Accent5 2 3 3 5 2 4" xfId="24474" xr:uid="{00000000-0005-0000-0000-000061210000}"/>
    <cellStyle name="20% - Accent5 2 3 3 5 3" xfId="8116" xr:uid="{00000000-0005-0000-0000-000062210000}"/>
    <cellStyle name="20% - Accent5 2 3 3 5 3 2" xfId="18112" xr:uid="{00000000-0005-0000-0000-000063210000}"/>
    <cellStyle name="20% - Accent5 2 3 3 5 3 2 2" xfId="37512" xr:uid="{00000000-0005-0000-0000-000064210000}"/>
    <cellStyle name="20% - Accent5 2 3 3 5 3 3" xfId="27814" xr:uid="{00000000-0005-0000-0000-000065210000}"/>
    <cellStyle name="20% - Accent5 2 3 3 5 4" xfId="13657" xr:uid="{00000000-0005-0000-0000-000066210000}"/>
    <cellStyle name="20% - Accent5 2 3 3 5 4 2" xfId="33057" xr:uid="{00000000-0005-0000-0000-000067210000}"/>
    <cellStyle name="20% - Accent5 2 3 3 5 5" xfId="23359" xr:uid="{00000000-0005-0000-0000-000068210000}"/>
    <cellStyle name="20% - Accent5 2 3 3 6" xfId="4210" xr:uid="{00000000-0005-0000-0000-000069210000}"/>
    <cellStyle name="20% - Accent5 2 3 3 6 2" xfId="8674" xr:uid="{00000000-0005-0000-0000-00006A210000}"/>
    <cellStyle name="20% - Accent5 2 3 3 6 2 2" xfId="18670" xr:uid="{00000000-0005-0000-0000-00006B210000}"/>
    <cellStyle name="20% - Accent5 2 3 3 6 2 2 2" xfId="38070" xr:uid="{00000000-0005-0000-0000-00006C210000}"/>
    <cellStyle name="20% - Accent5 2 3 3 6 2 3" xfId="28372" xr:uid="{00000000-0005-0000-0000-00006D210000}"/>
    <cellStyle name="20% - Accent5 2 3 3 6 3" xfId="14215" xr:uid="{00000000-0005-0000-0000-00006E210000}"/>
    <cellStyle name="20% - Accent5 2 3 3 6 3 2" xfId="33615" xr:uid="{00000000-0005-0000-0000-00006F210000}"/>
    <cellStyle name="20% - Accent5 2 3 3 6 4" xfId="23917" xr:uid="{00000000-0005-0000-0000-000070210000}"/>
    <cellStyle name="20% - Accent5 2 3 3 7" xfId="5880" xr:uid="{00000000-0005-0000-0000-000071210000}"/>
    <cellStyle name="20% - Accent5 2 3 3 7 2" xfId="10344" xr:uid="{00000000-0005-0000-0000-000072210000}"/>
    <cellStyle name="20% - Accent5 2 3 3 7 2 2" xfId="20340" xr:uid="{00000000-0005-0000-0000-000073210000}"/>
    <cellStyle name="20% - Accent5 2 3 3 7 2 2 2" xfId="39740" xr:uid="{00000000-0005-0000-0000-000074210000}"/>
    <cellStyle name="20% - Accent5 2 3 3 7 2 3" xfId="30042" xr:uid="{00000000-0005-0000-0000-000075210000}"/>
    <cellStyle name="20% - Accent5 2 3 3 7 3" xfId="15885" xr:uid="{00000000-0005-0000-0000-000076210000}"/>
    <cellStyle name="20% - Accent5 2 3 3 7 3 2" xfId="35285" xr:uid="{00000000-0005-0000-0000-000077210000}"/>
    <cellStyle name="20% - Accent5 2 3 3 7 4" xfId="25587" xr:uid="{00000000-0005-0000-0000-000078210000}"/>
    <cellStyle name="20% - Accent5 2 3 3 8" xfId="6446" xr:uid="{00000000-0005-0000-0000-000079210000}"/>
    <cellStyle name="20% - Accent5 2 3 3 8 2" xfId="10901" xr:uid="{00000000-0005-0000-0000-00007A210000}"/>
    <cellStyle name="20% - Accent5 2 3 3 8 2 2" xfId="20897" xr:uid="{00000000-0005-0000-0000-00007B210000}"/>
    <cellStyle name="20% - Accent5 2 3 3 8 2 2 2" xfId="40297" xr:uid="{00000000-0005-0000-0000-00007C210000}"/>
    <cellStyle name="20% - Accent5 2 3 3 8 2 3" xfId="30599" xr:uid="{00000000-0005-0000-0000-00007D210000}"/>
    <cellStyle name="20% - Accent5 2 3 3 8 3" xfId="16442" xr:uid="{00000000-0005-0000-0000-00007E210000}"/>
    <cellStyle name="20% - Accent5 2 3 3 8 3 2" xfId="35842" xr:uid="{00000000-0005-0000-0000-00007F210000}"/>
    <cellStyle name="20% - Accent5 2 3 3 8 4" xfId="26144" xr:uid="{00000000-0005-0000-0000-000080210000}"/>
    <cellStyle name="20% - Accent5 2 3 3 9" xfId="7003" xr:uid="{00000000-0005-0000-0000-000081210000}"/>
    <cellStyle name="20% - Accent5 2 3 3 9 2" xfId="16999" xr:uid="{00000000-0005-0000-0000-000082210000}"/>
    <cellStyle name="20% - Accent5 2 3 3 9 2 2" xfId="36399" xr:uid="{00000000-0005-0000-0000-000083210000}"/>
    <cellStyle name="20% - Accent5 2 3 3 9 3" xfId="26701" xr:uid="{00000000-0005-0000-0000-000084210000}"/>
    <cellStyle name="20% - Accent5 2 3 4" xfId="2062" xr:uid="{00000000-0005-0000-0000-000085210000}"/>
    <cellStyle name="20% - Accent5 2 3 4 2" xfId="3057" xr:uid="{00000000-0005-0000-0000-000086210000}"/>
    <cellStyle name="20% - Accent5 2 3 4 2 2" xfId="5326" xr:uid="{00000000-0005-0000-0000-000087210000}"/>
    <cellStyle name="20% - Accent5 2 3 4 2 2 2" xfId="9790" xr:uid="{00000000-0005-0000-0000-000088210000}"/>
    <cellStyle name="20% - Accent5 2 3 4 2 2 2 2" xfId="19786" xr:uid="{00000000-0005-0000-0000-000089210000}"/>
    <cellStyle name="20% - Accent5 2 3 4 2 2 2 2 2" xfId="39186" xr:uid="{00000000-0005-0000-0000-00008A210000}"/>
    <cellStyle name="20% - Accent5 2 3 4 2 2 2 3" xfId="29488" xr:uid="{00000000-0005-0000-0000-00008B210000}"/>
    <cellStyle name="20% - Accent5 2 3 4 2 2 3" xfId="15331" xr:uid="{00000000-0005-0000-0000-00008C210000}"/>
    <cellStyle name="20% - Accent5 2 3 4 2 2 3 2" xfId="34731" xr:uid="{00000000-0005-0000-0000-00008D210000}"/>
    <cellStyle name="20% - Accent5 2 3 4 2 2 4" xfId="25033" xr:uid="{00000000-0005-0000-0000-00008E210000}"/>
    <cellStyle name="20% - Accent5 2 3 4 2 3" xfId="7562" xr:uid="{00000000-0005-0000-0000-00008F210000}"/>
    <cellStyle name="20% - Accent5 2 3 4 2 3 2" xfId="17558" xr:uid="{00000000-0005-0000-0000-000090210000}"/>
    <cellStyle name="20% - Accent5 2 3 4 2 3 2 2" xfId="36958" xr:uid="{00000000-0005-0000-0000-000091210000}"/>
    <cellStyle name="20% - Accent5 2 3 4 2 3 3" xfId="27260" xr:uid="{00000000-0005-0000-0000-000092210000}"/>
    <cellStyle name="20% - Accent5 2 3 4 2 4" xfId="13103" xr:uid="{00000000-0005-0000-0000-000093210000}"/>
    <cellStyle name="20% - Accent5 2 3 4 2 4 2" xfId="32503" xr:uid="{00000000-0005-0000-0000-000094210000}"/>
    <cellStyle name="20% - Accent5 2 3 4 2 5" xfId="22805" xr:uid="{00000000-0005-0000-0000-000095210000}"/>
    <cellStyle name="20% - Accent5 2 3 4 3" xfId="3640" xr:uid="{00000000-0005-0000-0000-000096210000}"/>
    <cellStyle name="20% - Accent5 2 3 4 3 2" xfId="4770" xr:uid="{00000000-0005-0000-0000-000097210000}"/>
    <cellStyle name="20% - Accent5 2 3 4 3 2 2" xfId="9234" xr:uid="{00000000-0005-0000-0000-000098210000}"/>
    <cellStyle name="20% - Accent5 2 3 4 3 2 2 2" xfId="19230" xr:uid="{00000000-0005-0000-0000-000099210000}"/>
    <cellStyle name="20% - Accent5 2 3 4 3 2 2 2 2" xfId="38630" xr:uid="{00000000-0005-0000-0000-00009A210000}"/>
    <cellStyle name="20% - Accent5 2 3 4 3 2 2 3" xfId="28932" xr:uid="{00000000-0005-0000-0000-00009B210000}"/>
    <cellStyle name="20% - Accent5 2 3 4 3 2 3" xfId="14775" xr:uid="{00000000-0005-0000-0000-00009C210000}"/>
    <cellStyle name="20% - Accent5 2 3 4 3 2 3 2" xfId="34175" xr:uid="{00000000-0005-0000-0000-00009D210000}"/>
    <cellStyle name="20% - Accent5 2 3 4 3 2 4" xfId="24477" xr:uid="{00000000-0005-0000-0000-00009E210000}"/>
    <cellStyle name="20% - Accent5 2 3 4 3 3" xfId="8119" xr:uid="{00000000-0005-0000-0000-00009F210000}"/>
    <cellStyle name="20% - Accent5 2 3 4 3 3 2" xfId="18115" xr:uid="{00000000-0005-0000-0000-0000A0210000}"/>
    <cellStyle name="20% - Accent5 2 3 4 3 3 2 2" xfId="37515" xr:uid="{00000000-0005-0000-0000-0000A1210000}"/>
    <cellStyle name="20% - Accent5 2 3 4 3 3 3" xfId="27817" xr:uid="{00000000-0005-0000-0000-0000A2210000}"/>
    <cellStyle name="20% - Accent5 2 3 4 3 4" xfId="13660" xr:uid="{00000000-0005-0000-0000-0000A3210000}"/>
    <cellStyle name="20% - Accent5 2 3 4 3 4 2" xfId="33060" xr:uid="{00000000-0005-0000-0000-0000A4210000}"/>
    <cellStyle name="20% - Accent5 2 3 4 3 5" xfId="23362" xr:uid="{00000000-0005-0000-0000-0000A5210000}"/>
    <cellStyle name="20% - Accent5 2 3 4 4" xfId="4213" xr:uid="{00000000-0005-0000-0000-0000A6210000}"/>
    <cellStyle name="20% - Accent5 2 3 4 4 2" xfId="8677" xr:uid="{00000000-0005-0000-0000-0000A7210000}"/>
    <cellStyle name="20% - Accent5 2 3 4 4 2 2" xfId="18673" xr:uid="{00000000-0005-0000-0000-0000A8210000}"/>
    <cellStyle name="20% - Accent5 2 3 4 4 2 2 2" xfId="38073" xr:uid="{00000000-0005-0000-0000-0000A9210000}"/>
    <cellStyle name="20% - Accent5 2 3 4 4 2 3" xfId="28375" xr:uid="{00000000-0005-0000-0000-0000AA210000}"/>
    <cellStyle name="20% - Accent5 2 3 4 4 3" xfId="14218" xr:uid="{00000000-0005-0000-0000-0000AB210000}"/>
    <cellStyle name="20% - Accent5 2 3 4 4 3 2" xfId="33618" xr:uid="{00000000-0005-0000-0000-0000AC210000}"/>
    <cellStyle name="20% - Accent5 2 3 4 4 4" xfId="23920" xr:uid="{00000000-0005-0000-0000-0000AD210000}"/>
    <cellStyle name="20% - Accent5 2 3 4 5" xfId="5883" xr:uid="{00000000-0005-0000-0000-0000AE210000}"/>
    <cellStyle name="20% - Accent5 2 3 4 5 2" xfId="10347" xr:uid="{00000000-0005-0000-0000-0000AF210000}"/>
    <cellStyle name="20% - Accent5 2 3 4 5 2 2" xfId="20343" xr:uid="{00000000-0005-0000-0000-0000B0210000}"/>
    <cellStyle name="20% - Accent5 2 3 4 5 2 2 2" xfId="39743" xr:uid="{00000000-0005-0000-0000-0000B1210000}"/>
    <cellStyle name="20% - Accent5 2 3 4 5 2 3" xfId="30045" xr:uid="{00000000-0005-0000-0000-0000B2210000}"/>
    <cellStyle name="20% - Accent5 2 3 4 5 3" xfId="15888" xr:uid="{00000000-0005-0000-0000-0000B3210000}"/>
    <cellStyle name="20% - Accent5 2 3 4 5 3 2" xfId="35288" xr:uid="{00000000-0005-0000-0000-0000B4210000}"/>
    <cellStyle name="20% - Accent5 2 3 4 5 4" xfId="25590" xr:uid="{00000000-0005-0000-0000-0000B5210000}"/>
    <cellStyle name="20% - Accent5 2 3 4 6" xfId="6449" xr:uid="{00000000-0005-0000-0000-0000B6210000}"/>
    <cellStyle name="20% - Accent5 2 3 4 6 2" xfId="10904" xr:uid="{00000000-0005-0000-0000-0000B7210000}"/>
    <cellStyle name="20% - Accent5 2 3 4 6 2 2" xfId="20900" xr:uid="{00000000-0005-0000-0000-0000B8210000}"/>
    <cellStyle name="20% - Accent5 2 3 4 6 2 2 2" xfId="40300" xr:uid="{00000000-0005-0000-0000-0000B9210000}"/>
    <cellStyle name="20% - Accent5 2 3 4 6 2 3" xfId="30602" xr:uid="{00000000-0005-0000-0000-0000BA210000}"/>
    <cellStyle name="20% - Accent5 2 3 4 6 3" xfId="16445" xr:uid="{00000000-0005-0000-0000-0000BB210000}"/>
    <cellStyle name="20% - Accent5 2 3 4 6 3 2" xfId="35845" xr:uid="{00000000-0005-0000-0000-0000BC210000}"/>
    <cellStyle name="20% - Accent5 2 3 4 6 4" xfId="26147" xr:uid="{00000000-0005-0000-0000-0000BD210000}"/>
    <cellStyle name="20% - Accent5 2 3 4 7" xfId="7006" xr:uid="{00000000-0005-0000-0000-0000BE210000}"/>
    <cellStyle name="20% - Accent5 2 3 4 7 2" xfId="17002" xr:uid="{00000000-0005-0000-0000-0000BF210000}"/>
    <cellStyle name="20% - Accent5 2 3 4 7 2 2" xfId="36402" xr:uid="{00000000-0005-0000-0000-0000C0210000}"/>
    <cellStyle name="20% - Accent5 2 3 4 7 3" xfId="26704" xr:uid="{00000000-0005-0000-0000-0000C1210000}"/>
    <cellStyle name="20% - Accent5 2 3 4 8" xfId="12546" xr:uid="{00000000-0005-0000-0000-0000C2210000}"/>
    <cellStyle name="20% - Accent5 2 3 4 8 2" xfId="31947" xr:uid="{00000000-0005-0000-0000-0000C3210000}"/>
    <cellStyle name="20% - Accent5 2 3 4 9" xfId="22249" xr:uid="{00000000-0005-0000-0000-0000C4210000}"/>
    <cellStyle name="20% - Accent5 2 3 5" xfId="2063" xr:uid="{00000000-0005-0000-0000-0000C5210000}"/>
    <cellStyle name="20% - Accent5 2 3 5 2" xfId="3058" xr:uid="{00000000-0005-0000-0000-0000C6210000}"/>
    <cellStyle name="20% - Accent5 2 3 5 2 2" xfId="5327" xr:uid="{00000000-0005-0000-0000-0000C7210000}"/>
    <cellStyle name="20% - Accent5 2 3 5 2 2 2" xfId="9791" xr:uid="{00000000-0005-0000-0000-0000C8210000}"/>
    <cellStyle name="20% - Accent5 2 3 5 2 2 2 2" xfId="19787" xr:uid="{00000000-0005-0000-0000-0000C9210000}"/>
    <cellStyle name="20% - Accent5 2 3 5 2 2 2 2 2" xfId="39187" xr:uid="{00000000-0005-0000-0000-0000CA210000}"/>
    <cellStyle name="20% - Accent5 2 3 5 2 2 2 3" xfId="29489" xr:uid="{00000000-0005-0000-0000-0000CB210000}"/>
    <cellStyle name="20% - Accent5 2 3 5 2 2 3" xfId="15332" xr:uid="{00000000-0005-0000-0000-0000CC210000}"/>
    <cellStyle name="20% - Accent5 2 3 5 2 2 3 2" xfId="34732" xr:uid="{00000000-0005-0000-0000-0000CD210000}"/>
    <cellStyle name="20% - Accent5 2 3 5 2 2 4" xfId="25034" xr:uid="{00000000-0005-0000-0000-0000CE210000}"/>
    <cellStyle name="20% - Accent5 2 3 5 2 3" xfId="7563" xr:uid="{00000000-0005-0000-0000-0000CF210000}"/>
    <cellStyle name="20% - Accent5 2 3 5 2 3 2" xfId="17559" xr:uid="{00000000-0005-0000-0000-0000D0210000}"/>
    <cellStyle name="20% - Accent5 2 3 5 2 3 2 2" xfId="36959" xr:uid="{00000000-0005-0000-0000-0000D1210000}"/>
    <cellStyle name="20% - Accent5 2 3 5 2 3 3" xfId="27261" xr:uid="{00000000-0005-0000-0000-0000D2210000}"/>
    <cellStyle name="20% - Accent5 2 3 5 2 4" xfId="13104" xr:uid="{00000000-0005-0000-0000-0000D3210000}"/>
    <cellStyle name="20% - Accent5 2 3 5 2 4 2" xfId="32504" xr:uid="{00000000-0005-0000-0000-0000D4210000}"/>
    <cellStyle name="20% - Accent5 2 3 5 2 5" xfId="22806" xr:uid="{00000000-0005-0000-0000-0000D5210000}"/>
    <cellStyle name="20% - Accent5 2 3 5 3" xfId="3641" xr:uid="{00000000-0005-0000-0000-0000D6210000}"/>
    <cellStyle name="20% - Accent5 2 3 5 3 2" xfId="4771" xr:uid="{00000000-0005-0000-0000-0000D7210000}"/>
    <cellStyle name="20% - Accent5 2 3 5 3 2 2" xfId="9235" xr:uid="{00000000-0005-0000-0000-0000D8210000}"/>
    <cellStyle name="20% - Accent5 2 3 5 3 2 2 2" xfId="19231" xr:uid="{00000000-0005-0000-0000-0000D9210000}"/>
    <cellStyle name="20% - Accent5 2 3 5 3 2 2 2 2" xfId="38631" xr:uid="{00000000-0005-0000-0000-0000DA210000}"/>
    <cellStyle name="20% - Accent5 2 3 5 3 2 2 3" xfId="28933" xr:uid="{00000000-0005-0000-0000-0000DB210000}"/>
    <cellStyle name="20% - Accent5 2 3 5 3 2 3" xfId="14776" xr:uid="{00000000-0005-0000-0000-0000DC210000}"/>
    <cellStyle name="20% - Accent5 2 3 5 3 2 3 2" xfId="34176" xr:uid="{00000000-0005-0000-0000-0000DD210000}"/>
    <cellStyle name="20% - Accent5 2 3 5 3 2 4" xfId="24478" xr:uid="{00000000-0005-0000-0000-0000DE210000}"/>
    <cellStyle name="20% - Accent5 2 3 5 3 3" xfId="8120" xr:uid="{00000000-0005-0000-0000-0000DF210000}"/>
    <cellStyle name="20% - Accent5 2 3 5 3 3 2" xfId="18116" xr:uid="{00000000-0005-0000-0000-0000E0210000}"/>
    <cellStyle name="20% - Accent5 2 3 5 3 3 2 2" xfId="37516" xr:uid="{00000000-0005-0000-0000-0000E1210000}"/>
    <cellStyle name="20% - Accent5 2 3 5 3 3 3" xfId="27818" xr:uid="{00000000-0005-0000-0000-0000E2210000}"/>
    <cellStyle name="20% - Accent5 2 3 5 3 4" xfId="13661" xr:uid="{00000000-0005-0000-0000-0000E3210000}"/>
    <cellStyle name="20% - Accent5 2 3 5 3 4 2" xfId="33061" xr:uid="{00000000-0005-0000-0000-0000E4210000}"/>
    <cellStyle name="20% - Accent5 2 3 5 3 5" xfId="23363" xr:uid="{00000000-0005-0000-0000-0000E5210000}"/>
    <cellStyle name="20% - Accent5 2 3 5 4" xfId="4214" xr:uid="{00000000-0005-0000-0000-0000E6210000}"/>
    <cellStyle name="20% - Accent5 2 3 5 4 2" xfId="8678" xr:uid="{00000000-0005-0000-0000-0000E7210000}"/>
    <cellStyle name="20% - Accent5 2 3 5 4 2 2" xfId="18674" xr:uid="{00000000-0005-0000-0000-0000E8210000}"/>
    <cellStyle name="20% - Accent5 2 3 5 4 2 2 2" xfId="38074" xr:uid="{00000000-0005-0000-0000-0000E9210000}"/>
    <cellStyle name="20% - Accent5 2 3 5 4 2 3" xfId="28376" xr:uid="{00000000-0005-0000-0000-0000EA210000}"/>
    <cellStyle name="20% - Accent5 2 3 5 4 3" xfId="14219" xr:uid="{00000000-0005-0000-0000-0000EB210000}"/>
    <cellStyle name="20% - Accent5 2 3 5 4 3 2" xfId="33619" xr:uid="{00000000-0005-0000-0000-0000EC210000}"/>
    <cellStyle name="20% - Accent5 2 3 5 4 4" xfId="23921" xr:uid="{00000000-0005-0000-0000-0000ED210000}"/>
    <cellStyle name="20% - Accent5 2 3 5 5" xfId="5884" xr:uid="{00000000-0005-0000-0000-0000EE210000}"/>
    <cellStyle name="20% - Accent5 2 3 5 5 2" xfId="10348" xr:uid="{00000000-0005-0000-0000-0000EF210000}"/>
    <cellStyle name="20% - Accent5 2 3 5 5 2 2" xfId="20344" xr:uid="{00000000-0005-0000-0000-0000F0210000}"/>
    <cellStyle name="20% - Accent5 2 3 5 5 2 2 2" xfId="39744" xr:uid="{00000000-0005-0000-0000-0000F1210000}"/>
    <cellStyle name="20% - Accent5 2 3 5 5 2 3" xfId="30046" xr:uid="{00000000-0005-0000-0000-0000F2210000}"/>
    <cellStyle name="20% - Accent5 2 3 5 5 3" xfId="15889" xr:uid="{00000000-0005-0000-0000-0000F3210000}"/>
    <cellStyle name="20% - Accent5 2 3 5 5 3 2" xfId="35289" xr:uid="{00000000-0005-0000-0000-0000F4210000}"/>
    <cellStyle name="20% - Accent5 2 3 5 5 4" xfId="25591" xr:uid="{00000000-0005-0000-0000-0000F5210000}"/>
    <cellStyle name="20% - Accent5 2 3 5 6" xfId="6450" xr:uid="{00000000-0005-0000-0000-0000F6210000}"/>
    <cellStyle name="20% - Accent5 2 3 5 6 2" xfId="10905" xr:uid="{00000000-0005-0000-0000-0000F7210000}"/>
    <cellStyle name="20% - Accent5 2 3 5 6 2 2" xfId="20901" xr:uid="{00000000-0005-0000-0000-0000F8210000}"/>
    <cellStyle name="20% - Accent5 2 3 5 6 2 2 2" xfId="40301" xr:uid="{00000000-0005-0000-0000-0000F9210000}"/>
    <cellStyle name="20% - Accent5 2 3 5 6 2 3" xfId="30603" xr:uid="{00000000-0005-0000-0000-0000FA210000}"/>
    <cellStyle name="20% - Accent5 2 3 5 6 3" xfId="16446" xr:uid="{00000000-0005-0000-0000-0000FB210000}"/>
    <cellStyle name="20% - Accent5 2 3 5 6 3 2" xfId="35846" xr:uid="{00000000-0005-0000-0000-0000FC210000}"/>
    <cellStyle name="20% - Accent5 2 3 5 6 4" xfId="26148" xr:uid="{00000000-0005-0000-0000-0000FD210000}"/>
    <cellStyle name="20% - Accent5 2 3 5 7" xfId="7007" xr:uid="{00000000-0005-0000-0000-0000FE210000}"/>
    <cellStyle name="20% - Accent5 2 3 5 7 2" xfId="17003" xr:uid="{00000000-0005-0000-0000-0000FF210000}"/>
    <cellStyle name="20% - Accent5 2 3 5 7 2 2" xfId="36403" xr:uid="{00000000-0005-0000-0000-000000220000}"/>
    <cellStyle name="20% - Accent5 2 3 5 7 3" xfId="26705" xr:uid="{00000000-0005-0000-0000-000001220000}"/>
    <cellStyle name="20% - Accent5 2 3 5 8" xfId="12547" xr:uid="{00000000-0005-0000-0000-000002220000}"/>
    <cellStyle name="20% - Accent5 2 3 5 8 2" xfId="31948" xr:uid="{00000000-0005-0000-0000-000003220000}"/>
    <cellStyle name="20% - Accent5 2 3 5 9" xfId="22250" xr:uid="{00000000-0005-0000-0000-000004220000}"/>
    <cellStyle name="20% - Accent5 2 3 6" xfId="11972" xr:uid="{00000000-0005-0000-0000-000005220000}"/>
    <cellStyle name="20% - Accent5 2 3 6 2" xfId="21676" xr:uid="{00000000-0005-0000-0000-000006220000}"/>
    <cellStyle name="20% - Accent5 2 3 6 2 2" xfId="41076" xr:uid="{00000000-0005-0000-0000-000007220000}"/>
    <cellStyle name="20% - Accent5 2 3 6 3" xfId="31378" xr:uid="{00000000-0005-0000-0000-000008220000}"/>
    <cellStyle name="20% - Accent5 2 3 7" xfId="1180" xr:uid="{00000000-0005-0000-0000-000009220000}"/>
    <cellStyle name="20% - Accent5 2 3 8" xfId="12328" xr:uid="{00000000-0005-0000-0000-00000A220000}"/>
    <cellStyle name="20% - Accent5 2 3 8 2" xfId="31731" xr:uid="{00000000-0005-0000-0000-00000B220000}"/>
    <cellStyle name="20% - Accent5 2 3 9" xfId="22033" xr:uid="{00000000-0005-0000-0000-00000C220000}"/>
    <cellStyle name="20% - Accent5 2 4" xfId="1182" xr:uid="{00000000-0005-0000-0000-00000D220000}"/>
    <cellStyle name="20% - Accent5 2 4 2" xfId="2064" xr:uid="{00000000-0005-0000-0000-00000E220000}"/>
    <cellStyle name="20% - Accent5 2 4 2 10" xfId="12548" xr:uid="{00000000-0005-0000-0000-00000F220000}"/>
    <cellStyle name="20% - Accent5 2 4 2 10 2" xfId="31949" xr:uid="{00000000-0005-0000-0000-000010220000}"/>
    <cellStyle name="20% - Accent5 2 4 2 11" xfId="22251" xr:uid="{00000000-0005-0000-0000-000011220000}"/>
    <cellStyle name="20% - Accent5 2 4 2 2" xfId="2065" xr:uid="{00000000-0005-0000-0000-000012220000}"/>
    <cellStyle name="20% - Accent5 2 4 2 2 2" xfId="3060" xr:uid="{00000000-0005-0000-0000-000013220000}"/>
    <cellStyle name="20% - Accent5 2 4 2 2 2 2" xfId="5329" xr:uid="{00000000-0005-0000-0000-000014220000}"/>
    <cellStyle name="20% - Accent5 2 4 2 2 2 2 2" xfId="9793" xr:uid="{00000000-0005-0000-0000-000015220000}"/>
    <cellStyle name="20% - Accent5 2 4 2 2 2 2 2 2" xfId="19789" xr:uid="{00000000-0005-0000-0000-000016220000}"/>
    <cellStyle name="20% - Accent5 2 4 2 2 2 2 2 2 2" xfId="39189" xr:uid="{00000000-0005-0000-0000-000017220000}"/>
    <cellStyle name="20% - Accent5 2 4 2 2 2 2 2 3" xfId="29491" xr:uid="{00000000-0005-0000-0000-000018220000}"/>
    <cellStyle name="20% - Accent5 2 4 2 2 2 2 3" xfId="15334" xr:uid="{00000000-0005-0000-0000-000019220000}"/>
    <cellStyle name="20% - Accent5 2 4 2 2 2 2 3 2" xfId="34734" xr:uid="{00000000-0005-0000-0000-00001A220000}"/>
    <cellStyle name="20% - Accent5 2 4 2 2 2 2 4" xfId="25036" xr:uid="{00000000-0005-0000-0000-00001B220000}"/>
    <cellStyle name="20% - Accent5 2 4 2 2 2 3" xfId="7565" xr:uid="{00000000-0005-0000-0000-00001C220000}"/>
    <cellStyle name="20% - Accent5 2 4 2 2 2 3 2" xfId="17561" xr:uid="{00000000-0005-0000-0000-00001D220000}"/>
    <cellStyle name="20% - Accent5 2 4 2 2 2 3 2 2" xfId="36961" xr:uid="{00000000-0005-0000-0000-00001E220000}"/>
    <cellStyle name="20% - Accent5 2 4 2 2 2 3 3" xfId="27263" xr:uid="{00000000-0005-0000-0000-00001F220000}"/>
    <cellStyle name="20% - Accent5 2 4 2 2 2 4" xfId="13106" xr:uid="{00000000-0005-0000-0000-000020220000}"/>
    <cellStyle name="20% - Accent5 2 4 2 2 2 4 2" xfId="32506" xr:uid="{00000000-0005-0000-0000-000021220000}"/>
    <cellStyle name="20% - Accent5 2 4 2 2 2 5" xfId="22808" xr:uid="{00000000-0005-0000-0000-000022220000}"/>
    <cellStyle name="20% - Accent5 2 4 2 2 3" xfId="3643" xr:uid="{00000000-0005-0000-0000-000023220000}"/>
    <cellStyle name="20% - Accent5 2 4 2 2 3 2" xfId="4773" xr:uid="{00000000-0005-0000-0000-000024220000}"/>
    <cellStyle name="20% - Accent5 2 4 2 2 3 2 2" xfId="9237" xr:uid="{00000000-0005-0000-0000-000025220000}"/>
    <cellStyle name="20% - Accent5 2 4 2 2 3 2 2 2" xfId="19233" xr:uid="{00000000-0005-0000-0000-000026220000}"/>
    <cellStyle name="20% - Accent5 2 4 2 2 3 2 2 2 2" xfId="38633" xr:uid="{00000000-0005-0000-0000-000027220000}"/>
    <cellStyle name="20% - Accent5 2 4 2 2 3 2 2 3" xfId="28935" xr:uid="{00000000-0005-0000-0000-000028220000}"/>
    <cellStyle name="20% - Accent5 2 4 2 2 3 2 3" xfId="14778" xr:uid="{00000000-0005-0000-0000-000029220000}"/>
    <cellStyle name="20% - Accent5 2 4 2 2 3 2 3 2" xfId="34178" xr:uid="{00000000-0005-0000-0000-00002A220000}"/>
    <cellStyle name="20% - Accent5 2 4 2 2 3 2 4" xfId="24480" xr:uid="{00000000-0005-0000-0000-00002B220000}"/>
    <cellStyle name="20% - Accent5 2 4 2 2 3 3" xfId="8122" xr:uid="{00000000-0005-0000-0000-00002C220000}"/>
    <cellStyle name="20% - Accent5 2 4 2 2 3 3 2" xfId="18118" xr:uid="{00000000-0005-0000-0000-00002D220000}"/>
    <cellStyle name="20% - Accent5 2 4 2 2 3 3 2 2" xfId="37518" xr:uid="{00000000-0005-0000-0000-00002E220000}"/>
    <cellStyle name="20% - Accent5 2 4 2 2 3 3 3" xfId="27820" xr:uid="{00000000-0005-0000-0000-00002F220000}"/>
    <cellStyle name="20% - Accent5 2 4 2 2 3 4" xfId="13663" xr:uid="{00000000-0005-0000-0000-000030220000}"/>
    <cellStyle name="20% - Accent5 2 4 2 2 3 4 2" xfId="33063" xr:uid="{00000000-0005-0000-0000-000031220000}"/>
    <cellStyle name="20% - Accent5 2 4 2 2 3 5" xfId="23365" xr:uid="{00000000-0005-0000-0000-000032220000}"/>
    <cellStyle name="20% - Accent5 2 4 2 2 4" xfId="4216" xr:uid="{00000000-0005-0000-0000-000033220000}"/>
    <cellStyle name="20% - Accent5 2 4 2 2 4 2" xfId="8680" xr:uid="{00000000-0005-0000-0000-000034220000}"/>
    <cellStyle name="20% - Accent5 2 4 2 2 4 2 2" xfId="18676" xr:uid="{00000000-0005-0000-0000-000035220000}"/>
    <cellStyle name="20% - Accent5 2 4 2 2 4 2 2 2" xfId="38076" xr:uid="{00000000-0005-0000-0000-000036220000}"/>
    <cellStyle name="20% - Accent5 2 4 2 2 4 2 3" xfId="28378" xr:uid="{00000000-0005-0000-0000-000037220000}"/>
    <cellStyle name="20% - Accent5 2 4 2 2 4 3" xfId="14221" xr:uid="{00000000-0005-0000-0000-000038220000}"/>
    <cellStyle name="20% - Accent5 2 4 2 2 4 3 2" xfId="33621" xr:uid="{00000000-0005-0000-0000-000039220000}"/>
    <cellStyle name="20% - Accent5 2 4 2 2 4 4" xfId="23923" xr:uid="{00000000-0005-0000-0000-00003A220000}"/>
    <cellStyle name="20% - Accent5 2 4 2 2 5" xfId="5886" xr:uid="{00000000-0005-0000-0000-00003B220000}"/>
    <cellStyle name="20% - Accent5 2 4 2 2 5 2" xfId="10350" xr:uid="{00000000-0005-0000-0000-00003C220000}"/>
    <cellStyle name="20% - Accent5 2 4 2 2 5 2 2" xfId="20346" xr:uid="{00000000-0005-0000-0000-00003D220000}"/>
    <cellStyle name="20% - Accent5 2 4 2 2 5 2 2 2" xfId="39746" xr:uid="{00000000-0005-0000-0000-00003E220000}"/>
    <cellStyle name="20% - Accent5 2 4 2 2 5 2 3" xfId="30048" xr:uid="{00000000-0005-0000-0000-00003F220000}"/>
    <cellStyle name="20% - Accent5 2 4 2 2 5 3" xfId="15891" xr:uid="{00000000-0005-0000-0000-000040220000}"/>
    <cellStyle name="20% - Accent5 2 4 2 2 5 3 2" xfId="35291" xr:uid="{00000000-0005-0000-0000-000041220000}"/>
    <cellStyle name="20% - Accent5 2 4 2 2 5 4" xfId="25593" xr:uid="{00000000-0005-0000-0000-000042220000}"/>
    <cellStyle name="20% - Accent5 2 4 2 2 6" xfId="6452" xr:uid="{00000000-0005-0000-0000-000043220000}"/>
    <cellStyle name="20% - Accent5 2 4 2 2 6 2" xfId="10907" xr:uid="{00000000-0005-0000-0000-000044220000}"/>
    <cellStyle name="20% - Accent5 2 4 2 2 6 2 2" xfId="20903" xr:uid="{00000000-0005-0000-0000-000045220000}"/>
    <cellStyle name="20% - Accent5 2 4 2 2 6 2 2 2" xfId="40303" xr:uid="{00000000-0005-0000-0000-000046220000}"/>
    <cellStyle name="20% - Accent5 2 4 2 2 6 2 3" xfId="30605" xr:uid="{00000000-0005-0000-0000-000047220000}"/>
    <cellStyle name="20% - Accent5 2 4 2 2 6 3" xfId="16448" xr:uid="{00000000-0005-0000-0000-000048220000}"/>
    <cellStyle name="20% - Accent5 2 4 2 2 6 3 2" xfId="35848" xr:uid="{00000000-0005-0000-0000-000049220000}"/>
    <cellStyle name="20% - Accent5 2 4 2 2 6 4" xfId="26150" xr:uid="{00000000-0005-0000-0000-00004A220000}"/>
    <cellStyle name="20% - Accent5 2 4 2 2 7" xfId="7009" xr:uid="{00000000-0005-0000-0000-00004B220000}"/>
    <cellStyle name="20% - Accent5 2 4 2 2 7 2" xfId="17005" xr:uid="{00000000-0005-0000-0000-00004C220000}"/>
    <cellStyle name="20% - Accent5 2 4 2 2 7 2 2" xfId="36405" xr:uid="{00000000-0005-0000-0000-00004D220000}"/>
    <cellStyle name="20% - Accent5 2 4 2 2 7 3" xfId="26707" xr:uid="{00000000-0005-0000-0000-00004E220000}"/>
    <cellStyle name="20% - Accent5 2 4 2 2 8" xfId="12549" xr:uid="{00000000-0005-0000-0000-00004F220000}"/>
    <cellStyle name="20% - Accent5 2 4 2 2 8 2" xfId="31950" xr:uid="{00000000-0005-0000-0000-000050220000}"/>
    <cellStyle name="20% - Accent5 2 4 2 2 9" xfId="22252" xr:uid="{00000000-0005-0000-0000-000051220000}"/>
    <cellStyle name="20% - Accent5 2 4 2 3" xfId="2066" xr:uid="{00000000-0005-0000-0000-000052220000}"/>
    <cellStyle name="20% - Accent5 2 4 2 3 2" xfId="3061" xr:uid="{00000000-0005-0000-0000-000053220000}"/>
    <cellStyle name="20% - Accent5 2 4 2 3 2 2" xfId="5330" xr:uid="{00000000-0005-0000-0000-000054220000}"/>
    <cellStyle name="20% - Accent5 2 4 2 3 2 2 2" xfId="9794" xr:uid="{00000000-0005-0000-0000-000055220000}"/>
    <cellStyle name="20% - Accent5 2 4 2 3 2 2 2 2" xfId="19790" xr:uid="{00000000-0005-0000-0000-000056220000}"/>
    <cellStyle name="20% - Accent5 2 4 2 3 2 2 2 2 2" xfId="39190" xr:uid="{00000000-0005-0000-0000-000057220000}"/>
    <cellStyle name="20% - Accent5 2 4 2 3 2 2 2 3" xfId="29492" xr:uid="{00000000-0005-0000-0000-000058220000}"/>
    <cellStyle name="20% - Accent5 2 4 2 3 2 2 3" xfId="15335" xr:uid="{00000000-0005-0000-0000-000059220000}"/>
    <cellStyle name="20% - Accent5 2 4 2 3 2 2 3 2" xfId="34735" xr:uid="{00000000-0005-0000-0000-00005A220000}"/>
    <cellStyle name="20% - Accent5 2 4 2 3 2 2 4" xfId="25037" xr:uid="{00000000-0005-0000-0000-00005B220000}"/>
    <cellStyle name="20% - Accent5 2 4 2 3 2 3" xfId="7566" xr:uid="{00000000-0005-0000-0000-00005C220000}"/>
    <cellStyle name="20% - Accent5 2 4 2 3 2 3 2" xfId="17562" xr:uid="{00000000-0005-0000-0000-00005D220000}"/>
    <cellStyle name="20% - Accent5 2 4 2 3 2 3 2 2" xfId="36962" xr:uid="{00000000-0005-0000-0000-00005E220000}"/>
    <cellStyle name="20% - Accent5 2 4 2 3 2 3 3" xfId="27264" xr:uid="{00000000-0005-0000-0000-00005F220000}"/>
    <cellStyle name="20% - Accent5 2 4 2 3 2 4" xfId="13107" xr:uid="{00000000-0005-0000-0000-000060220000}"/>
    <cellStyle name="20% - Accent5 2 4 2 3 2 4 2" xfId="32507" xr:uid="{00000000-0005-0000-0000-000061220000}"/>
    <cellStyle name="20% - Accent5 2 4 2 3 2 5" xfId="22809" xr:uid="{00000000-0005-0000-0000-000062220000}"/>
    <cellStyle name="20% - Accent5 2 4 2 3 3" xfId="3644" xr:uid="{00000000-0005-0000-0000-000063220000}"/>
    <cellStyle name="20% - Accent5 2 4 2 3 3 2" xfId="4774" xr:uid="{00000000-0005-0000-0000-000064220000}"/>
    <cellStyle name="20% - Accent5 2 4 2 3 3 2 2" xfId="9238" xr:uid="{00000000-0005-0000-0000-000065220000}"/>
    <cellStyle name="20% - Accent5 2 4 2 3 3 2 2 2" xfId="19234" xr:uid="{00000000-0005-0000-0000-000066220000}"/>
    <cellStyle name="20% - Accent5 2 4 2 3 3 2 2 2 2" xfId="38634" xr:uid="{00000000-0005-0000-0000-000067220000}"/>
    <cellStyle name="20% - Accent5 2 4 2 3 3 2 2 3" xfId="28936" xr:uid="{00000000-0005-0000-0000-000068220000}"/>
    <cellStyle name="20% - Accent5 2 4 2 3 3 2 3" xfId="14779" xr:uid="{00000000-0005-0000-0000-000069220000}"/>
    <cellStyle name="20% - Accent5 2 4 2 3 3 2 3 2" xfId="34179" xr:uid="{00000000-0005-0000-0000-00006A220000}"/>
    <cellStyle name="20% - Accent5 2 4 2 3 3 2 4" xfId="24481" xr:uid="{00000000-0005-0000-0000-00006B220000}"/>
    <cellStyle name="20% - Accent5 2 4 2 3 3 3" xfId="8123" xr:uid="{00000000-0005-0000-0000-00006C220000}"/>
    <cellStyle name="20% - Accent5 2 4 2 3 3 3 2" xfId="18119" xr:uid="{00000000-0005-0000-0000-00006D220000}"/>
    <cellStyle name="20% - Accent5 2 4 2 3 3 3 2 2" xfId="37519" xr:uid="{00000000-0005-0000-0000-00006E220000}"/>
    <cellStyle name="20% - Accent5 2 4 2 3 3 3 3" xfId="27821" xr:uid="{00000000-0005-0000-0000-00006F220000}"/>
    <cellStyle name="20% - Accent5 2 4 2 3 3 4" xfId="13664" xr:uid="{00000000-0005-0000-0000-000070220000}"/>
    <cellStyle name="20% - Accent5 2 4 2 3 3 4 2" xfId="33064" xr:uid="{00000000-0005-0000-0000-000071220000}"/>
    <cellStyle name="20% - Accent5 2 4 2 3 3 5" xfId="23366" xr:uid="{00000000-0005-0000-0000-000072220000}"/>
    <cellStyle name="20% - Accent5 2 4 2 3 4" xfId="4217" xr:uid="{00000000-0005-0000-0000-000073220000}"/>
    <cellStyle name="20% - Accent5 2 4 2 3 4 2" xfId="8681" xr:uid="{00000000-0005-0000-0000-000074220000}"/>
    <cellStyle name="20% - Accent5 2 4 2 3 4 2 2" xfId="18677" xr:uid="{00000000-0005-0000-0000-000075220000}"/>
    <cellStyle name="20% - Accent5 2 4 2 3 4 2 2 2" xfId="38077" xr:uid="{00000000-0005-0000-0000-000076220000}"/>
    <cellStyle name="20% - Accent5 2 4 2 3 4 2 3" xfId="28379" xr:uid="{00000000-0005-0000-0000-000077220000}"/>
    <cellStyle name="20% - Accent5 2 4 2 3 4 3" xfId="14222" xr:uid="{00000000-0005-0000-0000-000078220000}"/>
    <cellStyle name="20% - Accent5 2 4 2 3 4 3 2" xfId="33622" xr:uid="{00000000-0005-0000-0000-000079220000}"/>
    <cellStyle name="20% - Accent5 2 4 2 3 4 4" xfId="23924" xr:uid="{00000000-0005-0000-0000-00007A220000}"/>
    <cellStyle name="20% - Accent5 2 4 2 3 5" xfId="5887" xr:uid="{00000000-0005-0000-0000-00007B220000}"/>
    <cellStyle name="20% - Accent5 2 4 2 3 5 2" xfId="10351" xr:uid="{00000000-0005-0000-0000-00007C220000}"/>
    <cellStyle name="20% - Accent5 2 4 2 3 5 2 2" xfId="20347" xr:uid="{00000000-0005-0000-0000-00007D220000}"/>
    <cellStyle name="20% - Accent5 2 4 2 3 5 2 2 2" xfId="39747" xr:uid="{00000000-0005-0000-0000-00007E220000}"/>
    <cellStyle name="20% - Accent5 2 4 2 3 5 2 3" xfId="30049" xr:uid="{00000000-0005-0000-0000-00007F220000}"/>
    <cellStyle name="20% - Accent5 2 4 2 3 5 3" xfId="15892" xr:uid="{00000000-0005-0000-0000-000080220000}"/>
    <cellStyle name="20% - Accent5 2 4 2 3 5 3 2" xfId="35292" xr:uid="{00000000-0005-0000-0000-000081220000}"/>
    <cellStyle name="20% - Accent5 2 4 2 3 5 4" xfId="25594" xr:uid="{00000000-0005-0000-0000-000082220000}"/>
    <cellStyle name="20% - Accent5 2 4 2 3 6" xfId="6453" xr:uid="{00000000-0005-0000-0000-000083220000}"/>
    <cellStyle name="20% - Accent5 2 4 2 3 6 2" xfId="10908" xr:uid="{00000000-0005-0000-0000-000084220000}"/>
    <cellStyle name="20% - Accent5 2 4 2 3 6 2 2" xfId="20904" xr:uid="{00000000-0005-0000-0000-000085220000}"/>
    <cellStyle name="20% - Accent5 2 4 2 3 6 2 2 2" xfId="40304" xr:uid="{00000000-0005-0000-0000-000086220000}"/>
    <cellStyle name="20% - Accent5 2 4 2 3 6 2 3" xfId="30606" xr:uid="{00000000-0005-0000-0000-000087220000}"/>
    <cellStyle name="20% - Accent5 2 4 2 3 6 3" xfId="16449" xr:uid="{00000000-0005-0000-0000-000088220000}"/>
    <cellStyle name="20% - Accent5 2 4 2 3 6 3 2" xfId="35849" xr:uid="{00000000-0005-0000-0000-000089220000}"/>
    <cellStyle name="20% - Accent5 2 4 2 3 6 4" xfId="26151" xr:uid="{00000000-0005-0000-0000-00008A220000}"/>
    <cellStyle name="20% - Accent5 2 4 2 3 7" xfId="7010" xr:uid="{00000000-0005-0000-0000-00008B220000}"/>
    <cellStyle name="20% - Accent5 2 4 2 3 7 2" xfId="17006" xr:uid="{00000000-0005-0000-0000-00008C220000}"/>
    <cellStyle name="20% - Accent5 2 4 2 3 7 2 2" xfId="36406" xr:uid="{00000000-0005-0000-0000-00008D220000}"/>
    <cellStyle name="20% - Accent5 2 4 2 3 7 3" xfId="26708" xr:uid="{00000000-0005-0000-0000-00008E220000}"/>
    <cellStyle name="20% - Accent5 2 4 2 3 8" xfId="12550" xr:uid="{00000000-0005-0000-0000-00008F220000}"/>
    <cellStyle name="20% - Accent5 2 4 2 3 8 2" xfId="31951" xr:uid="{00000000-0005-0000-0000-000090220000}"/>
    <cellStyle name="20% - Accent5 2 4 2 3 9" xfId="22253" xr:uid="{00000000-0005-0000-0000-000091220000}"/>
    <cellStyle name="20% - Accent5 2 4 2 4" xfId="3059" xr:uid="{00000000-0005-0000-0000-000092220000}"/>
    <cellStyle name="20% - Accent5 2 4 2 4 2" xfId="5328" xr:uid="{00000000-0005-0000-0000-000093220000}"/>
    <cellStyle name="20% - Accent5 2 4 2 4 2 2" xfId="9792" xr:uid="{00000000-0005-0000-0000-000094220000}"/>
    <cellStyle name="20% - Accent5 2 4 2 4 2 2 2" xfId="19788" xr:uid="{00000000-0005-0000-0000-000095220000}"/>
    <cellStyle name="20% - Accent5 2 4 2 4 2 2 2 2" xfId="39188" xr:uid="{00000000-0005-0000-0000-000096220000}"/>
    <cellStyle name="20% - Accent5 2 4 2 4 2 2 3" xfId="29490" xr:uid="{00000000-0005-0000-0000-000097220000}"/>
    <cellStyle name="20% - Accent5 2 4 2 4 2 3" xfId="15333" xr:uid="{00000000-0005-0000-0000-000098220000}"/>
    <cellStyle name="20% - Accent5 2 4 2 4 2 3 2" xfId="34733" xr:uid="{00000000-0005-0000-0000-000099220000}"/>
    <cellStyle name="20% - Accent5 2 4 2 4 2 4" xfId="25035" xr:uid="{00000000-0005-0000-0000-00009A220000}"/>
    <cellStyle name="20% - Accent5 2 4 2 4 3" xfId="7564" xr:uid="{00000000-0005-0000-0000-00009B220000}"/>
    <cellStyle name="20% - Accent5 2 4 2 4 3 2" xfId="17560" xr:uid="{00000000-0005-0000-0000-00009C220000}"/>
    <cellStyle name="20% - Accent5 2 4 2 4 3 2 2" xfId="36960" xr:uid="{00000000-0005-0000-0000-00009D220000}"/>
    <cellStyle name="20% - Accent5 2 4 2 4 3 3" xfId="27262" xr:uid="{00000000-0005-0000-0000-00009E220000}"/>
    <cellStyle name="20% - Accent5 2 4 2 4 4" xfId="13105" xr:uid="{00000000-0005-0000-0000-00009F220000}"/>
    <cellStyle name="20% - Accent5 2 4 2 4 4 2" xfId="32505" xr:uid="{00000000-0005-0000-0000-0000A0220000}"/>
    <cellStyle name="20% - Accent5 2 4 2 4 5" xfId="22807" xr:uid="{00000000-0005-0000-0000-0000A1220000}"/>
    <cellStyle name="20% - Accent5 2 4 2 5" xfId="3642" xr:uid="{00000000-0005-0000-0000-0000A2220000}"/>
    <cellStyle name="20% - Accent5 2 4 2 5 2" xfId="4772" xr:uid="{00000000-0005-0000-0000-0000A3220000}"/>
    <cellStyle name="20% - Accent5 2 4 2 5 2 2" xfId="9236" xr:uid="{00000000-0005-0000-0000-0000A4220000}"/>
    <cellStyle name="20% - Accent5 2 4 2 5 2 2 2" xfId="19232" xr:uid="{00000000-0005-0000-0000-0000A5220000}"/>
    <cellStyle name="20% - Accent5 2 4 2 5 2 2 2 2" xfId="38632" xr:uid="{00000000-0005-0000-0000-0000A6220000}"/>
    <cellStyle name="20% - Accent5 2 4 2 5 2 2 3" xfId="28934" xr:uid="{00000000-0005-0000-0000-0000A7220000}"/>
    <cellStyle name="20% - Accent5 2 4 2 5 2 3" xfId="14777" xr:uid="{00000000-0005-0000-0000-0000A8220000}"/>
    <cellStyle name="20% - Accent5 2 4 2 5 2 3 2" xfId="34177" xr:uid="{00000000-0005-0000-0000-0000A9220000}"/>
    <cellStyle name="20% - Accent5 2 4 2 5 2 4" xfId="24479" xr:uid="{00000000-0005-0000-0000-0000AA220000}"/>
    <cellStyle name="20% - Accent5 2 4 2 5 3" xfId="8121" xr:uid="{00000000-0005-0000-0000-0000AB220000}"/>
    <cellStyle name="20% - Accent5 2 4 2 5 3 2" xfId="18117" xr:uid="{00000000-0005-0000-0000-0000AC220000}"/>
    <cellStyle name="20% - Accent5 2 4 2 5 3 2 2" xfId="37517" xr:uid="{00000000-0005-0000-0000-0000AD220000}"/>
    <cellStyle name="20% - Accent5 2 4 2 5 3 3" xfId="27819" xr:uid="{00000000-0005-0000-0000-0000AE220000}"/>
    <cellStyle name="20% - Accent5 2 4 2 5 4" xfId="13662" xr:uid="{00000000-0005-0000-0000-0000AF220000}"/>
    <cellStyle name="20% - Accent5 2 4 2 5 4 2" xfId="33062" xr:uid="{00000000-0005-0000-0000-0000B0220000}"/>
    <cellStyle name="20% - Accent5 2 4 2 5 5" xfId="23364" xr:uid="{00000000-0005-0000-0000-0000B1220000}"/>
    <cellStyle name="20% - Accent5 2 4 2 6" xfId="4215" xr:uid="{00000000-0005-0000-0000-0000B2220000}"/>
    <cellStyle name="20% - Accent5 2 4 2 6 2" xfId="8679" xr:uid="{00000000-0005-0000-0000-0000B3220000}"/>
    <cellStyle name="20% - Accent5 2 4 2 6 2 2" xfId="18675" xr:uid="{00000000-0005-0000-0000-0000B4220000}"/>
    <cellStyle name="20% - Accent5 2 4 2 6 2 2 2" xfId="38075" xr:uid="{00000000-0005-0000-0000-0000B5220000}"/>
    <cellStyle name="20% - Accent5 2 4 2 6 2 3" xfId="28377" xr:uid="{00000000-0005-0000-0000-0000B6220000}"/>
    <cellStyle name="20% - Accent5 2 4 2 6 3" xfId="14220" xr:uid="{00000000-0005-0000-0000-0000B7220000}"/>
    <cellStyle name="20% - Accent5 2 4 2 6 3 2" xfId="33620" xr:uid="{00000000-0005-0000-0000-0000B8220000}"/>
    <cellStyle name="20% - Accent5 2 4 2 6 4" xfId="23922" xr:uid="{00000000-0005-0000-0000-0000B9220000}"/>
    <cellStyle name="20% - Accent5 2 4 2 7" xfId="5885" xr:uid="{00000000-0005-0000-0000-0000BA220000}"/>
    <cellStyle name="20% - Accent5 2 4 2 7 2" xfId="10349" xr:uid="{00000000-0005-0000-0000-0000BB220000}"/>
    <cellStyle name="20% - Accent5 2 4 2 7 2 2" xfId="20345" xr:uid="{00000000-0005-0000-0000-0000BC220000}"/>
    <cellStyle name="20% - Accent5 2 4 2 7 2 2 2" xfId="39745" xr:uid="{00000000-0005-0000-0000-0000BD220000}"/>
    <cellStyle name="20% - Accent5 2 4 2 7 2 3" xfId="30047" xr:uid="{00000000-0005-0000-0000-0000BE220000}"/>
    <cellStyle name="20% - Accent5 2 4 2 7 3" xfId="15890" xr:uid="{00000000-0005-0000-0000-0000BF220000}"/>
    <cellStyle name="20% - Accent5 2 4 2 7 3 2" xfId="35290" xr:uid="{00000000-0005-0000-0000-0000C0220000}"/>
    <cellStyle name="20% - Accent5 2 4 2 7 4" xfId="25592" xr:uid="{00000000-0005-0000-0000-0000C1220000}"/>
    <cellStyle name="20% - Accent5 2 4 2 8" xfId="6451" xr:uid="{00000000-0005-0000-0000-0000C2220000}"/>
    <cellStyle name="20% - Accent5 2 4 2 8 2" xfId="10906" xr:uid="{00000000-0005-0000-0000-0000C3220000}"/>
    <cellStyle name="20% - Accent5 2 4 2 8 2 2" xfId="20902" xr:uid="{00000000-0005-0000-0000-0000C4220000}"/>
    <cellStyle name="20% - Accent5 2 4 2 8 2 2 2" xfId="40302" xr:uid="{00000000-0005-0000-0000-0000C5220000}"/>
    <cellStyle name="20% - Accent5 2 4 2 8 2 3" xfId="30604" xr:uid="{00000000-0005-0000-0000-0000C6220000}"/>
    <cellStyle name="20% - Accent5 2 4 2 8 3" xfId="16447" xr:uid="{00000000-0005-0000-0000-0000C7220000}"/>
    <cellStyle name="20% - Accent5 2 4 2 8 3 2" xfId="35847" xr:uid="{00000000-0005-0000-0000-0000C8220000}"/>
    <cellStyle name="20% - Accent5 2 4 2 8 4" xfId="26149" xr:uid="{00000000-0005-0000-0000-0000C9220000}"/>
    <cellStyle name="20% - Accent5 2 4 2 9" xfId="7008" xr:uid="{00000000-0005-0000-0000-0000CA220000}"/>
    <cellStyle name="20% - Accent5 2 4 2 9 2" xfId="17004" xr:uid="{00000000-0005-0000-0000-0000CB220000}"/>
    <cellStyle name="20% - Accent5 2 4 2 9 2 2" xfId="36404" xr:uid="{00000000-0005-0000-0000-0000CC220000}"/>
    <cellStyle name="20% - Accent5 2 4 2 9 3" xfId="26706" xr:uid="{00000000-0005-0000-0000-0000CD220000}"/>
    <cellStyle name="20% - Accent5 2 4 3" xfId="2067" xr:uid="{00000000-0005-0000-0000-0000CE220000}"/>
    <cellStyle name="20% - Accent5 2 4 3 10" xfId="12551" xr:uid="{00000000-0005-0000-0000-0000CF220000}"/>
    <cellStyle name="20% - Accent5 2 4 3 10 2" xfId="31952" xr:uid="{00000000-0005-0000-0000-0000D0220000}"/>
    <cellStyle name="20% - Accent5 2 4 3 11" xfId="22254" xr:uid="{00000000-0005-0000-0000-0000D1220000}"/>
    <cellStyle name="20% - Accent5 2 4 3 2" xfId="2068" xr:uid="{00000000-0005-0000-0000-0000D2220000}"/>
    <cellStyle name="20% - Accent5 2 4 3 2 2" xfId="3063" xr:uid="{00000000-0005-0000-0000-0000D3220000}"/>
    <cellStyle name="20% - Accent5 2 4 3 2 2 2" xfId="5332" xr:uid="{00000000-0005-0000-0000-0000D4220000}"/>
    <cellStyle name="20% - Accent5 2 4 3 2 2 2 2" xfId="9796" xr:uid="{00000000-0005-0000-0000-0000D5220000}"/>
    <cellStyle name="20% - Accent5 2 4 3 2 2 2 2 2" xfId="19792" xr:uid="{00000000-0005-0000-0000-0000D6220000}"/>
    <cellStyle name="20% - Accent5 2 4 3 2 2 2 2 2 2" xfId="39192" xr:uid="{00000000-0005-0000-0000-0000D7220000}"/>
    <cellStyle name="20% - Accent5 2 4 3 2 2 2 2 3" xfId="29494" xr:uid="{00000000-0005-0000-0000-0000D8220000}"/>
    <cellStyle name="20% - Accent5 2 4 3 2 2 2 3" xfId="15337" xr:uid="{00000000-0005-0000-0000-0000D9220000}"/>
    <cellStyle name="20% - Accent5 2 4 3 2 2 2 3 2" xfId="34737" xr:uid="{00000000-0005-0000-0000-0000DA220000}"/>
    <cellStyle name="20% - Accent5 2 4 3 2 2 2 4" xfId="25039" xr:uid="{00000000-0005-0000-0000-0000DB220000}"/>
    <cellStyle name="20% - Accent5 2 4 3 2 2 3" xfId="7568" xr:uid="{00000000-0005-0000-0000-0000DC220000}"/>
    <cellStyle name="20% - Accent5 2 4 3 2 2 3 2" xfId="17564" xr:uid="{00000000-0005-0000-0000-0000DD220000}"/>
    <cellStyle name="20% - Accent5 2 4 3 2 2 3 2 2" xfId="36964" xr:uid="{00000000-0005-0000-0000-0000DE220000}"/>
    <cellStyle name="20% - Accent5 2 4 3 2 2 3 3" xfId="27266" xr:uid="{00000000-0005-0000-0000-0000DF220000}"/>
    <cellStyle name="20% - Accent5 2 4 3 2 2 4" xfId="13109" xr:uid="{00000000-0005-0000-0000-0000E0220000}"/>
    <cellStyle name="20% - Accent5 2 4 3 2 2 4 2" xfId="32509" xr:uid="{00000000-0005-0000-0000-0000E1220000}"/>
    <cellStyle name="20% - Accent5 2 4 3 2 2 5" xfId="22811" xr:uid="{00000000-0005-0000-0000-0000E2220000}"/>
    <cellStyle name="20% - Accent5 2 4 3 2 3" xfId="3646" xr:uid="{00000000-0005-0000-0000-0000E3220000}"/>
    <cellStyle name="20% - Accent5 2 4 3 2 3 2" xfId="4776" xr:uid="{00000000-0005-0000-0000-0000E4220000}"/>
    <cellStyle name="20% - Accent5 2 4 3 2 3 2 2" xfId="9240" xr:uid="{00000000-0005-0000-0000-0000E5220000}"/>
    <cellStyle name="20% - Accent5 2 4 3 2 3 2 2 2" xfId="19236" xr:uid="{00000000-0005-0000-0000-0000E6220000}"/>
    <cellStyle name="20% - Accent5 2 4 3 2 3 2 2 2 2" xfId="38636" xr:uid="{00000000-0005-0000-0000-0000E7220000}"/>
    <cellStyle name="20% - Accent5 2 4 3 2 3 2 2 3" xfId="28938" xr:uid="{00000000-0005-0000-0000-0000E8220000}"/>
    <cellStyle name="20% - Accent5 2 4 3 2 3 2 3" xfId="14781" xr:uid="{00000000-0005-0000-0000-0000E9220000}"/>
    <cellStyle name="20% - Accent5 2 4 3 2 3 2 3 2" xfId="34181" xr:uid="{00000000-0005-0000-0000-0000EA220000}"/>
    <cellStyle name="20% - Accent5 2 4 3 2 3 2 4" xfId="24483" xr:uid="{00000000-0005-0000-0000-0000EB220000}"/>
    <cellStyle name="20% - Accent5 2 4 3 2 3 3" xfId="8125" xr:uid="{00000000-0005-0000-0000-0000EC220000}"/>
    <cellStyle name="20% - Accent5 2 4 3 2 3 3 2" xfId="18121" xr:uid="{00000000-0005-0000-0000-0000ED220000}"/>
    <cellStyle name="20% - Accent5 2 4 3 2 3 3 2 2" xfId="37521" xr:uid="{00000000-0005-0000-0000-0000EE220000}"/>
    <cellStyle name="20% - Accent5 2 4 3 2 3 3 3" xfId="27823" xr:uid="{00000000-0005-0000-0000-0000EF220000}"/>
    <cellStyle name="20% - Accent5 2 4 3 2 3 4" xfId="13666" xr:uid="{00000000-0005-0000-0000-0000F0220000}"/>
    <cellStyle name="20% - Accent5 2 4 3 2 3 4 2" xfId="33066" xr:uid="{00000000-0005-0000-0000-0000F1220000}"/>
    <cellStyle name="20% - Accent5 2 4 3 2 3 5" xfId="23368" xr:uid="{00000000-0005-0000-0000-0000F2220000}"/>
    <cellStyle name="20% - Accent5 2 4 3 2 4" xfId="4219" xr:uid="{00000000-0005-0000-0000-0000F3220000}"/>
    <cellStyle name="20% - Accent5 2 4 3 2 4 2" xfId="8683" xr:uid="{00000000-0005-0000-0000-0000F4220000}"/>
    <cellStyle name="20% - Accent5 2 4 3 2 4 2 2" xfId="18679" xr:uid="{00000000-0005-0000-0000-0000F5220000}"/>
    <cellStyle name="20% - Accent5 2 4 3 2 4 2 2 2" xfId="38079" xr:uid="{00000000-0005-0000-0000-0000F6220000}"/>
    <cellStyle name="20% - Accent5 2 4 3 2 4 2 3" xfId="28381" xr:uid="{00000000-0005-0000-0000-0000F7220000}"/>
    <cellStyle name="20% - Accent5 2 4 3 2 4 3" xfId="14224" xr:uid="{00000000-0005-0000-0000-0000F8220000}"/>
    <cellStyle name="20% - Accent5 2 4 3 2 4 3 2" xfId="33624" xr:uid="{00000000-0005-0000-0000-0000F9220000}"/>
    <cellStyle name="20% - Accent5 2 4 3 2 4 4" xfId="23926" xr:uid="{00000000-0005-0000-0000-0000FA220000}"/>
    <cellStyle name="20% - Accent5 2 4 3 2 5" xfId="5889" xr:uid="{00000000-0005-0000-0000-0000FB220000}"/>
    <cellStyle name="20% - Accent5 2 4 3 2 5 2" xfId="10353" xr:uid="{00000000-0005-0000-0000-0000FC220000}"/>
    <cellStyle name="20% - Accent5 2 4 3 2 5 2 2" xfId="20349" xr:uid="{00000000-0005-0000-0000-0000FD220000}"/>
    <cellStyle name="20% - Accent5 2 4 3 2 5 2 2 2" xfId="39749" xr:uid="{00000000-0005-0000-0000-0000FE220000}"/>
    <cellStyle name="20% - Accent5 2 4 3 2 5 2 3" xfId="30051" xr:uid="{00000000-0005-0000-0000-0000FF220000}"/>
    <cellStyle name="20% - Accent5 2 4 3 2 5 3" xfId="15894" xr:uid="{00000000-0005-0000-0000-000000230000}"/>
    <cellStyle name="20% - Accent5 2 4 3 2 5 3 2" xfId="35294" xr:uid="{00000000-0005-0000-0000-000001230000}"/>
    <cellStyle name="20% - Accent5 2 4 3 2 5 4" xfId="25596" xr:uid="{00000000-0005-0000-0000-000002230000}"/>
    <cellStyle name="20% - Accent5 2 4 3 2 6" xfId="6455" xr:uid="{00000000-0005-0000-0000-000003230000}"/>
    <cellStyle name="20% - Accent5 2 4 3 2 6 2" xfId="10910" xr:uid="{00000000-0005-0000-0000-000004230000}"/>
    <cellStyle name="20% - Accent5 2 4 3 2 6 2 2" xfId="20906" xr:uid="{00000000-0005-0000-0000-000005230000}"/>
    <cellStyle name="20% - Accent5 2 4 3 2 6 2 2 2" xfId="40306" xr:uid="{00000000-0005-0000-0000-000006230000}"/>
    <cellStyle name="20% - Accent5 2 4 3 2 6 2 3" xfId="30608" xr:uid="{00000000-0005-0000-0000-000007230000}"/>
    <cellStyle name="20% - Accent5 2 4 3 2 6 3" xfId="16451" xr:uid="{00000000-0005-0000-0000-000008230000}"/>
    <cellStyle name="20% - Accent5 2 4 3 2 6 3 2" xfId="35851" xr:uid="{00000000-0005-0000-0000-000009230000}"/>
    <cellStyle name="20% - Accent5 2 4 3 2 6 4" xfId="26153" xr:uid="{00000000-0005-0000-0000-00000A230000}"/>
    <cellStyle name="20% - Accent5 2 4 3 2 7" xfId="7012" xr:uid="{00000000-0005-0000-0000-00000B230000}"/>
    <cellStyle name="20% - Accent5 2 4 3 2 7 2" xfId="17008" xr:uid="{00000000-0005-0000-0000-00000C230000}"/>
    <cellStyle name="20% - Accent5 2 4 3 2 7 2 2" xfId="36408" xr:uid="{00000000-0005-0000-0000-00000D230000}"/>
    <cellStyle name="20% - Accent5 2 4 3 2 7 3" xfId="26710" xr:uid="{00000000-0005-0000-0000-00000E230000}"/>
    <cellStyle name="20% - Accent5 2 4 3 2 8" xfId="12552" xr:uid="{00000000-0005-0000-0000-00000F230000}"/>
    <cellStyle name="20% - Accent5 2 4 3 2 8 2" xfId="31953" xr:uid="{00000000-0005-0000-0000-000010230000}"/>
    <cellStyle name="20% - Accent5 2 4 3 2 9" xfId="22255" xr:uid="{00000000-0005-0000-0000-000011230000}"/>
    <cellStyle name="20% - Accent5 2 4 3 3" xfId="2069" xr:uid="{00000000-0005-0000-0000-000012230000}"/>
    <cellStyle name="20% - Accent5 2 4 3 3 2" xfId="3064" xr:uid="{00000000-0005-0000-0000-000013230000}"/>
    <cellStyle name="20% - Accent5 2 4 3 3 2 2" xfId="5333" xr:uid="{00000000-0005-0000-0000-000014230000}"/>
    <cellStyle name="20% - Accent5 2 4 3 3 2 2 2" xfId="9797" xr:uid="{00000000-0005-0000-0000-000015230000}"/>
    <cellStyle name="20% - Accent5 2 4 3 3 2 2 2 2" xfId="19793" xr:uid="{00000000-0005-0000-0000-000016230000}"/>
    <cellStyle name="20% - Accent5 2 4 3 3 2 2 2 2 2" xfId="39193" xr:uid="{00000000-0005-0000-0000-000017230000}"/>
    <cellStyle name="20% - Accent5 2 4 3 3 2 2 2 3" xfId="29495" xr:uid="{00000000-0005-0000-0000-000018230000}"/>
    <cellStyle name="20% - Accent5 2 4 3 3 2 2 3" xfId="15338" xr:uid="{00000000-0005-0000-0000-000019230000}"/>
    <cellStyle name="20% - Accent5 2 4 3 3 2 2 3 2" xfId="34738" xr:uid="{00000000-0005-0000-0000-00001A230000}"/>
    <cellStyle name="20% - Accent5 2 4 3 3 2 2 4" xfId="25040" xr:uid="{00000000-0005-0000-0000-00001B230000}"/>
    <cellStyle name="20% - Accent5 2 4 3 3 2 3" xfId="7569" xr:uid="{00000000-0005-0000-0000-00001C230000}"/>
    <cellStyle name="20% - Accent5 2 4 3 3 2 3 2" xfId="17565" xr:uid="{00000000-0005-0000-0000-00001D230000}"/>
    <cellStyle name="20% - Accent5 2 4 3 3 2 3 2 2" xfId="36965" xr:uid="{00000000-0005-0000-0000-00001E230000}"/>
    <cellStyle name="20% - Accent5 2 4 3 3 2 3 3" xfId="27267" xr:uid="{00000000-0005-0000-0000-00001F230000}"/>
    <cellStyle name="20% - Accent5 2 4 3 3 2 4" xfId="13110" xr:uid="{00000000-0005-0000-0000-000020230000}"/>
    <cellStyle name="20% - Accent5 2 4 3 3 2 4 2" xfId="32510" xr:uid="{00000000-0005-0000-0000-000021230000}"/>
    <cellStyle name="20% - Accent5 2 4 3 3 2 5" xfId="22812" xr:uid="{00000000-0005-0000-0000-000022230000}"/>
    <cellStyle name="20% - Accent5 2 4 3 3 3" xfId="3647" xr:uid="{00000000-0005-0000-0000-000023230000}"/>
    <cellStyle name="20% - Accent5 2 4 3 3 3 2" xfId="4777" xr:uid="{00000000-0005-0000-0000-000024230000}"/>
    <cellStyle name="20% - Accent5 2 4 3 3 3 2 2" xfId="9241" xr:uid="{00000000-0005-0000-0000-000025230000}"/>
    <cellStyle name="20% - Accent5 2 4 3 3 3 2 2 2" xfId="19237" xr:uid="{00000000-0005-0000-0000-000026230000}"/>
    <cellStyle name="20% - Accent5 2 4 3 3 3 2 2 2 2" xfId="38637" xr:uid="{00000000-0005-0000-0000-000027230000}"/>
    <cellStyle name="20% - Accent5 2 4 3 3 3 2 2 3" xfId="28939" xr:uid="{00000000-0005-0000-0000-000028230000}"/>
    <cellStyle name="20% - Accent5 2 4 3 3 3 2 3" xfId="14782" xr:uid="{00000000-0005-0000-0000-000029230000}"/>
    <cellStyle name="20% - Accent5 2 4 3 3 3 2 3 2" xfId="34182" xr:uid="{00000000-0005-0000-0000-00002A230000}"/>
    <cellStyle name="20% - Accent5 2 4 3 3 3 2 4" xfId="24484" xr:uid="{00000000-0005-0000-0000-00002B230000}"/>
    <cellStyle name="20% - Accent5 2 4 3 3 3 3" xfId="8126" xr:uid="{00000000-0005-0000-0000-00002C230000}"/>
    <cellStyle name="20% - Accent5 2 4 3 3 3 3 2" xfId="18122" xr:uid="{00000000-0005-0000-0000-00002D230000}"/>
    <cellStyle name="20% - Accent5 2 4 3 3 3 3 2 2" xfId="37522" xr:uid="{00000000-0005-0000-0000-00002E230000}"/>
    <cellStyle name="20% - Accent5 2 4 3 3 3 3 3" xfId="27824" xr:uid="{00000000-0005-0000-0000-00002F230000}"/>
    <cellStyle name="20% - Accent5 2 4 3 3 3 4" xfId="13667" xr:uid="{00000000-0005-0000-0000-000030230000}"/>
    <cellStyle name="20% - Accent5 2 4 3 3 3 4 2" xfId="33067" xr:uid="{00000000-0005-0000-0000-000031230000}"/>
    <cellStyle name="20% - Accent5 2 4 3 3 3 5" xfId="23369" xr:uid="{00000000-0005-0000-0000-000032230000}"/>
    <cellStyle name="20% - Accent5 2 4 3 3 4" xfId="4220" xr:uid="{00000000-0005-0000-0000-000033230000}"/>
    <cellStyle name="20% - Accent5 2 4 3 3 4 2" xfId="8684" xr:uid="{00000000-0005-0000-0000-000034230000}"/>
    <cellStyle name="20% - Accent5 2 4 3 3 4 2 2" xfId="18680" xr:uid="{00000000-0005-0000-0000-000035230000}"/>
    <cellStyle name="20% - Accent5 2 4 3 3 4 2 2 2" xfId="38080" xr:uid="{00000000-0005-0000-0000-000036230000}"/>
    <cellStyle name="20% - Accent5 2 4 3 3 4 2 3" xfId="28382" xr:uid="{00000000-0005-0000-0000-000037230000}"/>
    <cellStyle name="20% - Accent5 2 4 3 3 4 3" xfId="14225" xr:uid="{00000000-0005-0000-0000-000038230000}"/>
    <cellStyle name="20% - Accent5 2 4 3 3 4 3 2" xfId="33625" xr:uid="{00000000-0005-0000-0000-000039230000}"/>
    <cellStyle name="20% - Accent5 2 4 3 3 4 4" xfId="23927" xr:uid="{00000000-0005-0000-0000-00003A230000}"/>
    <cellStyle name="20% - Accent5 2 4 3 3 5" xfId="5890" xr:uid="{00000000-0005-0000-0000-00003B230000}"/>
    <cellStyle name="20% - Accent5 2 4 3 3 5 2" xfId="10354" xr:uid="{00000000-0005-0000-0000-00003C230000}"/>
    <cellStyle name="20% - Accent5 2 4 3 3 5 2 2" xfId="20350" xr:uid="{00000000-0005-0000-0000-00003D230000}"/>
    <cellStyle name="20% - Accent5 2 4 3 3 5 2 2 2" xfId="39750" xr:uid="{00000000-0005-0000-0000-00003E230000}"/>
    <cellStyle name="20% - Accent5 2 4 3 3 5 2 3" xfId="30052" xr:uid="{00000000-0005-0000-0000-00003F230000}"/>
    <cellStyle name="20% - Accent5 2 4 3 3 5 3" xfId="15895" xr:uid="{00000000-0005-0000-0000-000040230000}"/>
    <cellStyle name="20% - Accent5 2 4 3 3 5 3 2" xfId="35295" xr:uid="{00000000-0005-0000-0000-000041230000}"/>
    <cellStyle name="20% - Accent5 2 4 3 3 5 4" xfId="25597" xr:uid="{00000000-0005-0000-0000-000042230000}"/>
    <cellStyle name="20% - Accent5 2 4 3 3 6" xfId="6456" xr:uid="{00000000-0005-0000-0000-000043230000}"/>
    <cellStyle name="20% - Accent5 2 4 3 3 6 2" xfId="10911" xr:uid="{00000000-0005-0000-0000-000044230000}"/>
    <cellStyle name="20% - Accent5 2 4 3 3 6 2 2" xfId="20907" xr:uid="{00000000-0005-0000-0000-000045230000}"/>
    <cellStyle name="20% - Accent5 2 4 3 3 6 2 2 2" xfId="40307" xr:uid="{00000000-0005-0000-0000-000046230000}"/>
    <cellStyle name="20% - Accent5 2 4 3 3 6 2 3" xfId="30609" xr:uid="{00000000-0005-0000-0000-000047230000}"/>
    <cellStyle name="20% - Accent5 2 4 3 3 6 3" xfId="16452" xr:uid="{00000000-0005-0000-0000-000048230000}"/>
    <cellStyle name="20% - Accent5 2 4 3 3 6 3 2" xfId="35852" xr:uid="{00000000-0005-0000-0000-000049230000}"/>
    <cellStyle name="20% - Accent5 2 4 3 3 6 4" xfId="26154" xr:uid="{00000000-0005-0000-0000-00004A230000}"/>
    <cellStyle name="20% - Accent5 2 4 3 3 7" xfId="7013" xr:uid="{00000000-0005-0000-0000-00004B230000}"/>
    <cellStyle name="20% - Accent5 2 4 3 3 7 2" xfId="17009" xr:uid="{00000000-0005-0000-0000-00004C230000}"/>
    <cellStyle name="20% - Accent5 2 4 3 3 7 2 2" xfId="36409" xr:uid="{00000000-0005-0000-0000-00004D230000}"/>
    <cellStyle name="20% - Accent5 2 4 3 3 7 3" xfId="26711" xr:uid="{00000000-0005-0000-0000-00004E230000}"/>
    <cellStyle name="20% - Accent5 2 4 3 3 8" xfId="12553" xr:uid="{00000000-0005-0000-0000-00004F230000}"/>
    <cellStyle name="20% - Accent5 2 4 3 3 8 2" xfId="31954" xr:uid="{00000000-0005-0000-0000-000050230000}"/>
    <cellStyle name="20% - Accent5 2 4 3 3 9" xfId="22256" xr:uid="{00000000-0005-0000-0000-000051230000}"/>
    <cellStyle name="20% - Accent5 2 4 3 4" xfId="3062" xr:uid="{00000000-0005-0000-0000-000052230000}"/>
    <cellStyle name="20% - Accent5 2 4 3 4 2" xfId="5331" xr:uid="{00000000-0005-0000-0000-000053230000}"/>
    <cellStyle name="20% - Accent5 2 4 3 4 2 2" xfId="9795" xr:uid="{00000000-0005-0000-0000-000054230000}"/>
    <cellStyle name="20% - Accent5 2 4 3 4 2 2 2" xfId="19791" xr:uid="{00000000-0005-0000-0000-000055230000}"/>
    <cellStyle name="20% - Accent5 2 4 3 4 2 2 2 2" xfId="39191" xr:uid="{00000000-0005-0000-0000-000056230000}"/>
    <cellStyle name="20% - Accent5 2 4 3 4 2 2 3" xfId="29493" xr:uid="{00000000-0005-0000-0000-000057230000}"/>
    <cellStyle name="20% - Accent5 2 4 3 4 2 3" xfId="15336" xr:uid="{00000000-0005-0000-0000-000058230000}"/>
    <cellStyle name="20% - Accent5 2 4 3 4 2 3 2" xfId="34736" xr:uid="{00000000-0005-0000-0000-000059230000}"/>
    <cellStyle name="20% - Accent5 2 4 3 4 2 4" xfId="25038" xr:uid="{00000000-0005-0000-0000-00005A230000}"/>
    <cellStyle name="20% - Accent5 2 4 3 4 3" xfId="7567" xr:uid="{00000000-0005-0000-0000-00005B230000}"/>
    <cellStyle name="20% - Accent5 2 4 3 4 3 2" xfId="17563" xr:uid="{00000000-0005-0000-0000-00005C230000}"/>
    <cellStyle name="20% - Accent5 2 4 3 4 3 2 2" xfId="36963" xr:uid="{00000000-0005-0000-0000-00005D230000}"/>
    <cellStyle name="20% - Accent5 2 4 3 4 3 3" xfId="27265" xr:uid="{00000000-0005-0000-0000-00005E230000}"/>
    <cellStyle name="20% - Accent5 2 4 3 4 4" xfId="13108" xr:uid="{00000000-0005-0000-0000-00005F230000}"/>
    <cellStyle name="20% - Accent5 2 4 3 4 4 2" xfId="32508" xr:uid="{00000000-0005-0000-0000-000060230000}"/>
    <cellStyle name="20% - Accent5 2 4 3 4 5" xfId="22810" xr:uid="{00000000-0005-0000-0000-000061230000}"/>
    <cellStyle name="20% - Accent5 2 4 3 5" xfId="3645" xr:uid="{00000000-0005-0000-0000-000062230000}"/>
    <cellStyle name="20% - Accent5 2 4 3 5 2" xfId="4775" xr:uid="{00000000-0005-0000-0000-000063230000}"/>
    <cellStyle name="20% - Accent5 2 4 3 5 2 2" xfId="9239" xr:uid="{00000000-0005-0000-0000-000064230000}"/>
    <cellStyle name="20% - Accent5 2 4 3 5 2 2 2" xfId="19235" xr:uid="{00000000-0005-0000-0000-000065230000}"/>
    <cellStyle name="20% - Accent5 2 4 3 5 2 2 2 2" xfId="38635" xr:uid="{00000000-0005-0000-0000-000066230000}"/>
    <cellStyle name="20% - Accent5 2 4 3 5 2 2 3" xfId="28937" xr:uid="{00000000-0005-0000-0000-000067230000}"/>
    <cellStyle name="20% - Accent5 2 4 3 5 2 3" xfId="14780" xr:uid="{00000000-0005-0000-0000-000068230000}"/>
    <cellStyle name="20% - Accent5 2 4 3 5 2 3 2" xfId="34180" xr:uid="{00000000-0005-0000-0000-000069230000}"/>
    <cellStyle name="20% - Accent5 2 4 3 5 2 4" xfId="24482" xr:uid="{00000000-0005-0000-0000-00006A230000}"/>
    <cellStyle name="20% - Accent5 2 4 3 5 3" xfId="8124" xr:uid="{00000000-0005-0000-0000-00006B230000}"/>
    <cellStyle name="20% - Accent5 2 4 3 5 3 2" xfId="18120" xr:uid="{00000000-0005-0000-0000-00006C230000}"/>
    <cellStyle name="20% - Accent5 2 4 3 5 3 2 2" xfId="37520" xr:uid="{00000000-0005-0000-0000-00006D230000}"/>
    <cellStyle name="20% - Accent5 2 4 3 5 3 3" xfId="27822" xr:uid="{00000000-0005-0000-0000-00006E230000}"/>
    <cellStyle name="20% - Accent5 2 4 3 5 4" xfId="13665" xr:uid="{00000000-0005-0000-0000-00006F230000}"/>
    <cellStyle name="20% - Accent5 2 4 3 5 4 2" xfId="33065" xr:uid="{00000000-0005-0000-0000-000070230000}"/>
    <cellStyle name="20% - Accent5 2 4 3 5 5" xfId="23367" xr:uid="{00000000-0005-0000-0000-000071230000}"/>
    <cellStyle name="20% - Accent5 2 4 3 6" xfId="4218" xr:uid="{00000000-0005-0000-0000-000072230000}"/>
    <cellStyle name="20% - Accent5 2 4 3 6 2" xfId="8682" xr:uid="{00000000-0005-0000-0000-000073230000}"/>
    <cellStyle name="20% - Accent5 2 4 3 6 2 2" xfId="18678" xr:uid="{00000000-0005-0000-0000-000074230000}"/>
    <cellStyle name="20% - Accent5 2 4 3 6 2 2 2" xfId="38078" xr:uid="{00000000-0005-0000-0000-000075230000}"/>
    <cellStyle name="20% - Accent5 2 4 3 6 2 3" xfId="28380" xr:uid="{00000000-0005-0000-0000-000076230000}"/>
    <cellStyle name="20% - Accent5 2 4 3 6 3" xfId="14223" xr:uid="{00000000-0005-0000-0000-000077230000}"/>
    <cellStyle name="20% - Accent5 2 4 3 6 3 2" xfId="33623" xr:uid="{00000000-0005-0000-0000-000078230000}"/>
    <cellStyle name="20% - Accent5 2 4 3 6 4" xfId="23925" xr:uid="{00000000-0005-0000-0000-000079230000}"/>
    <cellStyle name="20% - Accent5 2 4 3 7" xfId="5888" xr:uid="{00000000-0005-0000-0000-00007A230000}"/>
    <cellStyle name="20% - Accent5 2 4 3 7 2" xfId="10352" xr:uid="{00000000-0005-0000-0000-00007B230000}"/>
    <cellStyle name="20% - Accent5 2 4 3 7 2 2" xfId="20348" xr:uid="{00000000-0005-0000-0000-00007C230000}"/>
    <cellStyle name="20% - Accent5 2 4 3 7 2 2 2" xfId="39748" xr:uid="{00000000-0005-0000-0000-00007D230000}"/>
    <cellStyle name="20% - Accent5 2 4 3 7 2 3" xfId="30050" xr:uid="{00000000-0005-0000-0000-00007E230000}"/>
    <cellStyle name="20% - Accent5 2 4 3 7 3" xfId="15893" xr:uid="{00000000-0005-0000-0000-00007F230000}"/>
    <cellStyle name="20% - Accent5 2 4 3 7 3 2" xfId="35293" xr:uid="{00000000-0005-0000-0000-000080230000}"/>
    <cellStyle name="20% - Accent5 2 4 3 7 4" xfId="25595" xr:uid="{00000000-0005-0000-0000-000081230000}"/>
    <cellStyle name="20% - Accent5 2 4 3 8" xfId="6454" xr:uid="{00000000-0005-0000-0000-000082230000}"/>
    <cellStyle name="20% - Accent5 2 4 3 8 2" xfId="10909" xr:uid="{00000000-0005-0000-0000-000083230000}"/>
    <cellStyle name="20% - Accent5 2 4 3 8 2 2" xfId="20905" xr:uid="{00000000-0005-0000-0000-000084230000}"/>
    <cellStyle name="20% - Accent5 2 4 3 8 2 2 2" xfId="40305" xr:uid="{00000000-0005-0000-0000-000085230000}"/>
    <cellStyle name="20% - Accent5 2 4 3 8 2 3" xfId="30607" xr:uid="{00000000-0005-0000-0000-000086230000}"/>
    <cellStyle name="20% - Accent5 2 4 3 8 3" xfId="16450" xr:uid="{00000000-0005-0000-0000-000087230000}"/>
    <cellStyle name="20% - Accent5 2 4 3 8 3 2" xfId="35850" xr:uid="{00000000-0005-0000-0000-000088230000}"/>
    <cellStyle name="20% - Accent5 2 4 3 8 4" xfId="26152" xr:uid="{00000000-0005-0000-0000-000089230000}"/>
    <cellStyle name="20% - Accent5 2 4 3 9" xfId="7011" xr:uid="{00000000-0005-0000-0000-00008A230000}"/>
    <cellStyle name="20% - Accent5 2 4 3 9 2" xfId="17007" xr:uid="{00000000-0005-0000-0000-00008B230000}"/>
    <cellStyle name="20% - Accent5 2 4 3 9 2 2" xfId="36407" xr:uid="{00000000-0005-0000-0000-00008C230000}"/>
    <cellStyle name="20% - Accent5 2 4 3 9 3" xfId="26709" xr:uid="{00000000-0005-0000-0000-00008D230000}"/>
    <cellStyle name="20% - Accent5 2 4 4" xfId="2070" xr:uid="{00000000-0005-0000-0000-00008E230000}"/>
    <cellStyle name="20% - Accent5 2 4 4 2" xfId="3065" xr:uid="{00000000-0005-0000-0000-00008F230000}"/>
    <cellStyle name="20% - Accent5 2 4 4 2 2" xfId="5334" xr:uid="{00000000-0005-0000-0000-000090230000}"/>
    <cellStyle name="20% - Accent5 2 4 4 2 2 2" xfId="9798" xr:uid="{00000000-0005-0000-0000-000091230000}"/>
    <cellStyle name="20% - Accent5 2 4 4 2 2 2 2" xfId="19794" xr:uid="{00000000-0005-0000-0000-000092230000}"/>
    <cellStyle name="20% - Accent5 2 4 4 2 2 2 2 2" xfId="39194" xr:uid="{00000000-0005-0000-0000-000093230000}"/>
    <cellStyle name="20% - Accent5 2 4 4 2 2 2 3" xfId="29496" xr:uid="{00000000-0005-0000-0000-000094230000}"/>
    <cellStyle name="20% - Accent5 2 4 4 2 2 3" xfId="15339" xr:uid="{00000000-0005-0000-0000-000095230000}"/>
    <cellStyle name="20% - Accent5 2 4 4 2 2 3 2" xfId="34739" xr:uid="{00000000-0005-0000-0000-000096230000}"/>
    <cellStyle name="20% - Accent5 2 4 4 2 2 4" xfId="25041" xr:uid="{00000000-0005-0000-0000-000097230000}"/>
    <cellStyle name="20% - Accent5 2 4 4 2 3" xfId="7570" xr:uid="{00000000-0005-0000-0000-000098230000}"/>
    <cellStyle name="20% - Accent5 2 4 4 2 3 2" xfId="17566" xr:uid="{00000000-0005-0000-0000-000099230000}"/>
    <cellStyle name="20% - Accent5 2 4 4 2 3 2 2" xfId="36966" xr:uid="{00000000-0005-0000-0000-00009A230000}"/>
    <cellStyle name="20% - Accent5 2 4 4 2 3 3" xfId="27268" xr:uid="{00000000-0005-0000-0000-00009B230000}"/>
    <cellStyle name="20% - Accent5 2 4 4 2 4" xfId="13111" xr:uid="{00000000-0005-0000-0000-00009C230000}"/>
    <cellStyle name="20% - Accent5 2 4 4 2 4 2" xfId="32511" xr:uid="{00000000-0005-0000-0000-00009D230000}"/>
    <cellStyle name="20% - Accent5 2 4 4 2 5" xfId="22813" xr:uid="{00000000-0005-0000-0000-00009E230000}"/>
    <cellStyle name="20% - Accent5 2 4 4 3" xfId="3648" xr:uid="{00000000-0005-0000-0000-00009F230000}"/>
    <cellStyle name="20% - Accent5 2 4 4 3 2" xfId="4778" xr:uid="{00000000-0005-0000-0000-0000A0230000}"/>
    <cellStyle name="20% - Accent5 2 4 4 3 2 2" xfId="9242" xr:uid="{00000000-0005-0000-0000-0000A1230000}"/>
    <cellStyle name="20% - Accent5 2 4 4 3 2 2 2" xfId="19238" xr:uid="{00000000-0005-0000-0000-0000A2230000}"/>
    <cellStyle name="20% - Accent5 2 4 4 3 2 2 2 2" xfId="38638" xr:uid="{00000000-0005-0000-0000-0000A3230000}"/>
    <cellStyle name="20% - Accent5 2 4 4 3 2 2 3" xfId="28940" xr:uid="{00000000-0005-0000-0000-0000A4230000}"/>
    <cellStyle name="20% - Accent5 2 4 4 3 2 3" xfId="14783" xr:uid="{00000000-0005-0000-0000-0000A5230000}"/>
    <cellStyle name="20% - Accent5 2 4 4 3 2 3 2" xfId="34183" xr:uid="{00000000-0005-0000-0000-0000A6230000}"/>
    <cellStyle name="20% - Accent5 2 4 4 3 2 4" xfId="24485" xr:uid="{00000000-0005-0000-0000-0000A7230000}"/>
    <cellStyle name="20% - Accent5 2 4 4 3 3" xfId="8127" xr:uid="{00000000-0005-0000-0000-0000A8230000}"/>
    <cellStyle name="20% - Accent5 2 4 4 3 3 2" xfId="18123" xr:uid="{00000000-0005-0000-0000-0000A9230000}"/>
    <cellStyle name="20% - Accent5 2 4 4 3 3 2 2" xfId="37523" xr:uid="{00000000-0005-0000-0000-0000AA230000}"/>
    <cellStyle name="20% - Accent5 2 4 4 3 3 3" xfId="27825" xr:uid="{00000000-0005-0000-0000-0000AB230000}"/>
    <cellStyle name="20% - Accent5 2 4 4 3 4" xfId="13668" xr:uid="{00000000-0005-0000-0000-0000AC230000}"/>
    <cellStyle name="20% - Accent5 2 4 4 3 4 2" xfId="33068" xr:uid="{00000000-0005-0000-0000-0000AD230000}"/>
    <cellStyle name="20% - Accent5 2 4 4 3 5" xfId="23370" xr:uid="{00000000-0005-0000-0000-0000AE230000}"/>
    <cellStyle name="20% - Accent5 2 4 4 4" xfId="4221" xr:uid="{00000000-0005-0000-0000-0000AF230000}"/>
    <cellStyle name="20% - Accent5 2 4 4 4 2" xfId="8685" xr:uid="{00000000-0005-0000-0000-0000B0230000}"/>
    <cellStyle name="20% - Accent5 2 4 4 4 2 2" xfId="18681" xr:uid="{00000000-0005-0000-0000-0000B1230000}"/>
    <cellStyle name="20% - Accent5 2 4 4 4 2 2 2" xfId="38081" xr:uid="{00000000-0005-0000-0000-0000B2230000}"/>
    <cellStyle name="20% - Accent5 2 4 4 4 2 3" xfId="28383" xr:uid="{00000000-0005-0000-0000-0000B3230000}"/>
    <cellStyle name="20% - Accent5 2 4 4 4 3" xfId="14226" xr:uid="{00000000-0005-0000-0000-0000B4230000}"/>
    <cellStyle name="20% - Accent5 2 4 4 4 3 2" xfId="33626" xr:uid="{00000000-0005-0000-0000-0000B5230000}"/>
    <cellStyle name="20% - Accent5 2 4 4 4 4" xfId="23928" xr:uid="{00000000-0005-0000-0000-0000B6230000}"/>
    <cellStyle name="20% - Accent5 2 4 4 5" xfId="5891" xr:uid="{00000000-0005-0000-0000-0000B7230000}"/>
    <cellStyle name="20% - Accent5 2 4 4 5 2" xfId="10355" xr:uid="{00000000-0005-0000-0000-0000B8230000}"/>
    <cellStyle name="20% - Accent5 2 4 4 5 2 2" xfId="20351" xr:uid="{00000000-0005-0000-0000-0000B9230000}"/>
    <cellStyle name="20% - Accent5 2 4 4 5 2 2 2" xfId="39751" xr:uid="{00000000-0005-0000-0000-0000BA230000}"/>
    <cellStyle name="20% - Accent5 2 4 4 5 2 3" xfId="30053" xr:uid="{00000000-0005-0000-0000-0000BB230000}"/>
    <cellStyle name="20% - Accent5 2 4 4 5 3" xfId="15896" xr:uid="{00000000-0005-0000-0000-0000BC230000}"/>
    <cellStyle name="20% - Accent5 2 4 4 5 3 2" xfId="35296" xr:uid="{00000000-0005-0000-0000-0000BD230000}"/>
    <cellStyle name="20% - Accent5 2 4 4 5 4" xfId="25598" xr:uid="{00000000-0005-0000-0000-0000BE230000}"/>
    <cellStyle name="20% - Accent5 2 4 4 6" xfId="6457" xr:uid="{00000000-0005-0000-0000-0000BF230000}"/>
    <cellStyle name="20% - Accent5 2 4 4 6 2" xfId="10912" xr:uid="{00000000-0005-0000-0000-0000C0230000}"/>
    <cellStyle name="20% - Accent5 2 4 4 6 2 2" xfId="20908" xr:uid="{00000000-0005-0000-0000-0000C1230000}"/>
    <cellStyle name="20% - Accent5 2 4 4 6 2 2 2" xfId="40308" xr:uid="{00000000-0005-0000-0000-0000C2230000}"/>
    <cellStyle name="20% - Accent5 2 4 4 6 2 3" xfId="30610" xr:uid="{00000000-0005-0000-0000-0000C3230000}"/>
    <cellStyle name="20% - Accent5 2 4 4 6 3" xfId="16453" xr:uid="{00000000-0005-0000-0000-0000C4230000}"/>
    <cellStyle name="20% - Accent5 2 4 4 6 3 2" xfId="35853" xr:uid="{00000000-0005-0000-0000-0000C5230000}"/>
    <cellStyle name="20% - Accent5 2 4 4 6 4" xfId="26155" xr:uid="{00000000-0005-0000-0000-0000C6230000}"/>
    <cellStyle name="20% - Accent5 2 4 4 7" xfId="7014" xr:uid="{00000000-0005-0000-0000-0000C7230000}"/>
    <cellStyle name="20% - Accent5 2 4 4 7 2" xfId="17010" xr:uid="{00000000-0005-0000-0000-0000C8230000}"/>
    <cellStyle name="20% - Accent5 2 4 4 7 2 2" xfId="36410" xr:uid="{00000000-0005-0000-0000-0000C9230000}"/>
    <cellStyle name="20% - Accent5 2 4 4 7 3" xfId="26712" xr:uid="{00000000-0005-0000-0000-0000CA230000}"/>
    <cellStyle name="20% - Accent5 2 4 4 8" xfId="12554" xr:uid="{00000000-0005-0000-0000-0000CB230000}"/>
    <cellStyle name="20% - Accent5 2 4 4 8 2" xfId="31955" xr:uid="{00000000-0005-0000-0000-0000CC230000}"/>
    <cellStyle name="20% - Accent5 2 4 4 9" xfId="22257" xr:uid="{00000000-0005-0000-0000-0000CD230000}"/>
    <cellStyle name="20% - Accent5 2 4 5" xfId="2071" xr:uid="{00000000-0005-0000-0000-0000CE230000}"/>
    <cellStyle name="20% - Accent5 2 4 5 2" xfId="3066" xr:uid="{00000000-0005-0000-0000-0000CF230000}"/>
    <cellStyle name="20% - Accent5 2 4 5 2 2" xfId="5335" xr:uid="{00000000-0005-0000-0000-0000D0230000}"/>
    <cellStyle name="20% - Accent5 2 4 5 2 2 2" xfId="9799" xr:uid="{00000000-0005-0000-0000-0000D1230000}"/>
    <cellStyle name="20% - Accent5 2 4 5 2 2 2 2" xfId="19795" xr:uid="{00000000-0005-0000-0000-0000D2230000}"/>
    <cellStyle name="20% - Accent5 2 4 5 2 2 2 2 2" xfId="39195" xr:uid="{00000000-0005-0000-0000-0000D3230000}"/>
    <cellStyle name="20% - Accent5 2 4 5 2 2 2 3" xfId="29497" xr:uid="{00000000-0005-0000-0000-0000D4230000}"/>
    <cellStyle name="20% - Accent5 2 4 5 2 2 3" xfId="15340" xr:uid="{00000000-0005-0000-0000-0000D5230000}"/>
    <cellStyle name="20% - Accent5 2 4 5 2 2 3 2" xfId="34740" xr:uid="{00000000-0005-0000-0000-0000D6230000}"/>
    <cellStyle name="20% - Accent5 2 4 5 2 2 4" xfId="25042" xr:uid="{00000000-0005-0000-0000-0000D7230000}"/>
    <cellStyle name="20% - Accent5 2 4 5 2 3" xfId="7571" xr:uid="{00000000-0005-0000-0000-0000D8230000}"/>
    <cellStyle name="20% - Accent5 2 4 5 2 3 2" xfId="17567" xr:uid="{00000000-0005-0000-0000-0000D9230000}"/>
    <cellStyle name="20% - Accent5 2 4 5 2 3 2 2" xfId="36967" xr:uid="{00000000-0005-0000-0000-0000DA230000}"/>
    <cellStyle name="20% - Accent5 2 4 5 2 3 3" xfId="27269" xr:uid="{00000000-0005-0000-0000-0000DB230000}"/>
    <cellStyle name="20% - Accent5 2 4 5 2 4" xfId="13112" xr:uid="{00000000-0005-0000-0000-0000DC230000}"/>
    <cellStyle name="20% - Accent5 2 4 5 2 4 2" xfId="32512" xr:uid="{00000000-0005-0000-0000-0000DD230000}"/>
    <cellStyle name="20% - Accent5 2 4 5 2 5" xfId="22814" xr:uid="{00000000-0005-0000-0000-0000DE230000}"/>
    <cellStyle name="20% - Accent5 2 4 5 3" xfId="3649" xr:uid="{00000000-0005-0000-0000-0000DF230000}"/>
    <cellStyle name="20% - Accent5 2 4 5 3 2" xfId="4779" xr:uid="{00000000-0005-0000-0000-0000E0230000}"/>
    <cellStyle name="20% - Accent5 2 4 5 3 2 2" xfId="9243" xr:uid="{00000000-0005-0000-0000-0000E1230000}"/>
    <cellStyle name="20% - Accent5 2 4 5 3 2 2 2" xfId="19239" xr:uid="{00000000-0005-0000-0000-0000E2230000}"/>
    <cellStyle name="20% - Accent5 2 4 5 3 2 2 2 2" xfId="38639" xr:uid="{00000000-0005-0000-0000-0000E3230000}"/>
    <cellStyle name="20% - Accent5 2 4 5 3 2 2 3" xfId="28941" xr:uid="{00000000-0005-0000-0000-0000E4230000}"/>
    <cellStyle name="20% - Accent5 2 4 5 3 2 3" xfId="14784" xr:uid="{00000000-0005-0000-0000-0000E5230000}"/>
    <cellStyle name="20% - Accent5 2 4 5 3 2 3 2" xfId="34184" xr:uid="{00000000-0005-0000-0000-0000E6230000}"/>
    <cellStyle name="20% - Accent5 2 4 5 3 2 4" xfId="24486" xr:uid="{00000000-0005-0000-0000-0000E7230000}"/>
    <cellStyle name="20% - Accent5 2 4 5 3 3" xfId="8128" xr:uid="{00000000-0005-0000-0000-0000E8230000}"/>
    <cellStyle name="20% - Accent5 2 4 5 3 3 2" xfId="18124" xr:uid="{00000000-0005-0000-0000-0000E9230000}"/>
    <cellStyle name="20% - Accent5 2 4 5 3 3 2 2" xfId="37524" xr:uid="{00000000-0005-0000-0000-0000EA230000}"/>
    <cellStyle name="20% - Accent5 2 4 5 3 3 3" xfId="27826" xr:uid="{00000000-0005-0000-0000-0000EB230000}"/>
    <cellStyle name="20% - Accent5 2 4 5 3 4" xfId="13669" xr:uid="{00000000-0005-0000-0000-0000EC230000}"/>
    <cellStyle name="20% - Accent5 2 4 5 3 4 2" xfId="33069" xr:uid="{00000000-0005-0000-0000-0000ED230000}"/>
    <cellStyle name="20% - Accent5 2 4 5 3 5" xfId="23371" xr:uid="{00000000-0005-0000-0000-0000EE230000}"/>
    <cellStyle name="20% - Accent5 2 4 5 4" xfId="4222" xr:uid="{00000000-0005-0000-0000-0000EF230000}"/>
    <cellStyle name="20% - Accent5 2 4 5 4 2" xfId="8686" xr:uid="{00000000-0005-0000-0000-0000F0230000}"/>
    <cellStyle name="20% - Accent5 2 4 5 4 2 2" xfId="18682" xr:uid="{00000000-0005-0000-0000-0000F1230000}"/>
    <cellStyle name="20% - Accent5 2 4 5 4 2 2 2" xfId="38082" xr:uid="{00000000-0005-0000-0000-0000F2230000}"/>
    <cellStyle name="20% - Accent5 2 4 5 4 2 3" xfId="28384" xr:uid="{00000000-0005-0000-0000-0000F3230000}"/>
    <cellStyle name="20% - Accent5 2 4 5 4 3" xfId="14227" xr:uid="{00000000-0005-0000-0000-0000F4230000}"/>
    <cellStyle name="20% - Accent5 2 4 5 4 3 2" xfId="33627" xr:uid="{00000000-0005-0000-0000-0000F5230000}"/>
    <cellStyle name="20% - Accent5 2 4 5 4 4" xfId="23929" xr:uid="{00000000-0005-0000-0000-0000F6230000}"/>
    <cellStyle name="20% - Accent5 2 4 5 5" xfId="5892" xr:uid="{00000000-0005-0000-0000-0000F7230000}"/>
    <cellStyle name="20% - Accent5 2 4 5 5 2" xfId="10356" xr:uid="{00000000-0005-0000-0000-0000F8230000}"/>
    <cellStyle name="20% - Accent5 2 4 5 5 2 2" xfId="20352" xr:uid="{00000000-0005-0000-0000-0000F9230000}"/>
    <cellStyle name="20% - Accent5 2 4 5 5 2 2 2" xfId="39752" xr:uid="{00000000-0005-0000-0000-0000FA230000}"/>
    <cellStyle name="20% - Accent5 2 4 5 5 2 3" xfId="30054" xr:uid="{00000000-0005-0000-0000-0000FB230000}"/>
    <cellStyle name="20% - Accent5 2 4 5 5 3" xfId="15897" xr:uid="{00000000-0005-0000-0000-0000FC230000}"/>
    <cellStyle name="20% - Accent5 2 4 5 5 3 2" xfId="35297" xr:uid="{00000000-0005-0000-0000-0000FD230000}"/>
    <cellStyle name="20% - Accent5 2 4 5 5 4" xfId="25599" xr:uid="{00000000-0005-0000-0000-0000FE230000}"/>
    <cellStyle name="20% - Accent5 2 4 5 6" xfId="6458" xr:uid="{00000000-0005-0000-0000-0000FF230000}"/>
    <cellStyle name="20% - Accent5 2 4 5 6 2" xfId="10913" xr:uid="{00000000-0005-0000-0000-000000240000}"/>
    <cellStyle name="20% - Accent5 2 4 5 6 2 2" xfId="20909" xr:uid="{00000000-0005-0000-0000-000001240000}"/>
    <cellStyle name="20% - Accent5 2 4 5 6 2 2 2" xfId="40309" xr:uid="{00000000-0005-0000-0000-000002240000}"/>
    <cellStyle name="20% - Accent5 2 4 5 6 2 3" xfId="30611" xr:uid="{00000000-0005-0000-0000-000003240000}"/>
    <cellStyle name="20% - Accent5 2 4 5 6 3" xfId="16454" xr:uid="{00000000-0005-0000-0000-000004240000}"/>
    <cellStyle name="20% - Accent5 2 4 5 6 3 2" xfId="35854" xr:uid="{00000000-0005-0000-0000-000005240000}"/>
    <cellStyle name="20% - Accent5 2 4 5 6 4" xfId="26156" xr:uid="{00000000-0005-0000-0000-000006240000}"/>
    <cellStyle name="20% - Accent5 2 4 5 7" xfId="7015" xr:uid="{00000000-0005-0000-0000-000007240000}"/>
    <cellStyle name="20% - Accent5 2 4 5 7 2" xfId="17011" xr:uid="{00000000-0005-0000-0000-000008240000}"/>
    <cellStyle name="20% - Accent5 2 4 5 7 2 2" xfId="36411" xr:uid="{00000000-0005-0000-0000-000009240000}"/>
    <cellStyle name="20% - Accent5 2 4 5 7 3" xfId="26713" xr:uid="{00000000-0005-0000-0000-00000A240000}"/>
    <cellStyle name="20% - Accent5 2 4 5 8" xfId="12555" xr:uid="{00000000-0005-0000-0000-00000B240000}"/>
    <cellStyle name="20% - Accent5 2 4 5 8 2" xfId="31956" xr:uid="{00000000-0005-0000-0000-00000C240000}"/>
    <cellStyle name="20% - Accent5 2 4 5 9" xfId="22258" xr:uid="{00000000-0005-0000-0000-00000D240000}"/>
    <cellStyle name="20% - Accent5 2 5" xfId="1184" xr:uid="{00000000-0005-0000-0000-00000E240000}"/>
    <cellStyle name="20% - Accent5 2 5 2" xfId="2072" xr:uid="{00000000-0005-0000-0000-00000F240000}"/>
    <cellStyle name="20% - Accent5 2 5 2 10" xfId="12556" xr:uid="{00000000-0005-0000-0000-000010240000}"/>
    <cellStyle name="20% - Accent5 2 5 2 10 2" xfId="31957" xr:uid="{00000000-0005-0000-0000-000011240000}"/>
    <cellStyle name="20% - Accent5 2 5 2 11" xfId="22259" xr:uid="{00000000-0005-0000-0000-000012240000}"/>
    <cellStyle name="20% - Accent5 2 5 2 2" xfId="2073" xr:uid="{00000000-0005-0000-0000-000013240000}"/>
    <cellStyle name="20% - Accent5 2 5 2 2 2" xfId="3068" xr:uid="{00000000-0005-0000-0000-000014240000}"/>
    <cellStyle name="20% - Accent5 2 5 2 2 2 2" xfId="5337" xr:uid="{00000000-0005-0000-0000-000015240000}"/>
    <cellStyle name="20% - Accent5 2 5 2 2 2 2 2" xfId="9801" xr:uid="{00000000-0005-0000-0000-000016240000}"/>
    <cellStyle name="20% - Accent5 2 5 2 2 2 2 2 2" xfId="19797" xr:uid="{00000000-0005-0000-0000-000017240000}"/>
    <cellStyle name="20% - Accent5 2 5 2 2 2 2 2 2 2" xfId="39197" xr:uid="{00000000-0005-0000-0000-000018240000}"/>
    <cellStyle name="20% - Accent5 2 5 2 2 2 2 2 3" xfId="29499" xr:uid="{00000000-0005-0000-0000-000019240000}"/>
    <cellStyle name="20% - Accent5 2 5 2 2 2 2 3" xfId="15342" xr:uid="{00000000-0005-0000-0000-00001A240000}"/>
    <cellStyle name="20% - Accent5 2 5 2 2 2 2 3 2" xfId="34742" xr:uid="{00000000-0005-0000-0000-00001B240000}"/>
    <cellStyle name="20% - Accent5 2 5 2 2 2 2 4" xfId="25044" xr:uid="{00000000-0005-0000-0000-00001C240000}"/>
    <cellStyle name="20% - Accent5 2 5 2 2 2 3" xfId="7573" xr:uid="{00000000-0005-0000-0000-00001D240000}"/>
    <cellStyle name="20% - Accent5 2 5 2 2 2 3 2" xfId="17569" xr:uid="{00000000-0005-0000-0000-00001E240000}"/>
    <cellStyle name="20% - Accent5 2 5 2 2 2 3 2 2" xfId="36969" xr:uid="{00000000-0005-0000-0000-00001F240000}"/>
    <cellStyle name="20% - Accent5 2 5 2 2 2 3 3" xfId="27271" xr:uid="{00000000-0005-0000-0000-000020240000}"/>
    <cellStyle name="20% - Accent5 2 5 2 2 2 4" xfId="13114" xr:uid="{00000000-0005-0000-0000-000021240000}"/>
    <cellStyle name="20% - Accent5 2 5 2 2 2 4 2" xfId="32514" xr:uid="{00000000-0005-0000-0000-000022240000}"/>
    <cellStyle name="20% - Accent5 2 5 2 2 2 5" xfId="22816" xr:uid="{00000000-0005-0000-0000-000023240000}"/>
    <cellStyle name="20% - Accent5 2 5 2 2 3" xfId="3651" xr:uid="{00000000-0005-0000-0000-000024240000}"/>
    <cellStyle name="20% - Accent5 2 5 2 2 3 2" xfId="4781" xr:uid="{00000000-0005-0000-0000-000025240000}"/>
    <cellStyle name="20% - Accent5 2 5 2 2 3 2 2" xfId="9245" xr:uid="{00000000-0005-0000-0000-000026240000}"/>
    <cellStyle name="20% - Accent5 2 5 2 2 3 2 2 2" xfId="19241" xr:uid="{00000000-0005-0000-0000-000027240000}"/>
    <cellStyle name="20% - Accent5 2 5 2 2 3 2 2 2 2" xfId="38641" xr:uid="{00000000-0005-0000-0000-000028240000}"/>
    <cellStyle name="20% - Accent5 2 5 2 2 3 2 2 3" xfId="28943" xr:uid="{00000000-0005-0000-0000-000029240000}"/>
    <cellStyle name="20% - Accent5 2 5 2 2 3 2 3" xfId="14786" xr:uid="{00000000-0005-0000-0000-00002A240000}"/>
    <cellStyle name="20% - Accent5 2 5 2 2 3 2 3 2" xfId="34186" xr:uid="{00000000-0005-0000-0000-00002B240000}"/>
    <cellStyle name="20% - Accent5 2 5 2 2 3 2 4" xfId="24488" xr:uid="{00000000-0005-0000-0000-00002C240000}"/>
    <cellStyle name="20% - Accent5 2 5 2 2 3 3" xfId="8130" xr:uid="{00000000-0005-0000-0000-00002D240000}"/>
    <cellStyle name="20% - Accent5 2 5 2 2 3 3 2" xfId="18126" xr:uid="{00000000-0005-0000-0000-00002E240000}"/>
    <cellStyle name="20% - Accent5 2 5 2 2 3 3 2 2" xfId="37526" xr:uid="{00000000-0005-0000-0000-00002F240000}"/>
    <cellStyle name="20% - Accent5 2 5 2 2 3 3 3" xfId="27828" xr:uid="{00000000-0005-0000-0000-000030240000}"/>
    <cellStyle name="20% - Accent5 2 5 2 2 3 4" xfId="13671" xr:uid="{00000000-0005-0000-0000-000031240000}"/>
    <cellStyle name="20% - Accent5 2 5 2 2 3 4 2" xfId="33071" xr:uid="{00000000-0005-0000-0000-000032240000}"/>
    <cellStyle name="20% - Accent5 2 5 2 2 3 5" xfId="23373" xr:uid="{00000000-0005-0000-0000-000033240000}"/>
    <cellStyle name="20% - Accent5 2 5 2 2 4" xfId="4224" xr:uid="{00000000-0005-0000-0000-000034240000}"/>
    <cellStyle name="20% - Accent5 2 5 2 2 4 2" xfId="8688" xr:uid="{00000000-0005-0000-0000-000035240000}"/>
    <cellStyle name="20% - Accent5 2 5 2 2 4 2 2" xfId="18684" xr:uid="{00000000-0005-0000-0000-000036240000}"/>
    <cellStyle name="20% - Accent5 2 5 2 2 4 2 2 2" xfId="38084" xr:uid="{00000000-0005-0000-0000-000037240000}"/>
    <cellStyle name="20% - Accent5 2 5 2 2 4 2 3" xfId="28386" xr:uid="{00000000-0005-0000-0000-000038240000}"/>
    <cellStyle name="20% - Accent5 2 5 2 2 4 3" xfId="14229" xr:uid="{00000000-0005-0000-0000-000039240000}"/>
    <cellStyle name="20% - Accent5 2 5 2 2 4 3 2" xfId="33629" xr:uid="{00000000-0005-0000-0000-00003A240000}"/>
    <cellStyle name="20% - Accent5 2 5 2 2 4 4" xfId="23931" xr:uid="{00000000-0005-0000-0000-00003B240000}"/>
    <cellStyle name="20% - Accent5 2 5 2 2 5" xfId="5894" xr:uid="{00000000-0005-0000-0000-00003C240000}"/>
    <cellStyle name="20% - Accent5 2 5 2 2 5 2" xfId="10358" xr:uid="{00000000-0005-0000-0000-00003D240000}"/>
    <cellStyle name="20% - Accent5 2 5 2 2 5 2 2" xfId="20354" xr:uid="{00000000-0005-0000-0000-00003E240000}"/>
    <cellStyle name="20% - Accent5 2 5 2 2 5 2 2 2" xfId="39754" xr:uid="{00000000-0005-0000-0000-00003F240000}"/>
    <cellStyle name="20% - Accent5 2 5 2 2 5 2 3" xfId="30056" xr:uid="{00000000-0005-0000-0000-000040240000}"/>
    <cellStyle name="20% - Accent5 2 5 2 2 5 3" xfId="15899" xr:uid="{00000000-0005-0000-0000-000041240000}"/>
    <cellStyle name="20% - Accent5 2 5 2 2 5 3 2" xfId="35299" xr:uid="{00000000-0005-0000-0000-000042240000}"/>
    <cellStyle name="20% - Accent5 2 5 2 2 5 4" xfId="25601" xr:uid="{00000000-0005-0000-0000-000043240000}"/>
    <cellStyle name="20% - Accent5 2 5 2 2 6" xfId="6460" xr:uid="{00000000-0005-0000-0000-000044240000}"/>
    <cellStyle name="20% - Accent5 2 5 2 2 6 2" xfId="10915" xr:uid="{00000000-0005-0000-0000-000045240000}"/>
    <cellStyle name="20% - Accent5 2 5 2 2 6 2 2" xfId="20911" xr:uid="{00000000-0005-0000-0000-000046240000}"/>
    <cellStyle name="20% - Accent5 2 5 2 2 6 2 2 2" xfId="40311" xr:uid="{00000000-0005-0000-0000-000047240000}"/>
    <cellStyle name="20% - Accent5 2 5 2 2 6 2 3" xfId="30613" xr:uid="{00000000-0005-0000-0000-000048240000}"/>
    <cellStyle name="20% - Accent5 2 5 2 2 6 3" xfId="16456" xr:uid="{00000000-0005-0000-0000-000049240000}"/>
    <cellStyle name="20% - Accent5 2 5 2 2 6 3 2" xfId="35856" xr:uid="{00000000-0005-0000-0000-00004A240000}"/>
    <cellStyle name="20% - Accent5 2 5 2 2 6 4" xfId="26158" xr:uid="{00000000-0005-0000-0000-00004B240000}"/>
    <cellStyle name="20% - Accent5 2 5 2 2 7" xfId="7017" xr:uid="{00000000-0005-0000-0000-00004C240000}"/>
    <cellStyle name="20% - Accent5 2 5 2 2 7 2" xfId="17013" xr:uid="{00000000-0005-0000-0000-00004D240000}"/>
    <cellStyle name="20% - Accent5 2 5 2 2 7 2 2" xfId="36413" xr:uid="{00000000-0005-0000-0000-00004E240000}"/>
    <cellStyle name="20% - Accent5 2 5 2 2 7 3" xfId="26715" xr:uid="{00000000-0005-0000-0000-00004F240000}"/>
    <cellStyle name="20% - Accent5 2 5 2 2 8" xfId="12557" xr:uid="{00000000-0005-0000-0000-000050240000}"/>
    <cellStyle name="20% - Accent5 2 5 2 2 8 2" xfId="31958" xr:uid="{00000000-0005-0000-0000-000051240000}"/>
    <cellStyle name="20% - Accent5 2 5 2 2 9" xfId="22260" xr:uid="{00000000-0005-0000-0000-000052240000}"/>
    <cellStyle name="20% - Accent5 2 5 2 3" xfId="2074" xr:uid="{00000000-0005-0000-0000-000053240000}"/>
    <cellStyle name="20% - Accent5 2 5 2 3 2" xfId="3069" xr:uid="{00000000-0005-0000-0000-000054240000}"/>
    <cellStyle name="20% - Accent5 2 5 2 3 2 2" xfId="5338" xr:uid="{00000000-0005-0000-0000-000055240000}"/>
    <cellStyle name="20% - Accent5 2 5 2 3 2 2 2" xfId="9802" xr:uid="{00000000-0005-0000-0000-000056240000}"/>
    <cellStyle name="20% - Accent5 2 5 2 3 2 2 2 2" xfId="19798" xr:uid="{00000000-0005-0000-0000-000057240000}"/>
    <cellStyle name="20% - Accent5 2 5 2 3 2 2 2 2 2" xfId="39198" xr:uid="{00000000-0005-0000-0000-000058240000}"/>
    <cellStyle name="20% - Accent5 2 5 2 3 2 2 2 3" xfId="29500" xr:uid="{00000000-0005-0000-0000-000059240000}"/>
    <cellStyle name="20% - Accent5 2 5 2 3 2 2 3" xfId="15343" xr:uid="{00000000-0005-0000-0000-00005A240000}"/>
    <cellStyle name="20% - Accent5 2 5 2 3 2 2 3 2" xfId="34743" xr:uid="{00000000-0005-0000-0000-00005B240000}"/>
    <cellStyle name="20% - Accent5 2 5 2 3 2 2 4" xfId="25045" xr:uid="{00000000-0005-0000-0000-00005C240000}"/>
    <cellStyle name="20% - Accent5 2 5 2 3 2 3" xfId="7574" xr:uid="{00000000-0005-0000-0000-00005D240000}"/>
    <cellStyle name="20% - Accent5 2 5 2 3 2 3 2" xfId="17570" xr:uid="{00000000-0005-0000-0000-00005E240000}"/>
    <cellStyle name="20% - Accent5 2 5 2 3 2 3 2 2" xfId="36970" xr:uid="{00000000-0005-0000-0000-00005F240000}"/>
    <cellStyle name="20% - Accent5 2 5 2 3 2 3 3" xfId="27272" xr:uid="{00000000-0005-0000-0000-000060240000}"/>
    <cellStyle name="20% - Accent5 2 5 2 3 2 4" xfId="13115" xr:uid="{00000000-0005-0000-0000-000061240000}"/>
    <cellStyle name="20% - Accent5 2 5 2 3 2 4 2" xfId="32515" xr:uid="{00000000-0005-0000-0000-000062240000}"/>
    <cellStyle name="20% - Accent5 2 5 2 3 2 5" xfId="22817" xr:uid="{00000000-0005-0000-0000-000063240000}"/>
    <cellStyle name="20% - Accent5 2 5 2 3 3" xfId="3652" xr:uid="{00000000-0005-0000-0000-000064240000}"/>
    <cellStyle name="20% - Accent5 2 5 2 3 3 2" xfId="4782" xr:uid="{00000000-0005-0000-0000-000065240000}"/>
    <cellStyle name="20% - Accent5 2 5 2 3 3 2 2" xfId="9246" xr:uid="{00000000-0005-0000-0000-000066240000}"/>
    <cellStyle name="20% - Accent5 2 5 2 3 3 2 2 2" xfId="19242" xr:uid="{00000000-0005-0000-0000-000067240000}"/>
    <cellStyle name="20% - Accent5 2 5 2 3 3 2 2 2 2" xfId="38642" xr:uid="{00000000-0005-0000-0000-000068240000}"/>
    <cellStyle name="20% - Accent5 2 5 2 3 3 2 2 3" xfId="28944" xr:uid="{00000000-0005-0000-0000-000069240000}"/>
    <cellStyle name="20% - Accent5 2 5 2 3 3 2 3" xfId="14787" xr:uid="{00000000-0005-0000-0000-00006A240000}"/>
    <cellStyle name="20% - Accent5 2 5 2 3 3 2 3 2" xfId="34187" xr:uid="{00000000-0005-0000-0000-00006B240000}"/>
    <cellStyle name="20% - Accent5 2 5 2 3 3 2 4" xfId="24489" xr:uid="{00000000-0005-0000-0000-00006C240000}"/>
    <cellStyle name="20% - Accent5 2 5 2 3 3 3" xfId="8131" xr:uid="{00000000-0005-0000-0000-00006D240000}"/>
    <cellStyle name="20% - Accent5 2 5 2 3 3 3 2" xfId="18127" xr:uid="{00000000-0005-0000-0000-00006E240000}"/>
    <cellStyle name="20% - Accent5 2 5 2 3 3 3 2 2" xfId="37527" xr:uid="{00000000-0005-0000-0000-00006F240000}"/>
    <cellStyle name="20% - Accent5 2 5 2 3 3 3 3" xfId="27829" xr:uid="{00000000-0005-0000-0000-000070240000}"/>
    <cellStyle name="20% - Accent5 2 5 2 3 3 4" xfId="13672" xr:uid="{00000000-0005-0000-0000-000071240000}"/>
    <cellStyle name="20% - Accent5 2 5 2 3 3 4 2" xfId="33072" xr:uid="{00000000-0005-0000-0000-000072240000}"/>
    <cellStyle name="20% - Accent5 2 5 2 3 3 5" xfId="23374" xr:uid="{00000000-0005-0000-0000-000073240000}"/>
    <cellStyle name="20% - Accent5 2 5 2 3 4" xfId="4225" xr:uid="{00000000-0005-0000-0000-000074240000}"/>
    <cellStyle name="20% - Accent5 2 5 2 3 4 2" xfId="8689" xr:uid="{00000000-0005-0000-0000-000075240000}"/>
    <cellStyle name="20% - Accent5 2 5 2 3 4 2 2" xfId="18685" xr:uid="{00000000-0005-0000-0000-000076240000}"/>
    <cellStyle name="20% - Accent5 2 5 2 3 4 2 2 2" xfId="38085" xr:uid="{00000000-0005-0000-0000-000077240000}"/>
    <cellStyle name="20% - Accent5 2 5 2 3 4 2 3" xfId="28387" xr:uid="{00000000-0005-0000-0000-000078240000}"/>
    <cellStyle name="20% - Accent5 2 5 2 3 4 3" xfId="14230" xr:uid="{00000000-0005-0000-0000-000079240000}"/>
    <cellStyle name="20% - Accent5 2 5 2 3 4 3 2" xfId="33630" xr:uid="{00000000-0005-0000-0000-00007A240000}"/>
    <cellStyle name="20% - Accent5 2 5 2 3 4 4" xfId="23932" xr:uid="{00000000-0005-0000-0000-00007B240000}"/>
    <cellStyle name="20% - Accent5 2 5 2 3 5" xfId="5895" xr:uid="{00000000-0005-0000-0000-00007C240000}"/>
    <cellStyle name="20% - Accent5 2 5 2 3 5 2" xfId="10359" xr:uid="{00000000-0005-0000-0000-00007D240000}"/>
    <cellStyle name="20% - Accent5 2 5 2 3 5 2 2" xfId="20355" xr:uid="{00000000-0005-0000-0000-00007E240000}"/>
    <cellStyle name="20% - Accent5 2 5 2 3 5 2 2 2" xfId="39755" xr:uid="{00000000-0005-0000-0000-00007F240000}"/>
    <cellStyle name="20% - Accent5 2 5 2 3 5 2 3" xfId="30057" xr:uid="{00000000-0005-0000-0000-000080240000}"/>
    <cellStyle name="20% - Accent5 2 5 2 3 5 3" xfId="15900" xr:uid="{00000000-0005-0000-0000-000081240000}"/>
    <cellStyle name="20% - Accent5 2 5 2 3 5 3 2" xfId="35300" xr:uid="{00000000-0005-0000-0000-000082240000}"/>
    <cellStyle name="20% - Accent5 2 5 2 3 5 4" xfId="25602" xr:uid="{00000000-0005-0000-0000-000083240000}"/>
    <cellStyle name="20% - Accent5 2 5 2 3 6" xfId="6461" xr:uid="{00000000-0005-0000-0000-000084240000}"/>
    <cellStyle name="20% - Accent5 2 5 2 3 6 2" xfId="10916" xr:uid="{00000000-0005-0000-0000-000085240000}"/>
    <cellStyle name="20% - Accent5 2 5 2 3 6 2 2" xfId="20912" xr:uid="{00000000-0005-0000-0000-000086240000}"/>
    <cellStyle name="20% - Accent5 2 5 2 3 6 2 2 2" xfId="40312" xr:uid="{00000000-0005-0000-0000-000087240000}"/>
    <cellStyle name="20% - Accent5 2 5 2 3 6 2 3" xfId="30614" xr:uid="{00000000-0005-0000-0000-000088240000}"/>
    <cellStyle name="20% - Accent5 2 5 2 3 6 3" xfId="16457" xr:uid="{00000000-0005-0000-0000-000089240000}"/>
    <cellStyle name="20% - Accent5 2 5 2 3 6 3 2" xfId="35857" xr:uid="{00000000-0005-0000-0000-00008A240000}"/>
    <cellStyle name="20% - Accent5 2 5 2 3 6 4" xfId="26159" xr:uid="{00000000-0005-0000-0000-00008B240000}"/>
    <cellStyle name="20% - Accent5 2 5 2 3 7" xfId="7018" xr:uid="{00000000-0005-0000-0000-00008C240000}"/>
    <cellStyle name="20% - Accent5 2 5 2 3 7 2" xfId="17014" xr:uid="{00000000-0005-0000-0000-00008D240000}"/>
    <cellStyle name="20% - Accent5 2 5 2 3 7 2 2" xfId="36414" xr:uid="{00000000-0005-0000-0000-00008E240000}"/>
    <cellStyle name="20% - Accent5 2 5 2 3 7 3" xfId="26716" xr:uid="{00000000-0005-0000-0000-00008F240000}"/>
    <cellStyle name="20% - Accent5 2 5 2 3 8" xfId="12558" xr:uid="{00000000-0005-0000-0000-000090240000}"/>
    <cellStyle name="20% - Accent5 2 5 2 3 8 2" xfId="31959" xr:uid="{00000000-0005-0000-0000-000091240000}"/>
    <cellStyle name="20% - Accent5 2 5 2 3 9" xfId="22261" xr:uid="{00000000-0005-0000-0000-000092240000}"/>
    <cellStyle name="20% - Accent5 2 5 2 4" xfId="3067" xr:uid="{00000000-0005-0000-0000-000093240000}"/>
    <cellStyle name="20% - Accent5 2 5 2 4 2" xfId="5336" xr:uid="{00000000-0005-0000-0000-000094240000}"/>
    <cellStyle name="20% - Accent5 2 5 2 4 2 2" xfId="9800" xr:uid="{00000000-0005-0000-0000-000095240000}"/>
    <cellStyle name="20% - Accent5 2 5 2 4 2 2 2" xfId="19796" xr:uid="{00000000-0005-0000-0000-000096240000}"/>
    <cellStyle name="20% - Accent5 2 5 2 4 2 2 2 2" xfId="39196" xr:uid="{00000000-0005-0000-0000-000097240000}"/>
    <cellStyle name="20% - Accent5 2 5 2 4 2 2 3" xfId="29498" xr:uid="{00000000-0005-0000-0000-000098240000}"/>
    <cellStyle name="20% - Accent5 2 5 2 4 2 3" xfId="15341" xr:uid="{00000000-0005-0000-0000-000099240000}"/>
    <cellStyle name="20% - Accent5 2 5 2 4 2 3 2" xfId="34741" xr:uid="{00000000-0005-0000-0000-00009A240000}"/>
    <cellStyle name="20% - Accent5 2 5 2 4 2 4" xfId="25043" xr:uid="{00000000-0005-0000-0000-00009B240000}"/>
    <cellStyle name="20% - Accent5 2 5 2 4 3" xfId="7572" xr:uid="{00000000-0005-0000-0000-00009C240000}"/>
    <cellStyle name="20% - Accent5 2 5 2 4 3 2" xfId="17568" xr:uid="{00000000-0005-0000-0000-00009D240000}"/>
    <cellStyle name="20% - Accent5 2 5 2 4 3 2 2" xfId="36968" xr:uid="{00000000-0005-0000-0000-00009E240000}"/>
    <cellStyle name="20% - Accent5 2 5 2 4 3 3" xfId="27270" xr:uid="{00000000-0005-0000-0000-00009F240000}"/>
    <cellStyle name="20% - Accent5 2 5 2 4 4" xfId="13113" xr:uid="{00000000-0005-0000-0000-0000A0240000}"/>
    <cellStyle name="20% - Accent5 2 5 2 4 4 2" xfId="32513" xr:uid="{00000000-0005-0000-0000-0000A1240000}"/>
    <cellStyle name="20% - Accent5 2 5 2 4 5" xfId="22815" xr:uid="{00000000-0005-0000-0000-0000A2240000}"/>
    <cellStyle name="20% - Accent5 2 5 2 5" xfId="3650" xr:uid="{00000000-0005-0000-0000-0000A3240000}"/>
    <cellStyle name="20% - Accent5 2 5 2 5 2" xfId="4780" xr:uid="{00000000-0005-0000-0000-0000A4240000}"/>
    <cellStyle name="20% - Accent5 2 5 2 5 2 2" xfId="9244" xr:uid="{00000000-0005-0000-0000-0000A5240000}"/>
    <cellStyle name="20% - Accent5 2 5 2 5 2 2 2" xfId="19240" xr:uid="{00000000-0005-0000-0000-0000A6240000}"/>
    <cellStyle name="20% - Accent5 2 5 2 5 2 2 2 2" xfId="38640" xr:uid="{00000000-0005-0000-0000-0000A7240000}"/>
    <cellStyle name="20% - Accent5 2 5 2 5 2 2 3" xfId="28942" xr:uid="{00000000-0005-0000-0000-0000A8240000}"/>
    <cellStyle name="20% - Accent5 2 5 2 5 2 3" xfId="14785" xr:uid="{00000000-0005-0000-0000-0000A9240000}"/>
    <cellStyle name="20% - Accent5 2 5 2 5 2 3 2" xfId="34185" xr:uid="{00000000-0005-0000-0000-0000AA240000}"/>
    <cellStyle name="20% - Accent5 2 5 2 5 2 4" xfId="24487" xr:uid="{00000000-0005-0000-0000-0000AB240000}"/>
    <cellStyle name="20% - Accent5 2 5 2 5 3" xfId="8129" xr:uid="{00000000-0005-0000-0000-0000AC240000}"/>
    <cellStyle name="20% - Accent5 2 5 2 5 3 2" xfId="18125" xr:uid="{00000000-0005-0000-0000-0000AD240000}"/>
    <cellStyle name="20% - Accent5 2 5 2 5 3 2 2" xfId="37525" xr:uid="{00000000-0005-0000-0000-0000AE240000}"/>
    <cellStyle name="20% - Accent5 2 5 2 5 3 3" xfId="27827" xr:uid="{00000000-0005-0000-0000-0000AF240000}"/>
    <cellStyle name="20% - Accent5 2 5 2 5 4" xfId="13670" xr:uid="{00000000-0005-0000-0000-0000B0240000}"/>
    <cellStyle name="20% - Accent5 2 5 2 5 4 2" xfId="33070" xr:uid="{00000000-0005-0000-0000-0000B1240000}"/>
    <cellStyle name="20% - Accent5 2 5 2 5 5" xfId="23372" xr:uid="{00000000-0005-0000-0000-0000B2240000}"/>
    <cellStyle name="20% - Accent5 2 5 2 6" xfId="4223" xr:uid="{00000000-0005-0000-0000-0000B3240000}"/>
    <cellStyle name="20% - Accent5 2 5 2 6 2" xfId="8687" xr:uid="{00000000-0005-0000-0000-0000B4240000}"/>
    <cellStyle name="20% - Accent5 2 5 2 6 2 2" xfId="18683" xr:uid="{00000000-0005-0000-0000-0000B5240000}"/>
    <cellStyle name="20% - Accent5 2 5 2 6 2 2 2" xfId="38083" xr:uid="{00000000-0005-0000-0000-0000B6240000}"/>
    <cellStyle name="20% - Accent5 2 5 2 6 2 3" xfId="28385" xr:uid="{00000000-0005-0000-0000-0000B7240000}"/>
    <cellStyle name="20% - Accent5 2 5 2 6 3" xfId="14228" xr:uid="{00000000-0005-0000-0000-0000B8240000}"/>
    <cellStyle name="20% - Accent5 2 5 2 6 3 2" xfId="33628" xr:uid="{00000000-0005-0000-0000-0000B9240000}"/>
    <cellStyle name="20% - Accent5 2 5 2 6 4" xfId="23930" xr:uid="{00000000-0005-0000-0000-0000BA240000}"/>
    <cellStyle name="20% - Accent5 2 5 2 7" xfId="5893" xr:uid="{00000000-0005-0000-0000-0000BB240000}"/>
    <cellStyle name="20% - Accent5 2 5 2 7 2" xfId="10357" xr:uid="{00000000-0005-0000-0000-0000BC240000}"/>
    <cellStyle name="20% - Accent5 2 5 2 7 2 2" xfId="20353" xr:uid="{00000000-0005-0000-0000-0000BD240000}"/>
    <cellStyle name="20% - Accent5 2 5 2 7 2 2 2" xfId="39753" xr:uid="{00000000-0005-0000-0000-0000BE240000}"/>
    <cellStyle name="20% - Accent5 2 5 2 7 2 3" xfId="30055" xr:uid="{00000000-0005-0000-0000-0000BF240000}"/>
    <cellStyle name="20% - Accent5 2 5 2 7 3" xfId="15898" xr:uid="{00000000-0005-0000-0000-0000C0240000}"/>
    <cellStyle name="20% - Accent5 2 5 2 7 3 2" xfId="35298" xr:uid="{00000000-0005-0000-0000-0000C1240000}"/>
    <cellStyle name="20% - Accent5 2 5 2 7 4" xfId="25600" xr:uid="{00000000-0005-0000-0000-0000C2240000}"/>
    <cellStyle name="20% - Accent5 2 5 2 8" xfId="6459" xr:uid="{00000000-0005-0000-0000-0000C3240000}"/>
    <cellStyle name="20% - Accent5 2 5 2 8 2" xfId="10914" xr:uid="{00000000-0005-0000-0000-0000C4240000}"/>
    <cellStyle name="20% - Accent5 2 5 2 8 2 2" xfId="20910" xr:uid="{00000000-0005-0000-0000-0000C5240000}"/>
    <cellStyle name="20% - Accent5 2 5 2 8 2 2 2" xfId="40310" xr:uid="{00000000-0005-0000-0000-0000C6240000}"/>
    <cellStyle name="20% - Accent5 2 5 2 8 2 3" xfId="30612" xr:uid="{00000000-0005-0000-0000-0000C7240000}"/>
    <cellStyle name="20% - Accent5 2 5 2 8 3" xfId="16455" xr:uid="{00000000-0005-0000-0000-0000C8240000}"/>
    <cellStyle name="20% - Accent5 2 5 2 8 3 2" xfId="35855" xr:uid="{00000000-0005-0000-0000-0000C9240000}"/>
    <cellStyle name="20% - Accent5 2 5 2 8 4" xfId="26157" xr:uid="{00000000-0005-0000-0000-0000CA240000}"/>
    <cellStyle name="20% - Accent5 2 5 2 9" xfId="7016" xr:uid="{00000000-0005-0000-0000-0000CB240000}"/>
    <cellStyle name="20% - Accent5 2 5 2 9 2" xfId="17012" xr:uid="{00000000-0005-0000-0000-0000CC240000}"/>
    <cellStyle name="20% - Accent5 2 5 2 9 2 2" xfId="36412" xr:uid="{00000000-0005-0000-0000-0000CD240000}"/>
    <cellStyle name="20% - Accent5 2 5 2 9 3" xfId="26714" xr:uid="{00000000-0005-0000-0000-0000CE240000}"/>
    <cellStyle name="20% - Accent5 2 5 3" xfId="2075" xr:uid="{00000000-0005-0000-0000-0000CF240000}"/>
    <cellStyle name="20% - Accent5 2 5 3 2" xfId="3070" xr:uid="{00000000-0005-0000-0000-0000D0240000}"/>
    <cellStyle name="20% - Accent5 2 5 3 2 2" xfId="5339" xr:uid="{00000000-0005-0000-0000-0000D1240000}"/>
    <cellStyle name="20% - Accent5 2 5 3 2 2 2" xfId="9803" xr:uid="{00000000-0005-0000-0000-0000D2240000}"/>
    <cellStyle name="20% - Accent5 2 5 3 2 2 2 2" xfId="19799" xr:uid="{00000000-0005-0000-0000-0000D3240000}"/>
    <cellStyle name="20% - Accent5 2 5 3 2 2 2 2 2" xfId="39199" xr:uid="{00000000-0005-0000-0000-0000D4240000}"/>
    <cellStyle name="20% - Accent5 2 5 3 2 2 2 3" xfId="29501" xr:uid="{00000000-0005-0000-0000-0000D5240000}"/>
    <cellStyle name="20% - Accent5 2 5 3 2 2 3" xfId="15344" xr:uid="{00000000-0005-0000-0000-0000D6240000}"/>
    <cellStyle name="20% - Accent5 2 5 3 2 2 3 2" xfId="34744" xr:uid="{00000000-0005-0000-0000-0000D7240000}"/>
    <cellStyle name="20% - Accent5 2 5 3 2 2 4" xfId="25046" xr:uid="{00000000-0005-0000-0000-0000D8240000}"/>
    <cellStyle name="20% - Accent5 2 5 3 2 3" xfId="7575" xr:uid="{00000000-0005-0000-0000-0000D9240000}"/>
    <cellStyle name="20% - Accent5 2 5 3 2 3 2" xfId="17571" xr:uid="{00000000-0005-0000-0000-0000DA240000}"/>
    <cellStyle name="20% - Accent5 2 5 3 2 3 2 2" xfId="36971" xr:uid="{00000000-0005-0000-0000-0000DB240000}"/>
    <cellStyle name="20% - Accent5 2 5 3 2 3 3" xfId="27273" xr:uid="{00000000-0005-0000-0000-0000DC240000}"/>
    <cellStyle name="20% - Accent5 2 5 3 2 4" xfId="13116" xr:uid="{00000000-0005-0000-0000-0000DD240000}"/>
    <cellStyle name="20% - Accent5 2 5 3 2 4 2" xfId="32516" xr:uid="{00000000-0005-0000-0000-0000DE240000}"/>
    <cellStyle name="20% - Accent5 2 5 3 2 5" xfId="22818" xr:uid="{00000000-0005-0000-0000-0000DF240000}"/>
    <cellStyle name="20% - Accent5 2 5 3 3" xfId="3653" xr:uid="{00000000-0005-0000-0000-0000E0240000}"/>
    <cellStyle name="20% - Accent5 2 5 3 3 2" xfId="4783" xr:uid="{00000000-0005-0000-0000-0000E1240000}"/>
    <cellStyle name="20% - Accent5 2 5 3 3 2 2" xfId="9247" xr:uid="{00000000-0005-0000-0000-0000E2240000}"/>
    <cellStyle name="20% - Accent5 2 5 3 3 2 2 2" xfId="19243" xr:uid="{00000000-0005-0000-0000-0000E3240000}"/>
    <cellStyle name="20% - Accent5 2 5 3 3 2 2 2 2" xfId="38643" xr:uid="{00000000-0005-0000-0000-0000E4240000}"/>
    <cellStyle name="20% - Accent5 2 5 3 3 2 2 3" xfId="28945" xr:uid="{00000000-0005-0000-0000-0000E5240000}"/>
    <cellStyle name="20% - Accent5 2 5 3 3 2 3" xfId="14788" xr:uid="{00000000-0005-0000-0000-0000E6240000}"/>
    <cellStyle name="20% - Accent5 2 5 3 3 2 3 2" xfId="34188" xr:uid="{00000000-0005-0000-0000-0000E7240000}"/>
    <cellStyle name="20% - Accent5 2 5 3 3 2 4" xfId="24490" xr:uid="{00000000-0005-0000-0000-0000E8240000}"/>
    <cellStyle name="20% - Accent5 2 5 3 3 3" xfId="8132" xr:uid="{00000000-0005-0000-0000-0000E9240000}"/>
    <cellStyle name="20% - Accent5 2 5 3 3 3 2" xfId="18128" xr:uid="{00000000-0005-0000-0000-0000EA240000}"/>
    <cellStyle name="20% - Accent5 2 5 3 3 3 2 2" xfId="37528" xr:uid="{00000000-0005-0000-0000-0000EB240000}"/>
    <cellStyle name="20% - Accent5 2 5 3 3 3 3" xfId="27830" xr:uid="{00000000-0005-0000-0000-0000EC240000}"/>
    <cellStyle name="20% - Accent5 2 5 3 3 4" xfId="13673" xr:uid="{00000000-0005-0000-0000-0000ED240000}"/>
    <cellStyle name="20% - Accent5 2 5 3 3 4 2" xfId="33073" xr:uid="{00000000-0005-0000-0000-0000EE240000}"/>
    <cellStyle name="20% - Accent5 2 5 3 3 5" xfId="23375" xr:uid="{00000000-0005-0000-0000-0000EF240000}"/>
    <cellStyle name="20% - Accent5 2 5 3 4" xfId="4226" xr:uid="{00000000-0005-0000-0000-0000F0240000}"/>
    <cellStyle name="20% - Accent5 2 5 3 4 2" xfId="8690" xr:uid="{00000000-0005-0000-0000-0000F1240000}"/>
    <cellStyle name="20% - Accent5 2 5 3 4 2 2" xfId="18686" xr:uid="{00000000-0005-0000-0000-0000F2240000}"/>
    <cellStyle name="20% - Accent5 2 5 3 4 2 2 2" xfId="38086" xr:uid="{00000000-0005-0000-0000-0000F3240000}"/>
    <cellStyle name="20% - Accent5 2 5 3 4 2 3" xfId="28388" xr:uid="{00000000-0005-0000-0000-0000F4240000}"/>
    <cellStyle name="20% - Accent5 2 5 3 4 3" xfId="14231" xr:uid="{00000000-0005-0000-0000-0000F5240000}"/>
    <cellStyle name="20% - Accent5 2 5 3 4 3 2" xfId="33631" xr:uid="{00000000-0005-0000-0000-0000F6240000}"/>
    <cellStyle name="20% - Accent5 2 5 3 4 4" xfId="23933" xr:uid="{00000000-0005-0000-0000-0000F7240000}"/>
    <cellStyle name="20% - Accent5 2 5 3 5" xfId="5896" xr:uid="{00000000-0005-0000-0000-0000F8240000}"/>
    <cellStyle name="20% - Accent5 2 5 3 5 2" xfId="10360" xr:uid="{00000000-0005-0000-0000-0000F9240000}"/>
    <cellStyle name="20% - Accent5 2 5 3 5 2 2" xfId="20356" xr:uid="{00000000-0005-0000-0000-0000FA240000}"/>
    <cellStyle name="20% - Accent5 2 5 3 5 2 2 2" xfId="39756" xr:uid="{00000000-0005-0000-0000-0000FB240000}"/>
    <cellStyle name="20% - Accent5 2 5 3 5 2 3" xfId="30058" xr:uid="{00000000-0005-0000-0000-0000FC240000}"/>
    <cellStyle name="20% - Accent5 2 5 3 5 3" xfId="15901" xr:uid="{00000000-0005-0000-0000-0000FD240000}"/>
    <cellStyle name="20% - Accent5 2 5 3 5 3 2" xfId="35301" xr:uid="{00000000-0005-0000-0000-0000FE240000}"/>
    <cellStyle name="20% - Accent5 2 5 3 5 4" xfId="25603" xr:uid="{00000000-0005-0000-0000-0000FF240000}"/>
    <cellStyle name="20% - Accent5 2 5 3 6" xfId="6462" xr:uid="{00000000-0005-0000-0000-000000250000}"/>
    <cellStyle name="20% - Accent5 2 5 3 6 2" xfId="10917" xr:uid="{00000000-0005-0000-0000-000001250000}"/>
    <cellStyle name="20% - Accent5 2 5 3 6 2 2" xfId="20913" xr:uid="{00000000-0005-0000-0000-000002250000}"/>
    <cellStyle name="20% - Accent5 2 5 3 6 2 2 2" xfId="40313" xr:uid="{00000000-0005-0000-0000-000003250000}"/>
    <cellStyle name="20% - Accent5 2 5 3 6 2 3" xfId="30615" xr:uid="{00000000-0005-0000-0000-000004250000}"/>
    <cellStyle name="20% - Accent5 2 5 3 6 3" xfId="16458" xr:uid="{00000000-0005-0000-0000-000005250000}"/>
    <cellStyle name="20% - Accent5 2 5 3 6 3 2" xfId="35858" xr:uid="{00000000-0005-0000-0000-000006250000}"/>
    <cellStyle name="20% - Accent5 2 5 3 6 4" xfId="26160" xr:uid="{00000000-0005-0000-0000-000007250000}"/>
    <cellStyle name="20% - Accent5 2 5 3 7" xfId="7019" xr:uid="{00000000-0005-0000-0000-000008250000}"/>
    <cellStyle name="20% - Accent5 2 5 3 7 2" xfId="17015" xr:uid="{00000000-0005-0000-0000-000009250000}"/>
    <cellStyle name="20% - Accent5 2 5 3 7 2 2" xfId="36415" xr:uid="{00000000-0005-0000-0000-00000A250000}"/>
    <cellStyle name="20% - Accent5 2 5 3 7 3" xfId="26717" xr:uid="{00000000-0005-0000-0000-00000B250000}"/>
    <cellStyle name="20% - Accent5 2 5 3 8" xfId="12559" xr:uid="{00000000-0005-0000-0000-00000C250000}"/>
    <cellStyle name="20% - Accent5 2 5 3 8 2" xfId="31960" xr:uid="{00000000-0005-0000-0000-00000D250000}"/>
    <cellStyle name="20% - Accent5 2 5 3 9" xfId="22262" xr:uid="{00000000-0005-0000-0000-00000E250000}"/>
    <cellStyle name="20% - Accent5 2 5 4" xfId="2076" xr:uid="{00000000-0005-0000-0000-00000F250000}"/>
    <cellStyle name="20% - Accent5 2 5 4 2" xfId="3071" xr:uid="{00000000-0005-0000-0000-000010250000}"/>
    <cellStyle name="20% - Accent5 2 5 4 2 2" xfId="5340" xr:uid="{00000000-0005-0000-0000-000011250000}"/>
    <cellStyle name="20% - Accent5 2 5 4 2 2 2" xfId="9804" xr:uid="{00000000-0005-0000-0000-000012250000}"/>
    <cellStyle name="20% - Accent5 2 5 4 2 2 2 2" xfId="19800" xr:uid="{00000000-0005-0000-0000-000013250000}"/>
    <cellStyle name="20% - Accent5 2 5 4 2 2 2 2 2" xfId="39200" xr:uid="{00000000-0005-0000-0000-000014250000}"/>
    <cellStyle name="20% - Accent5 2 5 4 2 2 2 3" xfId="29502" xr:uid="{00000000-0005-0000-0000-000015250000}"/>
    <cellStyle name="20% - Accent5 2 5 4 2 2 3" xfId="15345" xr:uid="{00000000-0005-0000-0000-000016250000}"/>
    <cellStyle name="20% - Accent5 2 5 4 2 2 3 2" xfId="34745" xr:uid="{00000000-0005-0000-0000-000017250000}"/>
    <cellStyle name="20% - Accent5 2 5 4 2 2 4" xfId="25047" xr:uid="{00000000-0005-0000-0000-000018250000}"/>
    <cellStyle name="20% - Accent5 2 5 4 2 3" xfId="7576" xr:uid="{00000000-0005-0000-0000-000019250000}"/>
    <cellStyle name="20% - Accent5 2 5 4 2 3 2" xfId="17572" xr:uid="{00000000-0005-0000-0000-00001A250000}"/>
    <cellStyle name="20% - Accent5 2 5 4 2 3 2 2" xfId="36972" xr:uid="{00000000-0005-0000-0000-00001B250000}"/>
    <cellStyle name="20% - Accent5 2 5 4 2 3 3" xfId="27274" xr:uid="{00000000-0005-0000-0000-00001C250000}"/>
    <cellStyle name="20% - Accent5 2 5 4 2 4" xfId="13117" xr:uid="{00000000-0005-0000-0000-00001D250000}"/>
    <cellStyle name="20% - Accent5 2 5 4 2 4 2" xfId="32517" xr:uid="{00000000-0005-0000-0000-00001E250000}"/>
    <cellStyle name="20% - Accent5 2 5 4 2 5" xfId="22819" xr:uid="{00000000-0005-0000-0000-00001F250000}"/>
    <cellStyle name="20% - Accent5 2 5 4 3" xfId="3654" xr:uid="{00000000-0005-0000-0000-000020250000}"/>
    <cellStyle name="20% - Accent5 2 5 4 3 2" xfId="4784" xr:uid="{00000000-0005-0000-0000-000021250000}"/>
    <cellStyle name="20% - Accent5 2 5 4 3 2 2" xfId="9248" xr:uid="{00000000-0005-0000-0000-000022250000}"/>
    <cellStyle name="20% - Accent5 2 5 4 3 2 2 2" xfId="19244" xr:uid="{00000000-0005-0000-0000-000023250000}"/>
    <cellStyle name="20% - Accent5 2 5 4 3 2 2 2 2" xfId="38644" xr:uid="{00000000-0005-0000-0000-000024250000}"/>
    <cellStyle name="20% - Accent5 2 5 4 3 2 2 3" xfId="28946" xr:uid="{00000000-0005-0000-0000-000025250000}"/>
    <cellStyle name="20% - Accent5 2 5 4 3 2 3" xfId="14789" xr:uid="{00000000-0005-0000-0000-000026250000}"/>
    <cellStyle name="20% - Accent5 2 5 4 3 2 3 2" xfId="34189" xr:uid="{00000000-0005-0000-0000-000027250000}"/>
    <cellStyle name="20% - Accent5 2 5 4 3 2 4" xfId="24491" xr:uid="{00000000-0005-0000-0000-000028250000}"/>
    <cellStyle name="20% - Accent5 2 5 4 3 3" xfId="8133" xr:uid="{00000000-0005-0000-0000-000029250000}"/>
    <cellStyle name="20% - Accent5 2 5 4 3 3 2" xfId="18129" xr:uid="{00000000-0005-0000-0000-00002A250000}"/>
    <cellStyle name="20% - Accent5 2 5 4 3 3 2 2" xfId="37529" xr:uid="{00000000-0005-0000-0000-00002B250000}"/>
    <cellStyle name="20% - Accent5 2 5 4 3 3 3" xfId="27831" xr:uid="{00000000-0005-0000-0000-00002C250000}"/>
    <cellStyle name="20% - Accent5 2 5 4 3 4" xfId="13674" xr:uid="{00000000-0005-0000-0000-00002D250000}"/>
    <cellStyle name="20% - Accent5 2 5 4 3 4 2" xfId="33074" xr:uid="{00000000-0005-0000-0000-00002E250000}"/>
    <cellStyle name="20% - Accent5 2 5 4 3 5" xfId="23376" xr:uid="{00000000-0005-0000-0000-00002F250000}"/>
    <cellStyle name="20% - Accent5 2 5 4 4" xfId="4227" xr:uid="{00000000-0005-0000-0000-000030250000}"/>
    <cellStyle name="20% - Accent5 2 5 4 4 2" xfId="8691" xr:uid="{00000000-0005-0000-0000-000031250000}"/>
    <cellStyle name="20% - Accent5 2 5 4 4 2 2" xfId="18687" xr:uid="{00000000-0005-0000-0000-000032250000}"/>
    <cellStyle name="20% - Accent5 2 5 4 4 2 2 2" xfId="38087" xr:uid="{00000000-0005-0000-0000-000033250000}"/>
    <cellStyle name="20% - Accent5 2 5 4 4 2 3" xfId="28389" xr:uid="{00000000-0005-0000-0000-000034250000}"/>
    <cellStyle name="20% - Accent5 2 5 4 4 3" xfId="14232" xr:uid="{00000000-0005-0000-0000-000035250000}"/>
    <cellStyle name="20% - Accent5 2 5 4 4 3 2" xfId="33632" xr:uid="{00000000-0005-0000-0000-000036250000}"/>
    <cellStyle name="20% - Accent5 2 5 4 4 4" xfId="23934" xr:uid="{00000000-0005-0000-0000-000037250000}"/>
    <cellStyle name="20% - Accent5 2 5 4 5" xfId="5897" xr:uid="{00000000-0005-0000-0000-000038250000}"/>
    <cellStyle name="20% - Accent5 2 5 4 5 2" xfId="10361" xr:uid="{00000000-0005-0000-0000-000039250000}"/>
    <cellStyle name="20% - Accent5 2 5 4 5 2 2" xfId="20357" xr:uid="{00000000-0005-0000-0000-00003A250000}"/>
    <cellStyle name="20% - Accent5 2 5 4 5 2 2 2" xfId="39757" xr:uid="{00000000-0005-0000-0000-00003B250000}"/>
    <cellStyle name="20% - Accent5 2 5 4 5 2 3" xfId="30059" xr:uid="{00000000-0005-0000-0000-00003C250000}"/>
    <cellStyle name="20% - Accent5 2 5 4 5 3" xfId="15902" xr:uid="{00000000-0005-0000-0000-00003D250000}"/>
    <cellStyle name="20% - Accent5 2 5 4 5 3 2" xfId="35302" xr:uid="{00000000-0005-0000-0000-00003E250000}"/>
    <cellStyle name="20% - Accent5 2 5 4 5 4" xfId="25604" xr:uid="{00000000-0005-0000-0000-00003F250000}"/>
    <cellStyle name="20% - Accent5 2 5 4 6" xfId="6463" xr:uid="{00000000-0005-0000-0000-000040250000}"/>
    <cellStyle name="20% - Accent5 2 5 4 6 2" xfId="10918" xr:uid="{00000000-0005-0000-0000-000041250000}"/>
    <cellStyle name="20% - Accent5 2 5 4 6 2 2" xfId="20914" xr:uid="{00000000-0005-0000-0000-000042250000}"/>
    <cellStyle name="20% - Accent5 2 5 4 6 2 2 2" xfId="40314" xr:uid="{00000000-0005-0000-0000-000043250000}"/>
    <cellStyle name="20% - Accent5 2 5 4 6 2 3" xfId="30616" xr:uid="{00000000-0005-0000-0000-000044250000}"/>
    <cellStyle name="20% - Accent5 2 5 4 6 3" xfId="16459" xr:uid="{00000000-0005-0000-0000-000045250000}"/>
    <cellStyle name="20% - Accent5 2 5 4 6 3 2" xfId="35859" xr:uid="{00000000-0005-0000-0000-000046250000}"/>
    <cellStyle name="20% - Accent5 2 5 4 6 4" xfId="26161" xr:uid="{00000000-0005-0000-0000-000047250000}"/>
    <cellStyle name="20% - Accent5 2 5 4 7" xfId="7020" xr:uid="{00000000-0005-0000-0000-000048250000}"/>
    <cellStyle name="20% - Accent5 2 5 4 7 2" xfId="17016" xr:uid="{00000000-0005-0000-0000-000049250000}"/>
    <cellStyle name="20% - Accent5 2 5 4 7 2 2" xfId="36416" xr:uid="{00000000-0005-0000-0000-00004A250000}"/>
    <cellStyle name="20% - Accent5 2 5 4 7 3" xfId="26718" xr:uid="{00000000-0005-0000-0000-00004B250000}"/>
    <cellStyle name="20% - Accent5 2 5 4 8" xfId="12560" xr:uid="{00000000-0005-0000-0000-00004C250000}"/>
    <cellStyle name="20% - Accent5 2 5 4 8 2" xfId="31961" xr:uid="{00000000-0005-0000-0000-00004D250000}"/>
    <cellStyle name="20% - Accent5 2 5 4 9" xfId="22263" xr:uid="{00000000-0005-0000-0000-00004E250000}"/>
    <cellStyle name="20% - Accent5 2 6" xfId="1186" xr:uid="{00000000-0005-0000-0000-00004F250000}"/>
    <cellStyle name="20% - Accent5 2 6 2" xfId="2077" xr:uid="{00000000-0005-0000-0000-000050250000}"/>
    <cellStyle name="20% - Accent5 2 6 2 2" xfId="3072" xr:uid="{00000000-0005-0000-0000-000051250000}"/>
    <cellStyle name="20% - Accent5 2 6 2 2 2" xfId="5341" xr:uid="{00000000-0005-0000-0000-000052250000}"/>
    <cellStyle name="20% - Accent5 2 6 2 2 2 2" xfId="9805" xr:uid="{00000000-0005-0000-0000-000053250000}"/>
    <cellStyle name="20% - Accent5 2 6 2 2 2 2 2" xfId="19801" xr:uid="{00000000-0005-0000-0000-000054250000}"/>
    <cellStyle name="20% - Accent5 2 6 2 2 2 2 2 2" xfId="39201" xr:uid="{00000000-0005-0000-0000-000055250000}"/>
    <cellStyle name="20% - Accent5 2 6 2 2 2 2 3" xfId="29503" xr:uid="{00000000-0005-0000-0000-000056250000}"/>
    <cellStyle name="20% - Accent5 2 6 2 2 2 3" xfId="15346" xr:uid="{00000000-0005-0000-0000-000057250000}"/>
    <cellStyle name="20% - Accent5 2 6 2 2 2 3 2" xfId="34746" xr:uid="{00000000-0005-0000-0000-000058250000}"/>
    <cellStyle name="20% - Accent5 2 6 2 2 2 4" xfId="25048" xr:uid="{00000000-0005-0000-0000-000059250000}"/>
    <cellStyle name="20% - Accent5 2 6 2 2 3" xfId="7577" xr:uid="{00000000-0005-0000-0000-00005A250000}"/>
    <cellStyle name="20% - Accent5 2 6 2 2 3 2" xfId="17573" xr:uid="{00000000-0005-0000-0000-00005B250000}"/>
    <cellStyle name="20% - Accent5 2 6 2 2 3 2 2" xfId="36973" xr:uid="{00000000-0005-0000-0000-00005C250000}"/>
    <cellStyle name="20% - Accent5 2 6 2 2 3 3" xfId="27275" xr:uid="{00000000-0005-0000-0000-00005D250000}"/>
    <cellStyle name="20% - Accent5 2 6 2 2 4" xfId="13118" xr:uid="{00000000-0005-0000-0000-00005E250000}"/>
    <cellStyle name="20% - Accent5 2 6 2 2 4 2" xfId="32518" xr:uid="{00000000-0005-0000-0000-00005F250000}"/>
    <cellStyle name="20% - Accent5 2 6 2 2 5" xfId="22820" xr:uid="{00000000-0005-0000-0000-000060250000}"/>
    <cellStyle name="20% - Accent5 2 6 2 3" xfId="3655" xr:uid="{00000000-0005-0000-0000-000061250000}"/>
    <cellStyle name="20% - Accent5 2 6 2 3 2" xfId="4785" xr:uid="{00000000-0005-0000-0000-000062250000}"/>
    <cellStyle name="20% - Accent5 2 6 2 3 2 2" xfId="9249" xr:uid="{00000000-0005-0000-0000-000063250000}"/>
    <cellStyle name="20% - Accent5 2 6 2 3 2 2 2" xfId="19245" xr:uid="{00000000-0005-0000-0000-000064250000}"/>
    <cellStyle name="20% - Accent5 2 6 2 3 2 2 2 2" xfId="38645" xr:uid="{00000000-0005-0000-0000-000065250000}"/>
    <cellStyle name="20% - Accent5 2 6 2 3 2 2 3" xfId="28947" xr:uid="{00000000-0005-0000-0000-000066250000}"/>
    <cellStyle name="20% - Accent5 2 6 2 3 2 3" xfId="14790" xr:uid="{00000000-0005-0000-0000-000067250000}"/>
    <cellStyle name="20% - Accent5 2 6 2 3 2 3 2" xfId="34190" xr:uid="{00000000-0005-0000-0000-000068250000}"/>
    <cellStyle name="20% - Accent5 2 6 2 3 2 4" xfId="24492" xr:uid="{00000000-0005-0000-0000-000069250000}"/>
    <cellStyle name="20% - Accent5 2 6 2 3 3" xfId="8134" xr:uid="{00000000-0005-0000-0000-00006A250000}"/>
    <cellStyle name="20% - Accent5 2 6 2 3 3 2" xfId="18130" xr:uid="{00000000-0005-0000-0000-00006B250000}"/>
    <cellStyle name="20% - Accent5 2 6 2 3 3 2 2" xfId="37530" xr:uid="{00000000-0005-0000-0000-00006C250000}"/>
    <cellStyle name="20% - Accent5 2 6 2 3 3 3" xfId="27832" xr:uid="{00000000-0005-0000-0000-00006D250000}"/>
    <cellStyle name="20% - Accent5 2 6 2 3 4" xfId="13675" xr:uid="{00000000-0005-0000-0000-00006E250000}"/>
    <cellStyle name="20% - Accent5 2 6 2 3 4 2" xfId="33075" xr:uid="{00000000-0005-0000-0000-00006F250000}"/>
    <cellStyle name="20% - Accent5 2 6 2 3 5" xfId="23377" xr:uid="{00000000-0005-0000-0000-000070250000}"/>
    <cellStyle name="20% - Accent5 2 6 2 4" xfId="4228" xr:uid="{00000000-0005-0000-0000-000071250000}"/>
    <cellStyle name="20% - Accent5 2 6 2 4 2" xfId="8692" xr:uid="{00000000-0005-0000-0000-000072250000}"/>
    <cellStyle name="20% - Accent5 2 6 2 4 2 2" xfId="18688" xr:uid="{00000000-0005-0000-0000-000073250000}"/>
    <cellStyle name="20% - Accent5 2 6 2 4 2 2 2" xfId="38088" xr:uid="{00000000-0005-0000-0000-000074250000}"/>
    <cellStyle name="20% - Accent5 2 6 2 4 2 3" xfId="28390" xr:uid="{00000000-0005-0000-0000-000075250000}"/>
    <cellStyle name="20% - Accent5 2 6 2 4 3" xfId="14233" xr:uid="{00000000-0005-0000-0000-000076250000}"/>
    <cellStyle name="20% - Accent5 2 6 2 4 3 2" xfId="33633" xr:uid="{00000000-0005-0000-0000-000077250000}"/>
    <cellStyle name="20% - Accent5 2 6 2 4 4" xfId="23935" xr:uid="{00000000-0005-0000-0000-000078250000}"/>
    <cellStyle name="20% - Accent5 2 6 2 5" xfId="5898" xr:uid="{00000000-0005-0000-0000-000079250000}"/>
    <cellStyle name="20% - Accent5 2 6 2 5 2" xfId="10362" xr:uid="{00000000-0005-0000-0000-00007A250000}"/>
    <cellStyle name="20% - Accent5 2 6 2 5 2 2" xfId="20358" xr:uid="{00000000-0005-0000-0000-00007B250000}"/>
    <cellStyle name="20% - Accent5 2 6 2 5 2 2 2" xfId="39758" xr:uid="{00000000-0005-0000-0000-00007C250000}"/>
    <cellStyle name="20% - Accent5 2 6 2 5 2 3" xfId="30060" xr:uid="{00000000-0005-0000-0000-00007D250000}"/>
    <cellStyle name="20% - Accent5 2 6 2 5 3" xfId="15903" xr:uid="{00000000-0005-0000-0000-00007E250000}"/>
    <cellStyle name="20% - Accent5 2 6 2 5 3 2" xfId="35303" xr:uid="{00000000-0005-0000-0000-00007F250000}"/>
    <cellStyle name="20% - Accent5 2 6 2 5 4" xfId="25605" xr:uid="{00000000-0005-0000-0000-000080250000}"/>
    <cellStyle name="20% - Accent5 2 6 2 6" xfId="6464" xr:uid="{00000000-0005-0000-0000-000081250000}"/>
    <cellStyle name="20% - Accent5 2 6 2 6 2" xfId="10919" xr:uid="{00000000-0005-0000-0000-000082250000}"/>
    <cellStyle name="20% - Accent5 2 6 2 6 2 2" xfId="20915" xr:uid="{00000000-0005-0000-0000-000083250000}"/>
    <cellStyle name="20% - Accent5 2 6 2 6 2 2 2" xfId="40315" xr:uid="{00000000-0005-0000-0000-000084250000}"/>
    <cellStyle name="20% - Accent5 2 6 2 6 2 3" xfId="30617" xr:uid="{00000000-0005-0000-0000-000085250000}"/>
    <cellStyle name="20% - Accent5 2 6 2 6 3" xfId="16460" xr:uid="{00000000-0005-0000-0000-000086250000}"/>
    <cellStyle name="20% - Accent5 2 6 2 6 3 2" xfId="35860" xr:uid="{00000000-0005-0000-0000-000087250000}"/>
    <cellStyle name="20% - Accent5 2 6 2 6 4" xfId="26162" xr:uid="{00000000-0005-0000-0000-000088250000}"/>
    <cellStyle name="20% - Accent5 2 6 2 7" xfId="7021" xr:uid="{00000000-0005-0000-0000-000089250000}"/>
    <cellStyle name="20% - Accent5 2 6 2 7 2" xfId="17017" xr:uid="{00000000-0005-0000-0000-00008A250000}"/>
    <cellStyle name="20% - Accent5 2 6 2 7 2 2" xfId="36417" xr:uid="{00000000-0005-0000-0000-00008B250000}"/>
    <cellStyle name="20% - Accent5 2 6 2 7 3" xfId="26719" xr:uid="{00000000-0005-0000-0000-00008C250000}"/>
    <cellStyle name="20% - Accent5 2 6 2 8" xfId="12561" xr:uid="{00000000-0005-0000-0000-00008D250000}"/>
    <cellStyle name="20% - Accent5 2 6 2 8 2" xfId="31962" xr:uid="{00000000-0005-0000-0000-00008E250000}"/>
    <cellStyle name="20% - Accent5 2 6 2 9" xfId="22264" xr:uid="{00000000-0005-0000-0000-00008F250000}"/>
    <cellStyle name="20% - Accent5 2 6 3" xfId="2078" xr:uid="{00000000-0005-0000-0000-000090250000}"/>
    <cellStyle name="20% - Accent5 2 6 3 2" xfId="3073" xr:uid="{00000000-0005-0000-0000-000091250000}"/>
    <cellStyle name="20% - Accent5 2 6 3 2 2" xfId="5342" xr:uid="{00000000-0005-0000-0000-000092250000}"/>
    <cellStyle name="20% - Accent5 2 6 3 2 2 2" xfId="9806" xr:uid="{00000000-0005-0000-0000-000093250000}"/>
    <cellStyle name="20% - Accent5 2 6 3 2 2 2 2" xfId="19802" xr:uid="{00000000-0005-0000-0000-000094250000}"/>
    <cellStyle name="20% - Accent5 2 6 3 2 2 2 2 2" xfId="39202" xr:uid="{00000000-0005-0000-0000-000095250000}"/>
    <cellStyle name="20% - Accent5 2 6 3 2 2 2 3" xfId="29504" xr:uid="{00000000-0005-0000-0000-000096250000}"/>
    <cellStyle name="20% - Accent5 2 6 3 2 2 3" xfId="15347" xr:uid="{00000000-0005-0000-0000-000097250000}"/>
    <cellStyle name="20% - Accent5 2 6 3 2 2 3 2" xfId="34747" xr:uid="{00000000-0005-0000-0000-000098250000}"/>
    <cellStyle name="20% - Accent5 2 6 3 2 2 4" xfId="25049" xr:uid="{00000000-0005-0000-0000-000099250000}"/>
    <cellStyle name="20% - Accent5 2 6 3 2 3" xfId="7578" xr:uid="{00000000-0005-0000-0000-00009A250000}"/>
    <cellStyle name="20% - Accent5 2 6 3 2 3 2" xfId="17574" xr:uid="{00000000-0005-0000-0000-00009B250000}"/>
    <cellStyle name="20% - Accent5 2 6 3 2 3 2 2" xfId="36974" xr:uid="{00000000-0005-0000-0000-00009C250000}"/>
    <cellStyle name="20% - Accent5 2 6 3 2 3 3" xfId="27276" xr:uid="{00000000-0005-0000-0000-00009D250000}"/>
    <cellStyle name="20% - Accent5 2 6 3 2 4" xfId="13119" xr:uid="{00000000-0005-0000-0000-00009E250000}"/>
    <cellStyle name="20% - Accent5 2 6 3 2 4 2" xfId="32519" xr:uid="{00000000-0005-0000-0000-00009F250000}"/>
    <cellStyle name="20% - Accent5 2 6 3 2 5" xfId="22821" xr:uid="{00000000-0005-0000-0000-0000A0250000}"/>
    <cellStyle name="20% - Accent5 2 6 3 3" xfId="3656" xr:uid="{00000000-0005-0000-0000-0000A1250000}"/>
    <cellStyle name="20% - Accent5 2 6 3 3 2" xfId="4786" xr:uid="{00000000-0005-0000-0000-0000A2250000}"/>
    <cellStyle name="20% - Accent5 2 6 3 3 2 2" xfId="9250" xr:uid="{00000000-0005-0000-0000-0000A3250000}"/>
    <cellStyle name="20% - Accent5 2 6 3 3 2 2 2" xfId="19246" xr:uid="{00000000-0005-0000-0000-0000A4250000}"/>
    <cellStyle name="20% - Accent5 2 6 3 3 2 2 2 2" xfId="38646" xr:uid="{00000000-0005-0000-0000-0000A5250000}"/>
    <cellStyle name="20% - Accent5 2 6 3 3 2 2 3" xfId="28948" xr:uid="{00000000-0005-0000-0000-0000A6250000}"/>
    <cellStyle name="20% - Accent5 2 6 3 3 2 3" xfId="14791" xr:uid="{00000000-0005-0000-0000-0000A7250000}"/>
    <cellStyle name="20% - Accent5 2 6 3 3 2 3 2" xfId="34191" xr:uid="{00000000-0005-0000-0000-0000A8250000}"/>
    <cellStyle name="20% - Accent5 2 6 3 3 2 4" xfId="24493" xr:uid="{00000000-0005-0000-0000-0000A9250000}"/>
    <cellStyle name="20% - Accent5 2 6 3 3 3" xfId="8135" xr:uid="{00000000-0005-0000-0000-0000AA250000}"/>
    <cellStyle name="20% - Accent5 2 6 3 3 3 2" xfId="18131" xr:uid="{00000000-0005-0000-0000-0000AB250000}"/>
    <cellStyle name="20% - Accent5 2 6 3 3 3 2 2" xfId="37531" xr:uid="{00000000-0005-0000-0000-0000AC250000}"/>
    <cellStyle name="20% - Accent5 2 6 3 3 3 3" xfId="27833" xr:uid="{00000000-0005-0000-0000-0000AD250000}"/>
    <cellStyle name="20% - Accent5 2 6 3 3 4" xfId="13676" xr:uid="{00000000-0005-0000-0000-0000AE250000}"/>
    <cellStyle name="20% - Accent5 2 6 3 3 4 2" xfId="33076" xr:uid="{00000000-0005-0000-0000-0000AF250000}"/>
    <cellStyle name="20% - Accent5 2 6 3 3 5" xfId="23378" xr:uid="{00000000-0005-0000-0000-0000B0250000}"/>
    <cellStyle name="20% - Accent5 2 6 3 4" xfId="4229" xr:uid="{00000000-0005-0000-0000-0000B1250000}"/>
    <cellStyle name="20% - Accent5 2 6 3 4 2" xfId="8693" xr:uid="{00000000-0005-0000-0000-0000B2250000}"/>
    <cellStyle name="20% - Accent5 2 6 3 4 2 2" xfId="18689" xr:uid="{00000000-0005-0000-0000-0000B3250000}"/>
    <cellStyle name="20% - Accent5 2 6 3 4 2 2 2" xfId="38089" xr:uid="{00000000-0005-0000-0000-0000B4250000}"/>
    <cellStyle name="20% - Accent5 2 6 3 4 2 3" xfId="28391" xr:uid="{00000000-0005-0000-0000-0000B5250000}"/>
    <cellStyle name="20% - Accent5 2 6 3 4 3" xfId="14234" xr:uid="{00000000-0005-0000-0000-0000B6250000}"/>
    <cellStyle name="20% - Accent5 2 6 3 4 3 2" xfId="33634" xr:uid="{00000000-0005-0000-0000-0000B7250000}"/>
    <cellStyle name="20% - Accent5 2 6 3 4 4" xfId="23936" xr:uid="{00000000-0005-0000-0000-0000B8250000}"/>
    <cellStyle name="20% - Accent5 2 6 3 5" xfId="5899" xr:uid="{00000000-0005-0000-0000-0000B9250000}"/>
    <cellStyle name="20% - Accent5 2 6 3 5 2" xfId="10363" xr:uid="{00000000-0005-0000-0000-0000BA250000}"/>
    <cellStyle name="20% - Accent5 2 6 3 5 2 2" xfId="20359" xr:uid="{00000000-0005-0000-0000-0000BB250000}"/>
    <cellStyle name="20% - Accent5 2 6 3 5 2 2 2" xfId="39759" xr:uid="{00000000-0005-0000-0000-0000BC250000}"/>
    <cellStyle name="20% - Accent5 2 6 3 5 2 3" xfId="30061" xr:uid="{00000000-0005-0000-0000-0000BD250000}"/>
    <cellStyle name="20% - Accent5 2 6 3 5 3" xfId="15904" xr:uid="{00000000-0005-0000-0000-0000BE250000}"/>
    <cellStyle name="20% - Accent5 2 6 3 5 3 2" xfId="35304" xr:uid="{00000000-0005-0000-0000-0000BF250000}"/>
    <cellStyle name="20% - Accent5 2 6 3 5 4" xfId="25606" xr:uid="{00000000-0005-0000-0000-0000C0250000}"/>
    <cellStyle name="20% - Accent5 2 6 3 6" xfId="6465" xr:uid="{00000000-0005-0000-0000-0000C1250000}"/>
    <cellStyle name="20% - Accent5 2 6 3 6 2" xfId="10920" xr:uid="{00000000-0005-0000-0000-0000C2250000}"/>
    <cellStyle name="20% - Accent5 2 6 3 6 2 2" xfId="20916" xr:uid="{00000000-0005-0000-0000-0000C3250000}"/>
    <cellStyle name="20% - Accent5 2 6 3 6 2 2 2" xfId="40316" xr:uid="{00000000-0005-0000-0000-0000C4250000}"/>
    <cellStyle name="20% - Accent5 2 6 3 6 2 3" xfId="30618" xr:uid="{00000000-0005-0000-0000-0000C5250000}"/>
    <cellStyle name="20% - Accent5 2 6 3 6 3" xfId="16461" xr:uid="{00000000-0005-0000-0000-0000C6250000}"/>
    <cellStyle name="20% - Accent5 2 6 3 6 3 2" xfId="35861" xr:uid="{00000000-0005-0000-0000-0000C7250000}"/>
    <cellStyle name="20% - Accent5 2 6 3 6 4" xfId="26163" xr:uid="{00000000-0005-0000-0000-0000C8250000}"/>
    <cellStyle name="20% - Accent5 2 6 3 7" xfId="7022" xr:uid="{00000000-0005-0000-0000-0000C9250000}"/>
    <cellStyle name="20% - Accent5 2 6 3 7 2" xfId="17018" xr:uid="{00000000-0005-0000-0000-0000CA250000}"/>
    <cellStyle name="20% - Accent5 2 6 3 7 2 2" xfId="36418" xr:uid="{00000000-0005-0000-0000-0000CB250000}"/>
    <cellStyle name="20% - Accent5 2 6 3 7 3" xfId="26720" xr:uid="{00000000-0005-0000-0000-0000CC250000}"/>
    <cellStyle name="20% - Accent5 2 6 3 8" xfId="12562" xr:uid="{00000000-0005-0000-0000-0000CD250000}"/>
    <cellStyle name="20% - Accent5 2 6 3 8 2" xfId="31963" xr:uid="{00000000-0005-0000-0000-0000CE250000}"/>
    <cellStyle name="20% - Accent5 2 6 3 9" xfId="22265" xr:uid="{00000000-0005-0000-0000-0000CF250000}"/>
    <cellStyle name="20% - Accent5 2 7" xfId="1737" xr:uid="{00000000-0005-0000-0000-0000D0250000}"/>
    <cellStyle name="20% - Accent5 2 7 2" xfId="2901" xr:uid="{00000000-0005-0000-0000-0000D1250000}"/>
    <cellStyle name="20% - Accent5 2 7 2 2" xfId="5170" xr:uid="{00000000-0005-0000-0000-0000D2250000}"/>
    <cellStyle name="20% - Accent5 2 7 2 2 2" xfId="9634" xr:uid="{00000000-0005-0000-0000-0000D3250000}"/>
    <cellStyle name="20% - Accent5 2 7 2 2 2 2" xfId="19630" xr:uid="{00000000-0005-0000-0000-0000D4250000}"/>
    <cellStyle name="20% - Accent5 2 7 2 2 2 2 2" xfId="39030" xr:uid="{00000000-0005-0000-0000-0000D5250000}"/>
    <cellStyle name="20% - Accent5 2 7 2 2 2 3" xfId="29332" xr:uid="{00000000-0005-0000-0000-0000D6250000}"/>
    <cellStyle name="20% - Accent5 2 7 2 2 3" xfId="15175" xr:uid="{00000000-0005-0000-0000-0000D7250000}"/>
    <cellStyle name="20% - Accent5 2 7 2 2 3 2" xfId="34575" xr:uid="{00000000-0005-0000-0000-0000D8250000}"/>
    <cellStyle name="20% - Accent5 2 7 2 2 4" xfId="24877" xr:uid="{00000000-0005-0000-0000-0000D9250000}"/>
    <cellStyle name="20% - Accent5 2 7 2 3" xfId="7406" xr:uid="{00000000-0005-0000-0000-0000DA250000}"/>
    <cellStyle name="20% - Accent5 2 7 2 3 2" xfId="17402" xr:uid="{00000000-0005-0000-0000-0000DB250000}"/>
    <cellStyle name="20% - Accent5 2 7 2 3 2 2" xfId="36802" xr:uid="{00000000-0005-0000-0000-0000DC250000}"/>
    <cellStyle name="20% - Accent5 2 7 2 3 3" xfId="27104" xr:uid="{00000000-0005-0000-0000-0000DD250000}"/>
    <cellStyle name="20% - Accent5 2 7 2 4" xfId="12947" xr:uid="{00000000-0005-0000-0000-0000DE250000}"/>
    <cellStyle name="20% - Accent5 2 7 2 4 2" xfId="32347" xr:uid="{00000000-0005-0000-0000-0000DF250000}"/>
    <cellStyle name="20% - Accent5 2 7 2 5" xfId="22649" xr:uid="{00000000-0005-0000-0000-0000E0250000}"/>
    <cellStyle name="20% - Accent5 2 7 3" xfId="3484" xr:uid="{00000000-0005-0000-0000-0000E1250000}"/>
    <cellStyle name="20% - Accent5 2 7 3 2" xfId="4614" xr:uid="{00000000-0005-0000-0000-0000E2250000}"/>
    <cellStyle name="20% - Accent5 2 7 3 2 2" xfId="9078" xr:uid="{00000000-0005-0000-0000-0000E3250000}"/>
    <cellStyle name="20% - Accent5 2 7 3 2 2 2" xfId="19074" xr:uid="{00000000-0005-0000-0000-0000E4250000}"/>
    <cellStyle name="20% - Accent5 2 7 3 2 2 2 2" xfId="38474" xr:uid="{00000000-0005-0000-0000-0000E5250000}"/>
    <cellStyle name="20% - Accent5 2 7 3 2 2 3" xfId="28776" xr:uid="{00000000-0005-0000-0000-0000E6250000}"/>
    <cellStyle name="20% - Accent5 2 7 3 2 3" xfId="14619" xr:uid="{00000000-0005-0000-0000-0000E7250000}"/>
    <cellStyle name="20% - Accent5 2 7 3 2 3 2" xfId="34019" xr:uid="{00000000-0005-0000-0000-0000E8250000}"/>
    <cellStyle name="20% - Accent5 2 7 3 2 4" xfId="24321" xr:uid="{00000000-0005-0000-0000-0000E9250000}"/>
    <cellStyle name="20% - Accent5 2 7 3 3" xfId="7963" xr:uid="{00000000-0005-0000-0000-0000EA250000}"/>
    <cellStyle name="20% - Accent5 2 7 3 3 2" xfId="17959" xr:uid="{00000000-0005-0000-0000-0000EB250000}"/>
    <cellStyle name="20% - Accent5 2 7 3 3 2 2" xfId="37359" xr:uid="{00000000-0005-0000-0000-0000EC250000}"/>
    <cellStyle name="20% - Accent5 2 7 3 3 3" xfId="27661" xr:uid="{00000000-0005-0000-0000-0000ED250000}"/>
    <cellStyle name="20% - Accent5 2 7 3 4" xfId="13504" xr:uid="{00000000-0005-0000-0000-0000EE250000}"/>
    <cellStyle name="20% - Accent5 2 7 3 4 2" xfId="32904" xr:uid="{00000000-0005-0000-0000-0000EF250000}"/>
    <cellStyle name="20% - Accent5 2 7 3 5" xfId="23206" xr:uid="{00000000-0005-0000-0000-0000F0250000}"/>
    <cellStyle name="20% - Accent5 2 7 4" xfId="4057" xr:uid="{00000000-0005-0000-0000-0000F1250000}"/>
    <cellStyle name="20% - Accent5 2 7 4 2" xfId="8521" xr:uid="{00000000-0005-0000-0000-0000F2250000}"/>
    <cellStyle name="20% - Accent5 2 7 4 2 2" xfId="18517" xr:uid="{00000000-0005-0000-0000-0000F3250000}"/>
    <cellStyle name="20% - Accent5 2 7 4 2 2 2" xfId="37917" xr:uid="{00000000-0005-0000-0000-0000F4250000}"/>
    <cellStyle name="20% - Accent5 2 7 4 2 3" xfId="28219" xr:uid="{00000000-0005-0000-0000-0000F5250000}"/>
    <cellStyle name="20% - Accent5 2 7 4 3" xfId="14062" xr:uid="{00000000-0005-0000-0000-0000F6250000}"/>
    <cellStyle name="20% - Accent5 2 7 4 3 2" xfId="33462" xr:uid="{00000000-0005-0000-0000-0000F7250000}"/>
    <cellStyle name="20% - Accent5 2 7 4 4" xfId="23764" xr:uid="{00000000-0005-0000-0000-0000F8250000}"/>
    <cellStyle name="20% - Accent5 2 7 5" xfId="5727" xr:uid="{00000000-0005-0000-0000-0000F9250000}"/>
    <cellStyle name="20% - Accent5 2 7 5 2" xfId="10191" xr:uid="{00000000-0005-0000-0000-0000FA250000}"/>
    <cellStyle name="20% - Accent5 2 7 5 2 2" xfId="20187" xr:uid="{00000000-0005-0000-0000-0000FB250000}"/>
    <cellStyle name="20% - Accent5 2 7 5 2 2 2" xfId="39587" xr:uid="{00000000-0005-0000-0000-0000FC250000}"/>
    <cellStyle name="20% - Accent5 2 7 5 2 3" xfId="29889" xr:uid="{00000000-0005-0000-0000-0000FD250000}"/>
    <cellStyle name="20% - Accent5 2 7 5 3" xfId="15732" xr:uid="{00000000-0005-0000-0000-0000FE250000}"/>
    <cellStyle name="20% - Accent5 2 7 5 3 2" xfId="35132" xr:uid="{00000000-0005-0000-0000-0000FF250000}"/>
    <cellStyle name="20% - Accent5 2 7 5 4" xfId="25434" xr:uid="{00000000-0005-0000-0000-000000260000}"/>
    <cellStyle name="20% - Accent5 2 7 6" xfId="6293" xr:uid="{00000000-0005-0000-0000-000001260000}"/>
    <cellStyle name="20% - Accent5 2 7 6 2" xfId="10748" xr:uid="{00000000-0005-0000-0000-000002260000}"/>
    <cellStyle name="20% - Accent5 2 7 6 2 2" xfId="20744" xr:uid="{00000000-0005-0000-0000-000003260000}"/>
    <cellStyle name="20% - Accent5 2 7 6 2 2 2" xfId="40144" xr:uid="{00000000-0005-0000-0000-000004260000}"/>
    <cellStyle name="20% - Accent5 2 7 6 2 3" xfId="30446" xr:uid="{00000000-0005-0000-0000-000005260000}"/>
    <cellStyle name="20% - Accent5 2 7 6 3" xfId="16289" xr:uid="{00000000-0005-0000-0000-000006260000}"/>
    <cellStyle name="20% - Accent5 2 7 6 3 2" xfId="35689" xr:uid="{00000000-0005-0000-0000-000007260000}"/>
    <cellStyle name="20% - Accent5 2 7 6 4" xfId="25991" xr:uid="{00000000-0005-0000-0000-000008260000}"/>
    <cellStyle name="20% - Accent5 2 7 7" xfId="6850" xr:uid="{00000000-0005-0000-0000-000009260000}"/>
    <cellStyle name="20% - Accent5 2 7 7 2" xfId="16846" xr:uid="{00000000-0005-0000-0000-00000A260000}"/>
    <cellStyle name="20% - Accent5 2 7 7 2 2" xfId="36246" xr:uid="{00000000-0005-0000-0000-00000B260000}"/>
    <cellStyle name="20% - Accent5 2 7 7 3" xfId="26548" xr:uid="{00000000-0005-0000-0000-00000C260000}"/>
    <cellStyle name="20% - Accent5 2 7 8" xfId="12390" xr:uid="{00000000-0005-0000-0000-00000D260000}"/>
    <cellStyle name="20% - Accent5 2 7 8 2" xfId="31791" xr:uid="{00000000-0005-0000-0000-00000E260000}"/>
    <cellStyle name="20% - Accent5 2 7 9" xfId="22093" xr:uid="{00000000-0005-0000-0000-00000F260000}"/>
    <cellStyle name="20% - Accent5 2 8" xfId="1832" xr:uid="{00000000-0005-0000-0000-000010260000}"/>
    <cellStyle name="20% - Accent5 2 8 2" xfId="2911" xr:uid="{00000000-0005-0000-0000-000011260000}"/>
    <cellStyle name="20% - Accent5 2 8 2 2" xfId="5180" xr:uid="{00000000-0005-0000-0000-000012260000}"/>
    <cellStyle name="20% - Accent5 2 8 2 2 2" xfId="9644" xr:uid="{00000000-0005-0000-0000-000013260000}"/>
    <cellStyle name="20% - Accent5 2 8 2 2 2 2" xfId="19640" xr:uid="{00000000-0005-0000-0000-000014260000}"/>
    <cellStyle name="20% - Accent5 2 8 2 2 2 2 2" xfId="39040" xr:uid="{00000000-0005-0000-0000-000015260000}"/>
    <cellStyle name="20% - Accent5 2 8 2 2 2 3" xfId="29342" xr:uid="{00000000-0005-0000-0000-000016260000}"/>
    <cellStyle name="20% - Accent5 2 8 2 2 3" xfId="15185" xr:uid="{00000000-0005-0000-0000-000017260000}"/>
    <cellStyle name="20% - Accent5 2 8 2 2 3 2" xfId="34585" xr:uid="{00000000-0005-0000-0000-000018260000}"/>
    <cellStyle name="20% - Accent5 2 8 2 2 4" xfId="24887" xr:uid="{00000000-0005-0000-0000-000019260000}"/>
    <cellStyle name="20% - Accent5 2 8 2 3" xfId="7416" xr:uid="{00000000-0005-0000-0000-00001A260000}"/>
    <cellStyle name="20% - Accent5 2 8 2 3 2" xfId="17412" xr:uid="{00000000-0005-0000-0000-00001B260000}"/>
    <cellStyle name="20% - Accent5 2 8 2 3 2 2" xfId="36812" xr:uid="{00000000-0005-0000-0000-00001C260000}"/>
    <cellStyle name="20% - Accent5 2 8 2 3 3" xfId="27114" xr:uid="{00000000-0005-0000-0000-00001D260000}"/>
    <cellStyle name="20% - Accent5 2 8 2 4" xfId="12957" xr:uid="{00000000-0005-0000-0000-00001E260000}"/>
    <cellStyle name="20% - Accent5 2 8 2 4 2" xfId="32357" xr:uid="{00000000-0005-0000-0000-00001F260000}"/>
    <cellStyle name="20% - Accent5 2 8 2 5" xfId="22659" xr:uid="{00000000-0005-0000-0000-000020260000}"/>
    <cellStyle name="20% - Accent5 2 8 3" xfId="3494" xr:uid="{00000000-0005-0000-0000-000021260000}"/>
    <cellStyle name="20% - Accent5 2 8 3 2" xfId="4624" xr:uid="{00000000-0005-0000-0000-000022260000}"/>
    <cellStyle name="20% - Accent5 2 8 3 2 2" xfId="9088" xr:uid="{00000000-0005-0000-0000-000023260000}"/>
    <cellStyle name="20% - Accent5 2 8 3 2 2 2" xfId="19084" xr:uid="{00000000-0005-0000-0000-000024260000}"/>
    <cellStyle name="20% - Accent5 2 8 3 2 2 2 2" xfId="38484" xr:uid="{00000000-0005-0000-0000-000025260000}"/>
    <cellStyle name="20% - Accent5 2 8 3 2 2 3" xfId="28786" xr:uid="{00000000-0005-0000-0000-000026260000}"/>
    <cellStyle name="20% - Accent5 2 8 3 2 3" xfId="14629" xr:uid="{00000000-0005-0000-0000-000027260000}"/>
    <cellStyle name="20% - Accent5 2 8 3 2 3 2" xfId="34029" xr:uid="{00000000-0005-0000-0000-000028260000}"/>
    <cellStyle name="20% - Accent5 2 8 3 2 4" xfId="24331" xr:uid="{00000000-0005-0000-0000-000029260000}"/>
    <cellStyle name="20% - Accent5 2 8 3 3" xfId="7973" xr:uid="{00000000-0005-0000-0000-00002A260000}"/>
    <cellStyle name="20% - Accent5 2 8 3 3 2" xfId="17969" xr:uid="{00000000-0005-0000-0000-00002B260000}"/>
    <cellStyle name="20% - Accent5 2 8 3 3 2 2" xfId="37369" xr:uid="{00000000-0005-0000-0000-00002C260000}"/>
    <cellStyle name="20% - Accent5 2 8 3 3 3" xfId="27671" xr:uid="{00000000-0005-0000-0000-00002D260000}"/>
    <cellStyle name="20% - Accent5 2 8 3 4" xfId="13514" xr:uid="{00000000-0005-0000-0000-00002E260000}"/>
    <cellStyle name="20% - Accent5 2 8 3 4 2" xfId="32914" xr:uid="{00000000-0005-0000-0000-00002F260000}"/>
    <cellStyle name="20% - Accent5 2 8 3 5" xfId="23216" xr:uid="{00000000-0005-0000-0000-000030260000}"/>
    <cellStyle name="20% - Accent5 2 8 4" xfId="4067" xr:uid="{00000000-0005-0000-0000-000031260000}"/>
    <cellStyle name="20% - Accent5 2 8 4 2" xfId="8531" xr:uid="{00000000-0005-0000-0000-000032260000}"/>
    <cellStyle name="20% - Accent5 2 8 4 2 2" xfId="18527" xr:uid="{00000000-0005-0000-0000-000033260000}"/>
    <cellStyle name="20% - Accent5 2 8 4 2 2 2" xfId="37927" xr:uid="{00000000-0005-0000-0000-000034260000}"/>
    <cellStyle name="20% - Accent5 2 8 4 2 3" xfId="28229" xr:uid="{00000000-0005-0000-0000-000035260000}"/>
    <cellStyle name="20% - Accent5 2 8 4 3" xfId="14072" xr:uid="{00000000-0005-0000-0000-000036260000}"/>
    <cellStyle name="20% - Accent5 2 8 4 3 2" xfId="33472" xr:uid="{00000000-0005-0000-0000-000037260000}"/>
    <cellStyle name="20% - Accent5 2 8 4 4" xfId="23774" xr:uid="{00000000-0005-0000-0000-000038260000}"/>
    <cellStyle name="20% - Accent5 2 8 5" xfId="5737" xr:uid="{00000000-0005-0000-0000-000039260000}"/>
    <cellStyle name="20% - Accent5 2 8 5 2" xfId="10201" xr:uid="{00000000-0005-0000-0000-00003A260000}"/>
    <cellStyle name="20% - Accent5 2 8 5 2 2" xfId="20197" xr:uid="{00000000-0005-0000-0000-00003B260000}"/>
    <cellStyle name="20% - Accent5 2 8 5 2 2 2" xfId="39597" xr:uid="{00000000-0005-0000-0000-00003C260000}"/>
    <cellStyle name="20% - Accent5 2 8 5 2 3" xfId="29899" xr:uid="{00000000-0005-0000-0000-00003D260000}"/>
    <cellStyle name="20% - Accent5 2 8 5 3" xfId="15742" xr:uid="{00000000-0005-0000-0000-00003E260000}"/>
    <cellStyle name="20% - Accent5 2 8 5 3 2" xfId="35142" xr:uid="{00000000-0005-0000-0000-00003F260000}"/>
    <cellStyle name="20% - Accent5 2 8 5 4" xfId="25444" xr:uid="{00000000-0005-0000-0000-000040260000}"/>
    <cellStyle name="20% - Accent5 2 8 6" xfId="6303" xr:uid="{00000000-0005-0000-0000-000041260000}"/>
    <cellStyle name="20% - Accent5 2 8 6 2" xfId="10758" xr:uid="{00000000-0005-0000-0000-000042260000}"/>
    <cellStyle name="20% - Accent5 2 8 6 2 2" xfId="20754" xr:uid="{00000000-0005-0000-0000-000043260000}"/>
    <cellStyle name="20% - Accent5 2 8 6 2 2 2" xfId="40154" xr:uid="{00000000-0005-0000-0000-000044260000}"/>
    <cellStyle name="20% - Accent5 2 8 6 2 3" xfId="30456" xr:uid="{00000000-0005-0000-0000-000045260000}"/>
    <cellStyle name="20% - Accent5 2 8 6 3" xfId="16299" xr:uid="{00000000-0005-0000-0000-000046260000}"/>
    <cellStyle name="20% - Accent5 2 8 6 3 2" xfId="35699" xr:uid="{00000000-0005-0000-0000-000047260000}"/>
    <cellStyle name="20% - Accent5 2 8 6 4" xfId="26001" xr:uid="{00000000-0005-0000-0000-000048260000}"/>
    <cellStyle name="20% - Accent5 2 8 7" xfId="6860" xr:uid="{00000000-0005-0000-0000-000049260000}"/>
    <cellStyle name="20% - Accent5 2 8 7 2" xfId="16856" xr:uid="{00000000-0005-0000-0000-00004A260000}"/>
    <cellStyle name="20% - Accent5 2 8 7 2 2" xfId="36256" xr:uid="{00000000-0005-0000-0000-00004B260000}"/>
    <cellStyle name="20% - Accent5 2 8 7 3" xfId="26558" xr:uid="{00000000-0005-0000-0000-00004C260000}"/>
    <cellStyle name="20% - Accent5 2 8 8" xfId="12400" xr:uid="{00000000-0005-0000-0000-00004D260000}"/>
    <cellStyle name="20% - Accent5 2 8 8 2" xfId="31801" xr:uid="{00000000-0005-0000-0000-00004E260000}"/>
    <cellStyle name="20% - Accent5 2 8 9" xfId="22103" xr:uid="{00000000-0005-0000-0000-00004F260000}"/>
    <cellStyle name="20% - Accent5 2 9" xfId="2079" xr:uid="{00000000-0005-0000-0000-000050260000}"/>
    <cellStyle name="20% - Accent5 20" xfId="1087" xr:uid="{00000000-0005-0000-0000-000051260000}"/>
    <cellStyle name="20% - Accent5 20 2" xfId="11958" xr:uid="{00000000-0005-0000-0000-000052260000}"/>
    <cellStyle name="20% - Accent5 20 2 2" xfId="21662" xr:uid="{00000000-0005-0000-0000-000053260000}"/>
    <cellStyle name="20% - Accent5 20 2 2 2" xfId="41062" xr:uid="{00000000-0005-0000-0000-000054260000}"/>
    <cellStyle name="20% - Accent5 20 2 3" xfId="31364" xr:uid="{00000000-0005-0000-0000-000055260000}"/>
    <cellStyle name="20% - Accent5 20 3" xfId="12314" xr:uid="{00000000-0005-0000-0000-000056260000}"/>
    <cellStyle name="20% - Accent5 20 3 2" xfId="31717" xr:uid="{00000000-0005-0000-0000-000057260000}"/>
    <cellStyle name="20% - Accent5 20 4" xfId="22019" xr:uid="{00000000-0005-0000-0000-000058260000}"/>
    <cellStyle name="20% - Accent5 21" xfId="11841" xr:uid="{00000000-0005-0000-0000-000059260000}"/>
    <cellStyle name="20% - Accent5 21 2" xfId="21545" xr:uid="{00000000-0005-0000-0000-00005A260000}"/>
    <cellStyle name="20% - Accent5 21 2 2" xfId="40945" xr:uid="{00000000-0005-0000-0000-00005B260000}"/>
    <cellStyle name="20% - Accent5 21 3" xfId="31247" xr:uid="{00000000-0005-0000-0000-00005C260000}"/>
    <cellStyle name="20% - Accent5 22" xfId="12197" xr:uid="{00000000-0005-0000-0000-00005D260000}"/>
    <cellStyle name="20% - Accent5 22 2" xfId="31600" xr:uid="{00000000-0005-0000-0000-00005E260000}"/>
    <cellStyle name="20% - Accent5 23" xfId="21902" xr:uid="{00000000-0005-0000-0000-00005F260000}"/>
    <cellStyle name="20% - Accent5 3" xfId="64" xr:uid="{00000000-0005-0000-0000-000060260000}"/>
    <cellStyle name="20% - Accent5 3 2" xfId="2080" xr:uid="{00000000-0005-0000-0000-000061260000}"/>
    <cellStyle name="20% - Accent5 3 3" xfId="2608" xr:uid="{00000000-0005-0000-0000-000062260000}"/>
    <cellStyle name="20% - Accent5 3 4" xfId="11387" xr:uid="{00000000-0005-0000-0000-000063260000}"/>
    <cellStyle name="20% - Accent5 3 5" xfId="1188" xr:uid="{00000000-0005-0000-0000-000064260000}"/>
    <cellStyle name="20% - Accent5 4" xfId="65" xr:uid="{00000000-0005-0000-0000-000065260000}"/>
    <cellStyle name="20% - Accent5 4 2" xfId="2774" xr:uid="{00000000-0005-0000-0000-000066260000}"/>
    <cellStyle name="20% - Accent5 4 3" xfId="11388" xr:uid="{00000000-0005-0000-0000-000067260000}"/>
    <cellStyle name="20% - Accent5 4 4" xfId="1190" xr:uid="{00000000-0005-0000-0000-000068260000}"/>
    <cellStyle name="20% - Accent5 5" xfId="66" xr:uid="{00000000-0005-0000-0000-000069260000}"/>
    <cellStyle name="20% - Accent5 5 2" xfId="11389" xr:uid="{00000000-0005-0000-0000-00006A260000}"/>
    <cellStyle name="20% - Accent5 5 3" xfId="1666" xr:uid="{00000000-0005-0000-0000-00006B260000}"/>
    <cellStyle name="20% - Accent5 6" xfId="67" xr:uid="{00000000-0005-0000-0000-00006C260000}"/>
    <cellStyle name="20% - Accent5 6 2" xfId="11390" xr:uid="{00000000-0005-0000-0000-00006D260000}"/>
    <cellStyle name="20% - Accent5 6 3" xfId="1831" xr:uid="{00000000-0005-0000-0000-00006E260000}"/>
    <cellStyle name="20% - Accent5 7" xfId="68" xr:uid="{00000000-0005-0000-0000-00006F260000}"/>
    <cellStyle name="20% - Accent5 8" xfId="69" xr:uid="{00000000-0005-0000-0000-000070260000}"/>
    <cellStyle name="20% - Accent5 9" xfId="70" xr:uid="{00000000-0005-0000-0000-000071260000}"/>
    <cellStyle name="20% - Accent6" xfId="961" builtinId="50" customBuiltin="1"/>
    <cellStyle name="20% - Accent6 10" xfId="71" xr:uid="{00000000-0005-0000-0000-000073260000}"/>
    <cellStyle name="20% - Accent6 11" xfId="72" xr:uid="{00000000-0005-0000-0000-000074260000}"/>
    <cellStyle name="20% - Accent6 12" xfId="73" xr:uid="{00000000-0005-0000-0000-000075260000}"/>
    <cellStyle name="20% - Accent6 13" xfId="74" xr:uid="{00000000-0005-0000-0000-000076260000}"/>
    <cellStyle name="20% - Accent6 14" xfId="75" xr:uid="{00000000-0005-0000-0000-000077260000}"/>
    <cellStyle name="20% - Accent6 15" xfId="76" xr:uid="{00000000-0005-0000-0000-000078260000}"/>
    <cellStyle name="20% - Accent6 16" xfId="675" xr:uid="{00000000-0005-0000-0000-000079260000}"/>
    <cellStyle name="20% - Accent6 17" xfId="999" xr:uid="{00000000-0005-0000-0000-00007A260000}"/>
    <cellStyle name="20% - Accent6 17 2" xfId="11870" xr:uid="{00000000-0005-0000-0000-00007B260000}"/>
    <cellStyle name="20% - Accent6 17 2 2" xfId="21574" xr:uid="{00000000-0005-0000-0000-00007C260000}"/>
    <cellStyle name="20% - Accent6 17 2 2 2" xfId="40974" xr:uid="{00000000-0005-0000-0000-00007D260000}"/>
    <cellStyle name="20% - Accent6 17 2 3" xfId="31276" xr:uid="{00000000-0005-0000-0000-00007E260000}"/>
    <cellStyle name="20% - Accent6 17 3" xfId="12226" xr:uid="{00000000-0005-0000-0000-00007F260000}"/>
    <cellStyle name="20% - Accent6 17 3 2" xfId="31629" xr:uid="{00000000-0005-0000-0000-000080260000}"/>
    <cellStyle name="20% - Accent6 17 4" xfId="21931" xr:uid="{00000000-0005-0000-0000-000081260000}"/>
    <cellStyle name="20% - Accent6 18" xfId="1031" xr:uid="{00000000-0005-0000-0000-000082260000}"/>
    <cellStyle name="20% - Accent6 18 2" xfId="11902" xr:uid="{00000000-0005-0000-0000-000083260000}"/>
    <cellStyle name="20% - Accent6 18 2 2" xfId="21606" xr:uid="{00000000-0005-0000-0000-000084260000}"/>
    <cellStyle name="20% - Accent6 18 2 2 2" xfId="41006" xr:uid="{00000000-0005-0000-0000-000085260000}"/>
    <cellStyle name="20% - Accent6 18 2 3" xfId="31308" xr:uid="{00000000-0005-0000-0000-000086260000}"/>
    <cellStyle name="20% - Accent6 18 3" xfId="12258" xr:uid="{00000000-0005-0000-0000-000087260000}"/>
    <cellStyle name="20% - Accent6 18 3 2" xfId="31661" xr:uid="{00000000-0005-0000-0000-000088260000}"/>
    <cellStyle name="20% - Accent6 18 4" xfId="21963" xr:uid="{00000000-0005-0000-0000-000089260000}"/>
    <cellStyle name="20% - Accent6 19" xfId="1074" xr:uid="{00000000-0005-0000-0000-00008A260000}"/>
    <cellStyle name="20% - Accent6 19 2" xfId="11945" xr:uid="{00000000-0005-0000-0000-00008B260000}"/>
    <cellStyle name="20% - Accent6 19 2 2" xfId="21649" xr:uid="{00000000-0005-0000-0000-00008C260000}"/>
    <cellStyle name="20% - Accent6 19 2 2 2" xfId="41049" xr:uid="{00000000-0005-0000-0000-00008D260000}"/>
    <cellStyle name="20% - Accent6 19 2 3" xfId="31351" xr:uid="{00000000-0005-0000-0000-00008E260000}"/>
    <cellStyle name="20% - Accent6 19 3" xfId="12301" xr:uid="{00000000-0005-0000-0000-00008F260000}"/>
    <cellStyle name="20% - Accent6 19 3 2" xfId="31704" xr:uid="{00000000-0005-0000-0000-000090260000}"/>
    <cellStyle name="20% - Accent6 19 4" xfId="22006" xr:uid="{00000000-0005-0000-0000-000091260000}"/>
    <cellStyle name="20% - Accent6 2" xfId="77" xr:uid="{00000000-0005-0000-0000-000092260000}"/>
    <cellStyle name="20% - Accent6 2 10" xfId="2081" xr:uid="{00000000-0005-0000-0000-000093260000}"/>
    <cellStyle name="20% - Accent6 2 10 2" xfId="3074" xr:uid="{00000000-0005-0000-0000-000094260000}"/>
    <cellStyle name="20% - Accent6 2 10 2 2" xfId="5343" xr:uid="{00000000-0005-0000-0000-000095260000}"/>
    <cellStyle name="20% - Accent6 2 10 2 2 2" xfId="9807" xr:uid="{00000000-0005-0000-0000-000096260000}"/>
    <cellStyle name="20% - Accent6 2 10 2 2 2 2" xfId="19803" xr:uid="{00000000-0005-0000-0000-000097260000}"/>
    <cellStyle name="20% - Accent6 2 10 2 2 2 2 2" xfId="39203" xr:uid="{00000000-0005-0000-0000-000098260000}"/>
    <cellStyle name="20% - Accent6 2 10 2 2 2 3" xfId="29505" xr:uid="{00000000-0005-0000-0000-000099260000}"/>
    <cellStyle name="20% - Accent6 2 10 2 2 3" xfId="15348" xr:uid="{00000000-0005-0000-0000-00009A260000}"/>
    <cellStyle name="20% - Accent6 2 10 2 2 3 2" xfId="34748" xr:uid="{00000000-0005-0000-0000-00009B260000}"/>
    <cellStyle name="20% - Accent6 2 10 2 2 4" xfId="25050" xr:uid="{00000000-0005-0000-0000-00009C260000}"/>
    <cellStyle name="20% - Accent6 2 10 2 3" xfId="7579" xr:uid="{00000000-0005-0000-0000-00009D260000}"/>
    <cellStyle name="20% - Accent6 2 10 2 3 2" xfId="17575" xr:uid="{00000000-0005-0000-0000-00009E260000}"/>
    <cellStyle name="20% - Accent6 2 10 2 3 2 2" xfId="36975" xr:uid="{00000000-0005-0000-0000-00009F260000}"/>
    <cellStyle name="20% - Accent6 2 10 2 3 3" xfId="27277" xr:uid="{00000000-0005-0000-0000-0000A0260000}"/>
    <cellStyle name="20% - Accent6 2 10 2 4" xfId="13120" xr:uid="{00000000-0005-0000-0000-0000A1260000}"/>
    <cellStyle name="20% - Accent6 2 10 2 4 2" xfId="32520" xr:uid="{00000000-0005-0000-0000-0000A2260000}"/>
    <cellStyle name="20% - Accent6 2 10 2 5" xfId="22822" xr:uid="{00000000-0005-0000-0000-0000A3260000}"/>
    <cellStyle name="20% - Accent6 2 10 3" xfId="3657" xr:uid="{00000000-0005-0000-0000-0000A4260000}"/>
    <cellStyle name="20% - Accent6 2 10 3 2" xfId="4787" xr:uid="{00000000-0005-0000-0000-0000A5260000}"/>
    <cellStyle name="20% - Accent6 2 10 3 2 2" xfId="9251" xr:uid="{00000000-0005-0000-0000-0000A6260000}"/>
    <cellStyle name="20% - Accent6 2 10 3 2 2 2" xfId="19247" xr:uid="{00000000-0005-0000-0000-0000A7260000}"/>
    <cellStyle name="20% - Accent6 2 10 3 2 2 2 2" xfId="38647" xr:uid="{00000000-0005-0000-0000-0000A8260000}"/>
    <cellStyle name="20% - Accent6 2 10 3 2 2 3" xfId="28949" xr:uid="{00000000-0005-0000-0000-0000A9260000}"/>
    <cellStyle name="20% - Accent6 2 10 3 2 3" xfId="14792" xr:uid="{00000000-0005-0000-0000-0000AA260000}"/>
    <cellStyle name="20% - Accent6 2 10 3 2 3 2" xfId="34192" xr:uid="{00000000-0005-0000-0000-0000AB260000}"/>
    <cellStyle name="20% - Accent6 2 10 3 2 4" xfId="24494" xr:uid="{00000000-0005-0000-0000-0000AC260000}"/>
    <cellStyle name="20% - Accent6 2 10 3 3" xfId="8136" xr:uid="{00000000-0005-0000-0000-0000AD260000}"/>
    <cellStyle name="20% - Accent6 2 10 3 3 2" xfId="18132" xr:uid="{00000000-0005-0000-0000-0000AE260000}"/>
    <cellStyle name="20% - Accent6 2 10 3 3 2 2" xfId="37532" xr:uid="{00000000-0005-0000-0000-0000AF260000}"/>
    <cellStyle name="20% - Accent6 2 10 3 3 3" xfId="27834" xr:uid="{00000000-0005-0000-0000-0000B0260000}"/>
    <cellStyle name="20% - Accent6 2 10 3 4" xfId="13677" xr:uid="{00000000-0005-0000-0000-0000B1260000}"/>
    <cellStyle name="20% - Accent6 2 10 3 4 2" xfId="33077" xr:uid="{00000000-0005-0000-0000-0000B2260000}"/>
    <cellStyle name="20% - Accent6 2 10 3 5" xfId="23379" xr:uid="{00000000-0005-0000-0000-0000B3260000}"/>
    <cellStyle name="20% - Accent6 2 10 4" xfId="4230" xr:uid="{00000000-0005-0000-0000-0000B4260000}"/>
    <cellStyle name="20% - Accent6 2 10 4 2" xfId="8694" xr:uid="{00000000-0005-0000-0000-0000B5260000}"/>
    <cellStyle name="20% - Accent6 2 10 4 2 2" xfId="18690" xr:uid="{00000000-0005-0000-0000-0000B6260000}"/>
    <cellStyle name="20% - Accent6 2 10 4 2 2 2" xfId="38090" xr:uid="{00000000-0005-0000-0000-0000B7260000}"/>
    <cellStyle name="20% - Accent6 2 10 4 2 3" xfId="28392" xr:uid="{00000000-0005-0000-0000-0000B8260000}"/>
    <cellStyle name="20% - Accent6 2 10 4 3" xfId="14235" xr:uid="{00000000-0005-0000-0000-0000B9260000}"/>
    <cellStyle name="20% - Accent6 2 10 4 3 2" xfId="33635" xr:uid="{00000000-0005-0000-0000-0000BA260000}"/>
    <cellStyle name="20% - Accent6 2 10 4 4" xfId="23937" xr:uid="{00000000-0005-0000-0000-0000BB260000}"/>
    <cellStyle name="20% - Accent6 2 10 5" xfId="5900" xr:uid="{00000000-0005-0000-0000-0000BC260000}"/>
    <cellStyle name="20% - Accent6 2 10 5 2" xfId="10364" xr:uid="{00000000-0005-0000-0000-0000BD260000}"/>
    <cellStyle name="20% - Accent6 2 10 5 2 2" xfId="20360" xr:uid="{00000000-0005-0000-0000-0000BE260000}"/>
    <cellStyle name="20% - Accent6 2 10 5 2 2 2" xfId="39760" xr:uid="{00000000-0005-0000-0000-0000BF260000}"/>
    <cellStyle name="20% - Accent6 2 10 5 2 3" xfId="30062" xr:uid="{00000000-0005-0000-0000-0000C0260000}"/>
    <cellStyle name="20% - Accent6 2 10 5 3" xfId="15905" xr:uid="{00000000-0005-0000-0000-0000C1260000}"/>
    <cellStyle name="20% - Accent6 2 10 5 3 2" xfId="35305" xr:uid="{00000000-0005-0000-0000-0000C2260000}"/>
    <cellStyle name="20% - Accent6 2 10 5 4" xfId="25607" xr:uid="{00000000-0005-0000-0000-0000C3260000}"/>
    <cellStyle name="20% - Accent6 2 10 6" xfId="6466" xr:uid="{00000000-0005-0000-0000-0000C4260000}"/>
    <cellStyle name="20% - Accent6 2 10 6 2" xfId="10921" xr:uid="{00000000-0005-0000-0000-0000C5260000}"/>
    <cellStyle name="20% - Accent6 2 10 6 2 2" xfId="20917" xr:uid="{00000000-0005-0000-0000-0000C6260000}"/>
    <cellStyle name="20% - Accent6 2 10 6 2 2 2" xfId="40317" xr:uid="{00000000-0005-0000-0000-0000C7260000}"/>
    <cellStyle name="20% - Accent6 2 10 6 2 3" xfId="30619" xr:uid="{00000000-0005-0000-0000-0000C8260000}"/>
    <cellStyle name="20% - Accent6 2 10 6 3" xfId="16462" xr:uid="{00000000-0005-0000-0000-0000C9260000}"/>
    <cellStyle name="20% - Accent6 2 10 6 3 2" xfId="35862" xr:uid="{00000000-0005-0000-0000-0000CA260000}"/>
    <cellStyle name="20% - Accent6 2 10 6 4" xfId="26164" xr:uid="{00000000-0005-0000-0000-0000CB260000}"/>
    <cellStyle name="20% - Accent6 2 10 7" xfId="7023" xr:uid="{00000000-0005-0000-0000-0000CC260000}"/>
    <cellStyle name="20% - Accent6 2 10 7 2" xfId="17019" xr:uid="{00000000-0005-0000-0000-0000CD260000}"/>
    <cellStyle name="20% - Accent6 2 10 7 2 2" xfId="36419" xr:uid="{00000000-0005-0000-0000-0000CE260000}"/>
    <cellStyle name="20% - Accent6 2 10 7 3" xfId="26721" xr:uid="{00000000-0005-0000-0000-0000CF260000}"/>
    <cellStyle name="20% - Accent6 2 10 8" xfId="12563" xr:uid="{00000000-0005-0000-0000-0000D0260000}"/>
    <cellStyle name="20% - Accent6 2 10 8 2" xfId="31964" xr:uid="{00000000-0005-0000-0000-0000D1260000}"/>
    <cellStyle name="20% - Accent6 2 10 9" xfId="22266" xr:uid="{00000000-0005-0000-0000-0000D2260000}"/>
    <cellStyle name="20% - Accent6 2 11" xfId="2580" xr:uid="{00000000-0005-0000-0000-0000D3260000}"/>
    <cellStyle name="20% - Accent6 2 12" xfId="11314" xr:uid="{00000000-0005-0000-0000-0000D4260000}"/>
    <cellStyle name="20% - Accent6 2 12 2" xfId="21299" xr:uid="{00000000-0005-0000-0000-0000D5260000}"/>
    <cellStyle name="20% - Accent6 2 12 2 2" xfId="40699" xr:uid="{00000000-0005-0000-0000-0000D6260000}"/>
    <cellStyle name="20% - Accent6 2 12 3" xfId="31001" xr:uid="{00000000-0005-0000-0000-0000D7260000}"/>
    <cellStyle name="20% - Accent6 2 13" xfId="11343" xr:uid="{00000000-0005-0000-0000-0000D8260000}"/>
    <cellStyle name="20% - Accent6 2 13 2" xfId="21325" xr:uid="{00000000-0005-0000-0000-0000D9260000}"/>
    <cellStyle name="20% - Accent6 2 13 2 2" xfId="40725" xr:uid="{00000000-0005-0000-0000-0000DA260000}"/>
    <cellStyle name="20% - Accent6 2 13 3" xfId="31027" xr:uid="{00000000-0005-0000-0000-0000DB260000}"/>
    <cellStyle name="20% - Accent6 2 14" xfId="1192" xr:uid="{00000000-0005-0000-0000-0000DC260000}"/>
    <cellStyle name="20% - Accent6 2 15" xfId="1139" xr:uid="{00000000-0005-0000-0000-0000DD260000}"/>
    <cellStyle name="20% - Accent6 2 15 2" xfId="12358" xr:uid="{00000000-0005-0000-0000-0000DE260000}"/>
    <cellStyle name="20% - Accent6 2 15 2 2" xfId="31760" xr:uid="{00000000-0005-0000-0000-0000DF260000}"/>
    <cellStyle name="20% - Accent6 2 15 3" xfId="22062" xr:uid="{00000000-0005-0000-0000-0000E0260000}"/>
    <cellStyle name="20% - Accent6 2 2" xfId="737" xr:uid="{00000000-0005-0000-0000-0000E1260000}"/>
    <cellStyle name="20% - Accent6 2 2 2" xfId="1749" xr:uid="{00000000-0005-0000-0000-0000E2260000}"/>
    <cellStyle name="20% - Accent6 2 2 3" xfId="1194" xr:uid="{00000000-0005-0000-0000-0000E3260000}"/>
    <cellStyle name="20% - Accent6 2 2 4" xfId="11694" xr:uid="{00000000-0005-0000-0000-0000E4260000}"/>
    <cellStyle name="20% - Accent6 2 2 4 2" xfId="21408" xr:uid="{00000000-0005-0000-0000-0000E5260000}"/>
    <cellStyle name="20% - Accent6 2 2 4 2 2" xfId="40808" xr:uid="{00000000-0005-0000-0000-0000E6260000}"/>
    <cellStyle name="20% - Accent6 2 2 4 3" xfId="31110" xr:uid="{00000000-0005-0000-0000-0000E7260000}"/>
    <cellStyle name="20% - Accent6 2 2 5" xfId="1169" xr:uid="{00000000-0005-0000-0000-0000E8260000}"/>
    <cellStyle name="20% - Accent6 2 2 6" xfId="12060" xr:uid="{00000000-0005-0000-0000-0000E9260000}"/>
    <cellStyle name="20% - Accent6 2 2 6 2" xfId="31463" xr:uid="{00000000-0005-0000-0000-0000EA260000}"/>
    <cellStyle name="20% - Accent6 2 2 7" xfId="21765" xr:uid="{00000000-0005-0000-0000-0000EB260000}"/>
    <cellStyle name="20% - Accent6 2 3" xfId="1109" xr:uid="{00000000-0005-0000-0000-0000EC260000}"/>
    <cellStyle name="20% - Accent6 2 3 2" xfId="2082" xr:uid="{00000000-0005-0000-0000-0000ED260000}"/>
    <cellStyle name="20% - Accent6 2 3 2 10" xfId="7024" xr:uid="{00000000-0005-0000-0000-0000EE260000}"/>
    <cellStyle name="20% - Accent6 2 3 2 10 2" xfId="17020" xr:uid="{00000000-0005-0000-0000-0000EF260000}"/>
    <cellStyle name="20% - Accent6 2 3 2 10 2 2" xfId="36420" xr:uid="{00000000-0005-0000-0000-0000F0260000}"/>
    <cellStyle name="20% - Accent6 2 3 2 10 3" xfId="26722" xr:uid="{00000000-0005-0000-0000-0000F1260000}"/>
    <cellStyle name="20% - Accent6 2 3 2 11" xfId="12564" xr:uid="{00000000-0005-0000-0000-0000F2260000}"/>
    <cellStyle name="20% - Accent6 2 3 2 11 2" xfId="31965" xr:uid="{00000000-0005-0000-0000-0000F3260000}"/>
    <cellStyle name="20% - Accent6 2 3 2 12" xfId="22267" xr:uid="{00000000-0005-0000-0000-0000F4260000}"/>
    <cellStyle name="20% - Accent6 2 3 2 2" xfId="2083" xr:uid="{00000000-0005-0000-0000-0000F5260000}"/>
    <cellStyle name="20% - Accent6 2 3 2 2 10" xfId="12565" xr:uid="{00000000-0005-0000-0000-0000F6260000}"/>
    <cellStyle name="20% - Accent6 2 3 2 2 10 2" xfId="31966" xr:uid="{00000000-0005-0000-0000-0000F7260000}"/>
    <cellStyle name="20% - Accent6 2 3 2 2 11" xfId="22268" xr:uid="{00000000-0005-0000-0000-0000F8260000}"/>
    <cellStyle name="20% - Accent6 2 3 2 2 2" xfId="2084" xr:uid="{00000000-0005-0000-0000-0000F9260000}"/>
    <cellStyle name="20% - Accent6 2 3 2 2 2 2" xfId="3077" xr:uid="{00000000-0005-0000-0000-0000FA260000}"/>
    <cellStyle name="20% - Accent6 2 3 2 2 2 2 2" xfId="5346" xr:uid="{00000000-0005-0000-0000-0000FB260000}"/>
    <cellStyle name="20% - Accent6 2 3 2 2 2 2 2 2" xfId="9810" xr:uid="{00000000-0005-0000-0000-0000FC260000}"/>
    <cellStyle name="20% - Accent6 2 3 2 2 2 2 2 2 2" xfId="19806" xr:uid="{00000000-0005-0000-0000-0000FD260000}"/>
    <cellStyle name="20% - Accent6 2 3 2 2 2 2 2 2 2 2" xfId="39206" xr:uid="{00000000-0005-0000-0000-0000FE260000}"/>
    <cellStyle name="20% - Accent6 2 3 2 2 2 2 2 2 3" xfId="29508" xr:uid="{00000000-0005-0000-0000-0000FF260000}"/>
    <cellStyle name="20% - Accent6 2 3 2 2 2 2 2 3" xfId="15351" xr:uid="{00000000-0005-0000-0000-000000270000}"/>
    <cellStyle name="20% - Accent6 2 3 2 2 2 2 2 3 2" xfId="34751" xr:uid="{00000000-0005-0000-0000-000001270000}"/>
    <cellStyle name="20% - Accent6 2 3 2 2 2 2 2 4" xfId="25053" xr:uid="{00000000-0005-0000-0000-000002270000}"/>
    <cellStyle name="20% - Accent6 2 3 2 2 2 2 3" xfId="7582" xr:uid="{00000000-0005-0000-0000-000003270000}"/>
    <cellStyle name="20% - Accent6 2 3 2 2 2 2 3 2" xfId="17578" xr:uid="{00000000-0005-0000-0000-000004270000}"/>
    <cellStyle name="20% - Accent6 2 3 2 2 2 2 3 2 2" xfId="36978" xr:uid="{00000000-0005-0000-0000-000005270000}"/>
    <cellStyle name="20% - Accent6 2 3 2 2 2 2 3 3" xfId="27280" xr:uid="{00000000-0005-0000-0000-000006270000}"/>
    <cellStyle name="20% - Accent6 2 3 2 2 2 2 4" xfId="13123" xr:uid="{00000000-0005-0000-0000-000007270000}"/>
    <cellStyle name="20% - Accent6 2 3 2 2 2 2 4 2" xfId="32523" xr:uid="{00000000-0005-0000-0000-000008270000}"/>
    <cellStyle name="20% - Accent6 2 3 2 2 2 2 5" xfId="22825" xr:uid="{00000000-0005-0000-0000-000009270000}"/>
    <cellStyle name="20% - Accent6 2 3 2 2 2 3" xfId="3660" xr:uid="{00000000-0005-0000-0000-00000A270000}"/>
    <cellStyle name="20% - Accent6 2 3 2 2 2 3 2" xfId="4790" xr:uid="{00000000-0005-0000-0000-00000B270000}"/>
    <cellStyle name="20% - Accent6 2 3 2 2 2 3 2 2" xfId="9254" xr:uid="{00000000-0005-0000-0000-00000C270000}"/>
    <cellStyle name="20% - Accent6 2 3 2 2 2 3 2 2 2" xfId="19250" xr:uid="{00000000-0005-0000-0000-00000D270000}"/>
    <cellStyle name="20% - Accent6 2 3 2 2 2 3 2 2 2 2" xfId="38650" xr:uid="{00000000-0005-0000-0000-00000E270000}"/>
    <cellStyle name="20% - Accent6 2 3 2 2 2 3 2 2 3" xfId="28952" xr:uid="{00000000-0005-0000-0000-00000F270000}"/>
    <cellStyle name="20% - Accent6 2 3 2 2 2 3 2 3" xfId="14795" xr:uid="{00000000-0005-0000-0000-000010270000}"/>
    <cellStyle name="20% - Accent6 2 3 2 2 2 3 2 3 2" xfId="34195" xr:uid="{00000000-0005-0000-0000-000011270000}"/>
    <cellStyle name="20% - Accent6 2 3 2 2 2 3 2 4" xfId="24497" xr:uid="{00000000-0005-0000-0000-000012270000}"/>
    <cellStyle name="20% - Accent6 2 3 2 2 2 3 3" xfId="8139" xr:uid="{00000000-0005-0000-0000-000013270000}"/>
    <cellStyle name="20% - Accent6 2 3 2 2 2 3 3 2" xfId="18135" xr:uid="{00000000-0005-0000-0000-000014270000}"/>
    <cellStyle name="20% - Accent6 2 3 2 2 2 3 3 2 2" xfId="37535" xr:uid="{00000000-0005-0000-0000-000015270000}"/>
    <cellStyle name="20% - Accent6 2 3 2 2 2 3 3 3" xfId="27837" xr:uid="{00000000-0005-0000-0000-000016270000}"/>
    <cellStyle name="20% - Accent6 2 3 2 2 2 3 4" xfId="13680" xr:uid="{00000000-0005-0000-0000-000017270000}"/>
    <cellStyle name="20% - Accent6 2 3 2 2 2 3 4 2" xfId="33080" xr:uid="{00000000-0005-0000-0000-000018270000}"/>
    <cellStyle name="20% - Accent6 2 3 2 2 2 3 5" xfId="23382" xr:uid="{00000000-0005-0000-0000-000019270000}"/>
    <cellStyle name="20% - Accent6 2 3 2 2 2 4" xfId="4233" xr:uid="{00000000-0005-0000-0000-00001A270000}"/>
    <cellStyle name="20% - Accent6 2 3 2 2 2 4 2" xfId="8697" xr:uid="{00000000-0005-0000-0000-00001B270000}"/>
    <cellStyle name="20% - Accent6 2 3 2 2 2 4 2 2" xfId="18693" xr:uid="{00000000-0005-0000-0000-00001C270000}"/>
    <cellStyle name="20% - Accent6 2 3 2 2 2 4 2 2 2" xfId="38093" xr:uid="{00000000-0005-0000-0000-00001D270000}"/>
    <cellStyle name="20% - Accent6 2 3 2 2 2 4 2 3" xfId="28395" xr:uid="{00000000-0005-0000-0000-00001E270000}"/>
    <cellStyle name="20% - Accent6 2 3 2 2 2 4 3" xfId="14238" xr:uid="{00000000-0005-0000-0000-00001F270000}"/>
    <cellStyle name="20% - Accent6 2 3 2 2 2 4 3 2" xfId="33638" xr:uid="{00000000-0005-0000-0000-000020270000}"/>
    <cellStyle name="20% - Accent6 2 3 2 2 2 4 4" xfId="23940" xr:uid="{00000000-0005-0000-0000-000021270000}"/>
    <cellStyle name="20% - Accent6 2 3 2 2 2 5" xfId="5903" xr:uid="{00000000-0005-0000-0000-000022270000}"/>
    <cellStyle name="20% - Accent6 2 3 2 2 2 5 2" xfId="10367" xr:uid="{00000000-0005-0000-0000-000023270000}"/>
    <cellStyle name="20% - Accent6 2 3 2 2 2 5 2 2" xfId="20363" xr:uid="{00000000-0005-0000-0000-000024270000}"/>
    <cellStyle name="20% - Accent6 2 3 2 2 2 5 2 2 2" xfId="39763" xr:uid="{00000000-0005-0000-0000-000025270000}"/>
    <cellStyle name="20% - Accent6 2 3 2 2 2 5 2 3" xfId="30065" xr:uid="{00000000-0005-0000-0000-000026270000}"/>
    <cellStyle name="20% - Accent6 2 3 2 2 2 5 3" xfId="15908" xr:uid="{00000000-0005-0000-0000-000027270000}"/>
    <cellStyle name="20% - Accent6 2 3 2 2 2 5 3 2" xfId="35308" xr:uid="{00000000-0005-0000-0000-000028270000}"/>
    <cellStyle name="20% - Accent6 2 3 2 2 2 5 4" xfId="25610" xr:uid="{00000000-0005-0000-0000-000029270000}"/>
    <cellStyle name="20% - Accent6 2 3 2 2 2 6" xfId="6469" xr:uid="{00000000-0005-0000-0000-00002A270000}"/>
    <cellStyle name="20% - Accent6 2 3 2 2 2 6 2" xfId="10924" xr:uid="{00000000-0005-0000-0000-00002B270000}"/>
    <cellStyle name="20% - Accent6 2 3 2 2 2 6 2 2" xfId="20920" xr:uid="{00000000-0005-0000-0000-00002C270000}"/>
    <cellStyle name="20% - Accent6 2 3 2 2 2 6 2 2 2" xfId="40320" xr:uid="{00000000-0005-0000-0000-00002D270000}"/>
    <cellStyle name="20% - Accent6 2 3 2 2 2 6 2 3" xfId="30622" xr:uid="{00000000-0005-0000-0000-00002E270000}"/>
    <cellStyle name="20% - Accent6 2 3 2 2 2 6 3" xfId="16465" xr:uid="{00000000-0005-0000-0000-00002F270000}"/>
    <cellStyle name="20% - Accent6 2 3 2 2 2 6 3 2" xfId="35865" xr:uid="{00000000-0005-0000-0000-000030270000}"/>
    <cellStyle name="20% - Accent6 2 3 2 2 2 6 4" xfId="26167" xr:uid="{00000000-0005-0000-0000-000031270000}"/>
    <cellStyle name="20% - Accent6 2 3 2 2 2 7" xfId="7026" xr:uid="{00000000-0005-0000-0000-000032270000}"/>
    <cellStyle name="20% - Accent6 2 3 2 2 2 7 2" xfId="17022" xr:uid="{00000000-0005-0000-0000-000033270000}"/>
    <cellStyle name="20% - Accent6 2 3 2 2 2 7 2 2" xfId="36422" xr:uid="{00000000-0005-0000-0000-000034270000}"/>
    <cellStyle name="20% - Accent6 2 3 2 2 2 7 3" xfId="26724" xr:uid="{00000000-0005-0000-0000-000035270000}"/>
    <cellStyle name="20% - Accent6 2 3 2 2 2 8" xfId="12566" xr:uid="{00000000-0005-0000-0000-000036270000}"/>
    <cellStyle name="20% - Accent6 2 3 2 2 2 8 2" xfId="31967" xr:uid="{00000000-0005-0000-0000-000037270000}"/>
    <cellStyle name="20% - Accent6 2 3 2 2 2 9" xfId="22269" xr:uid="{00000000-0005-0000-0000-000038270000}"/>
    <cellStyle name="20% - Accent6 2 3 2 2 3" xfId="2085" xr:uid="{00000000-0005-0000-0000-000039270000}"/>
    <cellStyle name="20% - Accent6 2 3 2 2 3 2" xfId="3078" xr:uid="{00000000-0005-0000-0000-00003A270000}"/>
    <cellStyle name="20% - Accent6 2 3 2 2 3 2 2" xfId="5347" xr:uid="{00000000-0005-0000-0000-00003B270000}"/>
    <cellStyle name="20% - Accent6 2 3 2 2 3 2 2 2" xfId="9811" xr:uid="{00000000-0005-0000-0000-00003C270000}"/>
    <cellStyle name="20% - Accent6 2 3 2 2 3 2 2 2 2" xfId="19807" xr:uid="{00000000-0005-0000-0000-00003D270000}"/>
    <cellStyle name="20% - Accent6 2 3 2 2 3 2 2 2 2 2" xfId="39207" xr:uid="{00000000-0005-0000-0000-00003E270000}"/>
    <cellStyle name="20% - Accent6 2 3 2 2 3 2 2 2 3" xfId="29509" xr:uid="{00000000-0005-0000-0000-00003F270000}"/>
    <cellStyle name="20% - Accent6 2 3 2 2 3 2 2 3" xfId="15352" xr:uid="{00000000-0005-0000-0000-000040270000}"/>
    <cellStyle name="20% - Accent6 2 3 2 2 3 2 2 3 2" xfId="34752" xr:uid="{00000000-0005-0000-0000-000041270000}"/>
    <cellStyle name="20% - Accent6 2 3 2 2 3 2 2 4" xfId="25054" xr:uid="{00000000-0005-0000-0000-000042270000}"/>
    <cellStyle name="20% - Accent6 2 3 2 2 3 2 3" xfId="7583" xr:uid="{00000000-0005-0000-0000-000043270000}"/>
    <cellStyle name="20% - Accent6 2 3 2 2 3 2 3 2" xfId="17579" xr:uid="{00000000-0005-0000-0000-000044270000}"/>
    <cellStyle name="20% - Accent6 2 3 2 2 3 2 3 2 2" xfId="36979" xr:uid="{00000000-0005-0000-0000-000045270000}"/>
    <cellStyle name="20% - Accent6 2 3 2 2 3 2 3 3" xfId="27281" xr:uid="{00000000-0005-0000-0000-000046270000}"/>
    <cellStyle name="20% - Accent6 2 3 2 2 3 2 4" xfId="13124" xr:uid="{00000000-0005-0000-0000-000047270000}"/>
    <cellStyle name="20% - Accent6 2 3 2 2 3 2 4 2" xfId="32524" xr:uid="{00000000-0005-0000-0000-000048270000}"/>
    <cellStyle name="20% - Accent6 2 3 2 2 3 2 5" xfId="22826" xr:uid="{00000000-0005-0000-0000-000049270000}"/>
    <cellStyle name="20% - Accent6 2 3 2 2 3 3" xfId="3661" xr:uid="{00000000-0005-0000-0000-00004A270000}"/>
    <cellStyle name="20% - Accent6 2 3 2 2 3 3 2" xfId="4791" xr:uid="{00000000-0005-0000-0000-00004B270000}"/>
    <cellStyle name="20% - Accent6 2 3 2 2 3 3 2 2" xfId="9255" xr:uid="{00000000-0005-0000-0000-00004C270000}"/>
    <cellStyle name="20% - Accent6 2 3 2 2 3 3 2 2 2" xfId="19251" xr:uid="{00000000-0005-0000-0000-00004D270000}"/>
    <cellStyle name="20% - Accent6 2 3 2 2 3 3 2 2 2 2" xfId="38651" xr:uid="{00000000-0005-0000-0000-00004E270000}"/>
    <cellStyle name="20% - Accent6 2 3 2 2 3 3 2 2 3" xfId="28953" xr:uid="{00000000-0005-0000-0000-00004F270000}"/>
    <cellStyle name="20% - Accent6 2 3 2 2 3 3 2 3" xfId="14796" xr:uid="{00000000-0005-0000-0000-000050270000}"/>
    <cellStyle name="20% - Accent6 2 3 2 2 3 3 2 3 2" xfId="34196" xr:uid="{00000000-0005-0000-0000-000051270000}"/>
    <cellStyle name="20% - Accent6 2 3 2 2 3 3 2 4" xfId="24498" xr:uid="{00000000-0005-0000-0000-000052270000}"/>
    <cellStyle name="20% - Accent6 2 3 2 2 3 3 3" xfId="8140" xr:uid="{00000000-0005-0000-0000-000053270000}"/>
    <cellStyle name="20% - Accent6 2 3 2 2 3 3 3 2" xfId="18136" xr:uid="{00000000-0005-0000-0000-000054270000}"/>
    <cellStyle name="20% - Accent6 2 3 2 2 3 3 3 2 2" xfId="37536" xr:uid="{00000000-0005-0000-0000-000055270000}"/>
    <cellStyle name="20% - Accent6 2 3 2 2 3 3 3 3" xfId="27838" xr:uid="{00000000-0005-0000-0000-000056270000}"/>
    <cellStyle name="20% - Accent6 2 3 2 2 3 3 4" xfId="13681" xr:uid="{00000000-0005-0000-0000-000057270000}"/>
    <cellStyle name="20% - Accent6 2 3 2 2 3 3 4 2" xfId="33081" xr:uid="{00000000-0005-0000-0000-000058270000}"/>
    <cellStyle name="20% - Accent6 2 3 2 2 3 3 5" xfId="23383" xr:uid="{00000000-0005-0000-0000-000059270000}"/>
    <cellStyle name="20% - Accent6 2 3 2 2 3 4" xfId="4234" xr:uid="{00000000-0005-0000-0000-00005A270000}"/>
    <cellStyle name="20% - Accent6 2 3 2 2 3 4 2" xfId="8698" xr:uid="{00000000-0005-0000-0000-00005B270000}"/>
    <cellStyle name="20% - Accent6 2 3 2 2 3 4 2 2" xfId="18694" xr:uid="{00000000-0005-0000-0000-00005C270000}"/>
    <cellStyle name="20% - Accent6 2 3 2 2 3 4 2 2 2" xfId="38094" xr:uid="{00000000-0005-0000-0000-00005D270000}"/>
    <cellStyle name="20% - Accent6 2 3 2 2 3 4 2 3" xfId="28396" xr:uid="{00000000-0005-0000-0000-00005E270000}"/>
    <cellStyle name="20% - Accent6 2 3 2 2 3 4 3" xfId="14239" xr:uid="{00000000-0005-0000-0000-00005F270000}"/>
    <cellStyle name="20% - Accent6 2 3 2 2 3 4 3 2" xfId="33639" xr:uid="{00000000-0005-0000-0000-000060270000}"/>
    <cellStyle name="20% - Accent6 2 3 2 2 3 4 4" xfId="23941" xr:uid="{00000000-0005-0000-0000-000061270000}"/>
    <cellStyle name="20% - Accent6 2 3 2 2 3 5" xfId="5904" xr:uid="{00000000-0005-0000-0000-000062270000}"/>
    <cellStyle name="20% - Accent6 2 3 2 2 3 5 2" xfId="10368" xr:uid="{00000000-0005-0000-0000-000063270000}"/>
    <cellStyle name="20% - Accent6 2 3 2 2 3 5 2 2" xfId="20364" xr:uid="{00000000-0005-0000-0000-000064270000}"/>
    <cellStyle name="20% - Accent6 2 3 2 2 3 5 2 2 2" xfId="39764" xr:uid="{00000000-0005-0000-0000-000065270000}"/>
    <cellStyle name="20% - Accent6 2 3 2 2 3 5 2 3" xfId="30066" xr:uid="{00000000-0005-0000-0000-000066270000}"/>
    <cellStyle name="20% - Accent6 2 3 2 2 3 5 3" xfId="15909" xr:uid="{00000000-0005-0000-0000-000067270000}"/>
    <cellStyle name="20% - Accent6 2 3 2 2 3 5 3 2" xfId="35309" xr:uid="{00000000-0005-0000-0000-000068270000}"/>
    <cellStyle name="20% - Accent6 2 3 2 2 3 5 4" xfId="25611" xr:uid="{00000000-0005-0000-0000-000069270000}"/>
    <cellStyle name="20% - Accent6 2 3 2 2 3 6" xfId="6470" xr:uid="{00000000-0005-0000-0000-00006A270000}"/>
    <cellStyle name="20% - Accent6 2 3 2 2 3 6 2" xfId="10925" xr:uid="{00000000-0005-0000-0000-00006B270000}"/>
    <cellStyle name="20% - Accent6 2 3 2 2 3 6 2 2" xfId="20921" xr:uid="{00000000-0005-0000-0000-00006C270000}"/>
    <cellStyle name="20% - Accent6 2 3 2 2 3 6 2 2 2" xfId="40321" xr:uid="{00000000-0005-0000-0000-00006D270000}"/>
    <cellStyle name="20% - Accent6 2 3 2 2 3 6 2 3" xfId="30623" xr:uid="{00000000-0005-0000-0000-00006E270000}"/>
    <cellStyle name="20% - Accent6 2 3 2 2 3 6 3" xfId="16466" xr:uid="{00000000-0005-0000-0000-00006F270000}"/>
    <cellStyle name="20% - Accent6 2 3 2 2 3 6 3 2" xfId="35866" xr:uid="{00000000-0005-0000-0000-000070270000}"/>
    <cellStyle name="20% - Accent6 2 3 2 2 3 6 4" xfId="26168" xr:uid="{00000000-0005-0000-0000-000071270000}"/>
    <cellStyle name="20% - Accent6 2 3 2 2 3 7" xfId="7027" xr:uid="{00000000-0005-0000-0000-000072270000}"/>
    <cellStyle name="20% - Accent6 2 3 2 2 3 7 2" xfId="17023" xr:uid="{00000000-0005-0000-0000-000073270000}"/>
    <cellStyle name="20% - Accent6 2 3 2 2 3 7 2 2" xfId="36423" xr:uid="{00000000-0005-0000-0000-000074270000}"/>
    <cellStyle name="20% - Accent6 2 3 2 2 3 7 3" xfId="26725" xr:uid="{00000000-0005-0000-0000-000075270000}"/>
    <cellStyle name="20% - Accent6 2 3 2 2 3 8" xfId="12567" xr:uid="{00000000-0005-0000-0000-000076270000}"/>
    <cellStyle name="20% - Accent6 2 3 2 2 3 8 2" xfId="31968" xr:uid="{00000000-0005-0000-0000-000077270000}"/>
    <cellStyle name="20% - Accent6 2 3 2 2 3 9" xfId="22270" xr:uid="{00000000-0005-0000-0000-000078270000}"/>
    <cellStyle name="20% - Accent6 2 3 2 2 4" xfId="3076" xr:uid="{00000000-0005-0000-0000-000079270000}"/>
    <cellStyle name="20% - Accent6 2 3 2 2 4 2" xfId="5345" xr:uid="{00000000-0005-0000-0000-00007A270000}"/>
    <cellStyle name="20% - Accent6 2 3 2 2 4 2 2" xfId="9809" xr:uid="{00000000-0005-0000-0000-00007B270000}"/>
    <cellStyle name="20% - Accent6 2 3 2 2 4 2 2 2" xfId="19805" xr:uid="{00000000-0005-0000-0000-00007C270000}"/>
    <cellStyle name="20% - Accent6 2 3 2 2 4 2 2 2 2" xfId="39205" xr:uid="{00000000-0005-0000-0000-00007D270000}"/>
    <cellStyle name="20% - Accent6 2 3 2 2 4 2 2 3" xfId="29507" xr:uid="{00000000-0005-0000-0000-00007E270000}"/>
    <cellStyle name="20% - Accent6 2 3 2 2 4 2 3" xfId="15350" xr:uid="{00000000-0005-0000-0000-00007F270000}"/>
    <cellStyle name="20% - Accent6 2 3 2 2 4 2 3 2" xfId="34750" xr:uid="{00000000-0005-0000-0000-000080270000}"/>
    <cellStyle name="20% - Accent6 2 3 2 2 4 2 4" xfId="25052" xr:uid="{00000000-0005-0000-0000-000081270000}"/>
    <cellStyle name="20% - Accent6 2 3 2 2 4 3" xfId="7581" xr:uid="{00000000-0005-0000-0000-000082270000}"/>
    <cellStyle name="20% - Accent6 2 3 2 2 4 3 2" xfId="17577" xr:uid="{00000000-0005-0000-0000-000083270000}"/>
    <cellStyle name="20% - Accent6 2 3 2 2 4 3 2 2" xfId="36977" xr:uid="{00000000-0005-0000-0000-000084270000}"/>
    <cellStyle name="20% - Accent6 2 3 2 2 4 3 3" xfId="27279" xr:uid="{00000000-0005-0000-0000-000085270000}"/>
    <cellStyle name="20% - Accent6 2 3 2 2 4 4" xfId="13122" xr:uid="{00000000-0005-0000-0000-000086270000}"/>
    <cellStyle name="20% - Accent6 2 3 2 2 4 4 2" xfId="32522" xr:uid="{00000000-0005-0000-0000-000087270000}"/>
    <cellStyle name="20% - Accent6 2 3 2 2 4 5" xfId="22824" xr:uid="{00000000-0005-0000-0000-000088270000}"/>
    <cellStyle name="20% - Accent6 2 3 2 2 5" xfId="3659" xr:uid="{00000000-0005-0000-0000-000089270000}"/>
    <cellStyle name="20% - Accent6 2 3 2 2 5 2" xfId="4789" xr:uid="{00000000-0005-0000-0000-00008A270000}"/>
    <cellStyle name="20% - Accent6 2 3 2 2 5 2 2" xfId="9253" xr:uid="{00000000-0005-0000-0000-00008B270000}"/>
    <cellStyle name="20% - Accent6 2 3 2 2 5 2 2 2" xfId="19249" xr:uid="{00000000-0005-0000-0000-00008C270000}"/>
    <cellStyle name="20% - Accent6 2 3 2 2 5 2 2 2 2" xfId="38649" xr:uid="{00000000-0005-0000-0000-00008D270000}"/>
    <cellStyle name="20% - Accent6 2 3 2 2 5 2 2 3" xfId="28951" xr:uid="{00000000-0005-0000-0000-00008E270000}"/>
    <cellStyle name="20% - Accent6 2 3 2 2 5 2 3" xfId="14794" xr:uid="{00000000-0005-0000-0000-00008F270000}"/>
    <cellStyle name="20% - Accent6 2 3 2 2 5 2 3 2" xfId="34194" xr:uid="{00000000-0005-0000-0000-000090270000}"/>
    <cellStyle name="20% - Accent6 2 3 2 2 5 2 4" xfId="24496" xr:uid="{00000000-0005-0000-0000-000091270000}"/>
    <cellStyle name="20% - Accent6 2 3 2 2 5 3" xfId="8138" xr:uid="{00000000-0005-0000-0000-000092270000}"/>
    <cellStyle name="20% - Accent6 2 3 2 2 5 3 2" xfId="18134" xr:uid="{00000000-0005-0000-0000-000093270000}"/>
    <cellStyle name="20% - Accent6 2 3 2 2 5 3 2 2" xfId="37534" xr:uid="{00000000-0005-0000-0000-000094270000}"/>
    <cellStyle name="20% - Accent6 2 3 2 2 5 3 3" xfId="27836" xr:uid="{00000000-0005-0000-0000-000095270000}"/>
    <cellStyle name="20% - Accent6 2 3 2 2 5 4" xfId="13679" xr:uid="{00000000-0005-0000-0000-000096270000}"/>
    <cellStyle name="20% - Accent6 2 3 2 2 5 4 2" xfId="33079" xr:uid="{00000000-0005-0000-0000-000097270000}"/>
    <cellStyle name="20% - Accent6 2 3 2 2 5 5" xfId="23381" xr:uid="{00000000-0005-0000-0000-000098270000}"/>
    <cellStyle name="20% - Accent6 2 3 2 2 6" xfId="4232" xr:uid="{00000000-0005-0000-0000-000099270000}"/>
    <cellStyle name="20% - Accent6 2 3 2 2 6 2" xfId="8696" xr:uid="{00000000-0005-0000-0000-00009A270000}"/>
    <cellStyle name="20% - Accent6 2 3 2 2 6 2 2" xfId="18692" xr:uid="{00000000-0005-0000-0000-00009B270000}"/>
    <cellStyle name="20% - Accent6 2 3 2 2 6 2 2 2" xfId="38092" xr:uid="{00000000-0005-0000-0000-00009C270000}"/>
    <cellStyle name="20% - Accent6 2 3 2 2 6 2 3" xfId="28394" xr:uid="{00000000-0005-0000-0000-00009D270000}"/>
    <cellStyle name="20% - Accent6 2 3 2 2 6 3" xfId="14237" xr:uid="{00000000-0005-0000-0000-00009E270000}"/>
    <cellStyle name="20% - Accent6 2 3 2 2 6 3 2" xfId="33637" xr:uid="{00000000-0005-0000-0000-00009F270000}"/>
    <cellStyle name="20% - Accent6 2 3 2 2 6 4" xfId="23939" xr:uid="{00000000-0005-0000-0000-0000A0270000}"/>
    <cellStyle name="20% - Accent6 2 3 2 2 7" xfId="5902" xr:uid="{00000000-0005-0000-0000-0000A1270000}"/>
    <cellStyle name="20% - Accent6 2 3 2 2 7 2" xfId="10366" xr:uid="{00000000-0005-0000-0000-0000A2270000}"/>
    <cellStyle name="20% - Accent6 2 3 2 2 7 2 2" xfId="20362" xr:uid="{00000000-0005-0000-0000-0000A3270000}"/>
    <cellStyle name="20% - Accent6 2 3 2 2 7 2 2 2" xfId="39762" xr:uid="{00000000-0005-0000-0000-0000A4270000}"/>
    <cellStyle name="20% - Accent6 2 3 2 2 7 2 3" xfId="30064" xr:uid="{00000000-0005-0000-0000-0000A5270000}"/>
    <cellStyle name="20% - Accent6 2 3 2 2 7 3" xfId="15907" xr:uid="{00000000-0005-0000-0000-0000A6270000}"/>
    <cellStyle name="20% - Accent6 2 3 2 2 7 3 2" xfId="35307" xr:uid="{00000000-0005-0000-0000-0000A7270000}"/>
    <cellStyle name="20% - Accent6 2 3 2 2 7 4" xfId="25609" xr:uid="{00000000-0005-0000-0000-0000A8270000}"/>
    <cellStyle name="20% - Accent6 2 3 2 2 8" xfId="6468" xr:uid="{00000000-0005-0000-0000-0000A9270000}"/>
    <cellStyle name="20% - Accent6 2 3 2 2 8 2" xfId="10923" xr:uid="{00000000-0005-0000-0000-0000AA270000}"/>
    <cellStyle name="20% - Accent6 2 3 2 2 8 2 2" xfId="20919" xr:uid="{00000000-0005-0000-0000-0000AB270000}"/>
    <cellStyle name="20% - Accent6 2 3 2 2 8 2 2 2" xfId="40319" xr:uid="{00000000-0005-0000-0000-0000AC270000}"/>
    <cellStyle name="20% - Accent6 2 3 2 2 8 2 3" xfId="30621" xr:uid="{00000000-0005-0000-0000-0000AD270000}"/>
    <cellStyle name="20% - Accent6 2 3 2 2 8 3" xfId="16464" xr:uid="{00000000-0005-0000-0000-0000AE270000}"/>
    <cellStyle name="20% - Accent6 2 3 2 2 8 3 2" xfId="35864" xr:uid="{00000000-0005-0000-0000-0000AF270000}"/>
    <cellStyle name="20% - Accent6 2 3 2 2 8 4" xfId="26166" xr:uid="{00000000-0005-0000-0000-0000B0270000}"/>
    <cellStyle name="20% - Accent6 2 3 2 2 9" xfId="7025" xr:uid="{00000000-0005-0000-0000-0000B1270000}"/>
    <cellStyle name="20% - Accent6 2 3 2 2 9 2" xfId="17021" xr:uid="{00000000-0005-0000-0000-0000B2270000}"/>
    <cellStyle name="20% - Accent6 2 3 2 2 9 2 2" xfId="36421" xr:uid="{00000000-0005-0000-0000-0000B3270000}"/>
    <cellStyle name="20% - Accent6 2 3 2 2 9 3" xfId="26723" xr:uid="{00000000-0005-0000-0000-0000B4270000}"/>
    <cellStyle name="20% - Accent6 2 3 2 3" xfId="2086" xr:uid="{00000000-0005-0000-0000-0000B5270000}"/>
    <cellStyle name="20% - Accent6 2 3 2 3 2" xfId="3079" xr:uid="{00000000-0005-0000-0000-0000B6270000}"/>
    <cellStyle name="20% - Accent6 2 3 2 3 2 2" xfId="5348" xr:uid="{00000000-0005-0000-0000-0000B7270000}"/>
    <cellStyle name="20% - Accent6 2 3 2 3 2 2 2" xfId="9812" xr:uid="{00000000-0005-0000-0000-0000B8270000}"/>
    <cellStyle name="20% - Accent6 2 3 2 3 2 2 2 2" xfId="19808" xr:uid="{00000000-0005-0000-0000-0000B9270000}"/>
    <cellStyle name="20% - Accent6 2 3 2 3 2 2 2 2 2" xfId="39208" xr:uid="{00000000-0005-0000-0000-0000BA270000}"/>
    <cellStyle name="20% - Accent6 2 3 2 3 2 2 2 3" xfId="29510" xr:uid="{00000000-0005-0000-0000-0000BB270000}"/>
    <cellStyle name="20% - Accent6 2 3 2 3 2 2 3" xfId="15353" xr:uid="{00000000-0005-0000-0000-0000BC270000}"/>
    <cellStyle name="20% - Accent6 2 3 2 3 2 2 3 2" xfId="34753" xr:uid="{00000000-0005-0000-0000-0000BD270000}"/>
    <cellStyle name="20% - Accent6 2 3 2 3 2 2 4" xfId="25055" xr:uid="{00000000-0005-0000-0000-0000BE270000}"/>
    <cellStyle name="20% - Accent6 2 3 2 3 2 3" xfId="7584" xr:uid="{00000000-0005-0000-0000-0000BF270000}"/>
    <cellStyle name="20% - Accent6 2 3 2 3 2 3 2" xfId="17580" xr:uid="{00000000-0005-0000-0000-0000C0270000}"/>
    <cellStyle name="20% - Accent6 2 3 2 3 2 3 2 2" xfId="36980" xr:uid="{00000000-0005-0000-0000-0000C1270000}"/>
    <cellStyle name="20% - Accent6 2 3 2 3 2 3 3" xfId="27282" xr:uid="{00000000-0005-0000-0000-0000C2270000}"/>
    <cellStyle name="20% - Accent6 2 3 2 3 2 4" xfId="13125" xr:uid="{00000000-0005-0000-0000-0000C3270000}"/>
    <cellStyle name="20% - Accent6 2 3 2 3 2 4 2" xfId="32525" xr:uid="{00000000-0005-0000-0000-0000C4270000}"/>
    <cellStyle name="20% - Accent6 2 3 2 3 2 5" xfId="22827" xr:uid="{00000000-0005-0000-0000-0000C5270000}"/>
    <cellStyle name="20% - Accent6 2 3 2 3 3" xfId="3662" xr:uid="{00000000-0005-0000-0000-0000C6270000}"/>
    <cellStyle name="20% - Accent6 2 3 2 3 3 2" xfId="4792" xr:uid="{00000000-0005-0000-0000-0000C7270000}"/>
    <cellStyle name="20% - Accent6 2 3 2 3 3 2 2" xfId="9256" xr:uid="{00000000-0005-0000-0000-0000C8270000}"/>
    <cellStyle name="20% - Accent6 2 3 2 3 3 2 2 2" xfId="19252" xr:uid="{00000000-0005-0000-0000-0000C9270000}"/>
    <cellStyle name="20% - Accent6 2 3 2 3 3 2 2 2 2" xfId="38652" xr:uid="{00000000-0005-0000-0000-0000CA270000}"/>
    <cellStyle name="20% - Accent6 2 3 2 3 3 2 2 3" xfId="28954" xr:uid="{00000000-0005-0000-0000-0000CB270000}"/>
    <cellStyle name="20% - Accent6 2 3 2 3 3 2 3" xfId="14797" xr:uid="{00000000-0005-0000-0000-0000CC270000}"/>
    <cellStyle name="20% - Accent6 2 3 2 3 3 2 3 2" xfId="34197" xr:uid="{00000000-0005-0000-0000-0000CD270000}"/>
    <cellStyle name="20% - Accent6 2 3 2 3 3 2 4" xfId="24499" xr:uid="{00000000-0005-0000-0000-0000CE270000}"/>
    <cellStyle name="20% - Accent6 2 3 2 3 3 3" xfId="8141" xr:uid="{00000000-0005-0000-0000-0000CF270000}"/>
    <cellStyle name="20% - Accent6 2 3 2 3 3 3 2" xfId="18137" xr:uid="{00000000-0005-0000-0000-0000D0270000}"/>
    <cellStyle name="20% - Accent6 2 3 2 3 3 3 2 2" xfId="37537" xr:uid="{00000000-0005-0000-0000-0000D1270000}"/>
    <cellStyle name="20% - Accent6 2 3 2 3 3 3 3" xfId="27839" xr:uid="{00000000-0005-0000-0000-0000D2270000}"/>
    <cellStyle name="20% - Accent6 2 3 2 3 3 4" xfId="13682" xr:uid="{00000000-0005-0000-0000-0000D3270000}"/>
    <cellStyle name="20% - Accent6 2 3 2 3 3 4 2" xfId="33082" xr:uid="{00000000-0005-0000-0000-0000D4270000}"/>
    <cellStyle name="20% - Accent6 2 3 2 3 3 5" xfId="23384" xr:uid="{00000000-0005-0000-0000-0000D5270000}"/>
    <cellStyle name="20% - Accent6 2 3 2 3 4" xfId="4235" xr:uid="{00000000-0005-0000-0000-0000D6270000}"/>
    <cellStyle name="20% - Accent6 2 3 2 3 4 2" xfId="8699" xr:uid="{00000000-0005-0000-0000-0000D7270000}"/>
    <cellStyle name="20% - Accent6 2 3 2 3 4 2 2" xfId="18695" xr:uid="{00000000-0005-0000-0000-0000D8270000}"/>
    <cellStyle name="20% - Accent6 2 3 2 3 4 2 2 2" xfId="38095" xr:uid="{00000000-0005-0000-0000-0000D9270000}"/>
    <cellStyle name="20% - Accent6 2 3 2 3 4 2 3" xfId="28397" xr:uid="{00000000-0005-0000-0000-0000DA270000}"/>
    <cellStyle name="20% - Accent6 2 3 2 3 4 3" xfId="14240" xr:uid="{00000000-0005-0000-0000-0000DB270000}"/>
    <cellStyle name="20% - Accent6 2 3 2 3 4 3 2" xfId="33640" xr:uid="{00000000-0005-0000-0000-0000DC270000}"/>
    <cellStyle name="20% - Accent6 2 3 2 3 4 4" xfId="23942" xr:uid="{00000000-0005-0000-0000-0000DD270000}"/>
    <cellStyle name="20% - Accent6 2 3 2 3 5" xfId="5905" xr:uid="{00000000-0005-0000-0000-0000DE270000}"/>
    <cellStyle name="20% - Accent6 2 3 2 3 5 2" xfId="10369" xr:uid="{00000000-0005-0000-0000-0000DF270000}"/>
    <cellStyle name="20% - Accent6 2 3 2 3 5 2 2" xfId="20365" xr:uid="{00000000-0005-0000-0000-0000E0270000}"/>
    <cellStyle name="20% - Accent6 2 3 2 3 5 2 2 2" xfId="39765" xr:uid="{00000000-0005-0000-0000-0000E1270000}"/>
    <cellStyle name="20% - Accent6 2 3 2 3 5 2 3" xfId="30067" xr:uid="{00000000-0005-0000-0000-0000E2270000}"/>
    <cellStyle name="20% - Accent6 2 3 2 3 5 3" xfId="15910" xr:uid="{00000000-0005-0000-0000-0000E3270000}"/>
    <cellStyle name="20% - Accent6 2 3 2 3 5 3 2" xfId="35310" xr:uid="{00000000-0005-0000-0000-0000E4270000}"/>
    <cellStyle name="20% - Accent6 2 3 2 3 5 4" xfId="25612" xr:uid="{00000000-0005-0000-0000-0000E5270000}"/>
    <cellStyle name="20% - Accent6 2 3 2 3 6" xfId="6471" xr:uid="{00000000-0005-0000-0000-0000E6270000}"/>
    <cellStyle name="20% - Accent6 2 3 2 3 6 2" xfId="10926" xr:uid="{00000000-0005-0000-0000-0000E7270000}"/>
    <cellStyle name="20% - Accent6 2 3 2 3 6 2 2" xfId="20922" xr:uid="{00000000-0005-0000-0000-0000E8270000}"/>
    <cellStyle name="20% - Accent6 2 3 2 3 6 2 2 2" xfId="40322" xr:uid="{00000000-0005-0000-0000-0000E9270000}"/>
    <cellStyle name="20% - Accent6 2 3 2 3 6 2 3" xfId="30624" xr:uid="{00000000-0005-0000-0000-0000EA270000}"/>
    <cellStyle name="20% - Accent6 2 3 2 3 6 3" xfId="16467" xr:uid="{00000000-0005-0000-0000-0000EB270000}"/>
    <cellStyle name="20% - Accent6 2 3 2 3 6 3 2" xfId="35867" xr:uid="{00000000-0005-0000-0000-0000EC270000}"/>
    <cellStyle name="20% - Accent6 2 3 2 3 6 4" xfId="26169" xr:uid="{00000000-0005-0000-0000-0000ED270000}"/>
    <cellStyle name="20% - Accent6 2 3 2 3 7" xfId="7028" xr:uid="{00000000-0005-0000-0000-0000EE270000}"/>
    <cellStyle name="20% - Accent6 2 3 2 3 7 2" xfId="17024" xr:uid="{00000000-0005-0000-0000-0000EF270000}"/>
    <cellStyle name="20% - Accent6 2 3 2 3 7 2 2" xfId="36424" xr:uid="{00000000-0005-0000-0000-0000F0270000}"/>
    <cellStyle name="20% - Accent6 2 3 2 3 7 3" xfId="26726" xr:uid="{00000000-0005-0000-0000-0000F1270000}"/>
    <cellStyle name="20% - Accent6 2 3 2 3 8" xfId="12568" xr:uid="{00000000-0005-0000-0000-0000F2270000}"/>
    <cellStyle name="20% - Accent6 2 3 2 3 8 2" xfId="31969" xr:uid="{00000000-0005-0000-0000-0000F3270000}"/>
    <cellStyle name="20% - Accent6 2 3 2 3 9" xfId="22271" xr:uid="{00000000-0005-0000-0000-0000F4270000}"/>
    <cellStyle name="20% - Accent6 2 3 2 4" xfId="2087" xr:uid="{00000000-0005-0000-0000-0000F5270000}"/>
    <cellStyle name="20% - Accent6 2 3 2 4 2" xfId="3080" xr:uid="{00000000-0005-0000-0000-0000F6270000}"/>
    <cellStyle name="20% - Accent6 2 3 2 4 2 2" xfId="5349" xr:uid="{00000000-0005-0000-0000-0000F7270000}"/>
    <cellStyle name="20% - Accent6 2 3 2 4 2 2 2" xfId="9813" xr:uid="{00000000-0005-0000-0000-0000F8270000}"/>
    <cellStyle name="20% - Accent6 2 3 2 4 2 2 2 2" xfId="19809" xr:uid="{00000000-0005-0000-0000-0000F9270000}"/>
    <cellStyle name="20% - Accent6 2 3 2 4 2 2 2 2 2" xfId="39209" xr:uid="{00000000-0005-0000-0000-0000FA270000}"/>
    <cellStyle name="20% - Accent6 2 3 2 4 2 2 2 3" xfId="29511" xr:uid="{00000000-0005-0000-0000-0000FB270000}"/>
    <cellStyle name="20% - Accent6 2 3 2 4 2 2 3" xfId="15354" xr:uid="{00000000-0005-0000-0000-0000FC270000}"/>
    <cellStyle name="20% - Accent6 2 3 2 4 2 2 3 2" xfId="34754" xr:uid="{00000000-0005-0000-0000-0000FD270000}"/>
    <cellStyle name="20% - Accent6 2 3 2 4 2 2 4" xfId="25056" xr:uid="{00000000-0005-0000-0000-0000FE270000}"/>
    <cellStyle name="20% - Accent6 2 3 2 4 2 3" xfId="7585" xr:uid="{00000000-0005-0000-0000-0000FF270000}"/>
    <cellStyle name="20% - Accent6 2 3 2 4 2 3 2" xfId="17581" xr:uid="{00000000-0005-0000-0000-000000280000}"/>
    <cellStyle name="20% - Accent6 2 3 2 4 2 3 2 2" xfId="36981" xr:uid="{00000000-0005-0000-0000-000001280000}"/>
    <cellStyle name="20% - Accent6 2 3 2 4 2 3 3" xfId="27283" xr:uid="{00000000-0005-0000-0000-000002280000}"/>
    <cellStyle name="20% - Accent6 2 3 2 4 2 4" xfId="13126" xr:uid="{00000000-0005-0000-0000-000003280000}"/>
    <cellStyle name="20% - Accent6 2 3 2 4 2 4 2" xfId="32526" xr:uid="{00000000-0005-0000-0000-000004280000}"/>
    <cellStyle name="20% - Accent6 2 3 2 4 2 5" xfId="22828" xr:uid="{00000000-0005-0000-0000-000005280000}"/>
    <cellStyle name="20% - Accent6 2 3 2 4 3" xfId="3663" xr:uid="{00000000-0005-0000-0000-000006280000}"/>
    <cellStyle name="20% - Accent6 2 3 2 4 3 2" xfId="4793" xr:uid="{00000000-0005-0000-0000-000007280000}"/>
    <cellStyle name="20% - Accent6 2 3 2 4 3 2 2" xfId="9257" xr:uid="{00000000-0005-0000-0000-000008280000}"/>
    <cellStyle name="20% - Accent6 2 3 2 4 3 2 2 2" xfId="19253" xr:uid="{00000000-0005-0000-0000-000009280000}"/>
    <cellStyle name="20% - Accent6 2 3 2 4 3 2 2 2 2" xfId="38653" xr:uid="{00000000-0005-0000-0000-00000A280000}"/>
    <cellStyle name="20% - Accent6 2 3 2 4 3 2 2 3" xfId="28955" xr:uid="{00000000-0005-0000-0000-00000B280000}"/>
    <cellStyle name="20% - Accent6 2 3 2 4 3 2 3" xfId="14798" xr:uid="{00000000-0005-0000-0000-00000C280000}"/>
    <cellStyle name="20% - Accent6 2 3 2 4 3 2 3 2" xfId="34198" xr:uid="{00000000-0005-0000-0000-00000D280000}"/>
    <cellStyle name="20% - Accent6 2 3 2 4 3 2 4" xfId="24500" xr:uid="{00000000-0005-0000-0000-00000E280000}"/>
    <cellStyle name="20% - Accent6 2 3 2 4 3 3" xfId="8142" xr:uid="{00000000-0005-0000-0000-00000F280000}"/>
    <cellStyle name="20% - Accent6 2 3 2 4 3 3 2" xfId="18138" xr:uid="{00000000-0005-0000-0000-000010280000}"/>
    <cellStyle name="20% - Accent6 2 3 2 4 3 3 2 2" xfId="37538" xr:uid="{00000000-0005-0000-0000-000011280000}"/>
    <cellStyle name="20% - Accent6 2 3 2 4 3 3 3" xfId="27840" xr:uid="{00000000-0005-0000-0000-000012280000}"/>
    <cellStyle name="20% - Accent6 2 3 2 4 3 4" xfId="13683" xr:uid="{00000000-0005-0000-0000-000013280000}"/>
    <cellStyle name="20% - Accent6 2 3 2 4 3 4 2" xfId="33083" xr:uid="{00000000-0005-0000-0000-000014280000}"/>
    <cellStyle name="20% - Accent6 2 3 2 4 3 5" xfId="23385" xr:uid="{00000000-0005-0000-0000-000015280000}"/>
    <cellStyle name="20% - Accent6 2 3 2 4 4" xfId="4236" xr:uid="{00000000-0005-0000-0000-000016280000}"/>
    <cellStyle name="20% - Accent6 2 3 2 4 4 2" xfId="8700" xr:uid="{00000000-0005-0000-0000-000017280000}"/>
    <cellStyle name="20% - Accent6 2 3 2 4 4 2 2" xfId="18696" xr:uid="{00000000-0005-0000-0000-000018280000}"/>
    <cellStyle name="20% - Accent6 2 3 2 4 4 2 2 2" xfId="38096" xr:uid="{00000000-0005-0000-0000-000019280000}"/>
    <cellStyle name="20% - Accent6 2 3 2 4 4 2 3" xfId="28398" xr:uid="{00000000-0005-0000-0000-00001A280000}"/>
    <cellStyle name="20% - Accent6 2 3 2 4 4 3" xfId="14241" xr:uid="{00000000-0005-0000-0000-00001B280000}"/>
    <cellStyle name="20% - Accent6 2 3 2 4 4 3 2" xfId="33641" xr:uid="{00000000-0005-0000-0000-00001C280000}"/>
    <cellStyle name="20% - Accent6 2 3 2 4 4 4" xfId="23943" xr:uid="{00000000-0005-0000-0000-00001D280000}"/>
    <cellStyle name="20% - Accent6 2 3 2 4 5" xfId="5906" xr:uid="{00000000-0005-0000-0000-00001E280000}"/>
    <cellStyle name="20% - Accent6 2 3 2 4 5 2" xfId="10370" xr:uid="{00000000-0005-0000-0000-00001F280000}"/>
    <cellStyle name="20% - Accent6 2 3 2 4 5 2 2" xfId="20366" xr:uid="{00000000-0005-0000-0000-000020280000}"/>
    <cellStyle name="20% - Accent6 2 3 2 4 5 2 2 2" xfId="39766" xr:uid="{00000000-0005-0000-0000-000021280000}"/>
    <cellStyle name="20% - Accent6 2 3 2 4 5 2 3" xfId="30068" xr:uid="{00000000-0005-0000-0000-000022280000}"/>
    <cellStyle name="20% - Accent6 2 3 2 4 5 3" xfId="15911" xr:uid="{00000000-0005-0000-0000-000023280000}"/>
    <cellStyle name="20% - Accent6 2 3 2 4 5 3 2" xfId="35311" xr:uid="{00000000-0005-0000-0000-000024280000}"/>
    <cellStyle name="20% - Accent6 2 3 2 4 5 4" xfId="25613" xr:uid="{00000000-0005-0000-0000-000025280000}"/>
    <cellStyle name="20% - Accent6 2 3 2 4 6" xfId="6472" xr:uid="{00000000-0005-0000-0000-000026280000}"/>
    <cellStyle name="20% - Accent6 2 3 2 4 6 2" xfId="10927" xr:uid="{00000000-0005-0000-0000-000027280000}"/>
    <cellStyle name="20% - Accent6 2 3 2 4 6 2 2" xfId="20923" xr:uid="{00000000-0005-0000-0000-000028280000}"/>
    <cellStyle name="20% - Accent6 2 3 2 4 6 2 2 2" xfId="40323" xr:uid="{00000000-0005-0000-0000-000029280000}"/>
    <cellStyle name="20% - Accent6 2 3 2 4 6 2 3" xfId="30625" xr:uid="{00000000-0005-0000-0000-00002A280000}"/>
    <cellStyle name="20% - Accent6 2 3 2 4 6 3" xfId="16468" xr:uid="{00000000-0005-0000-0000-00002B280000}"/>
    <cellStyle name="20% - Accent6 2 3 2 4 6 3 2" xfId="35868" xr:uid="{00000000-0005-0000-0000-00002C280000}"/>
    <cellStyle name="20% - Accent6 2 3 2 4 6 4" xfId="26170" xr:uid="{00000000-0005-0000-0000-00002D280000}"/>
    <cellStyle name="20% - Accent6 2 3 2 4 7" xfId="7029" xr:uid="{00000000-0005-0000-0000-00002E280000}"/>
    <cellStyle name="20% - Accent6 2 3 2 4 7 2" xfId="17025" xr:uid="{00000000-0005-0000-0000-00002F280000}"/>
    <cellStyle name="20% - Accent6 2 3 2 4 7 2 2" xfId="36425" xr:uid="{00000000-0005-0000-0000-000030280000}"/>
    <cellStyle name="20% - Accent6 2 3 2 4 7 3" xfId="26727" xr:uid="{00000000-0005-0000-0000-000031280000}"/>
    <cellStyle name="20% - Accent6 2 3 2 4 8" xfId="12569" xr:uid="{00000000-0005-0000-0000-000032280000}"/>
    <cellStyle name="20% - Accent6 2 3 2 4 8 2" xfId="31970" xr:uid="{00000000-0005-0000-0000-000033280000}"/>
    <cellStyle name="20% - Accent6 2 3 2 4 9" xfId="22272" xr:uid="{00000000-0005-0000-0000-000034280000}"/>
    <cellStyle name="20% - Accent6 2 3 2 5" xfId="3075" xr:uid="{00000000-0005-0000-0000-000035280000}"/>
    <cellStyle name="20% - Accent6 2 3 2 5 2" xfId="5344" xr:uid="{00000000-0005-0000-0000-000036280000}"/>
    <cellStyle name="20% - Accent6 2 3 2 5 2 2" xfId="9808" xr:uid="{00000000-0005-0000-0000-000037280000}"/>
    <cellStyle name="20% - Accent6 2 3 2 5 2 2 2" xfId="19804" xr:uid="{00000000-0005-0000-0000-000038280000}"/>
    <cellStyle name="20% - Accent6 2 3 2 5 2 2 2 2" xfId="39204" xr:uid="{00000000-0005-0000-0000-000039280000}"/>
    <cellStyle name="20% - Accent6 2 3 2 5 2 2 3" xfId="29506" xr:uid="{00000000-0005-0000-0000-00003A280000}"/>
    <cellStyle name="20% - Accent6 2 3 2 5 2 3" xfId="15349" xr:uid="{00000000-0005-0000-0000-00003B280000}"/>
    <cellStyle name="20% - Accent6 2 3 2 5 2 3 2" xfId="34749" xr:uid="{00000000-0005-0000-0000-00003C280000}"/>
    <cellStyle name="20% - Accent6 2 3 2 5 2 4" xfId="25051" xr:uid="{00000000-0005-0000-0000-00003D280000}"/>
    <cellStyle name="20% - Accent6 2 3 2 5 3" xfId="7580" xr:uid="{00000000-0005-0000-0000-00003E280000}"/>
    <cellStyle name="20% - Accent6 2 3 2 5 3 2" xfId="17576" xr:uid="{00000000-0005-0000-0000-00003F280000}"/>
    <cellStyle name="20% - Accent6 2 3 2 5 3 2 2" xfId="36976" xr:uid="{00000000-0005-0000-0000-000040280000}"/>
    <cellStyle name="20% - Accent6 2 3 2 5 3 3" xfId="27278" xr:uid="{00000000-0005-0000-0000-000041280000}"/>
    <cellStyle name="20% - Accent6 2 3 2 5 4" xfId="13121" xr:uid="{00000000-0005-0000-0000-000042280000}"/>
    <cellStyle name="20% - Accent6 2 3 2 5 4 2" xfId="32521" xr:uid="{00000000-0005-0000-0000-000043280000}"/>
    <cellStyle name="20% - Accent6 2 3 2 5 5" xfId="22823" xr:uid="{00000000-0005-0000-0000-000044280000}"/>
    <cellStyle name="20% - Accent6 2 3 2 6" xfId="3658" xr:uid="{00000000-0005-0000-0000-000045280000}"/>
    <cellStyle name="20% - Accent6 2 3 2 6 2" xfId="4788" xr:uid="{00000000-0005-0000-0000-000046280000}"/>
    <cellStyle name="20% - Accent6 2 3 2 6 2 2" xfId="9252" xr:uid="{00000000-0005-0000-0000-000047280000}"/>
    <cellStyle name="20% - Accent6 2 3 2 6 2 2 2" xfId="19248" xr:uid="{00000000-0005-0000-0000-000048280000}"/>
    <cellStyle name="20% - Accent6 2 3 2 6 2 2 2 2" xfId="38648" xr:uid="{00000000-0005-0000-0000-000049280000}"/>
    <cellStyle name="20% - Accent6 2 3 2 6 2 2 3" xfId="28950" xr:uid="{00000000-0005-0000-0000-00004A280000}"/>
    <cellStyle name="20% - Accent6 2 3 2 6 2 3" xfId="14793" xr:uid="{00000000-0005-0000-0000-00004B280000}"/>
    <cellStyle name="20% - Accent6 2 3 2 6 2 3 2" xfId="34193" xr:uid="{00000000-0005-0000-0000-00004C280000}"/>
    <cellStyle name="20% - Accent6 2 3 2 6 2 4" xfId="24495" xr:uid="{00000000-0005-0000-0000-00004D280000}"/>
    <cellStyle name="20% - Accent6 2 3 2 6 3" xfId="8137" xr:uid="{00000000-0005-0000-0000-00004E280000}"/>
    <cellStyle name="20% - Accent6 2 3 2 6 3 2" xfId="18133" xr:uid="{00000000-0005-0000-0000-00004F280000}"/>
    <cellStyle name="20% - Accent6 2 3 2 6 3 2 2" xfId="37533" xr:uid="{00000000-0005-0000-0000-000050280000}"/>
    <cellStyle name="20% - Accent6 2 3 2 6 3 3" xfId="27835" xr:uid="{00000000-0005-0000-0000-000051280000}"/>
    <cellStyle name="20% - Accent6 2 3 2 6 4" xfId="13678" xr:uid="{00000000-0005-0000-0000-000052280000}"/>
    <cellStyle name="20% - Accent6 2 3 2 6 4 2" xfId="33078" xr:uid="{00000000-0005-0000-0000-000053280000}"/>
    <cellStyle name="20% - Accent6 2 3 2 6 5" xfId="23380" xr:uid="{00000000-0005-0000-0000-000054280000}"/>
    <cellStyle name="20% - Accent6 2 3 2 7" xfId="4231" xr:uid="{00000000-0005-0000-0000-000055280000}"/>
    <cellStyle name="20% - Accent6 2 3 2 7 2" xfId="8695" xr:uid="{00000000-0005-0000-0000-000056280000}"/>
    <cellStyle name="20% - Accent6 2 3 2 7 2 2" xfId="18691" xr:uid="{00000000-0005-0000-0000-000057280000}"/>
    <cellStyle name="20% - Accent6 2 3 2 7 2 2 2" xfId="38091" xr:uid="{00000000-0005-0000-0000-000058280000}"/>
    <cellStyle name="20% - Accent6 2 3 2 7 2 3" xfId="28393" xr:uid="{00000000-0005-0000-0000-000059280000}"/>
    <cellStyle name="20% - Accent6 2 3 2 7 3" xfId="14236" xr:uid="{00000000-0005-0000-0000-00005A280000}"/>
    <cellStyle name="20% - Accent6 2 3 2 7 3 2" xfId="33636" xr:uid="{00000000-0005-0000-0000-00005B280000}"/>
    <cellStyle name="20% - Accent6 2 3 2 7 4" xfId="23938" xr:uid="{00000000-0005-0000-0000-00005C280000}"/>
    <cellStyle name="20% - Accent6 2 3 2 8" xfId="5901" xr:uid="{00000000-0005-0000-0000-00005D280000}"/>
    <cellStyle name="20% - Accent6 2 3 2 8 2" xfId="10365" xr:uid="{00000000-0005-0000-0000-00005E280000}"/>
    <cellStyle name="20% - Accent6 2 3 2 8 2 2" xfId="20361" xr:uid="{00000000-0005-0000-0000-00005F280000}"/>
    <cellStyle name="20% - Accent6 2 3 2 8 2 2 2" xfId="39761" xr:uid="{00000000-0005-0000-0000-000060280000}"/>
    <cellStyle name="20% - Accent6 2 3 2 8 2 3" xfId="30063" xr:uid="{00000000-0005-0000-0000-000061280000}"/>
    <cellStyle name="20% - Accent6 2 3 2 8 3" xfId="15906" xr:uid="{00000000-0005-0000-0000-000062280000}"/>
    <cellStyle name="20% - Accent6 2 3 2 8 3 2" xfId="35306" xr:uid="{00000000-0005-0000-0000-000063280000}"/>
    <cellStyle name="20% - Accent6 2 3 2 8 4" xfId="25608" xr:uid="{00000000-0005-0000-0000-000064280000}"/>
    <cellStyle name="20% - Accent6 2 3 2 9" xfId="6467" xr:uid="{00000000-0005-0000-0000-000065280000}"/>
    <cellStyle name="20% - Accent6 2 3 2 9 2" xfId="10922" xr:uid="{00000000-0005-0000-0000-000066280000}"/>
    <cellStyle name="20% - Accent6 2 3 2 9 2 2" xfId="20918" xr:uid="{00000000-0005-0000-0000-000067280000}"/>
    <cellStyle name="20% - Accent6 2 3 2 9 2 2 2" xfId="40318" xr:uid="{00000000-0005-0000-0000-000068280000}"/>
    <cellStyle name="20% - Accent6 2 3 2 9 2 3" xfId="30620" xr:uid="{00000000-0005-0000-0000-000069280000}"/>
    <cellStyle name="20% - Accent6 2 3 2 9 3" xfId="16463" xr:uid="{00000000-0005-0000-0000-00006A280000}"/>
    <cellStyle name="20% - Accent6 2 3 2 9 3 2" xfId="35863" xr:uid="{00000000-0005-0000-0000-00006B280000}"/>
    <cellStyle name="20% - Accent6 2 3 2 9 4" xfId="26165" xr:uid="{00000000-0005-0000-0000-00006C280000}"/>
    <cellStyle name="20% - Accent6 2 3 3" xfId="2088" xr:uid="{00000000-0005-0000-0000-00006D280000}"/>
    <cellStyle name="20% - Accent6 2 3 3 10" xfId="12570" xr:uid="{00000000-0005-0000-0000-00006E280000}"/>
    <cellStyle name="20% - Accent6 2 3 3 10 2" xfId="31971" xr:uid="{00000000-0005-0000-0000-00006F280000}"/>
    <cellStyle name="20% - Accent6 2 3 3 11" xfId="22273" xr:uid="{00000000-0005-0000-0000-000070280000}"/>
    <cellStyle name="20% - Accent6 2 3 3 2" xfId="2089" xr:uid="{00000000-0005-0000-0000-000071280000}"/>
    <cellStyle name="20% - Accent6 2 3 3 2 2" xfId="3082" xr:uid="{00000000-0005-0000-0000-000072280000}"/>
    <cellStyle name="20% - Accent6 2 3 3 2 2 2" xfId="5351" xr:uid="{00000000-0005-0000-0000-000073280000}"/>
    <cellStyle name="20% - Accent6 2 3 3 2 2 2 2" xfId="9815" xr:uid="{00000000-0005-0000-0000-000074280000}"/>
    <cellStyle name="20% - Accent6 2 3 3 2 2 2 2 2" xfId="19811" xr:uid="{00000000-0005-0000-0000-000075280000}"/>
    <cellStyle name="20% - Accent6 2 3 3 2 2 2 2 2 2" xfId="39211" xr:uid="{00000000-0005-0000-0000-000076280000}"/>
    <cellStyle name="20% - Accent6 2 3 3 2 2 2 2 3" xfId="29513" xr:uid="{00000000-0005-0000-0000-000077280000}"/>
    <cellStyle name="20% - Accent6 2 3 3 2 2 2 3" xfId="15356" xr:uid="{00000000-0005-0000-0000-000078280000}"/>
    <cellStyle name="20% - Accent6 2 3 3 2 2 2 3 2" xfId="34756" xr:uid="{00000000-0005-0000-0000-000079280000}"/>
    <cellStyle name="20% - Accent6 2 3 3 2 2 2 4" xfId="25058" xr:uid="{00000000-0005-0000-0000-00007A280000}"/>
    <cellStyle name="20% - Accent6 2 3 3 2 2 3" xfId="7587" xr:uid="{00000000-0005-0000-0000-00007B280000}"/>
    <cellStyle name="20% - Accent6 2 3 3 2 2 3 2" xfId="17583" xr:uid="{00000000-0005-0000-0000-00007C280000}"/>
    <cellStyle name="20% - Accent6 2 3 3 2 2 3 2 2" xfId="36983" xr:uid="{00000000-0005-0000-0000-00007D280000}"/>
    <cellStyle name="20% - Accent6 2 3 3 2 2 3 3" xfId="27285" xr:uid="{00000000-0005-0000-0000-00007E280000}"/>
    <cellStyle name="20% - Accent6 2 3 3 2 2 4" xfId="13128" xr:uid="{00000000-0005-0000-0000-00007F280000}"/>
    <cellStyle name="20% - Accent6 2 3 3 2 2 4 2" xfId="32528" xr:uid="{00000000-0005-0000-0000-000080280000}"/>
    <cellStyle name="20% - Accent6 2 3 3 2 2 5" xfId="22830" xr:uid="{00000000-0005-0000-0000-000081280000}"/>
    <cellStyle name="20% - Accent6 2 3 3 2 3" xfId="3665" xr:uid="{00000000-0005-0000-0000-000082280000}"/>
    <cellStyle name="20% - Accent6 2 3 3 2 3 2" xfId="4795" xr:uid="{00000000-0005-0000-0000-000083280000}"/>
    <cellStyle name="20% - Accent6 2 3 3 2 3 2 2" xfId="9259" xr:uid="{00000000-0005-0000-0000-000084280000}"/>
    <cellStyle name="20% - Accent6 2 3 3 2 3 2 2 2" xfId="19255" xr:uid="{00000000-0005-0000-0000-000085280000}"/>
    <cellStyle name="20% - Accent6 2 3 3 2 3 2 2 2 2" xfId="38655" xr:uid="{00000000-0005-0000-0000-000086280000}"/>
    <cellStyle name="20% - Accent6 2 3 3 2 3 2 2 3" xfId="28957" xr:uid="{00000000-0005-0000-0000-000087280000}"/>
    <cellStyle name="20% - Accent6 2 3 3 2 3 2 3" xfId="14800" xr:uid="{00000000-0005-0000-0000-000088280000}"/>
    <cellStyle name="20% - Accent6 2 3 3 2 3 2 3 2" xfId="34200" xr:uid="{00000000-0005-0000-0000-000089280000}"/>
    <cellStyle name="20% - Accent6 2 3 3 2 3 2 4" xfId="24502" xr:uid="{00000000-0005-0000-0000-00008A280000}"/>
    <cellStyle name="20% - Accent6 2 3 3 2 3 3" xfId="8144" xr:uid="{00000000-0005-0000-0000-00008B280000}"/>
    <cellStyle name="20% - Accent6 2 3 3 2 3 3 2" xfId="18140" xr:uid="{00000000-0005-0000-0000-00008C280000}"/>
    <cellStyle name="20% - Accent6 2 3 3 2 3 3 2 2" xfId="37540" xr:uid="{00000000-0005-0000-0000-00008D280000}"/>
    <cellStyle name="20% - Accent6 2 3 3 2 3 3 3" xfId="27842" xr:uid="{00000000-0005-0000-0000-00008E280000}"/>
    <cellStyle name="20% - Accent6 2 3 3 2 3 4" xfId="13685" xr:uid="{00000000-0005-0000-0000-00008F280000}"/>
    <cellStyle name="20% - Accent6 2 3 3 2 3 4 2" xfId="33085" xr:uid="{00000000-0005-0000-0000-000090280000}"/>
    <cellStyle name="20% - Accent6 2 3 3 2 3 5" xfId="23387" xr:uid="{00000000-0005-0000-0000-000091280000}"/>
    <cellStyle name="20% - Accent6 2 3 3 2 4" xfId="4238" xr:uid="{00000000-0005-0000-0000-000092280000}"/>
    <cellStyle name="20% - Accent6 2 3 3 2 4 2" xfId="8702" xr:uid="{00000000-0005-0000-0000-000093280000}"/>
    <cellStyle name="20% - Accent6 2 3 3 2 4 2 2" xfId="18698" xr:uid="{00000000-0005-0000-0000-000094280000}"/>
    <cellStyle name="20% - Accent6 2 3 3 2 4 2 2 2" xfId="38098" xr:uid="{00000000-0005-0000-0000-000095280000}"/>
    <cellStyle name="20% - Accent6 2 3 3 2 4 2 3" xfId="28400" xr:uid="{00000000-0005-0000-0000-000096280000}"/>
    <cellStyle name="20% - Accent6 2 3 3 2 4 3" xfId="14243" xr:uid="{00000000-0005-0000-0000-000097280000}"/>
    <cellStyle name="20% - Accent6 2 3 3 2 4 3 2" xfId="33643" xr:uid="{00000000-0005-0000-0000-000098280000}"/>
    <cellStyle name="20% - Accent6 2 3 3 2 4 4" xfId="23945" xr:uid="{00000000-0005-0000-0000-000099280000}"/>
    <cellStyle name="20% - Accent6 2 3 3 2 5" xfId="5908" xr:uid="{00000000-0005-0000-0000-00009A280000}"/>
    <cellStyle name="20% - Accent6 2 3 3 2 5 2" xfId="10372" xr:uid="{00000000-0005-0000-0000-00009B280000}"/>
    <cellStyle name="20% - Accent6 2 3 3 2 5 2 2" xfId="20368" xr:uid="{00000000-0005-0000-0000-00009C280000}"/>
    <cellStyle name="20% - Accent6 2 3 3 2 5 2 2 2" xfId="39768" xr:uid="{00000000-0005-0000-0000-00009D280000}"/>
    <cellStyle name="20% - Accent6 2 3 3 2 5 2 3" xfId="30070" xr:uid="{00000000-0005-0000-0000-00009E280000}"/>
    <cellStyle name="20% - Accent6 2 3 3 2 5 3" xfId="15913" xr:uid="{00000000-0005-0000-0000-00009F280000}"/>
    <cellStyle name="20% - Accent6 2 3 3 2 5 3 2" xfId="35313" xr:uid="{00000000-0005-0000-0000-0000A0280000}"/>
    <cellStyle name="20% - Accent6 2 3 3 2 5 4" xfId="25615" xr:uid="{00000000-0005-0000-0000-0000A1280000}"/>
    <cellStyle name="20% - Accent6 2 3 3 2 6" xfId="6474" xr:uid="{00000000-0005-0000-0000-0000A2280000}"/>
    <cellStyle name="20% - Accent6 2 3 3 2 6 2" xfId="10929" xr:uid="{00000000-0005-0000-0000-0000A3280000}"/>
    <cellStyle name="20% - Accent6 2 3 3 2 6 2 2" xfId="20925" xr:uid="{00000000-0005-0000-0000-0000A4280000}"/>
    <cellStyle name="20% - Accent6 2 3 3 2 6 2 2 2" xfId="40325" xr:uid="{00000000-0005-0000-0000-0000A5280000}"/>
    <cellStyle name="20% - Accent6 2 3 3 2 6 2 3" xfId="30627" xr:uid="{00000000-0005-0000-0000-0000A6280000}"/>
    <cellStyle name="20% - Accent6 2 3 3 2 6 3" xfId="16470" xr:uid="{00000000-0005-0000-0000-0000A7280000}"/>
    <cellStyle name="20% - Accent6 2 3 3 2 6 3 2" xfId="35870" xr:uid="{00000000-0005-0000-0000-0000A8280000}"/>
    <cellStyle name="20% - Accent6 2 3 3 2 6 4" xfId="26172" xr:uid="{00000000-0005-0000-0000-0000A9280000}"/>
    <cellStyle name="20% - Accent6 2 3 3 2 7" xfId="7031" xr:uid="{00000000-0005-0000-0000-0000AA280000}"/>
    <cellStyle name="20% - Accent6 2 3 3 2 7 2" xfId="17027" xr:uid="{00000000-0005-0000-0000-0000AB280000}"/>
    <cellStyle name="20% - Accent6 2 3 3 2 7 2 2" xfId="36427" xr:uid="{00000000-0005-0000-0000-0000AC280000}"/>
    <cellStyle name="20% - Accent6 2 3 3 2 7 3" xfId="26729" xr:uid="{00000000-0005-0000-0000-0000AD280000}"/>
    <cellStyle name="20% - Accent6 2 3 3 2 8" xfId="12571" xr:uid="{00000000-0005-0000-0000-0000AE280000}"/>
    <cellStyle name="20% - Accent6 2 3 3 2 8 2" xfId="31972" xr:uid="{00000000-0005-0000-0000-0000AF280000}"/>
    <cellStyle name="20% - Accent6 2 3 3 2 9" xfId="22274" xr:uid="{00000000-0005-0000-0000-0000B0280000}"/>
    <cellStyle name="20% - Accent6 2 3 3 3" xfId="2090" xr:uid="{00000000-0005-0000-0000-0000B1280000}"/>
    <cellStyle name="20% - Accent6 2 3 3 3 2" xfId="3083" xr:uid="{00000000-0005-0000-0000-0000B2280000}"/>
    <cellStyle name="20% - Accent6 2 3 3 3 2 2" xfId="5352" xr:uid="{00000000-0005-0000-0000-0000B3280000}"/>
    <cellStyle name="20% - Accent6 2 3 3 3 2 2 2" xfId="9816" xr:uid="{00000000-0005-0000-0000-0000B4280000}"/>
    <cellStyle name="20% - Accent6 2 3 3 3 2 2 2 2" xfId="19812" xr:uid="{00000000-0005-0000-0000-0000B5280000}"/>
    <cellStyle name="20% - Accent6 2 3 3 3 2 2 2 2 2" xfId="39212" xr:uid="{00000000-0005-0000-0000-0000B6280000}"/>
    <cellStyle name="20% - Accent6 2 3 3 3 2 2 2 3" xfId="29514" xr:uid="{00000000-0005-0000-0000-0000B7280000}"/>
    <cellStyle name="20% - Accent6 2 3 3 3 2 2 3" xfId="15357" xr:uid="{00000000-0005-0000-0000-0000B8280000}"/>
    <cellStyle name="20% - Accent6 2 3 3 3 2 2 3 2" xfId="34757" xr:uid="{00000000-0005-0000-0000-0000B9280000}"/>
    <cellStyle name="20% - Accent6 2 3 3 3 2 2 4" xfId="25059" xr:uid="{00000000-0005-0000-0000-0000BA280000}"/>
    <cellStyle name="20% - Accent6 2 3 3 3 2 3" xfId="7588" xr:uid="{00000000-0005-0000-0000-0000BB280000}"/>
    <cellStyle name="20% - Accent6 2 3 3 3 2 3 2" xfId="17584" xr:uid="{00000000-0005-0000-0000-0000BC280000}"/>
    <cellStyle name="20% - Accent6 2 3 3 3 2 3 2 2" xfId="36984" xr:uid="{00000000-0005-0000-0000-0000BD280000}"/>
    <cellStyle name="20% - Accent6 2 3 3 3 2 3 3" xfId="27286" xr:uid="{00000000-0005-0000-0000-0000BE280000}"/>
    <cellStyle name="20% - Accent6 2 3 3 3 2 4" xfId="13129" xr:uid="{00000000-0005-0000-0000-0000BF280000}"/>
    <cellStyle name="20% - Accent6 2 3 3 3 2 4 2" xfId="32529" xr:uid="{00000000-0005-0000-0000-0000C0280000}"/>
    <cellStyle name="20% - Accent6 2 3 3 3 2 5" xfId="22831" xr:uid="{00000000-0005-0000-0000-0000C1280000}"/>
    <cellStyle name="20% - Accent6 2 3 3 3 3" xfId="3666" xr:uid="{00000000-0005-0000-0000-0000C2280000}"/>
    <cellStyle name="20% - Accent6 2 3 3 3 3 2" xfId="4796" xr:uid="{00000000-0005-0000-0000-0000C3280000}"/>
    <cellStyle name="20% - Accent6 2 3 3 3 3 2 2" xfId="9260" xr:uid="{00000000-0005-0000-0000-0000C4280000}"/>
    <cellStyle name="20% - Accent6 2 3 3 3 3 2 2 2" xfId="19256" xr:uid="{00000000-0005-0000-0000-0000C5280000}"/>
    <cellStyle name="20% - Accent6 2 3 3 3 3 2 2 2 2" xfId="38656" xr:uid="{00000000-0005-0000-0000-0000C6280000}"/>
    <cellStyle name="20% - Accent6 2 3 3 3 3 2 2 3" xfId="28958" xr:uid="{00000000-0005-0000-0000-0000C7280000}"/>
    <cellStyle name="20% - Accent6 2 3 3 3 3 2 3" xfId="14801" xr:uid="{00000000-0005-0000-0000-0000C8280000}"/>
    <cellStyle name="20% - Accent6 2 3 3 3 3 2 3 2" xfId="34201" xr:uid="{00000000-0005-0000-0000-0000C9280000}"/>
    <cellStyle name="20% - Accent6 2 3 3 3 3 2 4" xfId="24503" xr:uid="{00000000-0005-0000-0000-0000CA280000}"/>
    <cellStyle name="20% - Accent6 2 3 3 3 3 3" xfId="8145" xr:uid="{00000000-0005-0000-0000-0000CB280000}"/>
    <cellStyle name="20% - Accent6 2 3 3 3 3 3 2" xfId="18141" xr:uid="{00000000-0005-0000-0000-0000CC280000}"/>
    <cellStyle name="20% - Accent6 2 3 3 3 3 3 2 2" xfId="37541" xr:uid="{00000000-0005-0000-0000-0000CD280000}"/>
    <cellStyle name="20% - Accent6 2 3 3 3 3 3 3" xfId="27843" xr:uid="{00000000-0005-0000-0000-0000CE280000}"/>
    <cellStyle name="20% - Accent6 2 3 3 3 3 4" xfId="13686" xr:uid="{00000000-0005-0000-0000-0000CF280000}"/>
    <cellStyle name="20% - Accent6 2 3 3 3 3 4 2" xfId="33086" xr:uid="{00000000-0005-0000-0000-0000D0280000}"/>
    <cellStyle name="20% - Accent6 2 3 3 3 3 5" xfId="23388" xr:uid="{00000000-0005-0000-0000-0000D1280000}"/>
    <cellStyle name="20% - Accent6 2 3 3 3 4" xfId="4239" xr:uid="{00000000-0005-0000-0000-0000D2280000}"/>
    <cellStyle name="20% - Accent6 2 3 3 3 4 2" xfId="8703" xr:uid="{00000000-0005-0000-0000-0000D3280000}"/>
    <cellStyle name="20% - Accent6 2 3 3 3 4 2 2" xfId="18699" xr:uid="{00000000-0005-0000-0000-0000D4280000}"/>
    <cellStyle name="20% - Accent6 2 3 3 3 4 2 2 2" xfId="38099" xr:uid="{00000000-0005-0000-0000-0000D5280000}"/>
    <cellStyle name="20% - Accent6 2 3 3 3 4 2 3" xfId="28401" xr:uid="{00000000-0005-0000-0000-0000D6280000}"/>
    <cellStyle name="20% - Accent6 2 3 3 3 4 3" xfId="14244" xr:uid="{00000000-0005-0000-0000-0000D7280000}"/>
    <cellStyle name="20% - Accent6 2 3 3 3 4 3 2" xfId="33644" xr:uid="{00000000-0005-0000-0000-0000D8280000}"/>
    <cellStyle name="20% - Accent6 2 3 3 3 4 4" xfId="23946" xr:uid="{00000000-0005-0000-0000-0000D9280000}"/>
    <cellStyle name="20% - Accent6 2 3 3 3 5" xfId="5909" xr:uid="{00000000-0005-0000-0000-0000DA280000}"/>
    <cellStyle name="20% - Accent6 2 3 3 3 5 2" xfId="10373" xr:uid="{00000000-0005-0000-0000-0000DB280000}"/>
    <cellStyle name="20% - Accent6 2 3 3 3 5 2 2" xfId="20369" xr:uid="{00000000-0005-0000-0000-0000DC280000}"/>
    <cellStyle name="20% - Accent6 2 3 3 3 5 2 2 2" xfId="39769" xr:uid="{00000000-0005-0000-0000-0000DD280000}"/>
    <cellStyle name="20% - Accent6 2 3 3 3 5 2 3" xfId="30071" xr:uid="{00000000-0005-0000-0000-0000DE280000}"/>
    <cellStyle name="20% - Accent6 2 3 3 3 5 3" xfId="15914" xr:uid="{00000000-0005-0000-0000-0000DF280000}"/>
    <cellStyle name="20% - Accent6 2 3 3 3 5 3 2" xfId="35314" xr:uid="{00000000-0005-0000-0000-0000E0280000}"/>
    <cellStyle name="20% - Accent6 2 3 3 3 5 4" xfId="25616" xr:uid="{00000000-0005-0000-0000-0000E1280000}"/>
    <cellStyle name="20% - Accent6 2 3 3 3 6" xfId="6475" xr:uid="{00000000-0005-0000-0000-0000E2280000}"/>
    <cellStyle name="20% - Accent6 2 3 3 3 6 2" xfId="10930" xr:uid="{00000000-0005-0000-0000-0000E3280000}"/>
    <cellStyle name="20% - Accent6 2 3 3 3 6 2 2" xfId="20926" xr:uid="{00000000-0005-0000-0000-0000E4280000}"/>
    <cellStyle name="20% - Accent6 2 3 3 3 6 2 2 2" xfId="40326" xr:uid="{00000000-0005-0000-0000-0000E5280000}"/>
    <cellStyle name="20% - Accent6 2 3 3 3 6 2 3" xfId="30628" xr:uid="{00000000-0005-0000-0000-0000E6280000}"/>
    <cellStyle name="20% - Accent6 2 3 3 3 6 3" xfId="16471" xr:uid="{00000000-0005-0000-0000-0000E7280000}"/>
    <cellStyle name="20% - Accent6 2 3 3 3 6 3 2" xfId="35871" xr:uid="{00000000-0005-0000-0000-0000E8280000}"/>
    <cellStyle name="20% - Accent6 2 3 3 3 6 4" xfId="26173" xr:uid="{00000000-0005-0000-0000-0000E9280000}"/>
    <cellStyle name="20% - Accent6 2 3 3 3 7" xfId="7032" xr:uid="{00000000-0005-0000-0000-0000EA280000}"/>
    <cellStyle name="20% - Accent6 2 3 3 3 7 2" xfId="17028" xr:uid="{00000000-0005-0000-0000-0000EB280000}"/>
    <cellStyle name="20% - Accent6 2 3 3 3 7 2 2" xfId="36428" xr:uid="{00000000-0005-0000-0000-0000EC280000}"/>
    <cellStyle name="20% - Accent6 2 3 3 3 7 3" xfId="26730" xr:uid="{00000000-0005-0000-0000-0000ED280000}"/>
    <cellStyle name="20% - Accent6 2 3 3 3 8" xfId="12572" xr:uid="{00000000-0005-0000-0000-0000EE280000}"/>
    <cellStyle name="20% - Accent6 2 3 3 3 8 2" xfId="31973" xr:uid="{00000000-0005-0000-0000-0000EF280000}"/>
    <cellStyle name="20% - Accent6 2 3 3 3 9" xfId="22275" xr:uid="{00000000-0005-0000-0000-0000F0280000}"/>
    <cellStyle name="20% - Accent6 2 3 3 4" xfId="3081" xr:uid="{00000000-0005-0000-0000-0000F1280000}"/>
    <cellStyle name="20% - Accent6 2 3 3 4 2" xfId="5350" xr:uid="{00000000-0005-0000-0000-0000F2280000}"/>
    <cellStyle name="20% - Accent6 2 3 3 4 2 2" xfId="9814" xr:uid="{00000000-0005-0000-0000-0000F3280000}"/>
    <cellStyle name="20% - Accent6 2 3 3 4 2 2 2" xfId="19810" xr:uid="{00000000-0005-0000-0000-0000F4280000}"/>
    <cellStyle name="20% - Accent6 2 3 3 4 2 2 2 2" xfId="39210" xr:uid="{00000000-0005-0000-0000-0000F5280000}"/>
    <cellStyle name="20% - Accent6 2 3 3 4 2 2 3" xfId="29512" xr:uid="{00000000-0005-0000-0000-0000F6280000}"/>
    <cellStyle name="20% - Accent6 2 3 3 4 2 3" xfId="15355" xr:uid="{00000000-0005-0000-0000-0000F7280000}"/>
    <cellStyle name="20% - Accent6 2 3 3 4 2 3 2" xfId="34755" xr:uid="{00000000-0005-0000-0000-0000F8280000}"/>
    <cellStyle name="20% - Accent6 2 3 3 4 2 4" xfId="25057" xr:uid="{00000000-0005-0000-0000-0000F9280000}"/>
    <cellStyle name="20% - Accent6 2 3 3 4 3" xfId="7586" xr:uid="{00000000-0005-0000-0000-0000FA280000}"/>
    <cellStyle name="20% - Accent6 2 3 3 4 3 2" xfId="17582" xr:uid="{00000000-0005-0000-0000-0000FB280000}"/>
    <cellStyle name="20% - Accent6 2 3 3 4 3 2 2" xfId="36982" xr:uid="{00000000-0005-0000-0000-0000FC280000}"/>
    <cellStyle name="20% - Accent6 2 3 3 4 3 3" xfId="27284" xr:uid="{00000000-0005-0000-0000-0000FD280000}"/>
    <cellStyle name="20% - Accent6 2 3 3 4 4" xfId="13127" xr:uid="{00000000-0005-0000-0000-0000FE280000}"/>
    <cellStyle name="20% - Accent6 2 3 3 4 4 2" xfId="32527" xr:uid="{00000000-0005-0000-0000-0000FF280000}"/>
    <cellStyle name="20% - Accent6 2 3 3 4 5" xfId="22829" xr:uid="{00000000-0005-0000-0000-000000290000}"/>
    <cellStyle name="20% - Accent6 2 3 3 5" xfId="3664" xr:uid="{00000000-0005-0000-0000-000001290000}"/>
    <cellStyle name="20% - Accent6 2 3 3 5 2" xfId="4794" xr:uid="{00000000-0005-0000-0000-000002290000}"/>
    <cellStyle name="20% - Accent6 2 3 3 5 2 2" xfId="9258" xr:uid="{00000000-0005-0000-0000-000003290000}"/>
    <cellStyle name="20% - Accent6 2 3 3 5 2 2 2" xfId="19254" xr:uid="{00000000-0005-0000-0000-000004290000}"/>
    <cellStyle name="20% - Accent6 2 3 3 5 2 2 2 2" xfId="38654" xr:uid="{00000000-0005-0000-0000-000005290000}"/>
    <cellStyle name="20% - Accent6 2 3 3 5 2 2 3" xfId="28956" xr:uid="{00000000-0005-0000-0000-000006290000}"/>
    <cellStyle name="20% - Accent6 2 3 3 5 2 3" xfId="14799" xr:uid="{00000000-0005-0000-0000-000007290000}"/>
    <cellStyle name="20% - Accent6 2 3 3 5 2 3 2" xfId="34199" xr:uid="{00000000-0005-0000-0000-000008290000}"/>
    <cellStyle name="20% - Accent6 2 3 3 5 2 4" xfId="24501" xr:uid="{00000000-0005-0000-0000-000009290000}"/>
    <cellStyle name="20% - Accent6 2 3 3 5 3" xfId="8143" xr:uid="{00000000-0005-0000-0000-00000A290000}"/>
    <cellStyle name="20% - Accent6 2 3 3 5 3 2" xfId="18139" xr:uid="{00000000-0005-0000-0000-00000B290000}"/>
    <cellStyle name="20% - Accent6 2 3 3 5 3 2 2" xfId="37539" xr:uid="{00000000-0005-0000-0000-00000C290000}"/>
    <cellStyle name="20% - Accent6 2 3 3 5 3 3" xfId="27841" xr:uid="{00000000-0005-0000-0000-00000D290000}"/>
    <cellStyle name="20% - Accent6 2 3 3 5 4" xfId="13684" xr:uid="{00000000-0005-0000-0000-00000E290000}"/>
    <cellStyle name="20% - Accent6 2 3 3 5 4 2" xfId="33084" xr:uid="{00000000-0005-0000-0000-00000F290000}"/>
    <cellStyle name="20% - Accent6 2 3 3 5 5" xfId="23386" xr:uid="{00000000-0005-0000-0000-000010290000}"/>
    <cellStyle name="20% - Accent6 2 3 3 6" xfId="4237" xr:uid="{00000000-0005-0000-0000-000011290000}"/>
    <cellStyle name="20% - Accent6 2 3 3 6 2" xfId="8701" xr:uid="{00000000-0005-0000-0000-000012290000}"/>
    <cellStyle name="20% - Accent6 2 3 3 6 2 2" xfId="18697" xr:uid="{00000000-0005-0000-0000-000013290000}"/>
    <cellStyle name="20% - Accent6 2 3 3 6 2 2 2" xfId="38097" xr:uid="{00000000-0005-0000-0000-000014290000}"/>
    <cellStyle name="20% - Accent6 2 3 3 6 2 3" xfId="28399" xr:uid="{00000000-0005-0000-0000-000015290000}"/>
    <cellStyle name="20% - Accent6 2 3 3 6 3" xfId="14242" xr:uid="{00000000-0005-0000-0000-000016290000}"/>
    <cellStyle name="20% - Accent6 2 3 3 6 3 2" xfId="33642" xr:uid="{00000000-0005-0000-0000-000017290000}"/>
    <cellStyle name="20% - Accent6 2 3 3 6 4" xfId="23944" xr:uid="{00000000-0005-0000-0000-000018290000}"/>
    <cellStyle name="20% - Accent6 2 3 3 7" xfId="5907" xr:uid="{00000000-0005-0000-0000-000019290000}"/>
    <cellStyle name="20% - Accent6 2 3 3 7 2" xfId="10371" xr:uid="{00000000-0005-0000-0000-00001A290000}"/>
    <cellStyle name="20% - Accent6 2 3 3 7 2 2" xfId="20367" xr:uid="{00000000-0005-0000-0000-00001B290000}"/>
    <cellStyle name="20% - Accent6 2 3 3 7 2 2 2" xfId="39767" xr:uid="{00000000-0005-0000-0000-00001C290000}"/>
    <cellStyle name="20% - Accent6 2 3 3 7 2 3" xfId="30069" xr:uid="{00000000-0005-0000-0000-00001D290000}"/>
    <cellStyle name="20% - Accent6 2 3 3 7 3" xfId="15912" xr:uid="{00000000-0005-0000-0000-00001E290000}"/>
    <cellStyle name="20% - Accent6 2 3 3 7 3 2" xfId="35312" xr:uid="{00000000-0005-0000-0000-00001F290000}"/>
    <cellStyle name="20% - Accent6 2 3 3 7 4" xfId="25614" xr:uid="{00000000-0005-0000-0000-000020290000}"/>
    <cellStyle name="20% - Accent6 2 3 3 8" xfId="6473" xr:uid="{00000000-0005-0000-0000-000021290000}"/>
    <cellStyle name="20% - Accent6 2 3 3 8 2" xfId="10928" xr:uid="{00000000-0005-0000-0000-000022290000}"/>
    <cellStyle name="20% - Accent6 2 3 3 8 2 2" xfId="20924" xr:uid="{00000000-0005-0000-0000-000023290000}"/>
    <cellStyle name="20% - Accent6 2 3 3 8 2 2 2" xfId="40324" xr:uid="{00000000-0005-0000-0000-000024290000}"/>
    <cellStyle name="20% - Accent6 2 3 3 8 2 3" xfId="30626" xr:uid="{00000000-0005-0000-0000-000025290000}"/>
    <cellStyle name="20% - Accent6 2 3 3 8 3" xfId="16469" xr:uid="{00000000-0005-0000-0000-000026290000}"/>
    <cellStyle name="20% - Accent6 2 3 3 8 3 2" xfId="35869" xr:uid="{00000000-0005-0000-0000-000027290000}"/>
    <cellStyle name="20% - Accent6 2 3 3 8 4" xfId="26171" xr:uid="{00000000-0005-0000-0000-000028290000}"/>
    <cellStyle name="20% - Accent6 2 3 3 9" xfId="7030" xr:uid="{00000000-0005-0000-0000-000029290000}"/>
    <cellStyle name="20% - Accent6 2 3 3 9 2" xfId="17026" xr:uid="{00000000-0005-0000-0000-00002A290000}"/>
    <cellStyle name="20% - Accent6 2 3 3 9 2 2" xfId="36426" xr:uid="{00000000-0005-0000-0000-00002B290000}"/>
    <cellStyle name="20% - Accent6 2 3 3 9 3" xfId="26728" xr:uid="{00000000-0005-0000-0000-00002C290000}"/>
    <cellStyle name="20% - Accent6 2 3 4" xfId="2091" xr:uid="{00000000-0005-0000-0000-00002D290000}"/>
    <cellStyle name="20% - Accent6 2 3 4 2" xfId="3084" xr:uid="{00000000-0005-0000-0000-00002E290000}"/>
    <cellStyle name="20% - Accent6 2 3 4 2 2" xfId="5353" xr:uid="{00000000-0005-0000-0000-00002F290000}"/>
    <cellStyle name="20% - Accent6 2 3 4 2 2 2" xfId="9817" xr:uid="{00000000-0005-0000-0000-000030290000}"/>
    <cellStyle name="20% - Accent6 2 3 4 2 2 2 2" xfId="19813" xr:uid="{00000000-0005-0000-0000-000031290000}"/>
    <cellStyle name="20% - Accent6 2 3 4 2 2 2 2 2" xfId="39213" xr:uid="{00000000-0005-0000-0000-000032290000}"/>
    <cellStyle name="20% - Accent6 2 3 4 2 2 2 3" xfId="29515" xr:uid="{00000000-0005-0000-0000-000033290000}"/>
    <cellStyle name="20% - Accent6 2 3 4 2 2 3" xfId="15358" xr:uid="{00000000-0005-0000-0000-000034290000}"/>
    <cellStyle name="20% - Accent6 2 3 4 2 2 3 2" xfId="34758" xr:uid="{00000000-0005-0000-0000-000035290000}"/>
    <cellStyle name="20% - Accent6 2 3 4 2 2 4" xfId="25060" xr:uid="{00000000-0005-0000-0000-000036290000}"/>
    <cellStyle name="20% - Accent6 2 3 4 2 3" xfId="7589" xr:uid="{00000000-0005-0000-0000-000037290000}"/>
    <cellStyle name="20% - Accent6 2 3 4 2 3 2" xfId="17585" xr:uid="{00000000-0005-0000-0000-000038290000}"/>
    <cellStyle name="20% - Accent6 2 3 4 2 3 2 2" xfId="36985" xr:uid="{00000000-0005-0000-0000-000039290000}"/>
    <cellStyle name="20% - Accent6 2 3 4 2 3 3" xfId="27287" xr:uid="{00000000-0005-0000-0000-00003A290000}"/>
    <cellStyle name="20% - Accent6 2 3 4 2 4" xfId="13130" xr:uid="{00000000-0005-0000-0000-00003B290000}"/>
    <cellStyle name="20% - Accent6 2 3 4 2 4 2" xfId="32530" xr:uid="{00000000-0005-0000-0000-00003C290000}"/>
    <cellStyle name="20% - Accent6 2 3 4 2 5" xfId="22832" xr:uid="{00000000-0005-0000-0000-00003D290000}"/>
    <cellStyle name="20% - Accent6 2 3 4 3" xfId="3667" xr:uid="{00000000-0005-0000-0000-00003E290000}"/>
    <cellStyle name="20% - Accent6 2 3 4 3 2" xfId="4797" xr:uid="{00000000-0005-0000-0000-00003F290000}"/>
    <cellStyle name="20% - Accent6 2 3 4 3 2 2" xfId="9261" xr:uid="{00000000-0005-0000-0000-000040290000}"/>
    <cellStyle name="20% - Accent6 2 3 4 3 2 2 2" xfId="19257" xr:uid="{00000000-0005-0000-0000-000041290000}"/>
    <cellStyle name="20% - Accent6 2 3 4 3 2 2 2 2" xfId="38657" xr:uid="{00000000-0005-0000-0000-000042290000}"/>
    <cellStyle name="20% - Accent6 2 3 4 3 2 2 3" xfId="28959" xr:uid="{00000000-0005-0000-0000-000043290000}"/>
    <cellStyle name="20% - Accent6 2 3 4 3 2 3" xfId="14802" xr:uid="{00000000-0005-0000-0000-000044290000}"/>
    <cellStyle name="20% - Accent6 2 3 4 3 2 3 2" xfId="34202" xr:uid="{00000000-0005-0000-0000-000045290000}"/>
    <cellStyle name="20% - Accent6 2 3 4 3 2 4" xfId="24504" xr:uid="{00000000-0005-0000-0000-000046290000}"/>
    <cellStyle name="20% - Accent6 2 3 4 3 3" xfId="8146" xr:uid="{00000000-0005-0000-0000-000047290000}"/>
    <cellStyle name="20% - Accent6 2 3 4 3 3 2" xfId="18142" xr:uid="{00000000-0005-0000-0000-000048290000}"/>
    <cellStyle name="20% - Accent6 2 3 4 3 3 2 2" xfId="37542" xr:uid="{00000000-0005-0000-0000-000049290000}"/>
    <cellStyle name="20% - Accent6 2 3 4 3 3 3" xfId="27844" xr:uid="{00000000-0005-0000-0000-00004A290000}"/>
    <cellStyle name="20% - Accent6 2 3 4 3 4" xfId="13687" xr:uid="{00000000-0005-0000-0000-00004B290000}"/>
    <cellStyle name="20% - Accent6 2 3 4 3 4 2" xfId="33087" xr:uid="{00000000-0005-0000-0000-00004C290000}"/>
    <cellStyle name="20% - Accent6 2 3 4 3 5" xfId="23389" xr:uid="{00000000-0005-0000-0000-00004D290000}"/>
    <cellStyle name="20% - Accent6 2 3 4 4" xfId="4240" xr:uid="{00000000-0005-0000-0000-00004E290000}"/>
    <cellStyle name="20% - Accent6 2 3 4 4 2" xfId="8704" xr:uid="{00000000-0005-0000-0000-00004F290000}"/>
    <cellStyle name="20% - Accent6 2 3 4 4 2 2" xfId="18700" xr:uid="{00000000-0005-0000-0000-000050290000}"/>
    <cellStyle name="20% - Accent6 2 3 4 4 2 2 2" xfId="38100" xr:uid="{00000000-0005-0000-0000-000051290000}"/>
    <cellStyle name="20% - Accent6 2 3 4 4 2 3" xfId="28402" xr:uid="{00000000-0005-0000-0000-000052290000}"/>
    <cellStyle name="20% - Accent6 2 3 4 4 3" xfId="14245" xr:uid="{00000000-0005-0000-0000-000053290000}"/>
    <cellStyle name="20% - Accent6 2 3 4 4 3 2" xfId="33645" xr:uid="{00000000-0005-0000-0000-000054290000}"/>
    <cellStyle name="20% - Accent6 2 3 4 4 4" xfId="23947" xr:uid="{00000000-0005-0000-0000-000055290000}"/>
    <cellStyle name="20% - Accent6 2 3 4 5" xfId="5910" xr:uid="{00000000-0005-0000-0000-000056290000}"/>
    <cellStyle name="20% - Accent6 2 3 4 5 2" xfId="10374" xr:uid="{00000000-0005-0000-0000-000057290000}"/>
    <cellStyle name="20% - Accent6 2 3 4 5 2 2" xfId="20370" xr:uid="{00000000-0005-0000-0000-000058290000}"/>
    <cellStyle name="20% - Accent6 2 3 4 5 2 2 2" xfId="39770" xr:uid="{00000000-0005-0000-0000-000059290000}"/>
    <cellStyle name="20% - Accent6 2 3 4 5 2 3" xfId="30072" xr:uid="{00000000-0005-0000-0000-00005A290000}"/>
    <cellStyle name="20% - Accent6 2 3 4 5 3" xfId="15915" xr:uid="{00000000-0005-0000-0000-00005B290000}"/>
    <cellStyle name="20% - Accent6 2 3 4 5 3 2" xfId="35315" xr:uid="{00000000-0005-0000-0000-00005C290000}"/>
    <cellStyle name="20% - Accent6 2 3 4 5 4" xfId="25617" xr:uid="{00000000-0005-0000-0000-00005D290000}"/>
    <cellStyle name="20% - Accent6 2 3 4 6" xfId="6476" xr:uid="{00000000-0005-0000-0000-00005E290000}"/>
    <cellStyle name="20% - Accent6 2 3 4 6 2" xfId="10931" xr:uid="{00000000-0005-0000-0000-00005F290000}"/>
    <cellStyle name="20% - Accent6 2 3 4 6 2 2" xfId="20927" xr:uid="{00000000-0005-0000-0000-000060290000}"/>
    <cellStyle name="20% - Accent6 2 3 4 6 2 2 2" xfId="40327" xr:uid="{00000000-0005-0000-0000-000061290000}"/>
    <cellStyle name="20% - Accent6 2 3 4 6 2 3" xfId="30629" xr:uid="{00000000-0005-0000-0000-000062290000}"/>
    <cellStyle name="20% - Accent6 2 3 4 6 3" xfId="16472" xr:uid="{00000000-0005-0000-0000-000063290000}"/>
    <cellStyle name="20% - Accent6 2 3 4 6 3 2" xfId="35872" xr:uid="{00000000-0005-0000-0000-000064290000}"/>
    <cellStyle name="20% - Accent6 2 3 4 6 4" xfId="26174" xr:uid="{00000000-0005-0000-0000-000065290000}"/>
    <cellStyle name="20% - Accent6 2 3 4 7" xfId="7033" xr:uid="{00000000-0005-0000-0000-000066290000}"/>
    <cellStyle name="20% - Accent6 2 3 4 7 2" xfId="17029" xr:uid="{00000000-0005-0000-0000-000067290000}"/>
    <cellStyle name="20% - Accent6 2 3 4 7 2 2" xfId="36429" xr:uid="{00000000-0005-0000-0000-000068290000}"/>
    <cellStyle name="20% - Accent6 2 3 4 7 3" xfId="26731" xr:uid="{00000000-0005-0000-0000-000069290000}"/>
    <cellStyle name="20% - Accent6 2 3 4 8" xfId="12573" xr:uid="{00000000-0005-0000-0000-00006A290000}"/>
    <cellStyle name="20% - Accent6 2 3 4 8 2" xfId="31974" xr:uid="{00000000-0005-0000-0000-00006B290000}"/>
    <cellStyle name="20% - Accent6 2 3 4 9" xfId="22276" xr:uid="{00000000-0005-0000-0000-00006C290000}"/>
    <cellStyle name="20% - Accent6 2 3 5" xfId="2092" xr:uid="{00000000-0005-0000-0000-00006D290000}"/>
    <cellStyle name="20% - Accent6 2 3 5 2" xfId="3085" xr:uid="{00000000-0005-0000-0000-00006E290000}"/>
    <cellStyle name="20% - Accent6 2 3 5 2 2" xfId="5354" xr:uid="{00000000-0005-0000-0000-00006F290000}"/>
    <cellStyle name="20% - Accent6 2 3 5 2 2 2" xfId="9818" xr:uid="{00000000-0005-0000-0000-000070290000}"/>
    <cellStyle name="20% - Accent6 2 3 5 2 2 2 2" xfId="19814" xr:uid="{00000000-0005-0000-0000-000071290000}"/>
    <cellStyle name="20% - Accent6 2 3 5 2 2 2 2 2" xfId="39214" xr:uid="{00000000-0005-0000-0000-000072290000}"/>
    <cellStyle name="20% - Accent6 2 3 5 2 2 2 3" xfId="29516" xr:uid="{00000000-0005-0000-0000-000073290000}"/>
    <cellStyle name="20% - Accent6 2 3 5 2 2 3" xfId="15359" xr:uid="{00000000-0005-0000-0000-000074290000}"/>
    <cellStyle name="20% - Accent6 2 3 5 2 2 3 2" xfId="34759" xr:uid="{00000000-0005-0000-0000-000075290000}"/>
    <cellStyle name="20% - Accent6 2 3 5 2 2 4" xfId="25061" xr:uid="{00000000-0005-0000-0000-000076290000}"/>
    <cellStyle name="20% - Accent6 2 3 5 2 3" xfId="7590" xr:uid="{00000000-0005-0000-0000-000077290000}"/>
    <cellStyle name="20% - Accent6 2 3 5 2 3 2" xfId="17586" xr:uid="{00000000-0005-0000-0000-000078290000}"/>
    <cellStyle name="20% - Accent6 2 3 5 2 3 2 2" xfId="36986" xr:uid="{00000000-0005-0000-0000-000079290000}"/>
    <cellStyle name="20% - Accent6 2 3 5 2 3 3" xfId="27288" xr:uid="{00000000-0005-0000-0000-00007A290000}"/>
    <cellStyle name="20% - Accent6 2 3 5 2 4" xfId="13131" xr:uid="{00000000-0005-0000-0000-00007B290000}"/>
    <cellStyle name="20% - Accent6 2 3 5 2 4 2" xfId="32531" xr:uid="{00000000-0005-0000-0000-00007C290000}"/>
    <cellStyle name="20% - Accent6 2 3 5 2 5" xfId="22833" xr:uid="{00000000-0005-0000-0000-00007D290000}"/>
    <cellStyle name="20% - Accent6 2 3 5 3" xfId="3668" xr:uid="{00000000-0005-0000-0000-00007E290000}"/>
    <cellStyle name="20% - Accent6 2 3 5 3 2" xfId="4798" xr:uid="{00000000-0005-0000-0000-00007F290000}"/>
    <cellStyle name="20% - Accent6 2 3 5 3 2 2" xfId="9262" xr:uid="{00000000-0005-0000-0000-000080290000}"/>
    <cellStyle name="20% - Accent6 2 3 5 3 2 2 2" xfId="19258" xr:uid="{00000000-0005-0000-0000-000081290000}"/>
    <cellStyle name="20% - Accent6 2 3 5 3 2 2 2 2" xfId="38658" xr:uid="{00000000-0005-0000-0000-000082290000}"/>
    <cellStyle name="20% - Accent6 2 3 5 3 2 2 3" xfId="28960" xr:uid="{00000000-0005-0000-0000-000083290000}"/>
    <cellStyle name="20% - Accent6 2 3 5 3 2 3" xfId="14803" xr:uid="{00000000-0005-0000-0000-000084290000}"/>
    <cellStyle name="20% - Accent6 2 3 5 3 2 3 2" xfId="34203" xr:uid="{00000000-0005-0000-0000-000085290000}"/>
    <cellStyle name="20% - Accent6 2 3 5 3 2 4" xfId="24505" xr:uid="{00000000-0005-0000-0000-000086290000}"/>
    <cellStyle name="20% - Accent6 2 3 5 3 3" xfId="8147" xr:uid="{00000000-0005-0000-0000-000087290000}"/>
    <cellStyle name="20% - Accent6 2 3 5 3 3 2" xfId="18143" xr:uid="{00000000-0005-0000-0000-000088290000}"/>
    <cellStyle name="20% - Accent6 2 3 5 3 3 2 2" xfId="37543" xr:uid="{00000000-0005-0000-0000-000089290000}"/>
    <cellStyle name="20% - Accent6 2 3 5 3 3 3" xfId="27845" xr:uid="{00000000-0005-0000-0000-00008A290000}"/>
    <cellStyle name="20% - Accent6 2 3 5 3 4" xfId="13688" xr:uid="{00000000-0005-0000-0000-00008B290000}"/>
    <cellStyle name="20% - Accent6 2 3 5 3 4 2" xfId="33088" xr:uid="{00000000-0005-0000-0000-00008C290000}"/>
    <cellStyle name="20% - Accent6 2 3 5 3 5" xfId="23390" xr:uid="{00000000-0005-0000-0000-00008D290000}"/>
    <cellStyle name="20% - Accent6 2 3 5 4" xfId="4241" xr:uid="{00000000-0005-0000-0000-00008E290000}"/>
    <cellStyle name="20% - Accent6 2 3 5 4 2" xfId="8705" xr:uid="{00000000-0005-0000-0000-00008F290000}"/>
    <cellStyle name="20% - Accent6 2 3 5 4 2 2" xfId="18701" xr:uid="{00000000-0005-0000-0000-000090290000}"/>
    <cellStyle name="20% - Accent6 2 3 5 4 2 2 2" xfId="38101" xr:uid="{00000000-0005-0000-0000-000091290000}"/>
    <cellStyle name="20% - Accent6 2 3 5 4 2 3" xfId="28403" xr:uid="{00000000-0005-0000-0000-000092290000}"/>
    <cellStyle name="20% - Accent6 2 3 5 4 3" xfId="14246" xr:uid="{00000000-0005-0000-0000-000093290000}"/>
    <cellStyle name="20% - Accent6 2 3 5 4 3 2" xfId="33646" xr:uid="{00000000-0005-0000-0000-000094290000}"/>
    <cellStyle name="20% - Accent6 2 3 5 4 4" xfId="23948" xr:uid="{00000000-0005-0000-0000-000095290000}"/>
    <cellStyle name="20% - Accent6 2 3 5 5" xfId="5911" xr:uid="{00000000-0005-0000-0000-000096290000}"/>
    <cellStyle name="20% - Accent6 2 3 5 5 2" xfId="10375" xr:uid="{00000000-0005-0000-0000-000097290000}"/>
    <cellStyle name="20% - Accent6 2 3 5 5 2 2" xfId="20371" xr:uid="{00000000-0005-0000-0000-000098290000}"/>
    <cellStyle name="20% - Accent6 2 3 5 5 2 2 2" xfId="39771" xr:uid="{00000000-0005-0000-0000-000099290000}"/>
    <cellStyle name="20% - Accent6 2 3 5 5 2 3" xfId="30073" xr:uid="{00000000-0005-0000-0000-00009A290000}"/>
    <cellStyle name="20% - Accent6 2 3 5 5 3" xfId="15916" xr:uid="{00000000-0005-0000-0000-00009B290000}"/>
    <cellStyle name="20% - Accent6 2 3 5 5 3 2" xfId="35316" xr:uid="{00000000-0005-0000-0000-00009C290000}"/>
    <cellStyle name="20% - Accent6 2 3 5 5 4" xfId="25618" xr:uid="{00000000-0005-0000-0000-00009D290000}"/>
    <cellStyle name="20% - Accent6 2 3 5 6" xfId="6477" xr:uid="{00000000-0005-0000-0000-00009E290000}"/>
    <cellStyle name="20% - Accent6 2 3 5 6 2" xfId="10932" xr:uid="{00000000-0005-0000-0000-00009F290000}"/>
    <cellStyle name="20% - Accent6 2 3 5 6 2 2" xfId="20928" xr:uid="{00000000-0005-0000-0000-0000A0290000}"/>
    <cellStyle name="20% - Accent6 2 3 5 6 2 2 2" xfId="40328" xr:uid="{00000000-0005-0000-0000-0000A1290000}"/>
    <cellStyle name="20% - Accent6 2 3 5 6 2 3" xfId="30630" xr:uid="{00000000-0005-0000-0000-0000A2290000}"/>
    <cellStyle name="20% - Accent6 2 3 5 6 3" xfId="16473" xr:uid="{00000000-0005-0000-0000-0000A3290000}"/>
    <cellStyle name="20% - Accent6 2 3 5 6 3 2" xfId="35873" xr:uid="{00000000-0005-0000-0000-0000A4290000}"/>
    <cellStyle name="20% - Accent6 2 3 5 6 4" xfId="26175" xr:uid="{00000000-0005-0000-0000-0000A5290000}"/>
    <cellStyle name="20% - Accent6 2 3 5 7" xfId="7034" xr:uid="{00000000-0005-0000-0000-0000A6290000}"/>
    <cellStyle name="20% - Accent6 2 3 5 7 2" xfId="17030" xr:uid="{00000000-0005-0000-0000-0000A7290000}"/>
    <cellStyle name="20% - Accent6 2 3 5 7 2 2" xfId="36430" xr:uid="{00000000-0005-0000-0000-0000A8290000}"/>
    <cellStyle name="20% - Accent6 2 3 5 7 3" xfId="26732" xr:uid="{00000000-0005-0000-0000-0000A9290000}"/>
    <cellStyle name="20% - Accent6 2 3 5 8" xfId="12574" xr:uid="{00000000-0005-0000-0000-0000AA290000}"/>
    <cellStyle name="20% - Accent6 2 3 5 8 2" xfId="31975" xr:uid="{00000000-0005-0000-0000-0000AB290000}"/>
    <cellStyle name="20% - Accent6 2 3 5 9" xfId="22277" xr:uid="{00000000-0005-0000-0000-0000AC290000}"/>
    <cellStyle name="20% - Accent6 2 3 6" xfId="11974" xr:uid="{00000000-0005-0000-0000-0000AD290000}"/>
    <cellStyle name="20% - Accent6 2 3 6 2" xfId="21678" xr:uid="{00000000-0005-0000-0000-0000AE290000}"/>
    <cellStyle name="20% - Accent6 2 3 6 2 2" xfId="41078" xr:uid="{00000000-0005-0000-0000-0000AF290000}"/>
    <cellStyle name="20% - Accent6 2 3 6 3" xfId="31380" xr:uid="{00000000-0005-0000-0000-0000B0290000}"/>
    <cellStyle name="20% - Accent6 2 3 7" xfId="1196" xr:uid="{00000000-0005-0000-0000-0000B1290000}"/>
    <cellStyle name="20% - Accent6 2 3 8" xfId="12330" xr:uid="{00000000-0005-0000-0000-0000B2290000}"/>
    <cellStyle name="20% - Accent6 2 3 8 2" xfId="31733" xr:uid="{00000000-0005-0000-0000-0000B3290000}"/>
    <cellStyle name="20% - Accent6 2 3 9" xfId="22035" xr:uid="{00000000-0005-0000-0000-0000B4290000}"/>
    <cellStyle name="20% - Accent6 2 4" xfId="1198" xr:uid="{00000000-0005-0000-0000-0000B5290000}"/>
    <cellStyle name="20% - Accent6 2 4 2" xfId="2093" xr:uid="{00000000-0005-0000-0000-0000B6290000}"/>
    <cellStyle name="20% - Accent6 2 4 2 10" xfId="12575" xr:uid="{00000000-0005-0000-0000-0000B7290000}"/>
    <cellStyle name="20% - Accent6 2 4 2 10 2" xfId="31976" xr:uid="{00000000-0005-0000-0000-0000B8290000}"/>
    <cellStyle name="20% - Accent6 2 4 2 11" xfId="22278" xr:uid="{00000000-0005-0000-0000-0000B9290000}"/>
    <cellStyle name="20% - Accent6 2 4 2 2" xfId="2094" xr:uid="{00000000-0005-0000-0000-0000BA290000}"/>
    <cellStyle name="20% - Accent6 2 4 2 2 2" xfId="3087" xr:uid="{00000000-0005-0000-0000-0000BB290000}"/>
    <cellStyle name="20% - Accent6 2 4 2 2 2 2" xfId="5356" xr:uid="{00000000-0005-0000-0000-0000BC290000}"/>
    <cellStyle name="20% - Accent6 2 4 2 2 2 2 2" xfId="9820" xr:uid="{00000000-0005-0000-0000-0000BD290000}"/>
    <cellStyle name="20% - Accent6 2 4 2 2 2 2 2 2" xfId="19816" xr:uid="{00000000-0005-0000-0000-0000BE290000}"/>
    <cellStyle name="20% - Accent6 2 4 2 2 2 2 2 2 2" xfId="39216" xr:uid="{00000000-0005-0000-0000-0000BF290000}"/>
    <cellStyle name="20% - Accent6 2 4 2 2 2 2 2 3" xfId="29518" xr:uid="{00000000-0005-0000-0000-0000C0290000}"/>
    <cellStyle name="20% - Accent6 2 4 2 2 2 2 3" xfId="15361" xr:uid="{00000000-0005-0000-0000-0000C1290000}"/>
    <cellStyle name="20% - Accent6 2 4 2 2 2 2 3 2" xfId="34761" xr:uid="{00000000-0005-0000-0000-0000C2290000}"/>
    <cellStyle name="20% - Accent6 2 4 2 2 2 2 4" xfId="25063" xr:uid="{00000000-0005-0000-0000-0000C3290000}"/>
    <cellStyle name="20% - Accent6 2 4 2 2 2 3" xfId="7592" xr:uid="{00000000-0005-0000-0000-0000C4290000}"/>
    <cellStyle name="20% - Accent6 2 4 2 2 2 3 2" xfId="17588" xr:uid="{00000000-0005-0000-0000-0000C5290000}"/>
    <cellStyle name="20% - Accent6 2 4 2 2 2 3 2 2" xfId="36988" xr:uid="{00000000-0005-0000-0000-0000C6290000}"/>
    <cellStyle name="20% - Accent6 2 4 2 2 2 3 3" xfId="27290" xr:uid="{00000000-0005-0000-0000-0000C7290000}"/>
    <cellStyle name="20% - Accent6 2 4 2 2 2 4" xfId="13133" xr:uid="{00000000-0005-0000-0000-0000C8290000}"/>
    <cellStyle name="20% - Accent6 2 4 2 2 2 4 2" xfId="32533" xr:uid="{00000000-0005-0000-0000-0000C9290000}"/>
    <cellStyle name="20% - Accent6 2 4 2 2 2 5" xfId="22835" xr:uid="{00000000-0005-0000-0000-0000CA290000}"/>
    <cellStyle name="20% - Accent6 2 4 2 2 3" xfId="3670" xr:uid="{00000000-0005-0000-0000-0000CB290000}"/>
    <cellStyle name="20% - Accent6 2 4 2 2 3 2" xfId="4800" xr:uid="{00000000-0005-0000-0000-0000CC290000}"/>
    <cellStyle name="20% - Accent6 2 4 2 2 3 2 2" xfId="9264" xr:uid="{00000000-0005-0000-0000-0000CD290000}"/>
    <cellStyle name="20% - Accent6 2 4 2 2 3 2 2 2" xfId="19260" xr:uid="{00000000-0005-0000-0000-0000CE290000}"/>
    <cellStyle name="20% - Accent6 2 4 2 2 3 2 2 2 2" xfId="38660" xr:uid="{00000000-0005-0000-0000-0000CF290000}"/>
    <cellStyle name="20% - Accent6 2 4 2 2 3 2 2 3" xfId="28962" xr:uid="{00000000-0005-0000-0000-0000D0290000}"/>
    <cellStyle name="20% - Accent6 2 4 2 2 3 2 3" xfId="14805" xr:uid="{00000000-0005-0000-0000-0000D1290000}"/>
    <cellStyle name="20% - Accent6 2 4 2 2 3 2 3 2" xfId="34205" xr:uid="{00000000-0005-0000-0000-0000D2290000}"/>
    <cellStyle name="20% - Accent6 2 4 2 2 3 2 4" xfId="24507" xr:uid="{00000000-0005-0000-0000-0000D3290000}"/>
    <cellStyle name="20% - Accent6 2 4 2 2 3 3" xfId="8149" xr:uid="{00000000-0005-0000-0000-0000D4290000}"/>
    <cellStyle name="20% - Accent6 2 4 2 2 3 3 2" xfId="18145" xr:uid="{00000000-0005-0000-0000-0000D5290000}"/>
    <cellStyle name="20% - Accent6 2 4 2 2 3 3 2 2" xfId="37545" xr:uid="{00000000-0005-0000-0000-0000D6290000}"/>
    <cellStyle name="20% - Accent6 2 4 2 2 3 3 3" xfId="27847" xr:uid="{00000000-0005-0000-0000-0000D7290000}"/>
    <cellStyle name="20% - Accent6 2 4 2 2 3 4" xfId="13690" xr:uid="{00000000-0005-0000-0000-0000D8290000}"/>
    <cellStyle name="20% - Accent6 2 4 2 2 3 4 2" xfId="33090" xr:uid="{00000000-0005-0000-0000-0000D9290000}"/>
    <cellStyle name="20% - Accent6 2 4 2 2 3 5" xfId="23392" xr:uid="{00000000-0005-0000-0000-0000DA290000}"/>
    <cellStyle name="20% - Accent6 2 4 2 2 4" xfId="4243" xr:uid="{00000000-0005-0000-0000-0000DB290000}"/>
    <cellStyle name="20% - Accent6 2 4 2 2 4 2" xfId="8707" xr:uid="{00000000-0005-0000-0000-0000DC290000}"/>
    <cellStyle name="20% - Accent6 2 4 2 2 4 2 2" xfId="18703" xr:uid="{00000000-0005-0000-0000-0000DD290000}"/>
    <cellStyle name="20% - Accent6 2 4 2 2 4 2 2 2" xfId="38103" xr:uid="{00000000-0005-0000-0000-0000DE290000}"/>
    <cellStyle name="20% - Accent6 2 4 2 2 4 2 3" xfId="28405" xr:uid="{00000000-0005-0000-0000-0000DF290000}"/>
    <cellStyle name="20% - Accent6 2 4 2 2 4 3" xfId="14248" xr:uid="{00000000-0005-0000-0000-0000E0290000}"/>
    <cellStyle name="20% - Accent6 2 4 2 2 4 3 2" xfId="33648" xr:uid="{00000000-0005-0000-0000-0000E1290000}"/>
    <cellStyle name="20% - Accent6 2 4 2 2 4 4" xfId="23950" xr:uid="{00000000-0005-0000-0000-0000E2290000}"/>
    <cellStyle name="20% - Accent6 2 4 2 2 5" xfId="5913" xr:uid="{00000000-0005-0000-0000-0000E3290000}"/>
    <cellStyle name="20% - Accent6 2 4 2 2 5 2" xfId="10377" xr:uid="{00000000-0005-0000-0000-0000E4290000}"/>
    <cellStyle name="20% - Accent6 2 4 2 2 5 2 2" xfId="20373" xr:uid="{00000000-0005-0000-0000-0000E5290000}"/>
    <cellStyle name="20% - Accent6 2 4 2 2 5 2 2 2" xfId="39773" xr:uid="{00000000-0005-0000-0000-0000E6290000}"/>
    <cellStyle name="20% - Accent6 2 4 2 2 5 2 3" xfId="30075" xr:uid="{00000000-0005-0000-0000-0000E7290000}"/>
    <cellStyle name="20% - Accent6 2 4 2 2 5 3" xfId="15918" xr:uid="{00000000-0005-0000-0000-0000E8290000}"/>
    <cellStyle name="20% - Accent6 2 4 2 2 5 3 2" xfId="35318" xr:uid="{00000000-0005-0000-0000-0000E9290000}"/>
    <cellStyle name="20% - Accent6 2 4 2 2 5 4" xfId="25620" xr:uid="{00000000-0005-0000-0000-0000EA290000}"/>
    <cellStyle name="20% - Accent6 2 4 2 2 6" xfId="6479" xr:uid="{00000000-0005-0000-0000-0000EB290000}"/>
    <cellStyle name="20% - Accent6 2 4 2 2 6 2" xfId="10934" xr:uid="{00000000-0005-0000-0000-0000EC290000}"/>
    <cellStyle name="20% - Accent6 2 4 2 2 6 2 2" xfId="20930" xr:uid="{00000000-0005-0000-0000-0000ED290000}"/>
    <cellStyle name="20% - Accent6 2 4 2 2 6 2 2 2" xfId="40330" xr:uid="{00000000-0005-0000-0000-0000EE290000}"/>
    <cellStyle name="20% - Accent6 2 4 2 2 6 2 3" xfId="30632" xr:uid="{00000000-0005-0000-0000-0000EF290000}"/>
    <cellStyle name="20% - Accent6 2 4 2 2 6 3" xfId="16475" xr:uid="{00000000-0005-0000-0000-0000F0290000}"/>
    <cellStyle name="20% - Accent6 2 4 2 2 6 3 2" xfId="35875" xr:uid="{00000000-0005-0000-0000-0000F1290000}"/>
    <cellStyle name="20% - Accent6 2 4 2 2 6 4" xfId="26177" xr:uid="{00000000-0005-0000-0000-0000F2290000}"/>
    <cellStyle name="20% - Accent6 2 4 2 2 7" xfId="7036" xr:uid="{00000000-0005-0000-0000-0000F3290000}"/>
    <cellStyle name="20% - Accent6 2 4 2 2 7 2" xfId="17032" xr:uid="{00000000-0005-0000-0000-0000F4290000}"/>
    <cellStyle name="20% - Accent6 2 4 2 2 7 2 2" xfId="36432" xr:uid="{00000000-0005-0000-0000-0000F5290000}"/>
    <cellStyle name="20% - Accent6 2 4 2 2 7 3" xfId="26734" xr:uid="{00000000-0005-0000-0000-0000F6290000}"/>
    <cellStyle name="20% - Accent6 2 4 2 2 8" xfId="12576" xr:uid="{00000000-0005-0000-0000-0000F7290000}"/>
    <cellStyle name="20% - Accent6 2 4 2 2 8 2" xfId="31977" xr:uid="{00000000-0005-0000-0000-0000F8290000}"/>
    <cellStyle name="20% - Accent6 2 4 2 2 9" xfId="22279" xr:uid="{00000000-0005-0000-0000-0000F9290000}"/>
    <cellStyle name="20% - Accent6 2 4 2 3" xfId="2095" xr:uid="{00000000-0005-0000-0000-0000FA290000}"/>
    <cellStyle name="20% - Accent6 2 4 2 3 2" xfId="3088" xr:uid="{00000000-0005-0000-0000-0000FB290000}"/>
    <cellStyle name="20% - Accent6 2 4 2 3 2 2" xfId="5357" xr:uid="{00000000-0005-0000-0000-0000FC290000}"/>
    <cellStyle name="20% - Accent6 2 4 2 3 2 2 2" xfId="9821" xr:uid="{00000000-0005-0000-0000-0000FD290000}"/>
    <cellStyle name="20% - Accent6 2 4 2 3 2 2 2 2" xfId="19817" xr:uid="{00000000-0005-0000-0000-0000FE290000}"/>
    <cellStyle name="20% - Accent6 2 4 2 3 2 2 2 2 2" xfId="39217" xr:uid="{00000000-0005-0000-0000-0000FF290000}"/>
    <cellStyle name="20% - Accent6 2 4 2 3 2 2 2 3" xfId="29519" xr:uid="{00000000-0005-0000-0000-0000002A0000}"/>
    <cellStyle name="20% - Accent6 2 4 2 3 2 2 3" xfId="15362" xr:uid="{00000000-0005-0000-0000-0000012A0000}"/>
    <cellStyle name="20% - Accent6 2 4 2 3 2 2 3 2" xfId="34762" xr:uid="{00000000-0005-0000-0000-0000022A0000}"/>
    <cellStyle name="20% - Accent6 2 4 2 3 2 2 4" xfId="25064" xr:uid="{00000000-0005-0000-0000-0000032A0000}"/>
    <cellStyle name="20% - Accent6 2 4 2 3 2 3" xfId="7593" xr:uid="{00000000-0005-0000-0000-0000042A0000}"/>
    <cellStyle name="20% - Accent6 2 4 2 3 2 3 2" xfId="17589" xr:uid="{00000000-0005-0000-0000-0000052A0000}"/>
    <cellStyle name="20% - Accent6 2 4 2 3 2 3 2 2" xfId="36989" xr:uid="{00000000-0005-0000-0000-0000062A0000}"/>
    <cellStyle name="20% - Accent6 2 4 2 3 2 3 3" xfId="27291" xr:uid="{00000000-0005-0000-0000-0000072A0000}"/>
    <cellStyle name="20% - Accent6 2 4 2 3 2 4" xfId="13134" xr:uid="{00000000-0005-0000-0000-0000082A0000}"/>
    <cellStyle name="20% - Accent6 2 4 2 3 2 4 2" xfId="32534" xr:uid="{00000000-0005-0000-0000-0000092A0000}"/>
    <cellStyle name="20% - Accent6 2 4 2 3 2 5" xfId="22836" xr:uid="{00000000-0005-0000-0000-00000A2A0000}"/>
    <cellStyle name="20% - Accent6 2 4 2 3 3" xfId="3671" xr:uid="{00000000-0005-0000-0000-00000B2A0000}"/>
    <cellStyle name="20% - Accent6 2 4 2 3 3 2" xfId="4801" xr:uid="{00000000-0005-0000-0000-00000C2A0000}"/>
    <cellStyle name="20% - Accent6 2 4 2 3 3 2 2" xfId="9265" xr:uid="{00000000-0005-0000-0000-00000D2A0000}"/>
    <cellStyle name="20% - Accent6 2 4 2 3 3 2 2 2" xfId="19261" xr:uid="{00000000-0005-0000-0000-00000E2A0000}"/>
    <cellStyle name="20% - Accent6 2 4 2 3 3 2 2 2 2" xfId="38661" xr:uid="{00000000-0005-0000-0000-00000F2A0000}"/>
    <cellStyle name="20% - Accent6 2 4 2 3 3 2 2 3" xfId="28963" xr:uid="{00000000-0005-0000-0000-0000102A0000}"/>
    <cellStyle name="20% - Accent6 2 4 2 3 3 2 3" xfId="14806" xr:uid="{00000000-0005-0000-0000-0000112A0000}"/>
    <cellStyle name="20% - Accent6 2 4 2 3 3 2 3 2" xfId="34206" xr:uid="{00000000-0005-0000-0000-0000122A0000}"/>
    <cellStyle name="20% - Accent6 2 4 2 3 3 2 4" xfId="24508" xr:uid="{00000000-0005-0000-0000-0000132A0000}"/>
    <cellStyle name="20% - Accent6 2 4 2 3 3 3" xfId="8150" xr:uid="{00000000-0005-0000-0000-0000142A0000}"/>
    <cellStyle name="20% - Accent6 2 4 2 3 3 3 2" xfId="18146" xr:uid="{00000000-0005-0000-0000-0000152A0000}"/>
    <cellStyle name="20% - Accent6 2 4 2 3 3 3 2 2" xfId="37546" xr:uid="{00000000-0005-0000-0000-0000162A0000}"/>
    <cellStyle name="20% - Accent6 2 4 2 3 3 3 3" xfId="27848" xr:uid="{00000000-0005-0000-0000-0000172A0000}"/>
    <cellStyle name="20% - Accent6 2 4 2 3 3 4" xfId="13691" xr:uid="{00000000-0005-0000-0000-0000182A0000}"/>
    <cellStyle name="20% - Accent6 2 4 2 3 3 4 2" xfId="33091" xr:uid="{00000000-0005-0000-0000-0000192A0000}"/>
    <cellStyle name="20% - Accent6 2 4 2 3 3 5" xfId="23393" xr:uid="{00000000-0005-0000-0000-00001A2A0000}"/>
    <cellStyle name="20% - Accent6 2 4 2 3 4" xfId="4244" xr:uid="{00000000-0005-0000-0000-00001B2A0000}"/>
    <cellStyle name="20% - Accent6 2 4 2 3 4 2" xfId="8708" xr:uid="{00000000-0005-0000-0000-00001C2A0000}"/>
    <cellStyle name="20% - Accent6 2 4 2 3 4 2 2" xfId="18704" xr:uid="{00000000-0005-0000-0000-00001D2A0000}"/>
    <cellStyle name="20% - Accent6 2 4 2 3 4 2 2 2" xfId="38104" xr:uid="{00000000-0005-0000-0000-00001E2A0000}"/>
    <cellStyle name="20% - Accent6 2 4 2 3 4 2 3" xfId="28406" xr:uid="{00000000-0005-0000-0000-00001F2A0000}"/>
    <cellStyle name="20% - Accent6 2 4 2 3 4 3" xfId="14249" xr:uid="{00000000-0005-0000-0000-0000202A0000}"/>
    <cellStyle name="20% - Accent6 2 4 2 3 4 3 2" xfId="33649" xr:uid="{00000000-0005-0000-0000-0000212A0000}"/>
    <cellStyle name="20% - Accent6 2 4 2 3 4 4" xfId="23951" xr:uid="{00000000-0005-0000-0000-0000222A0000}"/>
    <cellStyle name="20% - Accent6 2 4 2 3 5" xfId="5914" xr:uid="{00000000-0005-0000-0000-0000232A0000}"/>
    <cellStyle name="20% - Accent6 2 4 2 3 5 2" xfId="10378" xr:uid="{00000000-0005-0000-0000-0000242A0000}"/>
    <cellStyle name="20% - Accent6 2 4 2 3 5 2 2" xfId="20374" xr:uid="{00000000-0005-0000-0000-0000252A0000}"/>
    <cellStyle name="20% - Accent6 2 4 2 3 5 2 2 2" xfId="39774" xr:uid="{00000000-0005-0000-0000-0000262A0000}"/>
    <cellStyle name="20% - Accent6 2 4 2 3 5 2 3" xfId="30076" xr:uid="{00000000-0005-0000-0000-0000272A0000}"/>
    <cellStyle name="20% - Accent6 2 4 2 3 5 3" xfId="15919" xr:uid="{00000000-0005-0000-0000-0000282A0000}"/>
    <cellStyle name="20% - Accent6 2 4 2 3 5 3 2" xfId="35319" xr:uid="{00000000-0005-0000-0000-0000292A0000}"/>
    <cellStyle name="20% - Accent6 2 4 2 3 5 4" xfId="25621" xr:uid="{00000000-0005-0000-0000-00002A2A0000}"/>
    <cellStyle name="20% - Accent6 2 4 2 3 6" xfId="6480" xr:uid="{00000000-0005-0000-0000-00002B2A0000}"/>
    <cellStyle name="20% - Accent6 2 4 2 3 6 2" xfId="10935" xr:uid="{00000000-0005-0000-0000-00002C2A0000}"/>
    <cellStyle name="20% - Accent6 2 4 2 3 6 2 2" xfId="20931" xr:uid="{00000000-0005-0000-0000-00002D2A0000}"/>
    <cellStyle name="20% - Accent6 2 4 2 3 6 2 2 2" xfId="40331" xr:uid="{00000000-0005-0000-0000-00002E2A0000}"/>
    <cellStyle name="20% - Accent6 2 4 2 3 6 2 3" xfId="30633" xr:uid="{00000000-0005-0000-0000-00002F2A0000}"/>
    <cellStyle name="20% - Accent6 2 4 2 3 6 3" xfId="16476" xr:uid="{00000000-0005-0000-0000-0000302A0000}"/>
    <cellStyle name="20% - Accent6 2 4 2 3 6 3 2" xfId="35876" xr:uid="{00000000-0005-0000-0000-0000312A0000}"/>
    <cellStyle name="20% - Accent6 2 4 2 3 6 4" xfId="26178" xr:uid="{00000000-0005-0000-0000-0000322A0000}"/>
    <cellStyle name="20% - Accent6 2 4 2 3 7" xfId="7037" xr:uid="{00000000-0005-0000-0000-0000332A0000}"/>
    <cellStyle name="20% - Accent6 2 4 2 3 7 2" xfId="17033" xr:uid="{00000000-0005-0000-0000-0000342A0000}"/>
    <cellStyle name="20% - Accent6 2 4 2 3 7 2 2" xfId="36433" xr:uid="{00000000-0005-0000-0000-0000352A0000}"/>
    <cellStyle name="20% - Accent6 2 4 2 3 7 3" xfId="26735" xr:uid="{00000000-0005-0000-0000-0000362A0000}"/>
    <cellStyle name="20% - Accent6 2 4 2 3 8" xfId="12577" xr:uid="{00000000-0005-0000-0000-0000372A0000}"/>
    <cellStyle name="20% - Accent6 2 4 2 3 8 2" xfId="31978" xr:uid="{00000000-0005-0000-0000-0000382A0000}"/>
    <cellStyle name="20% - Accent6 2 4 2 3 9" xfId="22280" xr:uid="{00000000-0005-0000-0000-0000392A0000}"/>
    <cellStyle name="20% - Accent6 2 4 2 4" xfId="3086" xr:uid="{00000000-0005-0000-0000-00003A2A0000}"/>
    <cellStyle name="20% - Accent6 2 4 2 4 2" xfId="5355" xr:uid="{00000000-0005-0000-0000-00003B2A0000}"/>
    <cellStyle name="20% - Accent6 2 4 2 4 2 2" xfId="9819" xr:uid="{00000000-0005-0000-0000-00003C2A0000}"/>
    <cellStyle name="20% - Accent6 2 4 2 4 2 2 2" xfId="19815" xr:uid="{00000000-0005-0000-0000-00003D2A0000}"/>
    <cellStyle name="20% - Accent6 2 4 2 4 2 2 2 2" xfId="39215" xr:uid="{00000000-0005-0000-0000-00003E2A0000}"/>
    <cellStyle name="20% - Accent6 2 4 2 4 2 2 3" xfId="29517" xr:uid="{00000000-0005-0000-0000-00003F2A0000}"/>
    <cellStyle name="20% - Accent6 2 4 2 4 2 3" xfId="15360" xr:uid="{00000000-0005-0000-0000-0000402A0000}"/>
    <cellStyle name="20% - Accent6 2 4 2 4 2 3 2" xfId="34760" xr:uid="{00000000-0005-0000-0000-0000412A0000}"/>
    <cellStyle name="20% - Accent6 2 4 2 4 2 4" xfId="25062" xr:uid="{00000000-0005-0000-0000-0000422A0000}"/>
    <cellStyle name="20% - Accent6 2 4 2 4 3" xfId="7591" xr:uid="{00000000-0005-0000-0000-0000432A0000}"/>
    <cellStyle name="20% - Accent6 2 4 2 4 3 2" xfId="17587" xr:uid="{00000000-0005-0000-0000-0000442A0000}"/>
    <cellStyle name="20% - Accent6 2 4 2 4 3 2 2" xfId="36987" xr:uid="{00000000-0005-0000-0000-0000452A0000}"/>
    <cellStyle name="20% - Accent6 2 4 2 4 3 3" xfId="27289" xr:uid="{00000000-0005-0000-0000-0000462A0000}"/>
    <cellStyle name="20% - Accent6 2 4 2 4 4" xfId="13132" xr:uid="{00000000-0005-0000-0000-0000472A0000}"/>
    <cellStyle name="20% - Accent6 2 4 2 4 4 2" xfId="32532" xr:uid="{00000000-0005-0000-0000-0000482A0000}"/>
    <cellStyle name="20% - Accent6 2 4 2 4 5" xfId="22834" xr:uid="{00000000-0005-0000-0000-0000492A0000}"/>
    <cellStyle name="20% - Accent6 2 4 2 5" xfId="3669" xr:uid="{00000000-0005-0000-0000-00004A2A0000}"/>
    <cellStyle name="20% - Accent6 2 4 2 5 2" xfId="4799" xr:uid="{00000000-0005-0000-0000-00004B2A0000}"/>
    <cellStyle name="20% - Accent6 2 4 2 5 2 2" xfId="9263" xr:uid="{00000000-0005-0000-0000-00004C2A0000}"/>
    <cellStyle name="20% - Accent6 2 4 2 5 2 2 2" xfId="19259" xr:uid="{00000000-0005-0000-0000-00004D2A0000}"/>
    <cellStyle name="20% - Accent6 2 4 2 5 2 2 2 2" xfId="38659" xr:uid="{00000000-0005-0000-0000-00004E2A0000}"/>
    <cellStyle name="20% - Accent6 2 4 2 5 2 2 3" xfId="28961" xr:uid="{00000000-0005-0000-0000-00004F2A0000}"/>
    <cellStyle name="20% - Accent6 2 4 2 5 2 3" xfId="14804" xr:uid="{00000000-0005-0000-0000-0000502A0000}"/>
    <cellStyle name="20% - Accent6 2 4 2 5 2 3 2" xfId="34204" xr:uid="{00000000-0005-0000-0000-0000512A0000}"/>
    <cellStyle name="20% - Accent6 2 4 2 5 2 4" xfId="24506" xr:uid="{00000000-0005-0000-0000-0000522A0000}"/>
    <cellStyle name="20% - Accent6 2 4 2 5 3" xfId="8148" xr:uid="{00000000-0005-0000-0000-0000532A0000}"/>
    <cellStyle name="20% - Accent6 2 4 2 5 3 2" xfId="18144" xr:uid="{00000000-0005-0000-0000-0000542A0000}"/>
    <cellStyle name="20% - Accent6 2 4 2 5 3 2 2" xfId="37544" xr:uid="{00000000-0005-0000-0000-0000552A0000}"/>
    <cellStyle name="20% - Accent6 2 4 2 5 3 3" xfId="27846" xr:uid="{00000000-0005-0000-0000-0000562A0000}"/>
    <cellStyle name="20% - Accent6 2 4 2 5 4" xfId="13689" xr:uid="{00000000-0005-0000-0000-0000572A0000}"/>
    <cellStyle name="20% - Accent6 2 4 2 5 4 2" xfId="33089" xr:uid="{00000000-0005-0000-0000-0000582A0000}"/>
    <cellStyle name="20% - Accent6 2 4 2 5 5" xfId="23391" xr:uid="{00000000-0005-0000-0000-0000592A0000}"/>
    <cellStyle name="20% - Accent6 2 4 2 6" xfId="4242" xr:uid="{00000000-0005-0000-0000-00005A2A0000}"/>
    <cellStyle name="20% - Accent6 2 4 2 6 2" xfId="8706" xr:uid="{00000000-0005-0000-0000-00005B2A0000}"/>
    <cellStyle name="20% - Accent6 2 4 2 6 2 2" xfId="18702" xr:uid="{00000000-0005-0000-0000-00005C2A0000}"/>
    <cellStyle name="20% - Accent6 2 4 2 6 2 2 2" xfId="38102" xr:uid="{00000000-0005-0000-0000-00005D2A0000}"/>
    <cellStyle name="20% - Accent6 2 4 2 6 2 3" xfId="28404" xr:uid="{00000000-0005-0000-0000-00005E2A0000}"/>
    <cellStyle name="20% - Accent6 2 4 2 6 3" xfId="14247" xr:uid="{00000000-0005-0000-0000-00005F2A0000}"/>
    <cellStyle name="20% - Accent6 2 4 2 6 3 2" xfId="33647" xr:uid="{00000000-0005-0000-0000-0000602A0000}"/>
    <cellStyle name="20% - Accent6 2 4 2 6 4" xfId="23949" xr:uid="{00000000-0005-0000-0000-0000612A0000}"/>
    <cellStyle name="20% - Accent6 2 4 2 7" xfId="5912" xr:uid="{00000000-0005-0000-0000-0000622A0000}"/>
    <cellStyle name="20% - Accent6 2 4 2 7 2" xfId="10376" xr:uid="{00000000-0005-0000-0000-0000632A0000}"/>
    <cellStyle name="20% - Accent6 2 4 2 7 2 2" xfId="20372" xr:uid="{00000000-0005-0000-0000-0000642A0000}"/>
    <cellStyle name="20% - Accent6 2 4 2 7 2 2 2" xfId="39772" xr:uid="{00000000-0005-0000-0000-0000652A0000}"/>
    <cellStyle name="20% - Accent6 2 4 2 7 2 3" xfId="30074" xr:uid="{00000000-0005-0000-0000-0000662A0000}"/>
    <cellStyle name="20% - Accent6 2 4 2 7 3" xfId="15917" xr:uid="{00000000-0005-0000-0000-0000672A0000}"/>
    <cellStyle name="20% - Accent6 2 4 2 7 3 2" xfId="35317" xr:uid="{00000000-0005-0000-0000-0000682A0000}"/>
    <cellStyle name="20% - Accent6 2 4 2 7 4" xfId="25619" xr:uid="{00000000-0005-0000-0000-0000692A0000}"/>
    <cellStyle name="20% - Accent6 2 4 2 8" xfId="6478" xr:uid="{00000000-0005-0000-0000-00006A2A0000}"/>
    <cellStyle name="20% - Accent6 2 4 2 8 2" xfId="10933" xr:uid="{00000000-0005-0000-0000-00006B2A0000}"/>
    <cellStyle name="20% - Accent6 2 4 2 8 2 2" xfId="20929" xr:uid="{00000000-0005-0000-0000-00006C2A0000}"/>
    <cellStyle name="20% - Accent6 2 4 2 8 2 2 2" xfId="40329" xr:uid="{00000000-0005-0000-0000-00006D2A0000}"/>
    <cellStyle name="20% - Accent6 2 4 2 8 2 3" xfId="30631" xr:uid="{00000000-0005-0000-0000-00006E2A0000}"/>
    <cellStyle name="20% - Accent6 2 4 2 8 3" xfId="16474" xr:uid="{00000000-0005-0000-0000-00006F2A0000}"/>
    <cellStyle name="20% - Accent6 2 4 2 8 3 2" xfId="35874" xr:uid="{00000000-0005-0000-0000-0000702A0000}"/>
    <cellStyle name="20% - Accent6 2 4 2 8 4" xfId="26176" xr:uid="{00000000-0005-0000-0000-0000712A0000}"/>
    <cellStyle name="20% - Accent6 2 4 2 9" xfId="7035" xr:uid="{00000000-0005-0000-0000-0000722A0000}"/>
    <cellStyle name="20% - Accent6 2 4 2 9 2" xfId="17031" xr:uid="{00000000-0005-0000-0000-0000732A0000}"/>
    <cellStyle name="20% - Accent6 2 4 2 9 2 2" xfId="36431" xr:uid="{00000000-0005-0000-0000-0000742A0000}"/>
    <cellStyle name="20% - Accent6 2 4 2 9 3" xfId="26733" xr:uid="{00000000-0005-0000-0000-0000752A0000}"/>
    <cellStyle name="20% - Accent6 2 4 3" xfId="2096" xr:uid="{00000000-0005-0000-0000-0000762A0000}"/>
    <cellStyle name="20% - Accent6 2 4 3 10" xfId="12578" xr:uid="{00000000-0005-0000-0000-0000772A0000}"/>
    <cellStyle name="20% - Accent6 2 4 3 10 2" xfId="31979" xr:uid="{00000000-0005-0000-0000-0000782A0000}"/>
    <cellStyle name="20% - Accent6 2 4 3 11" xfId="22281" xr:uid="{00000000-0005-0000-0000-0000792A0000}"/>
    <cellStyle name="20% - Accent6 2 4 3 2" xfId="2097" xr:uid="{00000000-0005-0000-0000-00007A2A0000}"/>
    <cellStyle name="20% - Accent6 2 4 3 2 2" xfId="3090" xr:uid="{00000000-0005-0000-0000-00007B2A0000}"/>
    <cellStyle name="20% - Accent6 2 4 3 2 2 2" xfId="5359" xr:uid="{00000000-0005-0000-0000-00007C2A0000}"/>
    <cellStyle name="20% - Accent6 2 4 3 2 2 2 2" xfId="9823" xr:uid="{00000000-0005-0000-0000-00007D2A0000}"/>
    <cellStyle name="20% - Accent6 2 4 3 2 2 2 2 2" xfId="19819" xr:uid="{00000000-0005-0000-0000-00007E2A0000}"/>
    <cellStyle name="20% - Accent6 2 4 3 2 2 2 2 2 2" xfId="39219" xr:uid="{00000000-0005-0000-0000-00007F2A0000}"/>
    <cellStyle name="20% - Accent6 2 4 3 2 2 2 2 3" xfId="29521" xr:uid="{00000000-0005-0000-0000-0000802A0000}"/>
    <cellStyle name="20% - Accent6 2 4 3 2 2 2 3" xfId="15364" xr:uid="{00000000-0005-0000-0000-0000812A0000}"/>
    <cellStyle name="20% - Accent6 2 4 3 2 2 2 3 2" xfId="34764" xr:uid="{00000000-0005-0000-0000-0000822A0000}"/>
    <cellStyle name="20% - Accent6 2 4 3 2 2 2 4" xfId="25066" xr:uid="{00000000-0005-0000-0000-0000832A0000}"/>
    <cellStyle name="20% - Accent6 2 4 3 2 2 3" xfId="7595" xr:uid="{00000000-0005-0000-0000-0000842A0000}"/>
    <cellStyle name="20% - Accent6 2 4 3 2 2 3 2" xfId="17591" xr:uid="{00000000-0005-0000-0000-0000852A0000}"/>
    <cellStyle name="20% - Accent6 2 4 3 2 2 3 2 2" xfId="36991" xr:uid="{00000000-0005-0000-0000-0000862A0000}"/>
    <cellStyle name="20% - Accent6 2 4 3 2 2 3 3" xfId="27293" xr:uid="{00000000-0005-0000-0000-0000872A0000}"/>
    <cellStyle name="20% - Accent6 2 4 3 2 2 4" xfId="13136" xr:uid="{00000000-0005-0000-0000-0000882A0000}"/>
    <cellStyle name="20% - Accent6 2 4 3 2 2 4 2" xfId="32536" xr:uid="{00000000-0005-0000-0000-0000892A0000}"/>
    <cellStyle name="20% - Accent6 2 4 3 2 2 5" xfId="22838" xr:uid="{00000000-0005-0000-0000-00008A2A0000}"/>
    <cellStyle name="20% - Accent6 2 4 3 2 3" xfId="3673" xr:uid="{00000000-0005-0000-0000-00008B2A0000}"/>
    <cellStyle name="20% - Accent6 2 4 3 2 3 2" xfId="4803" xr:uid="{00000000-0005-0000-0000-00008C2A0000}"/>
    <cellStyle name="20% - Accent6 2 4 3 2 3 2 2" xfId="9267" xr:uid="{00000000-0005-0000-0000-00008D2A0000}"/>
    <cellStyle name="20% - Accent6 2 4 3 2 3 2 2 2" xfId="19263" xr:uid="{00000000-0005-0000-0000-00008E2A0000}"/>
    <cellStyle name="20% - Accent6 2 4 3 2 3 2 2 2 2" xfId="38663" xr:uid="{00000000-0005-0000-0000-00008F2A0000}"/>
    <cellStyle name="20% - Accent6 2 4 3 2 3 2 2 3" xfId="28965" xr:uid="{00000000-0005-0000-0000-0000902A0000}"/>
    <cellStyle name="20% - Accent6 2 4 3 2 3 2 3" xfId="14808" xr:uid="{00000000-0005-0000-0000-0000912A0000}"/>
    <cellStyle name="20% - Accent6 2 4 3 2 3 2 3 2" xfId="34208" xr:uid="{00000000-0005-0000-0000-0000922A0000}"/>
    <cellStyle name="20% - Accent6 2 4 3 2 3 2 4" xfId="24510" xr:uid="{00000000-0005-0000-0000-0000932A0000}"/>
    <cellStyle name="20% - Accent6 2 4 3 2 3 3" xfId="8152" xr:uid="{00000000-0005-0000-0000-0000942A0000}"/>
    <cellStyle name="20% - Accent6 2 4 3 2 3 3 2" xfId="18148" xr:uid="{00000000-0005-0000-0000-0000952A0000}"/>
    <cellStyle name="20% - Accent6 2 4 3 2 3 3 2 2" xfId="37548" xr:uid="{00000000-0005-0000-0000-0000962A0000}"/>
    <cellStyle name="20% - Accent6 2 4 3 2 3 3 3" xfId="27850" xr:uid="{00000000-0005-0000-0000-0000972A0000}"/>
    <cellStyle name="20% - Accent6 2 4 3 2 3 4" xfId="13693" xr:uid="{00000000-0005-0000-0000-0000982A0000}"/>
    <cellStyle name="20% - Accent6 2 4 3 2 3 4 2" xfId="33093" xr:uid="{00000000-0005-0000-0000-0000992A0000}"/>
    <cellStyle name="20% - Accent6 2 4 3 2 3 5" xfId="23395" xr:uid="{00000000-0005-0000-0000-00009A2A0000}"/>
    <cellStyle name="20% - Accent6 2 4 3 2 4" xfId="4246" xr:uid="{00000000-0005-0000-0000-00009B2A0000}"/>
    <cellStyle name="20% - Accent6 2 4 3 2 4 2" xfId="8710" xr:uid="{00000000-0005-0000-0000-00009C2A0000}"/>
    <cellStyle name="20% - Accent6 2 4 3 2 4 2 2" xfId="18706" xr:uid="{00000000-0005-0000-0000-00009D2A0000}"/>
    <cellStyle name="20% - Accent6 2 4 3 2 4 2 2 2" xfId="38106" xr:uid="{00000000-0005-0000-0000-00009E2A0000}"/>
    <cellStyle name="20% - Accent6 2 4 3 2 4 2 3" xfId="28408" xr:uid="{00000000-0005-0000-0000-00009F2A0000}"/>
    <cellStyle name="20% - Accent6 2 4 3 2 4 3" xfId="14251" xr:uid="{00000000-0005-0000-0000-0000A02A0000}"/>
    <cellStyle name="20% - Accent6 2 4 3 2 4 3 2" xfId="33651" xr:uid="{00000000-0005-0000-0000-0000A12A0000}"/>
    <cellStyle name="20% - Accent6 2 4 3 2 4 4" xfId="23953" xr:uid="{00000000-0005-0000-0000-0000A22A0000}"/>
    <cellStyle name="20% - Accent6 2 4 3 2 5" xfId="5916" xr:uid="{00000000-0005-0000-0000-0000A32A0000}"/>
    <cellStyle name="20% - Accent6 2 4 3 2 5 2" xfId="10380" xr:uid="{00000000-0005-0000-0000-0000A42A0000}"/>
    <cellStyle name="20% - Accent6 2 4 3 2 5 2 2" xfId="20376" xr:uid="{00000000-0005-0000-0000-0000A52A0000}"/>
    <cellStyle name="20% - Accent6 2 4 3 2 5 2 2 2" xfId="39776" xr:uid="{00000000-0005-0000-0000-0000A62A0000}"/>
    <cellStyle name="20% - Accent6 2 4 3 2 5 2 3" xfId="30078" xr:uid="{00000000-0005-0000-0000-0000A72A0000}"/>
    <cellStyle name="20% - Accent6 2 4 3 2 5 3" xfId="15921" xr:uid="{00000000-0005-0000-0000-0000A82A0000}"/>
    <cellStyle name="20% - Accent6 2 4 3 2 5 3 2" xfId="35321" xr:uid="{00000000-0005-0000-0000-0000A92A0000}"/>
    <cellStyle name="20% - Accent6 2 4 3 2 5 4" xfId="25623" xr:uid="{00000000-0005-0000-0000-0000AA2A0000}"/>
    <cellStyle name="20% - Accent6 2 4 3 2 6" xfId="6482" xr:uid="{00000000-0005-0000-0000-0000AB2A0000}"/>
    <cellStyle name="20% - Accent6 2 4 3 2 6 2" xfId="10937" xr:uid="{00000000-0005-0000-0000-0000AC2A0000}"/>
    <cellStyle name="20% - Accent6 2 4 3 2 6 2 2" xfId="20933" xr:uid="{00000000-0005-0000-0000-0000AD2A0000}"/>
    <cellStyle name="20% - Accent6 2 4 3 2 6 2 2 2" xfId="40333" xr:uid="{00000000-0005-0000-0000-0000AE2A0000}"/>
    <cellStyle name="20% - Accent6 2 4 3 2 6 2 3" xfId="30635" xr:uid="{00000000-0005-0000-0000-0000AF2A0000}"/>
    <cellStyle name="20% - Accent6 2 4 3 2 6 3" xfId="16478" xr:uid="{00000000-0005-0000-0000-0000B02A0000}"/>
    <cellStyle name="20% - Accent6 2 4 3 2 6 3 2" xfId="35878" xr:uid="{00000000-0005-0000-0000-0000B12A0000}"/>
    <cellStyle name="20% - Accent6 2 4 3 2 6 4" xfId="26180" xr:uid="{00000000-0005-0000-0000-0000B22A0000}"/>
    <cellStyle name="20% - Accent6 2 4 3 2 7" xfId="7039" xr:uid="{00000000-0005-0000-0000-0000B32A0000}"/>
    <cellStyle name="20% - Accent6 2 4 3 2 7 2" xfId="17035" xr:uid="{00000000-0005-0000-0000-0000B42A0000}"/>
    <cellStyle name="20% - Accent6 2 4 3 2 7 2 2" xfId="36435" xr:uid="{00000000-0005-0000-0000-0000B52A0000}"/>
    <cellStyle name="20% - Accent6 2 4 3 2 7 3" xfId="26737" xr:uid="{00000000-0005-0000-0000-0000B62A0000}"/>
    <cellStyle name="20% - Accent6 2 4 3 2 8" xfId="12579" xr:uid="{00000000-0005-0000-0000-0000B72A0000}"/>
    <cellStyle name="20% - Accent6 2 4 3 2 8 2" xfId="31980" xr:uid="{00000000-0005-0000-0000-0000B82A0000}"/>
    <cellStyle name="20% - Accent6 2 4 3 2 9" xfId="22282" xr:uid="{00000000-0005-0000-0000-0000B92A0000}"/>
    <cellStyle name="20% - Accent6 2 4 3 3" xfId="2098" xr:uid="{00000000-0005-0000-0000-0000BA2A0000}"/>
    <cellStyle name="20% - Accent6 2 4 3 3 2" xfId="3091" xr:uid="{00000000-0005-0000-0000-0000BB2A0000}"/>
    <cellStyle name="20% - Accent6 2 4 3 3 2 2" xfId="5360" xr:uid="{00000000-0005-0000-0000-0000BC2A0000}"/>
    <cellStyle name="20% - Accent6 2 4 3 3 2 2 2" xfId="9824" xr:uid="{00000000-0005-0000-0000-0000BD2A0000}"/>
    <cellStyle name="20% - Accent6 2 4 3 3 2 2 2 2" xfId="19820" xr:uid="{00000000-0005-0000-0000-0000BE2A0000}"/>
    <cellStyle name="20% - Accent6 2 4 3 3 2 2 2 2 2" xfId="39220" xr:uid="{00000000-0005-0000-0000-0000BF2A0000}"/>
    <cellStyle name="20% - Accent6 2 4 3 3 2 2 2 3" xfId="29522" xr:uid="{00000000-0005-0000-0000-0000C02A0000}"/>
    <cellStyle name="20% - Accent6 2 4 3 3 2 2 3" xfId="15365" xr:uid="{00000000-0005-0000-0000-0000C12A0000}"/>
    <cellStyle name="20% - Accent6 2 4 3 3 2 2 3 2" xfId="34765" xr:uid="{00000000-0005-0000-0000-0000C22A0000}"/>
    <cellStyle name="20% - Accent6 2 4 3 3 2 2 4" xfId="25067" xr:uid="{00000000-0005-0000-0000-0000C32A0000}"/>
    <cellStyle name="20% - Accent6 2 4 3 3 2 3" xfId="7596" xr:uid="{00000000-0005-0000-0000-0000C42A0000}"/>
    <cellStyle name="20% - Accent6 2 4 3 3 2 3 2" xfId="17592" xr:uid="{00000000-0005-0000-0000-0000C52A0000}"/>
    <cellStyle name="20% - Accent6 2 4 3 3 2 3 2 2" xfId="36992" xr:uid="{00000000-0005-0000-0000-0000C62A0000}"/>
    <cellStyle name="20% - Accent6 2 4 3 3 2 3 3" xfId="27294" xr:uid="{00000000-0005-0000-0000-0000C72A0000}"/>
    <cellStyle name="20% - Accent6 2 4 3 3 2 4" xfId="13137" xr:uid="{00000000-0005-0000-0000-0000C82A0000}"/>
    <cellStyle name="20% - Accent6 2 4 3 3 2 4 2" xfId="32537" xr:uid="{00000000-0005-0000-0000-0000C92A0000}"/>
    <cellStyle name="20% - Accent6 2 4 3 3 2 5" xfId="22839" xr:uid="{00000000-0005-0000-0000-0000CA2A0000}"/>
    <cellStyle name="20% - Accent6 2 4 3 3 3" xfId="3674" xr:uid="{00000000-0005-0000-0000-0000CB2A0000}"/>
    <cellStyle name="20% - Accent6 2 4 3 3 3 2" xfId="4804" xr:uid="{00000000-0005-0000-0000-0000CC2A0000}"/>
    <cellStyle name="20% - Accent6 2 4 3 3 3 2 2" xfId="9268" xr:uid="{00000000-0005-0000-0000-0000CD2A0000}"/>
    <cellStyle name="20% - Accent6 2 4 3 3 3 2 2 2" xfId="19264" xr:uid="{00000000-0005-0000-0000-0000CE2A0000}"/>
    <cellStyle name="20% - Accent6 2 4 3 3 3 2 2 2 2" xfId="38664" xr:uid="{00000000-0005-0000-0000-0000CF2A0000}"/>
    <cellStyle name="20% - Accent6 2 4 3 3 3 2 2 3" xfId="28966" xr:uid="{00000000-0005-0000-0000-0000D02A0000}"/>
    <cellStyle name="20% - Accent6 2 4 3 3 3 2 3" xfId="14809" xr:uid="{00000000-0005-0000-0000-0000D12A0000}"/>
    <cellStyle name="20% - Accent6 2 4 3 3 3 2 3 2" xfId="34209" xr:uid="{00000000-0005-0000-0000-0000D22A0000}"/>
    <cellStyle name="20% - Accent6 2 4 3 3 3 2 4" xfId="24511" xr:uid="{00000000-0005-0000-0000-0000D32A0000}"/>
    <cellStyle name="20% - Accent6 2 4 3 3 3 3" xfId="8153" xr:uid="{00000000-0005-0000-0000-0000D42A0000}"/>
    <cellStyle name="20% - Accent6 2 4 3 3 3 3 2" xfId="18149" xr:uid="{00000000-0005-0000-0000-0000D52A0000}"/>
    <cellStyle name="20% - Accent6 2 4 3 3 3 3 2 2" xfId="37549" xr:uid="{00000000-0005-0000-0000-0000D62A0000}"/>
    <cellStyle name="20% - Accent6 2 4 3 3 3 3 3" xfId="27851" xr:uid="{00000000-0005-0000-0000-0000D72A0000}"/>
    <cellStyle name="20% - Accent6 2 4 3 3 3 4" xfId="13694" xr:uid="{00000000-0005-0000-0000-0000D82A0000}"/>
    <cellStyle name="20% - Accent6 2 4 3 3 3 4 2" xfId="33094" xr:uid="{00000000-0005-0000-0000-0000D92A0000}"/>
    <cellStyle name="20% - Accent6 2 4 3 3 3 5" xfId="23396" xr:uid="{00000000-0005-0000-0000-0000DA2A0000}"/>
    <cellStyle name="20% - Accent6 2 4 3 3 4" xfId="4247" xr:uid="{00000000-0005-0000-0000-0000DB2A0000}"/>
    <cellStyle name="20% - Accent6 2 4 3 3 4 2" xfId="8711" xr:uid="{00000000-0005-0000-0000-0000DC2A0000}"/>
    <cellStyle name="20% - Accent6 2 4 3 3 4 2 2" xfId="18707" xr:uid="{00000000-0005-0000-0000-0000DD2A0000}"/>
    <cellStyle name="20% - Accent6 2 4 3 3 4 2 2 2" xfId="38107" xr:uid="{00000000-0005-0000-0000-0000DE2A0000}"/>
    <cellStyle name="20% - Accent6 2 4 3 3 4 2 3" xfId="28409" xr:uid="{00000000-0005-0000-0000-0000DF2A0000}"/>
    <cellStyle name="20% - Accent6 2 4 3 3 4 3" xfId="14252" xr:uid="{00000000-0005-0000-0000-0000E02A0000}"/>
    <cellStyle name="20% - Accent6 2 4 3 3 4 3 2" xfId="33652" xr:uid="{00000000-0005-0000-0000-0000E12A0000}"/>
    <cellStyle name="20% - Accent6 2 4 3 3 4 4" xfId="23954" xr:uid="{00000000-0005-0000-0000-0000E22A0000}"/>
    <cellStyle name="20% - Accent6 2 4 3 3 5" xfId="5917" xr:uid="{00000000-0005-0000-0000-0000E32A0000}"/>
    <cellStyle name="20% - Accent6 2 4 3 3 5 2" xfId="10381" xr:uid="{00000000-0005-0000-0000-0000E42A0000}"/>
    <cellStyle name="20% - Accent6 2 4 3 3 5 2 2" xfId="20377" xr:uid="{00000000-0005-0000-0000-0000E52A0000}"/>
    <cellStyle name="20% - Accent6 2 4 3 3 5 2 2 2" xfId="39777" xr:uid="{00000000-0005-0000-0000-0000E62A0000}"/>
    <cellStyle name="20% - Accent6 2 4 3 3 5 2 3" xfId="30079" xr:uid="{00000000-0005-0000-0000-0000E72A0000}"/>
    <cellStyle name="20% - Accent6 2 4 3 3 5 3" xfId="15922" xr:uid="{00000000-0005-0000-0000-0000E82A0000}"/>
    <cellStyle name="20% - Accent6 2 4 3 3 5 3 2" xfId="35322" xr:uid="{00000000-0005-0000-0000-0000E92A0000}"/>
    <cellStyle name="20% - Accent6 2 4 3 3 5 4" xfId="25624" xr:uid="{00000000-0005-0000-0000-0000EA2A0000}"/>
    <cellStyle name="20% - Accent6 2 4 3 3 6" xfId="6483" xr:uid="{00000000-0005-0000-0000-0000EB2A0000}"/>
    <cellStyle name="20% - Accent6 2 4 3 3 6 2" xfId="10938" xr:uid="{00000000-0005-0000-0000-0000EC2A0000}"/>
    <cellStyle name="20% - Accent6 2 4 3 3 6 2 2" xfId="20934" xr:uid="{00000000-0005-0000-0000-0000ED2A0000}"/>
    <cellStyle name="20% - Accent6 2 4 3 3 6 2 2 2" xfId="40334" xr:uid="{00000000-0005-0000-0000-0000EE2A0000}"/>
    <cellStyle name="20% - Accent6 2 4 3 3 6 2 3" xfId="30636" xr:uid="{00000000-0005-0000-0000-0000EF2A0000}"/>
    <cellStyle name="20% - Accent6 2 4 3 3 6 3" xfId="16479" xr:uid="{00000000-0005-0000-0000-0000F02A0000}"/>
    <cellStyle name="20% - Accent6 2 4 3 3 6 3 2" xfId="35879" xr:uid="{00000000-0005-0000-0000-0000F12A0000}"/>
    <cellStyle name="20% - Accent6 2 4 3 3 6 4" xfId="26181" xr:uid="{00000000-0005-0000-0000-0000F22A0000}"/>
    <cellStyle name="20% - Accent6 2 4 3 3 7" xfId="7040" xr:uid="{00000000-0005-0000-0000-0000F32A0000}"/>
    <cellStyle name="20% - Accent6 2 4 3 3 7 2" xfId="17036" xr:uid="{00000000-0005-0000-0000-0000F42A0000}"/>
    <cellStyle name="20% - Accent6 2 4 3 3 7 2 2" xfId="36436" xr:uid="{00000000-0005-0000-0000-0000F52A0000}"/>
    <cellStyle name="20% - Accent6 2 4 3 3 7 3" xfId="26738" xr:uid="{00000000-0005-0000-0000-0000F62A0000}"/>
    <cellStyle name="20% - Accent6 2 4 3 3 8" xfId="12580" xr:uid="{00000000-0005-0000-0000-0000F72A0000}"/>
    <cellStyle name="20% - Accent6 2 4 3 3 8 2" xfId="31981" xr:uid="{00000000-0005-0000-0000-0000F82A0000}"/>
    <cellStyle name="20% - Accent6 2 4 3 3 9" xfId="22283" xr:uid="{00000000-0005-0000-0000-0000F92A0000}"/>
    <cellStyle name="20% - Accent6 2 4 3 4" xfId="3089" xr:uid="{00000000-0005-0000-0000-0000FA2A0000}"/>
    <cellStyle name="20% - Accent6 2 4 3 4 2" xfId="5358" xr:uid="{00000000-0005-0000-0000-0000FB2A0000}"/>
    <cellStyle name="20% - Accent6 2 4 3 4 2 2" xfId="9822" xr:uid="{00000000-0005-0000-0000-0000FC2A0000}"/>
    <cellStyle name="20% - Accent6 2 4 3 4 2 2 2" xfId="19818" xr:uid="{00000000-0005-0000-0000-0000FD2A0000}"/>
    <cellStyle name="20% - Accent6 2 4 3 4 2 2 2 2" xfId="39218" xr:uid="{00000000-0005-0000-0000-0000FE2A0000}"/>
    <cellStyle name="20% - Accent6 2 4 3 4 2 2 3" xfId="29520" xr:uid="{00000000-0005-0000-0000-0000FF2A0000}"/>
    <cellStyle name="20% - Accent6 2 4 3 4 2 3" xfId="15363" xr:uid="{00000000-0005-0000-0000-0000002B0000}"/>
    <cellStyle name="20% - Accent6 2 4 3 4 2 3 2" xfId="34763" xr:uid="{00000000-0005-0000-0000-0000012B0000}"/>
    <cellStyle name="20% - Accent6 2 4 3 4 2 4" xfId="25065" xr:uid="{00000000-0005-0000-0000-0000022B0000}"/>
    <cellStyle name="20% - Accent6 2 4 3 4 3" xfId="7594" xr:uid="{00000000-0005-0000-0000-0000032B0000}"/>
    <cellStyle name="20% - Accent6 2 4 3 4 3 2" xfId="17590" xr:uid="{00000000-0005-0000-0000-0000042B0000}"/>
    <cellStyle name="20% - Accent6 2 4 3 4 3 2 2" xfId="36990" xr:uid="{00000000-0005-0000-0000-0000052B0000}"/>
    <cellStyle name="20% - Accent6 2 4 3 4 3 3" xfId="27292" xr:uid="{00000000-0005-0000-0000-0000062B0000}"/>
    <cellStyle name="20% - Accent6 2 4 3 4 4" xfId="13135" xr:uid="{00000000-0005-0000-0000-0000072B0000}"/>
    <cellStyle name="20% - Accent6 2 4 3 4 4 2" xfId="32535" xr:uid="{00000000-0005-0000-0000-0000082B0000}"/>
    <cellStyle name="20% - Accent6 2 4 3 4 5" xfId="22837" xr:uid="{00000000-0005-0000-0000-0000092B0000}"/>
    <cellStyle name="20% - Accent6 2 4 3 5" xfId="3672" xr:uid="{00000000-0005-0000-0000-00000A2B0000}"/>
    <cellStyle name="20% - Accent6 2 4 3 5 2" xfId="4802" xr:uid="{00000000-0005-0000-0000-00000B2B0000}"/>
    <cellStyle name="20% - Accent6 2 4 3 5 2 2" xfId="9266" xr:uid="{00000000-0005-0000-0000-00000C2B0000}"/>
    <cellStyle name="20% - Accent6 2 4 3 5 2 2 2" xfId="19262" xr:uid="{00000000-0005-0000-0000-00000D2B0000}"/>
    <cellStyle name="20% - Accent6 2 4 3 5 2 2 2 2" xfId="38662" xr:uid="{00000000-0005-0000-0000-00000E2B0000}"/>
    <cellStyle name="20% - Accent6 2 4 3 5 2 2 3" xfId="28964" xr:uid="{00000000-0005-0000-0000-00000F2B0000}"/>
    <cellStyle name="20% - Accent6 2 4 3 5 2 3" xfId="14807" xr:uid="{00000000-0005-0000-0000-0000102B0000}"/>
    <cellStyle name="20% - Accent6 2 4 3 5 2 3 2" xfId="34207" xr:uid="{00000000-0005-0000-0000-0000112B0000}"/>
    <cellStyle name="20% - Accent6 2 4 3 5 2 4" xfId="24509" xr:uid="{00000000-0005-0000-0000-0000122B0000}"/>
    <cellStyle name="20% - Accent6 2 4 3 5 3" xfId="8151" xr:uid="{00000000-0005-0000-0000-0000132B0000}"/>
    <cellStyle name="20% - Accent6 2 4 3 5 3 2" xfId="18147" xr:uid="{00000000-0005-0000-0000-0000142B0000}"/>
    <cellStyle name="20% - Accent6 2 4 3 5 3 2 2" xfId="37547" xr:uid="{00000000-0005-0000-0000-0000152B0000}"/>
    <cellStyle name="20% - Accent6 2 4 3 5 3 3" xfId="27849" xr:uid="{00000000-0005-0000-0000-0000162B0000}"/>
    <cellStyle name="20% - Accent6 2 4 3 5 4" xfId="13692" xr:uid="{00000000-0005-0000-0000-0000172B0000}"/>
    <cellStyle name="20% - Accent6 2 4 3 5 4 2" xfId="33092" xr:uid="{00000000-0005-0000-0000-0000182B0000}"/>
    <cellStyle name="20% - Accent6 2 4 3 5 5" xfId="23394" xr:uid="{00000000-0005-0000-0000-0000192B0000}"/>
    <cellStyle name="20% - Accent6 2 4 3 6" xfId="4245" xr:uid="{00000000-0005-0000-0000-00001A2B0000}"/>
    <cellStyle name="20% - Accent6 2 4 3 6 2" xfId="8709" xr:uid="{00000000-0005-0000-0000-00001B2B0000}"/>
    <cellStyle name="20% - Accent6 2 4 3 6 2 2" xfId="18705" xr:uid="{00000000-0005-0000-0000-00001C2B0000}"/>
    <cellStyle name="20% - Accent6 2 4 3 6 2 2 2" xfId="38105" xr:uid="{00000000-0005-0000-0000-00001D2B0000}"/>
    <cellStyle name="20% - Accent6 2 4 3 6 2 3" xfId="28407" xr:uid="{00000000-0005-0000-0000-00001E2B0000}"/>
    <cellStyle name="20% - Accent6 2 4 3 6 3" xfId="14250" xr:uid="{00000000-0005-0000-0000-00001F2B0000}"/>
    <cellStyle name="20% - Accent6 2 4 3 6 3 2" xfId="33650" xr:uid="{00000000-0005-0000-0000-0000202B0000}"/>
    <cellStyle name="20% - Accent6 2 4 3 6 4" xfId="23952" xr:uid="{00000000-0005-0000-0000-0000212B0000}"/>
    <cellStyle name="20% - Accent6 2 4 3 7" xfId="5915" xr:uid="{00000000-0005-0000-0000-0000222B0000}"/>
    <cellStyle name="20% - Accent6 2 4 3 7 2" xfId="10379" xr:uid="{00000000-0005-0000-0000-0000232B0000}"/>
    <cellStyle name="20% - Accent6 2 4 3 7 2 2" xfId="20375" xr:uid="{00000000-0005-0000-0000-0000242B0000}"/>
    <cellStyle name="20% - Accent6 2 4 3 7 2 2 2" xfId="39775" xr:uid="{00000000-0005-0000-0000-0000252B0000}"/>
    <cellStyle name="20% - Accent6 2 4 3 7 2 3" xfId="30077" xr:uid="{00000000-0005-0000-0000-0000262B0000}"/>
    <cellStyle name="20% - Accent6 2 4 3 7 3" xfId="15920" xr:uid="{00000000-0005-0000-0000-0000272B0000}"/>
    <cellStyle name="20% - Accent6 2 4 3 7 3 2" xfId="35320" xr:uid="{00000000-0005-0000-0000-0000282B0000}"/>
    <cellStyle name="20% - Accent6 2 4 3 7 4" xfId="25622" xr:uid="{00000000-0005-0000-0000-0000292B0000}"/>
    <cellStyle name="20% - Accent6 2 4 3 8" xfId="6481" xr:uid="{00000000-0005-0000-0000-00002A2B0000}"/>
    <cellStyle name="20% - Accent6 2 4 3 8 2" xfId="10936" xr:uid="{00000000-0005-0000-0000-00002B2B0000}"/>
    <cellStyle name="20% - Accent6 2 4 3 8 2 2" xfId="20932" xr:uid="{00000000-0005-0000-0000-00002C2B0000}"/>
    <cellStyle name="20% - Accent6 2 4 3 8 2 2 2" xfId="40332" xr:uid="{00000000-0005-0000-0000-00002D2B0000}"/>
    <cellStyle name="20% - Accent6 2 4 3 8 2 3" xfId="30634" xr:uid="{00000000-0005-0000-0000-00002E2B0000}"/>
    <cellStyle name="20% - Accent6 2 4 3 8 3" xfId="16477" xr:uid="{00000000-0005-0000-0000-00002F2B0000}"/>
    <cellStyle name="20% - Accent6 2 4 3 8 3 2" xfId="35877" xr:uid="{00000000-0005-0000-0000-0000302B0000}"/>
    <cellStyle name="20% - Accent6 2 4 3 8 4" xfId="26179" xr:uid="{00000000-0005-0000-0000-0000312B0000}"/>
    <cellStyle name="20% - Accent6 2 4 3 9" xfId="7038" xr:uid="{00000000-0005-0000-0000-0000322B0000}"/>
    <cellStyle name="20% - Accent6 2 4 3 9 2" xfId="17034" xr:uid="{00000000-0005-0000-0000-0000332B0000}"/>
    <cellStyle name="20% - Accent6 2 4 3 9 2 2" xfId="36434" xr:uid="{00000000-0005-0000-0000-0000342B0000}"/>
    <cellStyle name="20% - Accent6 2 4 3 9 3" xfId="26736" xr:uid="{00000000-0005-0000-0000-0000352B0000}"/>
    <cellStyle name="20% - Accent6 2 4 4" xfId="2099" xr:uid="{00000000-0005-0000-0000-0000362B0000}"/>
    <cellStyle name="20% - Accent6 2 4 4 2" xfId="3092" xr:uid="{00000000-0005-0000-0000-0000372B0000}"/>
    <cellStyle name="20% - Accent6 2 4 4 2 2" xfId="5361" xr:uid="{00000000-0005-0000-0000-0000382B0000}"/>
    <cellStyle name="20% - Accent6 2 4 4 2 2 2" xfId="9825" xr:uid="{00000000-0005-0000-0000-0000392B0000}"/>
    <cellStyle name="20% - Accent6 2 4 4 2 2 2 2" xfId="19821" xr:uid="{00000000-0005-0000-0000-00003A2B0000}"/>
    <cellStyle name="20% - Accent6 2 4 4 2 2 2 2 2" xfId="39221" xr:uid="{00000000-0005-0000-0000-00003B2B0000}"/>
    <cellStyle name="20% - Accent6 2 4 4 2 2 2 3" xfId="29523" xr:uid="{00000000-0005-0000-0000-00003C2B0000}"/>
    <cellStyle name="20% - Accent6 2 4 4 2 2 3" xfId="15366" xr:uid="{00000000-0005-0000-0000-00003D2B0000}"/>
    <cellStyle name="20% - Accent6 2 4 4 2 2 3 2" xfId="34766" xr:uid="{00000000-0005-0000-0000-00003E2B0000}"/>
    <cellStyle name="20% - Accent6 2 4 4 2 2 4" xfId="25068" xr:uid="{00000000-0005-0000-0000-00003F2B0000}"/>
    <cellStyle name="20% - Accent6 2 4 4 2 3" xfId="7597" xr:uid="{00000000-0005-0000-0000-0000402B0000}"/>
    <cellStyle name="20% - Accent6 2 4 4 2 3 2" xfId="17593" xr:uid="{00000000-0005-0000-0000-0000412B0000}"/>
    <cellStyle name="20% - Accent6 2 4 4 2 3 2 2" xfId="36993" xr:uid="{00000000-0005-0000-0000-0000422B0000}"/>
    <cellStyle name="20% - Accent6 2 4 4 2 3 3" xfId="27295" xr:uid="{00000000-0005-0000-0000-0000432B0000}"/>
    <cellStyle name="20% - Accent6 2 4 4 2 4" xfId="13138" xr:uid="{00000000-0005-0000-0000-0000442B0000}"/>
    <cellStyle name="20% - Accent6 2 4 4 2 4 2" xfId="32538" xr:uid="{00000000-0005-0000-0000-0000452B0000}"/>
    <cellStyle name="20% - Accent6 2 4 4 2 5" xfId="22840" xr:uid="{00000000-0005-0000-0000-0000462B0000}"/>
    <cellStyle name="20% - Accent6 2 4 4 3" xfId="3675" xr:uid="{00000000-0005-0000-0000-0000472B0000}"/>
    <cellStyle name="20% - Accent6 2 4 4 3 2" xfId="4805" xr:uid="{00000000-0005-0000-0000-0000482B0000}"/>
    <cellStyle name="20% - Accent6 2 4 4 3 2 2" xfId="9269" xr:uid="{00000000-0005-0000-0000-0000492B0000}"/>
    <cellStyle name="20% - Accent6 2 4 4 3 2 2 2" xfId="19265" xr:uid="{00000000-0005-0000-0000-00004A2B0000}"/>
    <cellStyle name="20% - Accent6 2 4 4 3 2 2 2 2" xfId="38665" xr:uid="{00000000-0005-0000-0000-00004B2B0000}"/>
    <cellStyle name="20% - Accent6 2 4 4 3 2 2 3" xfId="28967" xr:uid="{00000000-0005-0000-0000-00004C2B0000}"/>
    <cellStyle name="20% - Accent6 2 4 4 3 2 3" xfId="14810" xr:uid="{00000000-0005-0000-0000-00004D2B0000}"/>
    <cellStyle name="20% - Accent6 2 4 4 3 2 3 2" xfId="34210" xr:uid="{00000000-0005-0000-0000-00004E2B0000}"/>
    <cellStyle name="20% - Accent6 2 4 4 3 2 4" xfId="24512" xr:uid="{00000000-0005-0000-0000-00004F2B0000}"/>
    <cellStyle name="20% - Accent6 2 4 4 3 3" xfId="8154" xr:uid="{00000000-0005-0000-0000-0000502B0000}"/>
    <cellStyle name="20% - Accent6 2 4 4 3 3 2" xfId="18150" xr:uid="{00000000-0005-0000-0000-0000512B0000}"/>
    <cellStyle name="20% - Accent6 2 4 4 3 3 2 2" xfId="37550" xr:uid="{00000000-0005-0000-0000-0000522B0000}"/>
    <cellStyle name="20% - Accent6 2 4 4 3 3 3" xfId="27852" xr:uid="{00000000-0005-0000-0000-0000532B0000}"/>
    <cellStyle name="20% - Accent6 2 4 4 3 4" xfId="13695" xr:uid="{00000000-0005-0000-0000-0000542B0000}"/>
    <cellStyle name="20% - Accent6 2 4 4 3 4 2" xfId="33095" xr:uid="{00000000-0005-0000-0000-0000552B0000}"/>
    <cellStyle name="20% - Accent6 2 4 4 3 5" xfId="23397" xr:uid="{00000000-0005-0000-0000-0000562B0000}"/>
    <cellStyle name="20% - Accent6 2 4 4 4" xfId="4248" xr:uid="{00000000-0005-0000-0000-0000572B0000}"/>
    <cellStyle name="20% - Accent6 2 4 4 4 2" xfId="8712" xr:uid="{00000000-0005-0000-0000-0000582B0000}"/>
    <cellStyle name="20% - Accent6 2 4 4 4 2 2" xfId="18708" xr:uid="{00000000-0005-0000-0000-0000592B0000}"/>
    <cellStyle name="20% - Accent6 2 4 4 4 2 2 2" xfId="38108" xr:uid="{00000000-0005-0000-0000-00005A2B0000}"/>
    <cellStyle name="20% - Accent6 2 4 4 4 2 3" xfId="28410" xr:uid="{00000000-0005-0000-0000-00005B2B0000}"/>
    <cellStyle name="20% - Accent6 2 4 4 4 3" xfId="14253" xr:uid="{00000000-0005-0000-0000-00005C2B0000}"/>
    <cellStyle name="20% - Accent6 2 4 4 4 3 2" xfId="33653" xr:uid="{00000000-0005-0000-0000-00005D2B0000}"/>
    <cellStyle name="20% - Accent6 2 4 4 4 4" xfId="23955" xr:uid="{00000000-0005-0000-0000-00005E2B0000}"/>
    <cellStyle name="20% - Accent6 2 4 4 5" xfId="5918" xr:uid="{00000000-0005-0000-0000-00005F2B0000}"/>
    <cellStyle name="20% - Accent6 2 4 4 5 2" xfId="10382" xr:uid="{00000000-0005-0000-0000-0000602B0000}"/>
    <cellStyle name="20% - Accent6 2 4 4 5 2 2" xfId="20378" xr:uid="{00000000-0005-0000-0000-0000612B0000}"/>
    <cellStyle name="20% - Accent6 2 4 4 5 2 2 2" xfId="39778" xr:uid="{00000000-0005-0000-0000-0000622B0000}"/>
    <cellStyle name="20% - Accent6 2 4 4 5 2 3" xfId="30080" xr:uid="{00000000-0005-0000-0000-0000632B0000}"/>
    <cellStyle name="20% - Accent6 2 4 4 5 3" xfId="15923" xr:uid="{00000000-0005-0000-0000-0000642B0000}"/>
    <cellStyle name="20% - Accent6 2 4 4 5 3 2" xfId="35323" xr:uid="{00000000-0005-0000-0000-0000652B0000}"/>
    <cellStyle name="20% - Accent6 2 4 4 5 4" xfId="25625" xr:uid="{00000000-0005-0000-0000-0000662B0000}"/>
    <cellStyle name="20% - Accent6 2 4 4 6" xfId="6484" xr:uid="{00000000-0005-0000-0000-0000672B0000}"/>
    <cellStyle name="20% - Accent6 2 4 4 6 2" xfId="10939" xr:uid="{00000000-0005-0000-0000-0000682B0000}"/>
    <cellStyle name="20% - Accent6 2 4 4 6 2 2" xfId="20935" xr:uid="{00000000-0005-0000-0000-0000692B0000}"/>
    <cellStyle name="20% - Accent6 2 4 4 6 2 2 2" xfId="40335" xr:uid="{00000000-0005-0000-0000-00006A2B0000}"/>
    <cellStyle name="20% - Accent6 2 4 4 6 2 3" xfId="30637" xr:uid="{00000000-0005-0000-0000-00006B2B0000}"/>
    <cellStyle name="20% - Accent6 2 4 4 6 3" xfId="16480" xr:uid="{00000000-0005-0000-0000-00006C2B0000}"/>
    <cellStyle name="20% - Accent6 2 4 4 6 3 2" xfId="35880" xr:uid="{00000000-0005-0000-0000-00006D2B0000}"/>
    <cellStyle name="20% - Accent6 2 4 4 6 4" xfId="26182" xr:uid="{00000000-0005-0000-0000-00006E2B0000}"/>
    <cellStyle name="20% - Accent6 2 4 4 7" xfId="7041" xr:uid="{00000000-0005-0000-0000-00006F2B0000}"/>
    <cellStyle name="20% - Accent6 2 4 4 7 2" xfId="17037" xr:uid="{00000000-0005-0000-0000-0000702B0000}"/>
    <cellStyle name="20% - Accent6 2 4 4 7 2 2" xfId="36437" xr:uid="{00000000-0005-0000-0000-0000712B0000}"/>
    <cellStyle name="20% - Accent6 2 4 4 7 3" xfId="26739" xr:uid="{00000000-0005-0000-0000-0000722B0000}"/>
    <cellStyle name="20% - Accent6 2 4 4 8" xfId="12581" xr:uid="{00000000-0005-0000-0000-0000732B0000}"/>
    <cellStyle name="20% - Accent6 2 4 4 8 2" xfId="31982" xr:uid="{00000000-0005-0000-0000-0000742B0000}"/>
    <cellStyle name="20% - Accent6 2 4 4 9" xfId="22284" xr:uid="{00000000-0005-0000-0000-0000752B0000}"/>
    <cellStyle name="20% - Accent6 2 4 5" xfId="2100" xr:uid="{00000000-0005-0000-0000-0000762B0000}"/>
    <cellStyle name="20% - Accent6 2 4 5 2" xfId="3093" xr:uid="{00000000-0005-0000-0000-0000772B0000}"/>
    <cellStyle name="20% - Accent6 2 4 5 2 2" xfId="5362" xr:uid="{00000000-0005-0000-0000-0000782B0000}"/>
    <cellStyle name="20% - Accent6 2 4 5 2 2 2" xfId="9826" xr:uid="{00000000-0005-0000-0000-0000792B0000}"/>
    <cellStyle name="20% - Accent6 2 4 5 2 2 2 2" xfId="19822" xr:uid="{00000000-0005-0000-0000-00007A2B0000}"/>
    <cellStyle name="20% - Accent6 2 4 5 2 2 2 2 2" xfId="39222" xr:uid="{00000000-0005-0000-0000-00007B2B0000}"/>
    <cellStyle name="20% - Accent6 2 4 5 2 2 2 3" xfId="29524" xr:uid="{00000000-0005-0000-0000-00007C2B0000}"/>
    <cellStyle name="20% - Accent6 2 4 5 2 2 3" xfId="15367" xr:uid="{00000000-0005-0000-0000-00007D2B0000}"/>
    <cellStyle name="20% - Accent6 2 4 5 2 2 3 2" xfId="34767" xr:uid="{00000000-0005-0000-0000-00007E2B0000}"/>
    <cellStyle name="20% - Accent6 2 4 5 2 2 4" xfId="25069" xr:uid="{00000000-0005-0000-0000-00007F2B0000}"/>
    <cellStyle name="20% - Accent6 2 4 5 2 3" xfId="7598" xr:uid="{00000000-0005-0000-0000-0000802B0000}"/>
    <cellStyle name="20% - Accent6 2 4 5 2 3 2" xfId="17594" xr:uid="{00000000-0005-0000-0000-0000812B0000}"/>
    <cellStyle name="20% - Accent6 2 4 5 2 3 2 2" xfId="36994" xr:uid="{00000000-0005-0000-0000-0000822B0000}"/>
    <cellStyle name="20% - Accent6 2 4 5 2 3 3" xfId="27296" xr:uid="{00000000-0005-0000-0000-0000832B0000}"/>
    <cellStyle name="20% - Accent6 2 4 5 2 4" xfId="13139" xr:uid="{00000000-0005-0000-0000-0000842B0000}"/>
    <cellStyle name="20% - Accent6 2 4 5 2 4 2" xfId="32539" xr:uid="{00000000-0005-0000-0000-0000852B0000}"/>
    <cellStyle name="20% - Accent6 2 4 5 2 5" xfId="22841" xr:uid="{00000000-0005-0000-0000-0000862B0000}"/>
    <cellStyle name="20% - Accent6 2 4 5 3" xfId="3676" xr:uid="{00000000-0005-0000-0000-0000872B0000}"/>
    <cellStyle name="20% - Accent6 2 4 5 3 2" xfId="4806" xr:uid="{00000000-0005-0000-0000-0000882B0000}"/>
    <cellStyle name="20% - Accent6 2 4 5 3 2 2" xfId="9270" xr:uid="{00000000-0005-0000-0000-0000892B0000}"/>
    <cellStyle name="20% - Accent6 2 4 5 3 2 2 2" xfId="19266" xr:uid="{00000000-0005-0000-0000-00008A2B0000}"/>
    <cellStyle name="20% - Accent6 2 4 5 3 2 2 2 2" xfId="38666" xr:uid="{00000000-0005-0000-0000-00008B2B0000}"/>
    <cellStyle name="20% - Accent6 2 4 5 3 2 2 3" xfId="28968" xr:uid="{00000000-0005-0000-0000-00008C2B0000}"/>
    <cellStyle name="20% - Accent6 2 4 5 3 2 3" xfId="14811" xr:uid="{00000000-0005-0000-0000-00008D2B0000}"/>
    <cellStyle name="20% - Accent6 2 4 5 3 2 3 2" xfId="34211" xr:uid="{00000000-0005-0000-0000-00008E2B0000}"/>
    <cellStyle name="20% - Accent6 2 4 5 3 2 4" xfId="24513" xr:uid="{00000000-0005-0000-0000-00008F2B0000}"/>
    <cellStyle name="20% - Accent6 2 4 5 3 3" xfId="8155" xr:uid="{00000000-0005-0000-0000-0000902B0000}"/>
    <cellStyle name="20% - Accent6 2 4 5 3 3 2" xfId="18151" xr:uid="{00000000-0005-0000-0000-0000912B0000}"/>
    <cellStyle name="20% - Accent6 2 4 5 3 3 2 2" xfId="37551" xr:uid="{00000000-0005-0000-0000-0000922B0000}"/>
    <cellStyle name="20% - Accent6 2 4 5 3 3 3" xfId="27853" xr:uid="{00000000-0005-0000-0000-0000932B0000}"/>
    <cellStyle name="20% - Accent6 2 4 5 3 4" xfId="13696" xr:uid="{00000000-0005-0000-0000-0000942B0000}"/>
    <cellStyle name="20% - Accent6 2 4 5 3 4 2" xfId="33096" xr:uid="{00000000-0005-0000-0000-0000952B0000}"/>
    <cellStyle name="20% - Accent6 2 4 5 3 5" xfId="23398" xr:uid="{00000000-0005-0000-0000-0000962B0000}"/>
    <cellStyle name="20% - Accent6 2 4 5 4" xfId="4249" xr:uid="{00000000-0005-0000-0000-0000972B0000}"/>
    <cellStyle name="20% - Accent6 2 4 5 4 2" xfId="8713" xr:uid="{00000000-0005-0000-0000-0000982B0000}"/>
    <cellStyle name="20% - Accent6 2 4 5 4 2 2" xfId="18709" xr:uid="{00000000-0005-0000-0000-0000992B0000}"/>
    <cellStyle name="20% - Accent6 2 4 5 4 2 2 2" xfId="38109" xr:uid="{00000000-0005-0000-0000-00009A2B0000}"/>
    <cellStyle name="20% - Accent6 2 4 5 4 2 3" xfId="28411" xr:uid="{00000000-0005-0000-0000-00009B2B0000}"/>
    <cellStyle name="20% - Accent6 2 4 5 4 3" xfId="14254" xr:uid="{00000000-0005-0000-0000-00009C2B0000}"/>
    <cellStyle name="20% - Accent6 2 4 5 4 3 2" xfId="33654" xr:uid="{00000000-0005-0000-0000-00009D2B0000}"/>
    <cellStyle name="20% - Accent6 2 4 5 4 4" xfId="23956" xr:uid="{00000000-0005-0000-0000-00009E2B0000}"/>
    <cellStyle name="20% - Accent6 2 4 5 5" xfId="5919" xr:uid="{00000000-0005-0000-0000-00009F2B0000}"/>
    <cellStyle name="20% - Accent6 2 4 5 5 2" xfId="10383" xr:uid="{00000000-0005-0000-0000-0000A02B0000}"/>
    <cellStyle name="20% - Accent6 2 4 5 5 2 2" xfId="20379" xr:uid="{00000000-0005-0000-0000-0000A12B0000}"/>
    <cellStyle name="20% - Accent6 2 4 5 5 2 2 2" xfId="39779" xr:uid="{00000000-0005-0000-0000-0000A22B0000}"/>
    <cellStyle name="20% - Accent6 2 4 5 5 2 3" xfId="30081" xr:uid="{00000000-0005-0000-0000-0000A32B0000}"/>
    <cellStyle name="20% - Accent6 2 4 5 5 3" xfId="15924" xr:uid="{00000000-0005-0000-0000-0000A42B0000}"/>
    <cellStyle name="20% - Accent6 2 4 5 5 3 2" xfId="35324" xr:uid="{00000000-0005-0000-0000-0000A52B0000}"/>
    <cellStyle name="20% - Accent6 2 4 5 5 4" xfId="25626" xr:uid="{00000000-0005-0000-0000-0000A62B0000}"/>
    <cellStyle name="20% - Accent6 2 4 5 6" xfId="6485" xr:uid="{00000000-0005-0000-0000-0000A72B0000}"/>
    <cellStyle name="20% - Accent6 2 4 5 6 2" xfId="10940" xr:uid="{00000000-0005-0000-0000-0000A82B0000}"/>
    <cellStyle name="20% - Accent6 2 4 5 6 2 2" xfId="20936" xr:uid="{00000000-0005-0000-0000-0000A92B0000}"/>
    <cellStyle name="20% - Accent6 2 4 5 6 2 2 2" xfId="40336" xr:uid="{00000000-0005-0000-0000-0000AA2B0000}"/>
    <cellStyle name="20% - Accent6 2 4 5 6 2 3" xfId="30638" xr:uid="{00000000-0005-0000-0000-0000AB2B0000}"/>
    <cellStyle name="20% - Accent6 2 4 5 6 3" xfId="16481" xr:uid="{00000000-0005-0000-0000-0000AC2B0000}"/>
    <cellStyle name="20% - Accent6 2 4 5 6 3 2" xfId="35881" xr:uid="{00000000-0005-0000-0000-0000AD2B0000}"/>
    <cellStyle name="20% - Accent6 2 4 5 6 4" xfId="26183" xr:uid="{00000000-0005-0000-0000-0000AE2B0000}"/>
    <cellStyle name="20% - Accent6 2 4 5 7" xfId="7042" xr:uid="{00000000-0005-0000-0000-0000AF2B0000}"/>
    <cellStyle name="20% - Accent6 2 4 5 7 2" xfId="17038" xr:uid="{00000000-0005-0000-0000-0000B02B0000}"/>
    <cellStyle name="20% - Accent6 2 4 5 7 2 2" xfId="36438" xr:uid="{00000000-0005-0000-0000-0000B12B0000}"/>
    <cellStyle name="20% - Accent6 2 4 5 7 3" xfId="26740" xr:uid="{00000000-0005-0000-0000-0000B22B0000}"/>
    <cellStyle name="20% - Accent6 2 4 5 8" xfId="12582" xr:uid="{00000000-0005-0000-0000-0000B32B0000}"/>
    <cellStyle name="20% - Accent6 2 4 5 8 2" xfId="31983" xr:uid="{00000000-0005-0000-0000-0000B42B0000}"/>
    <cellStyle name="20% - Accent6 2 4 5 9" xfId="22285" xr:uid="{00000000-0005-0000-0000-0000B52B0000}"/>
    <cellStyle name="20% - Accent6 2 5" xfId="1200" xr:uid="{00000000-0005-0000-0000-0000B62B0000}"/>
    <cellStyle name="20% - Accent6 2 5 2" xfId="2101" xr:uid="{00000000-0005-0000-0000-0000B72B0000}"/>
    <cellStyle name="20% - Accent6 2 5 2 10" xfId="12583" xr:uid="{00000000-0005-0000-0000-0000B82B0000}"/>
    <cellStyle name="20% - Accent6 2 5 2 10 2" xfId="31984" xr:uid="{00000000-0005-0000-0000-0000B92B0000}"/>
    <cellStyle name="20% - Accent6 2 5 2 11" xfId="22286" xr:uid="{00000000-0005-0000-0000-0000BA2B0000}"/>
    <cellStyle name="20% - Accent6 2 5 2 2" xfId="2102" xr:uid="{00000000-0005-0000-0000-0000BB2B0000}"/>
    <cellStyle name="20% - Accent6 2 5 2 2 2" xfId="3095" xr:uid="{00000000-0005-0000-0000-0000BC2B0000}"/>
    <cellStyle name="20% - Accent6 2 5 2 2 2 2" xfId="5364" xr:uid="{00000000-0005-0000-0000-0000BD2B0000}"/>
    <cellStyle name="20% - Accent6 2 5 2 2 2 2 2" xfId="9828" xr:uid="{00000000-0005-0000-0000-0000BE2B0000}"/>
    <cellStyle name="20% - Accent6 2 5 2 2 2 2 2 2" xfId="19824" xr:uid="{00000000-0005-0000-0000-0000BF2B0000}"/>
    <cellStyle name="20% - Accent6 2 5 2 2 2 2 2 2 2" xfId="39224" xr:uid="{00000000-0005-0000-0000-0000C02B0000}"/>
    <cellStyle name="20% - Accent6 2 5 2 2 2 2 2 3" xfId="29526" xr:uid="{00000000-0005-0000-0000-0000C12B0000}"/>
    <cellStyle name="20% - Accent6 2 5 2 2 2 2 3" xfId="15369" xr:uid="{00000000-0005-0000-0000-0000C22B0000}"/>
    <cellStyle name="20% - Accent6 2 5 2 2 2 2 3 2" xfId="34769" xr:uid="{00000000-0005-0000-0000-0000C32B0000}"/>
    <cellStyle name="20% - Accent6 2 5 2 2 2 2 4" xfId="25071" xr:uid="{00000000-0005-0000-0000-0000C42B0000}"/>
    <cellStyle name="20% - Accent6 2 5 2 2 2 3" xfId="7600" xr:uid="{00000000-0005-0000-0000-0000C52B0000}"/>
    <cellStyle name="20% - Accent6 2 5 2 2 2 3 2" xfId="17596" xr:uid="{00000000-0005-0000-0000-0000C62B0000}"/>
    <cellStyle name="20% - Accent6 2 5 2 2 2 3 2 2" xfId="36996" xr:uid="{00000000-0005-0000-0000-0000C72B0000}"/>
    <cellStyle name="20% - Accent6 2 5 2 2 2 3 3" xfId="27298" xr:uid="{00000000-0005-0000-0000-0000C82B0000}"/>
    <cellStyle name="20% - Accent6 2 5 2 2 2 4" xfId="13141" xr:uid="{00000000-0005-0000-0000-0000C92B0000}"/>
    <cellStyle name="20% - Accent6 2 5 2 2 2 4 2" xfId="32541" xr:uid="{00000000-0005-0000-0000-0000CA2B0000}"/>
    <cellStyle name="20% - Accent6 2 5 2 2 2 5" xfId="22843" xr:uid="{00000000-0005-0000-0000-0000CB2B0000}"/>
    <cellStyle name="20% - Accent6 2 5 2 2 3" xfId="3678" xr:uid="{00000000-0005-0000-0000-0000CC2B0000}"/>
    <cellStyle name="20% - Accent6 2 5 2 2 3 2" xfId="4808" xr:uid="{00000000-0005-0000-0000-0000CD2B0000}"/>
    <cellStyle name="20% - Accent6 2 5 2 2 3 2 2" xfId="9272" xr:uid="{00000000-0005-0000-0000-0000CE2B0000}"/>
    <cellStyle name="20% - Accent6 2 5 2 2 3 2 2 2" xfId="19268" xr:uid="{00000000-0005-0000-0000-0000CF2B0000}"/>
    <cellStyle name="20% - Accent6 2 5 2 2 3 2 2 2 2" xfId="38668" xr:uid="{00000000-0005-0000-0000-0000D02B0000}"/>
    <cellStyle name="20% - Accent6 2 5 2 2 3 2 2 3" xfId="28970" xr:uid="{00000000-0005-0000-0000-0000D12B0000}"/>
    <cellStyle name="20% - Accent6 2 5 2 2 3 2 3" xfId="14813" xr:uid="{00000000-0005-0000-0000-0000D22B0000}"/>
    <cellStyle name="20% - Accent6 2 5 2 2 3 2 3 2" xfId="34213" xr:uid="{00000000-0005-0000-0000-0000D32B0000}"/>
    <cellStyle name="20% - Accent6 2 5 2 2 3 2 4" xfId="24515" xr:uid="{00000000-0005-0000-0000-0000D42B0000}"/>
    <cellStyle name="20% - Accent6 2 5 2 2 3 3" xfId="8157" xr:uid="{00000000-0005-0000-0000-0000D52B0000}"/>
    <cellStyle name="20% - Accent6 2 5 2 2 3 3 2" xfId="18153" xr:uid="{00000000-0005-0000-0000-0000D62B0000}"/>
    <cellStyle name="20% - Accent6 2 5 2 2 3 3 2 2" xfId="37553" xr:uid="{00000000-0005-0000-0000-0000D72B0000}"/>
    <cellStyle name="20% - Accent6 2 5 2 2 3 3 3" xfId="27855" xr:uid="{00000000-0005-0000-0000-0000D82B0000}"/>
    <cellStyle name="20% - Accent6 2 5 2 2 3 4" xfId="13698" xr:uid="{00000000-0005-0000-0000-0000D92B0000}"/>
    <cellStyle name="20% - Accent6 2 5 2 2 3 4 2" xfId="33098" xr:uid="{00000000-0005-0000-0000-0000DA2B0000}"/>
    <cellStyle name="20% - Accent6 2 5 2 2 3 5" xfId="23400" xr:uid="{00000000-0005-0000-0000-0000DB2B0000}"/>
    <cellStyle name="20% - Accent6 2 5 2 2 4" xfId="4251" xr:uid="{00000000-0005-0000-0000-0000DC2B0000}"/>
    <cellStyle name="20% - Accent6 2 5 2 2 4 2" xfId="8715" xr:uid="{00000000-0005-0000-0000-0000DD2B0000}"/>
    <cellStyle name="20% - Accent6 2 5 2 2 4 2 2" xfId="18711" xr:uid="{00000000-0005-0000-0000-0000DE2B0000}"/>
    <cellStyle name="20% - Accent6 2 5 2 2 4 2 2 2" xfId="38111" xr:uid="{00000000-0005-0000-0000-0000DF2B0000}"/>
    <cellStyle name="20% - Accent6 2 5 2 2 4 2 3" xfId="28413" xr:uid="{00000000-0005-0000-0000-0000E02B0000}"/>
    <cellStyle name="20% - Accent6 2 5 2 2 4 3" xfId="14256" xr:uid="{00000000-0005-0000-0000-0000E12B0000}"/>
    <cellStyle name="20% - Accent6 2 5 2 2 4 3 2" xfId="33656" xr:uid="{00000000-0005-0000-0000-0000E22B0000}"/>
    <cellStyle name="20% - Accent6 2 5 2 2 4 4" xfId="23958" xr:uid="{00000000-0005-0000-0000-0000E32B0000}"/>
    <cellStyle name="20% - Accent6 2 5 2 2 5" xfId="5921" xr:uid="{00000000-0005-0000-0000-0000E42B0000}"/>
    <cellStyle name="20% - Accent6 2 5 2 2 5 2" xfId="10385" xr:uid="{00000000-0005-0000-0000-0000E52B0000}"/>
    <cellStyle name="20% - Accent6 2 5 2 2 5 2 2" xfId="20381" xr:uid="{00000000-0005-0000-0000-0000E62B0000}"/>
    <cellStyle name="20% - Accent6 2 5 2 2 5 2 2 2" xfId="39781" xr:uid="{00000000-0005-0000-0000-0000E72B0000}"/>
    <cellStyle name="20% - Accent6 2 5 2 2 5 2 3" xfId="30083" xr:uid="{00000000-0005-0000-0000-0000E82B0000}"/>
    <cellStyle name="20% - Accent6 2 5 2 2 5 3" xfId="15926" xr:uid="{00000000-0005-0000-0000-0000E92B0000}"/>
    <cellStyle name="20% - Accent6 2 5 2 2 5 3 2" xfId="35326" xr:uid="{00000000-0005-0000-0000-0000EA2B0000}"/>
    <cellStyle name="20% - Accent6 2 5 2 2 5 4" xfId="25628" xr:uid="{00000000-0005-0000-0000-0000EB2B0000}"/>
    <cellStyle name="20% - Accent6 2 5 2 2 6" xfId="6487" xr:uid="{00000000-0005-0000-0000-0000EC2B0000}"/>
    <cellStyle name="20% - Accent6 2 5 2 2 6 2" xfId="10942" xr:uid="{00000000-0005-0000-0000-0000ED2B0000}"/>
    <cellStyle name="20% - Accent6 2 5 2 2 6 2 2" xfId="20938" xr:uid="{00000000-0005-0000-0000-0000EE2B0000}"/>
    <cellStyle name="20% - Accent6 2 5 2 2 6 2 2 2" xfId="40338" xr:uid="{00000000-0005-0000-0000-0000EF2B0000}"/>
    <cellStyle name="20% - Accent6 2 5 2 2 6 2 3" xfId="30640" xr:uid="{00000000-0005-0000-0000-0000F02B0000}"/>
    <cellStyle name="20% - Accent6 2 5 2 2 6 3" xfId="16483" xr:uid="{00000000-0005-0000-0000-0000F12B0000}"/>
    <cellStyle name="20% - Accent6 2 5 2 2 6 3 2" xfId="35883" xr:uid="{00000000-0005-0000-0000-0000F22B0000}"/>
    <cellStyle name="20% - Accent6 2 5 2 2 6 4" xfId="26185" xr:uid="{00000000-0005-0000-0000-0000F32B0000}"/>
    <cellStyle name="20% - Accent6 2 5 2 2 7" xfId="7044" xr:uid="{00000000-0005-0000-0000-0000F42B0000}"/>
    <cellStyle name="20% - Accent6 2 5 2 2 7 2" xfId="17040" xr:uid="{00000000-0005-0000-0000-0000F52B0000}"/>
    <cellStyle name="20% - Accent6 2 5 2 2 7 2 2" xfId="36440" xr:uid="{00000000-0005-0000-0000-0000F62B0000}"/>
    <cellStyle name="20% - Accent6 2 5 2 2 7 3" xfId="26742" xr:uid="{00000000-0005-0000-0000-0000F72B0000}"/>
    <cellStyle name="20% - Accent6 2 5 2 2 8" xfId="12584" xr:uid="{00000000-0005-0000-0000-0000F82B0000}"/>
    <cellStyle name="20% - Accent6 2 5 2 2 8 2" xfId="31985" xr:uid="{00000000-0005-0000-0000-0000F92B0000}"/>
    <cellStyle name="20% - Accent6 2 5 2 2 9" xfId="22287" xr:uid="{00000000-0005-0000-0000-0000FA2B0000}"/>
    <cellStyle name="20% - Accent6 2 5 2 3" xfId="2103" xr:uid="{00000000-0005-0000-0000-0000FB2B0000}"/>
    <cellStyle name="20% - Accent6 2 5 2 3 2" xfId="3096" xr:uid="{00000000-0005-0000-0000-0000FC2B0000}"/>
    <cellStyle name="20% - Accent6 2 5 2 3 2 2" xfId="5365" xr:uid="{00000000-0005-0000-0000-0000FD2B0000}"/>
    <cellStyle name="20% - Accent6 2 5 2 3 2 2 2" xfId="9829" xr:uid="{00000000-0005-0000-0000-0000FE2B0000}"/>
    <cellStyle name="20% - Accent6 2 5 2 3 2 2 2 2" xfId="19825" xr:uid="{00000000-0005-0000-0000-0000FF2B0000}"/>
    <cellStyle name="20% - Accent6 2 5 2 3 2 2 2 2 2" xfId="39225" xr:uid="{00000000-0005-0000-0000-0000002C0000}"/>
    <cellStyle name="20% - Accent6 2 5 2 3 2 2 2 3" xfId="29527" xr:uid="{00000000-0005-0000-0000-0000012C0000}"/>
    <cellStyle name="20% - Accent6 2 5 2 3 2 2 3" xfId="15370" xr:uid="{00000000-0005-0000-0000-0000022C0000}"/>
    <cellStyle name="20% - Accent6 2 5 2 3 2 2 3 2" xfId="34770" xr:uid="{00000000-0005-0000-0000-0000032C0000}"/>
    <cellStyle name="20% - Accent6 2 5 2 3 2 2 4" xfId="25072" xr:uid="{00000000-0005-0000-0000-0000042C0000}"/>
    <cellStyle name="20% - Accent6 2 5 2 3 2 3" xfId="7601" xr:uid="{00000000-0005-0000-0000-0000052C0000}"/>
    <cellStyle name="20% - Accent6 2 5 2 3 2 3 2" xfId="17597" xr:uid="{00000000-0005-0000-0000-0000062C0000}"/>
    <cellStyle name="20% - Accent6 2 5 2 3 2 3 2 2" xfId="36997" xr:uid="{00000000-0005-0000-0000-0000072C0000}"/>
    <cellStyle name="20% - Accent6 2 5 2 3 2 3 3" xfId="27299" xr:uid="{00000000-0005-0000-0000-0000082C0000}"/>
    <cellStyle name="20% - Accent6 2 5 2 3 2 4" xfId="13142" xr:uid="{00000000-0005-0000-0000-0000092C0000}"/>
    <cellStyle name="20% - Accent6 2 5 2 3 2 4 2" xfId="32542" xr:uid="{00000000-0005-0000-0000-00000A2C0000}"/>
    <cellStyle name="20% - Accent6 2 5 2 3 2 5" xfId="22844" xr:uid="{00000000-0005-0000-0000-00000B2C0000}"/>
    <cellStyle name="20% - Accent6 2 5 2 3 3" xfId="3679" xr:uid="{00000000-0005-0000-0000-00000C2C0000}"/>
    <cellStyle name="20% - Accent6 2 5 2 3 3 2" xfId="4809" xr:uid="{00000000-0005-0000-0000-00000D2C0000}"/>
    <cellStyle name="20% - Accent6 2 5 2 3 3 2 2" xfId="9273" xr:uid="{00000000-0005-0000-0000-00000E2C0000}"/>
    <cellStyle name="20% - Accent6 2 5 2 3 3 2 2 2" xfId="19269" xr:uid="{00000000-0005-0000-0000-00000F2C0000}"/>
    <cellStyle name="20% - Accent6 2 5 2 3 3 2 2 2 2" xfId="38669" xr:uid="{00000000-0005-0000-0000-0000102C0000}"/>
    <cellStyle name="20% - Accent6 2 5 2 3 3 2 2 3" xfId="28971" xr:uid="{00000000-0005-0000-0000-0000112C0000}"/>
    <cellStyle name="20% - Accent6 2 5 2 3 3 2 3" xfId="14814" xr:uid="{00000000-0005-0000-0000-0000122C0000}"/>
    <cellStyle name="20% - Accent6 2 5 2 3 3 2 3 2" xfId="34214" xr:uid="{00000000-0005-0000-0000-0000132C0000}"/>
    <cellStyle name="20% - Accent6 2 5 2 3 3 2 4" xfId="24516" xr:uid="{00000000-0005-0000-0000-0000142C0000}"/>
    <cellStyle name="20% - Accent6 2 5 2 3 3 3" xfId="8158" xr:uid="{00000000-0005-0000-0000-0000152C0000}"/>
    <cellStyle name="20% - Accent6 2 5 2 3 3 3 2" xfId="18154" xr:uid="{00000000-0005-0000-0000-0000162C0000}"/>
    <cellStyle name="20% - Accent6 2 5 2 3 3 3 2 2" xfId="37554" xr:uid="{00000000-0005-0000-0000-0000172C0000}"/>
    <cellStyle name="20% - Accent6 2 5 2 3 3 3 3" xfId="27856" xr:uid="{00000000-0005-0000-0000-0000182C0000}"/>
    <cellStyle name="20% - Accent6 2 5 2 3 3 4" xfId="13699" xr:uid="{00000000-0005-0000-0000-0000192C0000}"/>
    <cellStyle name="20% - Accent6 2 5 2 3 3 4 2" xfId="33099" xr:uid="{00000000-0005-0000-0000-00001A2C0000}"/>
    <cellStyle name="20% - Accent6 2 5 2 3 3 5" xfId="23401" xr:uid="{00000000-0005-0000-0000-00001B2C0000}"/>
    <cellStyle name="20% - Accent6 2 5 2 3 4" xfId="4252" xr:uid="{00000000-0005-0000-0000-00001C2C0000}"/>
    <cellStyle name="20% - Accent6 2 5 2 3 4 2" xfId="8716" xr:uid="{00000000-0005-0000-0000-00001D2C0000}"/>
    <cellStyle name="20% - Accent6 2 5 2 3 4 2 2" xfId="18712" xr:uid="{00000000-0005-0000-0000-00001E2C0000}"/>
    <cellStyle name="20% - Accent6 2 5 2 3 4 2 2 2" xfId="38112" xr:uid="{00000000-0005-0000-0000-00001F2C0000}"/>
    <cellStyle name="20% - Accent6 2 5 2 3 4 2 3" xfId="28414" xr:uid="{00000000-0005-0000-0000-0000202C0000}"/>
    <cellStyle name="20% - Accent6 2 5 2 3 4 3" xfId="14257" xr:uid="{00000000-0005-0000-0000-0000212C0000}"/>
    <cellStyle name="20% - Accent6 2 5 2 3 4 3 2" xfId="33657" xr:uid="{00000000-0005-0000-0000-0000222C0000}"/>
    <cellStyle name="20% - Accent6 2 5 2 3 4 4" xfId="23959" xr:uid="{00000000-0005-0000-0000-0000232C0000}"/>
    <cellStyle name="20% - Accent6 2 5 2 3 5" xfId="5922" xr:uid="{00000000-0005-0000-0000-0000242C0000}"/>
    <cellStyle name="20% - Accent6 2 5 2 3 5 2" xfId="10386" xr:uid="{00000000-0005-0000-0000-0000252C0000}"/>
    <cellStyle name="20% - Accent6 2 5 2 3 5 2 2" xfId="20382" xr:uid="{00000000-0005-0000-0000-0000262C0000}"/>
    <cellStyle name="20% - Accent6 2 5 2 3 5 2 2 2" xfId="39782" xr:uid="{00000000-0005-0000-0000-0000272C0000}"/>
    <cellStyle name="20% - Accent6 2 5 2 3 5 2 3" xfId="30084" xr:uid="{00000000-0005-0000-0000-0000282C0000}"/>
    <cellStyle name="20% - Accent6 2 5 2 3 5 3" xfId="15927" xr:uid="{00000000-0005-0000-0000-0000292C0000}"/>
    <cellStyle name="20% - Accent6 2 5 2 3 5 3 2" xfId="35327" xr:uid="{00000000-0005-0000-0000-00002A2C0000}"/>
    <cellStyle name="20% - Accent6 2 5 2 3 5 4" xfId="25629" xr:uid="{00000000-0005-0000-0000-00002B2C0000}"/>
    <cellStyle name="20% - Accent6 2 5 2 3 6" xfId="6488" xr:uid="{00000000-0005-0000-0000-00002C2C0000}"/>
    <cellStyle name="20% - Accent6 2 5 2 3 6 2" xfId="10943" xr:uid="{00000000-0005-0000-0000-00002D2C0000}"/>
    <cellStyle name="20% - Accent6 2 5 2 3 6 2 2" xfId="20939" xr:uid="{00000000-0005-0000-0000-00002E2C0000}"/>
    <cellStyle name="20% - Accent6 2 5 2 3 6 2 2 2" xfId="40339" xr:uid="{00000000-0005-0000-0000-00002F2C0000}"/>
    <cellStyle name="20% - Accent6 2 5 2 3 6 2 3" xfId="30641" xr:uid="{00000000-0005-0000-0000-0000302C0000}"/>
    <cellStyle name="20% - Accent6 2 5 2 3 6 3" xfId="16484" xr:uid="{00000000-0005-0000-0000-0000312C0000}"/>
    <cellStyle name="20% - Accent6 2 5 2 3 6 3 2" xfId="35884" xr:uid="{00000000-0005-0000-0000-0000322C0000}"/>
    <cellStyle name="20% - Accent6 2 5 2 3 6 4" xfId="26186" xr:uid="{00000000-0005-0000-0000-0000332C0000}"/>
    <cellStyle name="20% - Accent6 2 5 2 3 7" xfId="7045" xr:uid="{00000000-0005-0000-0000-0000342C0000}"/>
    <cellStyle name="20% - Accent6 2 5 2 3 7 2" xfId="17041" xr:uid="{00000000-0005-0000-0000-0000352C0000}"/>
    <cellStyle name="20% - Accent6 2 5 2 3 7 2 2" xfId="36441" xr:uid="{00000000-0005-0000-0000-0000362C0000}"/>
    <cellStyle name="20% - Accent6 2 5 2 3 7 3" xfId="26743" xr:uid="{00000000-0005-0000-0000-0000372C0000}"/>
    <cellStyle name="20% - Accent6 2 5 2 3 8" xfId="12585" xr:uid="{00000000-0005-0000-0000-0000382C0000}"/>
    <cellStyle name="20% - Accent6 2 5 2 3 8 2" xfId="31986" xr:uid="{00000000-0005-0000-0000-0000392C0000}"/>
    <cellStyle name="20% - Accent6 2 5 2 3 9" xfId="22288" xr:uid="{00000000-0005-0000-0000-00003A2C0000}"/>
    <cellStyle name="20% - Accent6 2 5 2 4" xfId="3094" xr:uid="{00000000-0005-0000-0000-00003B2C0000}"/>
    <cellStyle name="20% - Accent6 2 5 2 4 2" xfId="5363" xr:uid="{00000000-0005-0000-0000-00003C2C0000}"/>
    <cellStyle name="20% - Accent6 2 5 2 4 2 2" xfId="9827" xr:uid="{00000000-0005-0000-0000-00003D2C0000}"/>
    <cellStyle name="20% - Accent6 2 5 2 4 2 2 2" xfId="19823" xr:uid="{00000000-0005-0000-0000-00003E2C0000}"/>
    <cellStyle name="20% - Accent6 2 5 2 4 2 2 2 2" xfId="39223" xr:uid="{00000000-0005-0000-0000-00003F2C0000}"/>
    <cellStyle name="20% - Accent6 2 5 2 4 2 2 3" xfId="29525" xr:uid="{00000000-0005-0000-0000-0000402C0000}"/>
    <cellStyle name="20% - Accent6 2 5 2 4 2 3" xfId="15368" xr:uid="{00000000-0005-0000-0000-0000412C0000}"/>
    <cellStyle name="20% - Accent6 2 5 2 4 2 3 2" xfId="34768" xr:uid="{00000000-0005-0000-0000-0000422C0000}"/>
    <cellStyle name="20% - Accent6 2 5 2 4 2 4" xfId="25070" xr:uid="{00000000-0005-0000-0000-0000432C0000}"/>
    <cellStyle name="20% - Accent6 2 5 2 4 3" xfId="7599" xr:uid="{00000000-0005-0000-0000-0000442C0000}"/>
    <cellStyle name="20% - Accent6 2 5 2 4 3 2" xfId="17595" xr:uid="{00000000-0005-0000-0000-0000452C0000}"/>
    <cellStyle name="20% - Accent6 2 5 2 4 3 2 2" xfId="36995" xr:uid="{00000000-0005-0000-0000-0000462C0000}"/>
    <cellStyle name="20% - Accent6 2 5 2 4 3 3" xfId="27297" xr:uid="{00000000-0005-0000-0000-0000472C0000}"/>
    <cellStyle name="20% - Accent6 2 5 2 4 4" xfId="13140" xr:uid="{00000000-0005-0000-0000-0000482C0000}"/>
    <cellStyle name="20% - Accent6 2 5 2 4 4 2" xfId="32540" xr:uid="{00000000-0005-0000-0000-0000492C0000}"/>
    <cellStyle name="20% - Accent6 2 5 2 4 5" xfId="22842" xr:uid="{00000000-0005-0000-0000-00004A2C0000}"/>
    <cellStyle name="20% - Accent6 2 5 2 5" xfId="3677" xr:uid="{00000000-0005-0000-0000-00004B2C0000}"/>
    <cellStyle name="20% - Accent6 2 5 2 5 2" xfId="4807" xr:uid="{00000000-0005-0000-0000-00004C2C0000}"/>
    <cellStyle name="20% - Accent6 2 5 2 5 2 2" xfId="9271" xr:uid="{00000000-0005-0000-0000-00004D2C0000}"/>
    <cellStyle name="20% - Accent6 2 5 2 5 2 2 2" xfId="19267" xr:uid="{00000000-0005-0000-0000-00004E2C0000}"/>
    <cellStyle name="20% - Accent6 2 5 2 5 2 2 2 2" xfId="38667" xr:uid="{00000000-0005-0000-0000-00004F2C0000}"/>
    <cellStyle name="20% - Accent6 2 5 2 5 2 2 3" xfId="28969" xr:uid="{00000000-0005-0000-0000-0000502C0000}"/>
    <cellStyle name="20% - Accent6 2 5 2 5 2 3" xfId="14812" xr:uid="{00000000-0005-0000-0000-0000512C0000}"/>
    <cellStyle name="20% - Accent6 2 5 2 5 2 3 2" xfId="34212" xr:uid="{00000000-0005-0000-0000-0000522C0000}"/>
    <cellStyle name="20% - Accent6 2 5 2 5 2 4" xfId="24514" xr:uid="{00000000-0005-0000-0000-0000532C0000}"/>
    <cellStyle name="20% - Accent6 2 5 2 5 3" xfId="8156" xr:uid="{00000000-0005-0000-0000-0000542C0000}"/>
    <cellStyle name="20% - Accent6 2 5 2 5 3 2" xfId="18152" xr:uid="{00000000-0005-0000-0000-0000552C0000}"/>
    <cellStyle name="20% - Accent6 2 5 2 5 3 2 2" xfId="37552" xr:uid="{00000000-0005-0000-0000-0000562C0000}"/>
    <cellStyle name="20% - Accent6 2 5 2 5 3 3" xfId="27854" xr:uid="{00000000-0005-0000-0000-0000572C0000}"/>
    <cellStyle name="20% - Accent6 2 5 2 5 4" xfId="13697" xr:uid="{00000000-0005-0000-0000-0000582C0000}"/>
    <cellStyle name="20% - Accent6 2 5 2 5 4 2" xfId="33097" xr:uid="{00000000-0005-0000-0000-0000592C0000}"/>
    <cellStyle name="20% - Accent6 2 5 2 5 5" xfId="23399" xr:uid="{00000000-0005-0000-0000-00005A2C0000}"/>
    <cellStyle name="20% - Accent6 2 5 2 6" xfId="4250" xr:uid="{00000000-0005-0000-0000-00005B2C0000}"/>
    <cellStyle name="20% - Accent6 2 5 2 6 2" xfId="8714" xr:uid="{00000000-0005-0000-0000-00005C2C0000}"/>
    <cellStyle name="20% - Accent6 2 5 2 6 2 2" xfId="18710" xr:uid="{00000000-0005-0000-0000-00005D2C0000}"/>
    <cellStyle name="20% - Accent6 2 5 2 6 2 2 2" xfId="38110" xr:uid="{00000000-0005-0000-0000-00005E2C0000}"/>
    <cellStyle name="20% - Accent6 2 5 2 6 2 3" xfId="28412" xr:uid="{00000000-0005-0000-0000-00005F2C0000}"/>
    <cellStyle name="20% - Accent6 2 5 2 6 3" xfId="14255" xr:uid="{00000000-0005-0000-0000-0000602C0000}"/>
    <cellStyle name="20% - Accent6 2 5 2 6 3 2" xfId="33655" xr:uid="{00000000-0005-0000-0000-0000612C0000}"/>
    <cellStyle name="20% - Accent6 2 5 2 6 4" xfId="23957" xr:uid="{00000000-0005-0000-0000-0000622C0000}"/>
    <cellStyle name="20% - Accent6 2 5 2 7" xfId="5920" xr:uid="{00000000-0005-0000-0000-0000632C0000}"/>
    <cellStyle name="20% - Accent6 2 5 2 7 2" xfId="10384" xr:uid="{00000000-0005-0000-0000-0000642C0000}"/>
    <cellStyle name="20% - Accent6 2 5 2 7 2 2" xfId="20380" xr:uid="{00000000-0005-0000-0000-0000652C0000}"/>
    <cellStyle name="20% - Accent6 2 5 2 7 2 2 2" xfId="39780" xr:uid="{00000000-0005-0000-0000-0000662C0000}"/>
    <cellStyle name="20% - Accent6 2 5 2 7 2 3" xfId="30082" xr:uid="{00000000-0005-0000-0000-0000672C0000}"/>
    <cellStyle name="20% - Accent6 2 5 2 7 3" xfId="15925" xr:uid="{00000000-0005-0000-0000-0000682C0000}"/>
    <cellStyle name="20% - Accent6 2 5 2 7 3 2" xfId="35325" xr:uid="{00000000-0005-0000-0000-0000692C0000}"/>
    <cellStyle name="20% - Accent6 2 5 2 7 4" xfId="25627" xr:uid="{00000000-0005-0000-0000-00006A2C0000}"/>
    <cellStyle name="20% - Accent6 2 5 2 8" xfId="6486" xr:uid="{00000000-0005-0000-0000-00006B2C0000}"/>
    <cellStyle name="20% - Accent6 2 5 2 8 2" xfId="10941" xr:uid="{00000000-0005-0000-0000-00006C2C0000}"/>
    <cellStyle name="20% - Accent6 2 5 2 8 2 2" xfId="20937" xr:uid="{00000000-0005-0000-0000-00006D2C0000}"/>
    <cellStyle name="20% - Accent6 2 5 2 8 2 2 2" xfId="40337" xr:uid="{00000000-0005-0000-0000-00006E2C0000}"/>
    <cellStyle name="20% - Accent6 2 5 2 8 2 3" xfId="30639" xr:uid="{00000000-0005-0000-0000-00006F2C0000}"/>
    <cellStyle name="20% - Accent6 2 5 2 8 3" xfId="16482" xr:uid="{00000000-0005-0000-0000-0000702C0000}"/>
    <cellStyle name="20% - Accent6 2 5 2 8 3 2" xfId="35882" xr:uid="{00000000-0005-0000-0000-0000712C0000}"/>
    <cellStyle name="20% - Accent6 2 5 2 8 4" xfId="26184" xr:uid="{00000000-0005-0000-0000-0000722C0000}"/>
    <cellStyle name="20% - Accent6 2 5 2 9" xfId="7043" xr:uid="{00000000-0005-0000-0000-0000732C0000}"/>
    <cellStyle name="20% - Accent6 2 5 2 9 2" xfId="17039" xr:uid="{00000000-0005-0000-0000-0000742C0000}"/>
    <cellStyle name="20% - Accent6 2 5 2 9 2 2" xfId="36439" xr:uid="{00000000-0005-0000-0000-0000752C0000}"/>
    <cellStyle name="20% - Accent6 2 5 2 9 3" xfId="26741" xr:uid="{00000000-0005-0000-0000-0000762C0000}"/>
    <cellStyle name="20% - Accent6 2 5 3" xfId="2104" xr:uid="{00000000-0005-0000-0000-0000772C0000}"/>
    <cellStyle name="20% - Accent6 2 5 3 2" xfId="3097" xr:uid="{00000000-0005-0000-0000-0000782C0000}"/>
    <cellStyle name="20% - Accent6 2 5 3 2 2" xfId="5366" xr:uid="{00000000-0005-0000-0000-0000792C0000}"/>
    <cellStyle name="20% - Accent6 2 5 3 2 2 2" xfId="9830" xr:uid="{00000000-0005-0000-0000-00007A2C0000}"/>
    <cellStyle name="20% - Accent6 2 5 3 2 2 2 2" xfId="19826" xr:uid="{00000000-0005-0000-0000-00007B2C0000}"/>
    <cellStyle name="20% - Accent6 2 5 3 2 2 2 2 2" xfId="39226" xr:uid="{00000000-0005-0000-0000-00007C2C0000}"/>
    <cellStyle name="20% - Accent6 2 5 3 2 2 2 3" xfId="29528" xr:uid="{00000000-0005-0000-0000-00007D2C0000}"/>
    <cellStyle name="20% - Accent6 2 5 3 2 2 3" xfId="15371" xr:uid="{00000000-0005-0000-0000-00007E2C0000}"/>
    <cellStyle name="20% - Accent6 2 5 3 2 2 3 2" xfId="34771" xr:uid="{00000000-0005-0000-0000-00007F2C0000}"/>
    <cellStyle name="20% - Accent6 2 5 3 2 2 4" xfId="25073" xr:uid="{00000000-0005-0000-0000-0000802C0000}"/>
    <cellStyle name="20% - Accent6 2 5 3 2 3" xfId="7602" xr:uid="{00000000-0005-0000-0000-0000812C0000}"/>
    <cellStyle name="20% - Accent6 2 5 3 2 3 2" xfId="17598" xr:uid="{00000000-0005-0000-0000-0000822C0000}"/>
    <cellStyle name="20% - Accent6 2 5 3 2 3 2 2" xfId="36998" xr:uid="{00000000-0005-0000-0000-0000832C0000}"/>
    <cellStyle name="20% - Accent6 2 5 3 2 3 3" xfId="27300" xr:uid="{00000000-0005-0000-0000-0000842C0000}"/>
    <cellStyle name="20% - Accent6 2 5 3 2 4" xfId="13143" xr:uid="{00000000-0005-0000-0000-0000852C0000}"/>
    <cellStyle name="20% - Accent6 2 5 3 2 4 2" xfId="32543" xr:uid="{00000000-0005-0000-0000-0000862C0000}"/>
    <cellStyle name="20% - Accent6 2 5 3 2 5" xfId="22845" xr:uid="{00000000-0005-0000-0000-0000872C0000}"/>
    <cellStyle name="20% - Accent6 2 5 3 3" xfId="3680" xr:uid="{00000000-0005-0000-0000-0000882C0000}"/>
    <cellStyle name="20% - Accent6 2 5 3 3 2" xfId="4810" xr:uid="{00000000-0005-0000-0000-0000892C0000}"/>
    <cellStyle name="20% - Accent6 2 5 3 3 2 2" xfId="9274" xr:uid="{00000000-0005-0000-0000-00008A2C0000}"/>
    <cellStyle name="20% - Accent6 2 5 3 3 2 2 2" xfId="19270" xr:uid="{00000000-0005-0000-0000-00008B2C0000}"/>
    <cellStyle name="20% - Accent6 2 5 3 3 2 2 2 2" xfId="38670" xr:uid="{00000000-0005-0000-0000-00008C2C0000}"/>
    <cellStyle name="20% - Accent6 2 5 3 3 2 2 3" xfId="28972" xr:uid="{00000000-0005-0000-0000-00008D2C0000}"/>
    <cellStyle name="20% - Accent6 2 5 3 3 2 3" xfId="14815" xr:uid="{00000000-0005-0000-0000-00008E2C0000}"/>
    <cellStyle name="20% - Accent6 2 5 3 3 2 3 2" xfId="34215" xr:uid="{00000000-0005-0000-0000-00008F2C0000}"/>
    <cellStyle name="20% - Accent6 2 5 3 3 2 4" xfId="24517" xr:uid="{00000000-0005-0000-0000-0000902C0000}"/>
    <cellStyle name="20% - Accent6 2 5 3 3 3" xfId="8159" xr:uid="{00000000-0005-0000-0000-0000912C0000}"/>
    <cellStyle name="20% - Accent6 2 5 3 3 3 2" xfId="18155" xr:uid="{00000000-0005-0000-0000-0000922C0000}"/>
    <cellStyle name="20% - Accent6 2 5 3 3 3 2 2" xfId="37555" xr:uid="{00000000-0005-0000-0000-0000932C0000}"/>
    <cellStyle name="20% - Accent6 2 5 3 3 3 3" xfId="27857" xr:uid="{00000000-0005-0000-0000-0000942C0000}"/>
    <cellStyle name="20% - Accent6 2 5 3 3 4" xfId="13700" xr:uid="{00000000-0005-0000-0000-0000952C0000}"/>
    <cellStyle name="20% - Accent6 2 5 3 3 4 2" xfId="33100" xr:uid="{00000000-0005-0000-0000-0000962C0000}"/>
    <cellStyle name="20% - Accent6 2 5 3 3 5" xfId="23402" xr:uid="{00000000-0005-0000-0000-0000972C0000}"/>
    <cellStyle name="20% - Accent6 2 5 3 4" xfId="4253" xr:uid="{00000000-0005-0000-0000-0000982C0000}"/>
    <cellStyle name="20% - Accent6 2 5 3 4 2" xfId="8717" xr:uid="{00000000-0005-0000-0000-0000992C0000}"/>
    <cellStyle name="20% - Accent6 2 5 3 4 2 2" xfId="18713" xr:uid="{00000000-0005-0000-0000-00009A2C0000}"/>
    <cellStyle name="20% - Accent6 2 5 3 4 2 2 2" xfId="38113" xr:uid="{00000000-0005-0000-0000-00009B2C0000}"/>
    <cellStyle name="20% - Accent6 2 5 3 4 2 3" xfId="28415" xr:uid="{00000000-0005-0000-0000-00009C2C0000}"/>
    <cellStyle name="20% - Accent6 2 5 3 4 3" xfId="14258" xr:uid="{00000000-0005-0000-0000-00009D2C0000}"/>
    <cellStyle name="20% - Accent6 2 5 3 4 3 2" xfId="33658" xr:uid="{00000000-0005-0000-0000-00009E2C0000}"/>
    <cellStyle name="20% - Accent6 2 5 3 4 4" xfId="23960" xr:uid="{00000000-0005-0000-0000-00009F2C0000}"/>
    <cellStyle name="20% - Accent6 2 5 3 5" xfId="5923" xr:uid="{00000000-0005-0000-0000-0000A02C0000}"/>
    <cellStyle name="20% - Accent6 2 5 3 5 2" xfId="10387" xr:uid="{00000000-0005-0000-0000-0000A12C0000}"/>
    <cellStyle name="20% - Accent6 2 5 3 5 2 2" xfId="20383" xr:uid="{00000000-0005-0000-0000-0000A22C0000}"/>
    <cellStyle name="20% - Accent6 2 5 3 5 2 2 2" xfId="39783" xr:uid="{00000000-0005-0000-0000-0000A32C0000}"/>
    <cellStyle name="20% - Accent6 2 5 3 5 2 3" xfId="30085" xr:uid="{00000000-0005-0000-0000-0000A42C0000}"/>
    <cellStyle name="20% - Accent6 2 5 3 5 3" xfId="15928" xr:uid="{00000000-0005-0000-0000-0000A52C0000}"/>
    <cellStyle name="20% - Accent6 2 5 3 5 3 2" xfId="35328" xr:uid="{00000000-0005-0000-0000-0000A62C0000}"/>
    <cellStyle name="20% - Accent6 2 5 3 5 4" xfId="25630" xr:uid="{00000000-0005-0000-0000-0000A72C0000}"/>
    <cellStyle name="20% - Accent6 2 5 3 6" xfId="6489" xr:uid="{00000000-0005-0000-0000-0000A82C0000}"/>
    <cellStyle name="20% - Accent6 2 5 3 6 2" xfId="10944" xr:uid="{00000000-0005-0000-0000-0000A92C0000}"/>
    <cellStyle name="20% - Accent6 2 5 3 6 2 2" xfId="20940" xr:uid="{00000000-0005-0000-0000-0000AA2C0000}"/>
    <cellStyle name="20% - Accent6 2 5 3 6 2 2 2" xfId="40340" xr:uid="{00000000-0005-0000-0000-0000AB2C0000}"/>
    <cellStyle name="20% - Accent6 2 5 3 6 2 3" xfId="30642" xr:uid="{00000000-0005-0000-0000-0000AC2C0000}"/>
    <cellStyle name="20% - Accent6 2 5 3 6 3" xfId="16485" xr:uid="{00000000-0005-0000-0000-0000AD2C0000}"/>
    <cellStyle name="20% - Accent6 2 5 3 6 3 2" xfId="35885" xr:uid="{00000000-0005-0000-0000-0000AE2C0000}"/>
    <cellStyle name="20% - Accent6 2 5 3 6 4" xfId="26187" xr:uid="{00000000-0005-0000-0000-0000AF2C0000}"/>
    <cellStyle name="20% - Accent6 2 5 3 7" xfId="7046" xr:uid="{00000000-0005-0000-0000-0000B02C0000}"/>
    <cellStyle name="20% - Accent6 2 5 3 7 2" xfId="17042" xr:uid="{00000000-0005-0000-0000-0000B12C0000}"/>
    <cellStyle name="20% - Accent6 2 5 3 7 2 2" xfId="36442" xr:uid="{00000000-0005-0000-0000-0000B22C0000}"/>
    <cellStyle name="20% - Accent6 2 5 3 7 3" xfId="26744" xr:uid="{00000000-0005-0000-0000-0000B32C0000}"/>
    <cellStyle name="20% - Accent6 2 5 3 8" xfId="12586" xr:uid="{00000000-0005-0000-0000-0000B42C0000}"/>
    <cellStyle name="20% - Accent6 2 5 3 8 2" xfId="31987" xr:uid="{00000000-0005-0000-0000-0000B52C0000}"/>
    <cellStyle name="20% - Accent6 2 5 3 9" xfId="22289" xr:uid="{00000000-0005-0000-0000-0000B62C0000}"/>
    <cellStyle name="20% - Accent6 2 5 4" xfId="2105" xr:uid="{00000000-0005-0000-0000-0000B72C0000}"/>
    <cellStyle name="20% - Accent6 2 5 4 2" xfId="3098" xr:uid="{00000000-0005-0000-0000-0000B82C0000}"/>
    <cellStyle name="20% - Accent6 2 5 4 2 2" xfId="5367" xr:uid="{00000000-0005-0000-0000-0000B92C0000}"/>
    <cellStyle name="20% - Accent6 2 5 4 2 2 2" xfId="9831" xr:uid="{00000000-0005-0000-0000-0000BA2C0000}"/>
    <cellStyle name="20% - Accent6 2 5 4 2 2 2 2" xfId="19827" xr:uid="{00000000-0005-0000-0000-0000BB2C0000}"/>
    <cellStyle name="20% - Accent6 2 5 4 2 2 2 2 2" xfId="39227" xr:uid="{00000000-0005-0000-0000-0000BC2C0000}"/>
    <cellStyle name="20% - Accent6 2 5 4 2 2 2 3" xfId="29529" xr:uid="{00000000-0005-0000-0000-0000BD2C0000}"/>
    <cellStyle name="20% - Accent6 2 5 4 2 2 3" xfId="15372" xr:uid="{00000000-0005-0000-0000-0000BE2C0000}"/>
    <cellStyle name="20% - Accent6 2 5 4 2 2 3 2" xfId="34772" xr:uid="{00000000-0005-0000-0000-0000BF2C0000}"/>
    <cellStyle name="20% - Accent6 2 5 4 2 2 4" xfId="25074" xr:uid="{00000000-0005-0000-0000-0000C02C0000}"/>
    <cellStyle name="20% - Accent6 2 5 4 2 3" xfId="7603" xr:uid="{00000000-0005-0000-0000-0000C12C0000}"/>
    <cellStyle name="20% - Accent6 2 5 4 2 3 2" xfId="17599" xr:uid="{00000000-0005-0000-0000-0000C22C0000}"/>
    <cellStyle name="20% - Accent6 2 5 4 2 3 2 2" xfId="36999" xr:uid="{00000000-0005-0000-0000-0000C32C0000}"/>
    <cellStyle name="20% - Accent6 2 5 4 2 3 3" xfId="27301" xr:uid="{00000000-0005-0000-0000-0000C42C0000}"/>
    <cellStyle name="20% - Accent6 2 5 4 2 4" xfId="13144" xr:uid="{00000000-0005-0000-0000-0000C52C0000}"/>
    <cellStyle name="20% - Accent6 2 5 4 2 4 2" xfId="32544" xr:uid="{00000000-0005-0000-0000-0000C62C0000}"/>
    <cellStyle name="20% - Accent6 2 5 4 2 5" xfId="22846" xr:uid="{00000000-0005-0000-0000-0000C72C0000}"/>
    <cellStyle name="20% - Accent6 2 5 4 3" xfId="3681" xr:uid="{00000000-0005-0000-0000-0000C82C0000}"/>
    <cellStyle name="20% - Accent6 2 5 4 3 2" xfId="4811" xr:uid="{00000000-0005-0000-0000-0000C92C0000}"/>
    <cellStyle name="20% - Accent6 2 5 4 3 2 2" xfId="9275" xr:uid="{00000000-0005-0000-0000-0000CA2C0000}"/>
    <cellStyle name="20% - Accent6 2 5 4 3 2 2 2" xfId="19271" xr:uid="{00000000-0005-0000-0000-0000CB2C0000}"/>
    <cellStyle name="20% - Accent6 2 5 4 3 2 2 2 2" xfId="38671" xr:uid="{00000000-0005-0000-0000-0000CC2C0000}"/>
    <cellStyle name="20% - Accent6 2 5 4 3 2 2 3" xfId="28973" xr:uid="{00000000-0005-0000-0000-0000CD2C0000}"/>
    <cellStyle name="20% - Accent6 2 5 4 3 2 3" xfId="14816" xr:uid="{00000000-0005-0000-0000-0000CE2C0000}"/>
    <cellStyle name="20% - Accent6 2 5 4 3 2 3 2" xfId="34216" xr:uid="{00000000-0005-0000-0000-0000CF2C0000}"/>
    <cellStyle name="20% - Accent6 2 5 4 3 2 4" xfId="24518" xr:uid="{00000000-0005-0000-0000-0000D02C0000}"/>
    <cellStyle name="20% - Accent6 2 5 4 3 3" xfId="8160" xr:uid="{00000000-0005-0000-0000-0000D12C0000}"/>
    <cellStyle name="20% - Accent6 2 5 4 3 3 2" xfId="18156" xr:uid="{00000000-0005-0000-0000-0000D22C0000}"/>
    <cellStyle name="20% - Accent6 2 5 4 3 3 2 2" xfId="37556" xr:uid="{00000000-0005-0000-0000-0000D32C0000}"/>
    <cellStyle name="20% - Accent6 2 5 4 3 3 3" xfId="27858" xr:uid="{00000000-0005-0000-0000-0000D42C0000}"/>
    <cellStyle name="20% - Accent6 2 5 4 3 4" xfId="13701" xr:uid="{00000000-0005-0000-0000-0000D52C0000}"/>
    <cellStyle name="20% - Accent6 2 5 4 3 4 2" xfId="33101" xr:uid="{00000000-0005-0000-0000-0000D62C0000}"/>
    <cellStyle name="20% - Accent6 2 5 4 3 5" xfId="23403" xr:uid="{00000000-0005-0000-0000-0000D72C0000}"/>
    <cellStyle name="20% - Accent6 2 5 4 4" xfId="4254" xr:uid="{00000000-0005-0000-0000-0000D82C0000}"/>
    <cellStyle name="20% - Accent6 2 5 4 4 2" xfId="8718" xr:uid="{00000000-0005-0000-0000-0000D92C0000}"/>
    <cellStyle name="20% - Accent6 2 5 4 4 2 2" xfId="18714" xr:uid="{00000000-0005-0000-0000-0000DA2C0000}"/>
    <cellStyle name="20% - Accent6 2 5 4 4 2 2 2" xfId="38114" xr:uid="{00000000-0005-0000-0000-0000DB2C0000}"/>
    <cellStyle name="20% - Accent6 2 5 4 4 2 3" xfId="28416" xr:uid="{00000000-0005-0000-0000-0000DC2C0000}"/>
    <cellStyle name="20% - Accent6 2 5 4 4 3" xfId="14259" xr:uid="{00000000-0005-0000-0000-0000DD2C0000}"/>
    <cellStyle name="20% - Accent6 2 5 4 4 3 2" xfId="33659" xr:uid="{00000000-0005-0000-0000-0000DE2C0000}"/>
    <cellStyle name="20% - Accent6 2 5 4 4 4" xfId="23961" xr:uid="{00000000-0005-0000-0000-0000DF2C0000}"/>
    <cellStyle name="20% - Accent6 2 5 4 5" xfId="5924" xr:uid="{00000000-0005-0000-0000-0000E02C0000}"/>
    <cellStyle name="20% - Accent6 2 5 4 5 2" xfId="10388" xr:uid="{00000000-0005-0000-0000-0000E12C0000}"/>
    <cellStyle name="20% - Accent6 2 5 4 5 2 2" xfId="20384" xr:uid="{00000000-0005-0000-0000-0000E22C0000}"/>
    <cellStyle name="20% - Accent6 2 5 4 5 2 2 2" xfId="39784" xr:uid="{00000000-0005-0000-0000-0000E32C0000}"/>
    <cellStyle name="20% - Accent6 2 5 4 5 2 3" xfId="30086" xr:uid="{00000000-0005-0000-0000-0000E42C0000}"/>
    <cellStyle name="20% - Accent6 2 5 4 5 3" xfId="15929" xr:uid="{00000000-0005-0000-0000-0000E52C0000}"/>
    <cellStyle name="20% - Accent6 2 5 4 5 3 2" xfId="35329" xr:uid="{00000000-0005-0000-0000-0000E62C0000}"/>
    <cellStyle name="20% - Accent6 2 5 4 5 4" xfId="25631" xr:uid="{00000000-0005-0000-0000-0000E72C0000}"/>
    <cellStyle name="20% - Accent6 2 5 4 6" xfId="6490" xr:uid="{00000000-0005-0000-0000-0000E82C0000}"/>
    <cellStyle name="20% - Accent6 2 5 4 6 2" xfId="10945" xr:uid="{00000000-0005-0000-0000-0000E92C0000}"/>
    <cellStyle name="20% - Accent6 2 5 4 6 2 2" xfId="20941" xr:uid="{00000000-0005-0000-0000-0000EA2C0000}"/>
    <cellStyle name="20% - Accent6 2 5 4 6 2 2 2" xfId="40341" xr:uid="{00000000-0005-0000-0000-0000EB2C0000}"/>
    <cellStyle name="20% - Accent6 2 5 4 6 2 3" xfId="30643" xr:uid="{00000000-0005-0000-0000-0000EC2C0000}"/>
    <cellStyle name="20% - Accent6 2 5 4 6 3" xfId="16486" xr:uid="{00000000-0005-0000-0000-0000ED2C0000}"/>
    <cellStyle name="20% - Accent6 2 5 4 6 3 2" xfId="35886" xr:uid="{00000000-0005-0000-0000-0000EE2C0000}"/>
    <cellStyle name="20% - Accent6 2 5 4 6 4" xfId="26188" xr:uid="{00000000-0005-0000-0000-0000EF2C0000}"/>
    <cellStyle name="20% - Accent6 2 5 4 7" xfId="7047" xr:uid="{00000000-0005-0000-0000-0000F02C0000}"/>
    <cellStyle name="20% - Accent6 2 5 4 7 2" xfId="17043" xr:uid="{00000000-0005-0000-0000-0000F12C0000}"/>
    <cellStyle name="20% - Accent6 2 5 4 7 2 2" xfId="36443" xr:uid="{00000000-0005-0000-0000-0000F22C0000}"/>
    <cellStyle name="20% - Accent6 2 5 4 7 3" xfId="26745" xr:uid="{00000000-0005-0000-0000-0000F32C0000}"/>
    <cellStyle name="20% - Accent6 2 5 4 8" xfId="12587" xr:uid="{00000000-0005-0000-0000-0000F42C0000}"/>
    <cellStyle name="20% - Accent6 2 5 4 8 2" xfId="31988" xr:uid="{00000000-0005-0000-0000-0000F52C0000}"/>
    <cellStyle name="20% - Accent6 2 5 4 9" xfId="22290" xr:uid="{00000000-0005-0000-0000-0000F62C0000}"/>
    <cellStyle name="20% - Accent6 2 6" xfId="1202" xr:uid="{00000000-0005-0000-0000-0000F72C0000}"/>
    <cellStyle name="20% - Accent6 2 6 2" xfId="2106" xr:uid="{00000000-0005-0000-0000-0000F82C0000}"/>
    <cellStyle name="20% - Accent6 2 6 2 2" xfId="3099" xr:uid="{00000000-0005-0000-0000-0000F92C0000}"/>
    <cellStyle name="20% - Accent6 2 6 2 2 2" xfId="5368" xr:uid="{00000000-0005-0000-0000-0000FA2C0000}"/>
    <cellStyle name="20% - Accent6 2 6 2 2 2 2" xfId="9832" xr:uid="{00000000-0005-0000-0000-0000FB2C0000}"/>
    <cellStyle name="20% - Accent6 2 6 2 2 2 2 2" xfId="19828" xr:uid="{00000000-0005-0000-0000-0000FC2C0000}"/>
    <cellStyle name="20% - Accent6 2 6 2 2 2 2 2 2" xfId="39228" xr:uid="{00000000-0005-0000-0000-0000FD2C0000}"/>
    <cellStyle name="20% - Accent6 2 6 2 2 2 2 3" xfId="29530" xr:uid="{00000000-0005-0000-0000-0000FE2C0000}"/>
    <cellStyle name="20% - Accent6 2 6 2 2 2 3" xfId="15373" xr:uid="{00000000-0005-0000-0000-0000FF2C0000}"/>
    <cellStyle name="20% - Accent6 2 6 2 2 2 3 2" xfId="34773" xr:uid="{00000000-0005-0000-0000-0000002D0000}"/>
    <cellStyle name="20% - Accent6 2 6 2 2 2 4" xfId="25075" xr:uid="{00000000-0005-0000-0000-0000012D0000}"/>
    <cellStyle name="20% - Accent6 2 6 2 2 3" xfId="7604" xr:uid="{00000000-0005-0000-0000-0000022D0000}"/>
    <cellStyle name="20% - Accent6 2 6 2 2 3 2" xfId="17600" xr:uid="{00000000-0005-0000-0000-0000032D0000}"/>
    <cellStyle name="20% - Accent6 2 6 2 2 3 2 2" xfId="37000" xr:uid="{00000000-0005-0000-0000-0000042D0000}"/>
    <cellStyle name="20% - Accent6 2 6 2 2 3 3" xfId="27302" xr:uid="{00000000-0005-0000-0000-0000052D0000}"/>
    <cellStyle name="20% - Accent6 2 6 2 2 4" xfId="13145" xr:uid="{00000000-0005-0000-0000-0000062D0000}"/>
    <cellStyle name="20% - Accent6 2 6 2 2 4 2" xfId="32545" xr:uid="{00000000-0005-0000-0000-0000072D0000}"/>
    <cellStyle name="20% - Accent6 2 6 2 2 5" xfId="22847" xr:uid="{00000000-0005-0000-0000-0000082D0000}"/>
    <cellStyle name="20% - Accent6 2 6 2 3" xfId="3682" xr:uid="{00000000-0005-0000-0000-0000092D0000}"/>
    <cellStyle name="20% - Accent6 2 6 2 3 2" xfId="4812" xr:uid="{00000000-0005-0000-0000-00000A2D0000}"/>
    <cellStyle name="20% - Accent6 2 6 2 3 2 2" xfId="9276" xr:uid="{00000000-0005-0000-0000-00000B2D0000}"/>
    <cellStyle name="20% - Accent6 2 6 2 3 2 2 2" xfId="19272" xr:uid="{00000000-0005-0000-0000-00000C2D0000}"/>
    <cellStyle name="20% - Accent6 2 6 2 3 2 2 2 2" xfId="38672" xr:uid="{00000000-0005-0000-0000-00000D2D0000}"/>
    <cellStyle name="20% - Accent6 2 6 2 3 2 2 3" xfId="28974" xr:uid="{00000000-0005-0000-0000-00000E2D0000}"/>
    <cellStyle name="20% - Accent6 2 6 2 3 2 3" xfId="14817" xr:uid="{00000000-0005-0000-0000-00000F2D0000}"/>
    <cellStyle name="20% - Accent6 2 6 2 3 2 3 2" xfId="34217" xr:uid="{00000000-0005-0000-0000-0000102D0000}"/>
    <cellStyle name="20% - Accent6 2 6 2 3 2 4" xfId="24519" xr:uid="{00000000-0005-0000-0000-0000112D0000}"/>
    <cellStyle name="20% - Accent6 2 6 2 3 3" xfId="8161" xr:uid="{00000000-0005-0000-0000-0000122D0000}"/>
    <cellStyle name="20% - Accent6 2 6 2 3 3 2" xfId="18157" xr:uid="{00000000-0005-0000-0000-0000132D0000}"/>
    <cellStyle name="20% - Accent6 2 6 2 3 3 2 2" xfId="37557" xr:uid="{00000000-0005-0000-0000-0000142D0000}"/>
    <cellStyle name="20% - Accent6 2 6 2 3 3 3" xfId="27859" xr:uid="{00000000-0005-0000-0000-0000152D0000}"/>
    <cellStyle name="20% - Accent6 2 6 2 3 4" xfId="13702" xr:uid="{00000000-0005-0000-0000-0000162D0000}"/>
    <cellStyle name="20% - Accent6 2 6 2 3 4 2" xfId="33102" xr:uid="{00000000-0005-0000-0000-0000172D0000}"/>
    <cellStyle name="20% - Accent6 2 6 2 3 5" xfId="23404" xr:uid="{00000000-0005-0000-0000-0000182D0000}"/>
    <cellStyle name="20% - Accent6 2 6 2 4" xfId="4255" xr:uid="{00000000-0005-0000-0000-0000192D0000}"/>
    <cellStyle name="20% - Accent6 2 6 2 4 2" xfId="8719" xr:uid="{00000000-0005-0000-0000-00001A2D0000}"/>
    <cellStyle name="20% - Accent6 2 6 2 4 2 2" xfId="18715" xr:uid="{00000000-0005-0000-0000-00001B2D0000}"/>
    <cellStyle name="20% - Accent6 2 6 2 4 2 2 2" xfId="38115" xr:uid="{00000000-0005-0000-0000-00001C2D0000}"/>
    <cellStyle name="20% - Accent6 2 6 2 4 2 3" xfId="28417" xr:uid="{00000000-0005-0000-0000-00001D2D0000}"/>
    <cellStyle name="20% - Accent6 2 6 2 4 3" xfId="14260" xr:uid="{00000000-0005-0000-0000-00001E2D0000}"/>
    <cellStyle name="20% - Accent6 2 6 2 4 3 2" xfId="33660" xr:uid="{00000000-0005-0000-0000-00001F2D0000}"/>
    <cellStyle name="20% - Accent6 2 6 2 4 4" xfId="23962" xr:uid="{00000000-0005-0000-0000-0000202D0000}"/>
    <cellStyle name="20% - Accent6 2 6 2 5" xfId="5925" xr:uid="{00000000-0005-0000-0000-0000212D0000}"/>
    <cellStyle name="20% - Accent6 2 6 2 5 2" xfId="10389" xr:uid="{00000000-0005-0000-0000-0000222D0000}"/>
    <cellStyle name="20% - Accent6 2 6 2 5 2 2" xfId="20385" xr:uid="{00000000-0005-0000-0000-0000232D0000}"/>
    <cellStyle name="20% - Accent6 2 6 2 5 2 2 2" xfId="39785" xr:uid="{00000000-0005-0000-0000-0000242D0000}"/>
    <cellStyle name="20% - Accent6 2 6 2 5 2 3" xfId="30087" xr:uid="{00000000-0005-0000-0000-0000252D0000}"/>
    <cellStyle name="20% - Accent6 2 6 2 5 3" xfId="15930" xr:uid="{00000000-0005-0000-0000-0000262D0000}"/>
    <cellStyle name="20% - Accent6 2 6 2 5 3 2" xfId="35330" xr:uid="{00000000-0005-0000-0000-0000272D0000}"/>
    <cellStyle name="20% - Accent6 2 6 2 5 4" xfId="25632" xr:uid="{00000000-0005-0000-0000-0000282D0000}"/>
    <cellStyle name="20% - Accent6 2 6 2 6" xfId="6491" xr:uid="{00000000-0005-0000-0000-0000292D0000}"/>
    <cellStyle name="20% - Accent6 2 6 2 6 2" xfId="10946" xr:uid="{00000000-0005-0000-0000-00002A2D0000}"/>
    <cellStyle name="20% - Accent6 2 6 2 6 2 2" xfId="20942" xr:uid="{00000000-0005-0000-0000-00002B2D0000}"/>
    <cellStyle name="20% - Accent6 2 6 2 6 2 2 2" xfId="40342" xr:uid="{00000000-0005-0000-0000-00002C2D0000}"/>
    <cellStyle name="20% - Accent6 2 6 2 6 2 3" xfId="30644" xr:uid="{00000000-0005-0000-0000-00002D2D0000}"/>
    <cellStyle name="20% - Accent6 2 6 2 6 3" xfId="16487" xr:uid="{00000000-0005-0000-0000-00002E2D0000}"/>
    <cellStyle name="20% - Accent6 2 6 2 6 3 2" xfId="35887" xr:uid="{00000000-0005-0000-0000-00002F2D0000}"/>
    <cellStyle name="20% - Accent6 2 6 2 6 4" xfId="26189" xr:uid="{00000000-0005-0000-0000-0000302D0000}"/>
    <cellStyle name="20% - Accent6 2 6 2 7" xfId="7048" xr:uid="{00000000-0005-0000-0000-0000312D0000}"/>
    <cellStyle name="20% - Accent6 2 6 2 7 2" xfId="17044" xr:uid="{00000000-0005-0000-0000-0000322D0000}"/>
    <cellStyle name="20% - Accent6 2 6 2 7 2 2" xfId="36444" xr:uid="{00000000-0005-0000-0000-0000332D0000}"/>
    <cellStyle name="20% - Accent6 2 6 2 7 3" xfId="26746" xr:uid="{00000000-0005-0000-0000-0000342D0000}"/>
    <cellStyle name="20% - Accent6 2 6 2 8" xfId="12588" xr:uid="{00000000-0005-0000-0000-0000352D0000}"/>
    <cellStyle name="20% - Accent6 2 6 2 8 2" xfId="31989" xr:uid="{00000000-0005-0000-0000-0000362D0000}"/>
    <cellStyle name="20% - Accent6 2 6 2 9" xfId="22291" xr:uid="{00000000-0005-0000-0000-0000372D0000}"/>
    <cellStyle name="20% - Accent6 2 6 3" xfId="2107" xr:uid="{00000000-0005-0000-0000-0000382D0000}"/>
    <cellStyle name="20% - Accent6 2 6 3 2" xfId="3100" xr:uid="{00000000-0005-0000-0000-0000392D0000}"/>
    <cellStyle name="20% - Accent6 2 6 3 2 2" xfId="5369" xr:uid="{00000000-0005-0000-0000-00003A2D0000}"/>
    <cellStyle name="20% - Accent6 2 6 3 2 2 2" xfId="9833" xr:uid="{00000000-0005-0000-0000-00003B2D0000}"/>
    <cellStyle name="20% - Accent6 2 6 3 2 2 2 2" xfId="19829" xr:uid="{00000000-0005-0000-0000-00003C2D0000}"/>
    <cellStyle name="20% - Accent6 2 6 3 2 2 2 2 2" xfId="39229" xr:uid="{00000000-0005-0000-0000-00003D2D0000}"/>
    <cellStyle name="20% - Accent6 2 6 3 2 2 2 3" xfId="29531" xr:uid="{00000000-0005-0000-0000-00003E2D0000}"/>
    <cellStyle name="20% - Accent6 2 6 3 2 2 3" xfId="15374" xr:uid="{00000000-0005-0000-0000-00003F2D0000}"/>
    <cellStyle name="20% - Accent6 2 6 3 2 2 3 2" xfId="34774" xr:uid="{00000000-0005-0000-0000-0000402D0000}"/>
    <cellStyle name="20% - Accent6 2 6 3 2 2 4" xfId="25076" xr:uid="{00000000-0005-0000-0000-0000412D0000}"/>
    <cellStyle name="20% - Accent6 2 6 3 2 3" xfId="7605" xr:uid="{00000000-0005-0000-0000-0000422D0000}"/>
    <cellStyle name="20% - Accent6 2 6 3 2 3 2" xfId="17601" xr:uid="{00000000-0005-0000-0000-0000432D0000}"/>
    <cellStyle name="20% - Accent6 2 6 3 2 3 2 2" xfId="37001" xr:uid="{00000000-0005-0000-0000-0000442D0000}"/>
    <cellStyle name="20% - Accent6 2 6 3 2 3 3" xfId="27303" xr:uid="{00000000-0005-0000-0000-0000452D0000}"/>
    <cellStyle name="20% - Accent6 2 6 3 2 4" xfId="13146" xr:uid="{00000000-0005-0000-0000-0000462D0000}"/>
    <cellStyle name="20% - Accent6 2 6 3 2 4 2" xfId="32546" xr:uid="{00000000-0005-0000-0000-0000472D0000}"/>
    <cellStyle name="20% - Accent6 2 6 3 2 5" xfId="22848" xr:uid="{00000000-0005-0000-0000-0000482D0000}"/>
    <cellStyle name="20% - Accent6 2 6 3 3" xfId="3683" xr:uid="{00000000-0005-0000-0000-0000492D0000}"/>
    <cellStyle name="20% - Accent6 2 6 3 3 2" xfId="4813" xr:uid="{00000000-0005-0000-0000-00004A2D0000}"/>
    <cellStyle name="20% - Accent6 2 6 3 3 2 2" xfId="9277" xr:uid="{00000000-0005-0000-0000-00004B2D0000}"/>
    <cellStyle name="20% - Accent6 2 6 3 3 2 2 2" xfId="19273" xr:uid="{00000000-0005-0000-0000-00004C2D0000}"/>
    <cellStyle name="20% - Accent6 2 6 3 3 2 2 2 2" xfId="38673" xr:uid="{00000000-0005-0000-0000-00004D2D0000}"/>
    <cellStyle name="20% - Accent6 2 6 3 3 2 2 3" xfId="28975" xr:uid="{00000000-0005-0000-0000-00004E2D0000}"/>
    <cellStyle name="20% - Accent6 2 6 3 3 2 3" xfId="14818" xr:uid="{00000000-0005-0000-0000-00004F2D0000}"/>
    <cellStyle name="20% - Accent6 2 6 3 3 2 3 2" xfId="34218" xr:uid="{00000000-0005-0000-0000-0000502D0000}"/>
    <cellStyle name="20% - Accent6 2 6 3 3 2 4" xfId="24520" xr:uid="{00000000-0005-0000-0000-0000512D0000}"/>
    <cellStyle name="20% - Accent6 2 6 3 3 3" xfId="8162" xr:uid="{00000000-0005-0000-0000-0000522D0000}"/>
    <cellStyle name="20% - Accent6 2 6 3 3 3 2" xfId="18158" xr:uid="{00000000-0005-0000-0000-0000532D0000}"/>
    <cellStyle name="20% - Accent6 2 6 3 3 3 2 2" xfId="37558" xr:uid="{00000000-0005-0000-0000-0000542D0000}"/>
    <cellStyle name="20% - Accent6 2 6 3 3 3 3" xfId="27860" xr:uid="{00000000-0005-0000-0000-0000552D0000}"/>
    <cellStyle name="20% - Accent6 2 6 3 3 4" xfId="13703" xr:uid="{00000000-0005-0000-0000-0000562D0000}"/>
    <cellStyle name="20% - Accent6 2 6 3 3 4 2" xfId="33103" xr:uid="{00000000-0005-0000-0000-0000572D0000}"/>
    <cellStyle name="20% - Accent6 2 6 3 3 5" xfId="23405" xr:uid="{00000000-0005-0000-0000-0000582D0000}"/>
    <cellStyle name="20% - Accent6 2 6 3 4" xfId="4256" xr:uid="{00000000-0005-0000-0000-0000592D0000}"/>
    <cellStyle name="20% - Accent6 2 6 3 4 2" xfId="8720" xr:uid="{00000000-0005-0000-0000-00005A2D0000}"/>
    <cellStyle name="20% - Accent6 2 6 3 4 2 2" xfId="18716" xr:uid="{00000000-0005-0000-0000-00005B2D0000}"/>
    <cellStyle name="20% - Accent6 2 6 3 4 2 2 2" xfId="38116" xr:uid="{00000000-0005-0000-0000-00005C2D0000}"/>
    <cellStyle name="20% - Accent6 2 6 3 4 2 3" xfId="28418" xr:uid="{00000000-0005-0000-0000-00005D2D0000}"/>
    <cellStyle name="20% - Accent6 2 6 3 4 3" xfId="14261" xr:uid="{00000000-0005-0000-0000-00005E2D0000}"/>
    <cellStyle name="20% - Accent6 2 6 3 4 3 2" xfId="33661" xr:uid="{00000000-0005-0000-0000-00005F2D0000}"/>
    <cellStyle name="20% - Accent6 2 6 3 4 4" xfId="23963" xr:uid="{00000000-0005-0000-0000-0000602D0000}"/>
    <cellStyle name="20% - Accent6 2 6 3 5" xfId="5926" xr:uid="{00000000-0005-0000-0000-0000612D0000}"/>
    <cellStyle name="20% - Accent6 2 6 3 5 2" xfId="10390" xr:uid="{00000000-0005-0000-0000-0000622D0000}"/>
    <cellStyle name="20% - Accent6 2 6 3 5 2 2" xfId="20386" xr:uid="{00000000-0005-0000-0000-0000632D0000}"/>
    <cellStyle name="20% - Accent6 2 6 3 5 2 2 2" xfId="39786" xr:uid="{00000000-0005-0000-0000-0000642D0000}"/>
    <cellStyle name="20% - Accent6 2 6 3 5 2 3" xfId="30088" xr:uid="{00000000-0005-0000-0000-0000652D0000}"/>
    <cellStyle name="20% - Accent6 2 6 3 5 3" xfId="15931" xr:uid="{00000000-0005-0000-0000-0000662D0000}"/>
    <cellStyle name="20% - Accent6 2 6 3 5 3 2" xfId="35331" xr:uid="{00000000-0005-0000-0000-0000672D0000}"/>
    <cellStyle name="20% - Accent6 2 6 3 5 4" xfId="25633" xr:uid="{00000000-0005-0000-0000-0000682D0000}"/>
    <cellStyle name="20% - Accent6 2 6 3 6" xfId="6492" xr:uid="{00000000-0005-0000-0000-0000692D0000}"/>
    <cellStyle name="20% - Accent6 2 6 3 6 2" xfId="10947" xr:uid="{00000000-0005-0000-0000-00006A2D0000}"/>
    <cellStyle name="20% - Accent6 2 6 3 6 2 2" xfId="20943" xr:uid="{00000000-0005-0000-0000-00006B2D0000}"/>
    <cellStyle name="20% - Accent6 2 6 3 6 2 2 2" xfId="40343" xr:uid="{00000000-0005-0000-0000-00006C2D0000}"/>
    <cellStyle name="20% - Accent6 2 6 3 6 2 3" xfId="30645" xr:uid="{00000000-0005-0000-0000-00006D2D0000}"/>
    <cellStyle name="20% - Accent6 2 6 3 6 3" xfId="16488" xr:uid="{00000000-0005-0000-0000-00006E2D0000}"/>
    <cellStyle name="20% - Accent6 2 6 3 6 3 2" xfId="35888" xr:uid="{00000000-0005-0000-0000-00006F2D0000}"/>
    <cellStyle name="20% - Accent6 2 6 3 6 4" xfId="26190" xr:uid="{00000000-0005-0000-0000-0000702D0000}"/>
    <cellStyle name="20% - Accent6 2 6 3 7" xfId="7049" xr:uid="{00000000-0005-0000-0000-0000712D0000}"/>
    <cellStyle name="20% - Accent6 2 6 3 7 2" xfId="17045" xr:uid="{00000000-0005-0000-0000-0000722D0000}"/>
    <cellStyle name="20% - Accent6 2 6 3 7 2 2" xfId="36445" xr:uid="{00000000-0005-0000-0000-0000732D0000}"/>
    <cellStyle name="20% - Accent6 2 6 3 7 3" xfId="26747" xr:uid="{00000000-0005-0000-0000-0000742D0000}"/>
    <cellStyle name="20% - Accent6 2 6 3 8" xfId="12589" xr:uid="{00000000-0005-0000-0000-0000752D0000}"/>
    <cellStyle name="20% - Accent6 2 6 3 8 2" xfId="31990" xr:uid="{00000000-0005-0000-0000-0000762D0000}"/>
    <cellStyle name="20% - Accent6 2 6 3 9" xfId="22292" xr:uid="{00000000-0005-0000-0000-0000772D0000}"/>
    <cellStyle name="20% - Accent6 2 7" xfId="1741" xr:uid="{00000000-0005-0000-0000-0000782D0000}"/>
    <cellStyle name="20% - Accent6 2 7 2" xfId="2903" xr:uid="{00000000-0005-0000-0000-0000792D0000}"/>
    <cellStyle name="20% - Accent6 2 7 2 2" xfId="5172" xr:uid="{00000000-0005-0000-0000-00007A2D0000}"/>
    <cellStyle name="20% - Accent6 2 7 2 2 2" xfId="9636" xr:uid="{00000000-0005-0000-0000-00007B2D0000}"/>
    <cellStyle name="20% - Accent6 2 7 2 2 2 2" xfId="19632" xr:uid="{00000000-0005-0000-0000-00007C2D0000}"/>
    <cellStyle name="20% - Accent6 2 7 2 2 2 2 2" xfId="39032" xr:uid="{00000000-0005-0000-0000-00007D2D0000}"/>
    <cellStyle name="20% - Accent6 2 7 2 2 2 3" xfId="29334" xr:uid="{00000000-0005-0000-0000-00007E2D0000}"/>
    <cellStyle name="20% - Accent6 2 7 2 2 3" xfId="15177" xr:uid="{00000000-0005-0000-0000-00007F2D0000}"/>
    <cellStyle name="20% - Accent6 2 7 2 2 3 2" xfId="34577" xr:uid="{00000000-0005-0000-0000-0000802D0000}"/>
    <cellStyle name="20% - Accent6 2 7 2 2 4" xfId="24879" xr:uid="{00000000-0005-0000-0000-0000812D0000}"/>
    <cellStyle name="20% - Accent6 2 7 2 3" xfId="7408" xr:uid="{00000000-0005-0000-0000-0000822D0000}"/>
    <cellStyle name="20% - Accent6 2 7 2 3 2" xfId="17404" xr:uid="{00000000-0005-0000-0000-0000832D0000}"/>
    <cellStyle name="20% - Accent6 2 7 2 3 2 2" xfId="36804" xr:uid="{00000000-0005-0000-0000-0000842D0000}"/>
    <cellStyle name="20% - Accent6 2 7 2 3 3" xfId="27106" xr:uid="{00000000-0005-0000-0000-0000852D0000}"/>
    <cellStyle name="20% - Accent6 2 7 2 4" xfId="12949" xr:uid="{00000000-0005-0000-0000-0000862D0000}"/>
    <cellStyle name="20% - Accent6 2 7 2 4 2" xfId="32349" xr:uid="{00000000-0005-0000-0000-0000872D0000}"/>
    <cellStyle name="20% - Accent6 2 7 2 5" xfId="22651" xr:uid="{00000000-0005-0000-0000-0000882D0000}"/>
    <cellStyle name="20% - Accent6 2 7 3" xfId="3486" xr:uid="{00000000-0005-0000-0000-0000892D0000}"/>
    <cellStyle name="20% - Accent6 2 7 3 2" xfId="4616" xr:uid="{00000000-0005-0000-0000-00008A2D0000}"/>
    <cellStyle name="20% - Accent6 2 7 3 2 2" xfId="9080" xr:uid="{00000000-0005-0000-0000-00008B2D0000}"/>
    <cellStyle name="20% - Accent6 2 7 3 2 2 2" xfId="19076" xr:uid="{00000000-0005-0000-0000-00008C2D0000}"/>
    <cellStyle name="20% - Accent6 2 7 3 2 2 2 2" xfId="38476" xr:uid="{00000000-0005-0000-0000-00008D2D0000}"/>
    <cellStyle name="20% - Accent6 2 7 3 2 2 3" xfId="28778" xr:uid="{00000000-0005-0000-0000-00008E2D0000}"/>
    <cellStyle name="20% - Accent6 2 7 3 2 3" xfId="14621" xr:uid="{00000000-0005-0000-0000-00008F2D0000}"/>
    <cellStyle name="20% - Accent6 2 7 3 2 3 2" xfId="34021" xr:uid="{00000000-0005-0000-0000-0000902D0000}"/>
    <cellStyle name="20% - Accent6 2 7 3 2 4" xfId="24323" xr:uid="{00000000-0005-0000-0000-0000912D0000}"/>
    <cellStyle name="20% - Accent6 2 7 3 3" xfId="7965" xr:uid="{00000000-0005-0000-0000-0000922D0000}"/>
    <cellStyle name="20% - Accent6 2 7 3 3 2" xfId="17961" xr:uid="{00000000-0005-0000-0000-0000932D0000}"/>
    <cellStyle name="20% - Accent6 2 7 3 3 2 2" xfId="37361" xr:uid="{00000000-0005-0000-0000-0000942D0000}"/>
    <cellStyle name="20% - Accent6 2 7 3 3 3" xfId="27663" xr:uid="{00000000-0005-0000-0000-0000952D0000}"/>
    <cellStyle name="20% - Accent6 2 7 3 4" xfId="13506" xr:uid="{00000000-0005-0000-0000-0000962D0000}"/>
    <cellStyle name="20% - Accent6 2 7 3 4 2" xfId="32906" xr:uid="{00000000-0005-0000-0000-0000972D0000}"/>
    <cellStyle name="20% - Accent6 2 7 3 5" xfId="23208" xr:uid="{00000000-0005-0000-0000-0000982D0000}"/>
    <cellStyle name="20% - Accent6 2 7 4" xfId="4059" xr:uid="{00000000-0005-0000-0000-0000992D0000}"/>
    <cellStyle name="20% - Accent6 2 7 4 2" xfId="8523" xr:uid="{00000000-0005-0000-0000-00009A2D0000}"/>
    <cellStyle name="20% - Accent6 2 7 4 2 2" xfId="18519" xr:uid="{00000000-0005-0000-0000-00009B2D0000}"/>
    <cellStyle name="20% - Accent6 2 7 4 2 2 2" xfId="37919" xr:uid="{00000000-0005-0000-0000-00009C2D0000}"/>
    <cellStyle name="20% - Accent6 2 7 4 2 3" xfId="28221" xr:uid="{00000000-0005-0000-0000-00009D2D0000}"/>
    <cellStyle name="20% - Accent6 2 7 4 3" xfId="14064" xr:uid="{00000000-0005-0000-0000-00009E2D0000}"/>
    <cellStyle name="20% - Accent6 2 7 4 3 2" xfId="33464" xr:uid="{00000000-0005-0000-0000-00009F2D0000}"/>
    <cellStyle name="20% - Accent6 2 7 4 4" xfId="23766" xr:uid="{00000000-0005-0000-0000-0000A02D0000}"/>
    <cellStyle name="20% - Accent6 2 7 5" xfId="5729" xr:uid="{00000000-0005-0000-0000-0000A12D0000}"/>
    <cellStyle name="20% - Accent6 2 7 5 2" xfId="10193" xr:uid="{00000000-0005-0000-0000-0000A22D0000}"/>
    <cellStyle name="20% - Accent6 2 7 5 2 2" xfId="20189" xr:uid="{00000000-0005-0000-0000-0000A32D0000}"/>
    <cellStyle name="20% - Accent6 2 7 5 2 2 2" xfId="39589" xr:uid="{00000000-0005-0000-0000-0000A42D0000}"/>
    <cellStyle name="20% - Accent6 2 7 5 2 3" xfId="29891" xr:uid="{00000000-0005-0000-0000-0000A52D0000}"/>
    <cellStyle name="20% - Accent6 2 7 5 3" xfId="15734" xr:uid="{00000000-0005-0000-0000-0000A62D0000}"/>
    <cellStyle name="20% - Accent6 2 7 5 3 2" xfId="35134" xr:uid="{00000000-0005-0000-0000-0000A72D0000}"/>
    <cellStyle name="20% - Accent6 2 7 5 4" xfId="25436" xr:uid="{00000000-0005-0000-0000-0000A82D0000}"/>
    <cellStyle name="20% - Accent6 2 7 6" xfId="6295" xr:uid="{00000000-0005-0000-0000-0000A92D0000}"/>
    <cellStyle name="20% - Accent6 2 7 6 2" xfId="10750" xr:uid="{00000000-0005-0000-0000-0000AA2D0000}"/>
    <cellStyle name="20% - Accent6 2 7 6 2 2" xfId="20746" xr:uid="{00000000-0005-0000-0000-0000AB2D0000}"/>
    <cellStyle name="20% - Accent6 2 7 6 2 2 2" xfId="40146" xr:uid="{00000000-0005-0000-0000-0000AC2D0000}"/>
    <cellStyle name="20% - Accent6 2 7 6 2 3" xfId="30448" xr:uid="{00000000-0005-0000-0000-0000AD2D0000}"/>
    <cellStyle name="20% - Accent6 2 7 6 3" xfId="16291" xr:uid="{00000000-0005-0000-0000-0000AE2D0000}"/>
    <cellStyle name="20% - Accent6 2 7 6 3 2" xfId="35691" xr:uid="{00000000-0005-0000-0000-0000AF2D0000}"/>
    <cellStyle name="20% - Accent6 2 7 6 4" xfId="25993" xr:uid="{00000000-0005-0000-0000-0000B02D0000}"/>
    <cellStyle name="20% - Accent6 2 7 7" xfId="6852" xr:uid="{00000000-0005-0000-0000-0000B12D0000}"/>
    <cellStyle name="20% - Accent6 2 7 7 2" xfId="16848" xr:uid="{00000000-0005-0000-0000-0000B22D0000}"/>
    <cellStyle name="20% - Accent6 2 7 7 2 2" xfId="36248" xr:uid="{00000000-0005-0000-0000-0000B32D0000}"/>
    <cellStyle name="20% - Accent6 2 7 7 3" xfId="26550" xr:uid="{00000000-0005-0000-0000-0000B42D0000}"/>
    <cellStyle name="20% - Accent6 2 7 8" xfId="12392" xr:uid="{00000000-0005-0000-0000-0000B52D0000}"/>
    <cellStyle name="20% - Accent6 2 7 8 2" xfId="31793" xr:uid="{00000000-0005-0000-0000-0000B62D0000}"/>
    <cellStyle name="20% - Accent6 2 7 9" xfId="22095" xr:uid="{00000000-0005-0000-0000-0000B72D0000}"/>
    <cellStyle name="20% - Accent6 2 8" xfId="1834" xr:uid="{00000000-0005-0000-0000-0000B82D0000}"/>
    <cellStyle name="20% - Accent6 2 8 2" xfId="2912" xr:uid="{00000000-0005-0000-0000-0000B92D0000}"/>
    <cellStyle name="20% - Accent6 2 8 2 2" xfId="5181" xr:uid="{00000000-0005-0000-0000-0000BA2D0000}"/>
    <cellStyle name="20% - Accent6 2 8 2 2 2" xfId="9645" xr:uid="{00000000-0005-0000-0000-0000BB2D0000}"/>
    <cellStyle name="20% - Accent6 2 8 2 2 2 2" xfId="19641" xr:uid="{00000000-0005-0000-0000-0000BC2D0000}"/>
    <cellStyle name="20% - Accent6 2 8 2 2 2 2 2" xfId="39041" xr:uid="{00000000-0005-0000-0000-0000BD2D0000}"/>
    <cellStyle name="20% - Accent6 2 8 2 2 2 3" xfId="29343" xr:uid="{00000000-0005-0000-0000-0000BE2D0000}"/>
    <cellStyle name="20% - Accent6 2 8 2 2 3" xfId="15186" xr:uid="{00000000-0005-0000-0000-0000BF2D0000}"/>
    <cellStyle name="20% - Accent6 2 8 2 2 3 2" xfId="34586" xr:uid="{00000000-0005-0000-0000-0000C02D0000}"/>
    <cellStyle name="20% - Accent6 2 8 2 2 4" xfId="24888" xr:uid="{00000000-0005-0000-0000-0000C12D0000}"/>
    <cellStyle name="20% - Accent6 2 8 2 3" xfId="7417" xr:uid="{00000000-0005-0000-0000-0000C22D0000}"/>
    <cellStyle name="20% - Accent6 2 8 2 3 2" xfId="17413" xr:uid="{00000000-0005-0000-0000-0000C32D0000}"/>
    <cellStyle name="20% - Accent6 2 8 2 3 2 2" xfId="36813" xr:uid="{00000000-0005-0000-0000-0000C42D0000}"/>
    <cellStyle name="20% - Accent6 2 8 2 3 3" xfId="27115" xr:uid="{00000000-0005-0000-0000-0000C52D0000}"/>
    <cellStyle name="20% - Accent6 2 8 2 4" xfId="12958" xr:uid="{00000000-0005-0000-0000-0000C62D0000}"/>
    <cellStyle name="20% - Accent6 2 8 2 4 2" xfId="32358" xr:uid="{00000000-0005-0000-0000-0000C72D0000}"/>
    <cellStyle name="20% - Accent6 2 8 2 5" xfId="22660" xr:uid="{00000000-0005-0000-0000-0000C82D0000}"/>
    <cellStyle name="20% - Accent6 2 8 3" xfId="3495" xr:uid="{00000000-0005-0000-0000-0000C92D0000}"/>
    <cellStyle name="20% - Accent6 2 8 3 2" xfId="4625" xr:uid="{00000000-0005-0000-0000-0000CA2D0000}"/>
    <cellStyle name="20% - Accent6 2 8 3 2 2" xfId="9089" xr:uid="{00000000-0005-0000-0000-0000CB2D0000}"/>
    <cellStyle name="20% - Accent6 2 8 3 2 2 2" xfId="19085" xr:uid="{00000000-0005-0000-0000-0000CC2D0000}"/>
    <cellStyle name="20% - Accent6 2 8 3 2 2 2 2" xfId="38485" xr:uid="{00000000-0005-0000-0000-0000CD2D0000}"/>
    <cellStyle name="20% - Accent6 2 8 3 2 2 3" xfId="28787" xr:uid="{00000000-0005-0000-0000-0000CE2D0000}"/>
    <cellStyle name="20% - Accent6 2 8 3 2 3" xfId="14630" xr:uid="{00000000-0005-0000-0000-0000CF2D0000}"/>
    <cellStyle name="20% - Accent6 2 8 3 2 3 2" xfId="34030" xr:uid="{00000000-0005-0000-0000-0000D02D0000}"/>
    <cellStyle name="20% - Accent6 2 8 3 2 4" xfId="24332" xr:uid="{00000000-0005-0000-0000-0000D12D0000}"/>
    <cellStyle name="20% - Accent6 2 8 3 3" xfId="7974" xr:uid="{00000000-0005-0000-0000-0000D22D0000}"/>
    <cellStyle name="20% - Accent6 2 8 3 3 2" xfId="17970" xr:uid="{00000000-0005-0000-0000-0000D32D0000}"/>
    <cellStyle name="20% - Accent6 2 8 3 3 2 2" xfId="37370" xr:uid="{00000000-0005-0000-0000-0000D42D0000}"/>
    <cellStyle name="20% - Accent6 2 8 3 3 3" xfId="27672" xr:uid="{00000000-0005-0000-0000-0000D52D0000}"/>
    <cellStyle name="20% - Accent6 2 8 3 4" xfId="13515" xr:uid="{00000000-0005-0000-0000-0000D62D0000}"/>
    <cellStyle name="20% - Accent6 2 8 3 4 2" xfId="32915" xr:uid="{00000000-0005-0000-0000-0000D72D0000}"/>
    <cellStyle name="20% - Accent6 2 8 3 5" xfId="23217" xr:uid="{00000000-0005-0000-0000-0000D82D0000}"/>
    <cellStyle name="20% - Accent6 2 8 4" xfId="4068" xr:uid="{00000000-0005-0000-0000-0000D92D0000}"/>
    <cellStyle name="20% - Accent6 2 8 4 2" xfId="8532" xr:uid="{00000000-0005-0000-0000-0000DA2D0000}"/>
    <cellStyle name="20% - Accent6 2 8 4 2 2" xfId="18528" xr:uid="{00000000-0005-0000-0000-0000DB2D0000}"/>
    <cellStyle name="20% - Accent6 2 8 4 2 2 2" xfId="37928" xr:uid="{00000000-0005-0000-0000-0000DC2D0000}"/>
    <cellStyle name="20% - Accent6 2 8 4 2 3" xfId="28230" xr:uid="{00000000-0005-0000-0000-0000DD2D0000}"/>
    <cellStyle name="20% - Accent6 2 8 4 3" xfId="14073" xr:uid="{00000000-0005-0000-0000-0000DE2D0000}"/>
    <cellStyle name="20% - Accent6 2 8 4 3 2" xfId="33473" xr:uid="{00000000-0005-0000-0000-0000DF2D0000}"/>
    <cellStyle name="20% - Accent6 2 8 4 4" xfId="23775" xr:uid="{00000000-0005-0000-0000-0000E02D0000}"/>
    <cellStyle name="20% - Accent6 2 8 5" xfId="5738" xr:uid="{00000000-0005-0000-0000-0000E12D0000}"/>
    <cellStyle name="20% - Accent6 2 8 5 2" xfId="10202" xr:uid="{00000000-0005-0000-0000-0000E22D0000}"/>
    <cellStyle name="20% - Accent6 2 8 5 2 2" xfId="20198" xr:uid="{00000000-0005-0000-0000-0000E32D0000}"/>
    <cellStyle name="20% - Accent6 2 8 5 2 2 2" xfId="39598" xr:uid="{00000000-0005-0000-0000-0000E42D0000}"/>
    <cellStyle name="20% - Accent6 2 8 5 2 3" xfId="29900" xr:uid="{00000000-0005-0000-0000-0000E52D0000}"/>
    <cellStyle name="20% - Accent6 2 8 5 3" xfId="15743" xr:uid="{00000000-0005-0000-0000-0000E62D0000}"/>
    <cellStyle name="20% - Accent6 2 8 5 3 2" xfId="35143" xr:uid="{00000000-0005-0000-0000-0000E72D0000}"/>
    <cellStyle name="20% - Accent6 2 8 5 4" xfId="25445" xr:uid="{00000000-0005-0000-0000-0000E82D0000}"/>
    <cellStyle name="20% - Accent6 2 8 6" xfId="6304" xr:uid="{00000000-0005-0000-0000-0000E92D0000}"/>
    <cellStyle name="20% - Accent6 2 8 6 2" xfId="10759" xr:uid="{00000000-0005-0000-0000-0000EA2D0000}"/>
    <cellStyle name="20% - Accent6 2 8 6 2 2" xfId="20755" xr:uid="{00000000-0005-0000-0000-0000EB2D0000}"/>
    <cellStyle name="20% - Accent6 2 8 6 2 2 2" xfId="40155" xr:uid="{00000000-0005-0000-0000-0000EC2D0000}"/>
    <cellStyle name="20% - Accent6 2 8 6 2 3" xfId="30457" xr:uid="{00000000-0005-0000-0000-0000ED2D0000}"/>
    <cellStyle name="20% - Accent6 2 8 6 3" xfId="16300" xr:uid="{00000000-0005-0000-0000-0000EE2D0000}"/>
    <cellStyle name="20% - Accent6 2 8 6 3 2" xfId="35700" xr:uid="{00000000-0005-0000-0000-0000EF2D0000}"/>
    <cellStyle name="20% - Accent6 2 8 6 4" xfId="26002" xr:uid="{00000000-0005-0000-0000-0000F02D0000}"/>
    <cellStyle name="20% - Accent6 2 8 7" xfId="6861" xr:uid="{00000000-0005-0000-0000-0000F12D0000}"/>
    <cellStyle name="20% - Accent6 2 8 7 2" xfId="16857" xr:uid="{00000000-0005-0000-0000-0000F22D0000}"/>
    <cellStyle name="20% - Accent6 2 8 7 2 2" xfId="36257" xr:uid="{00000000-0005-0000-0000-0000F32D0000}"/>
    <cellStyle name="20% - Accent6 2 8 7 3" xfId="26559" xr:uid="{00000000-0005-0000-0000-0000F42D0000}"/>
    <cellStyle name="20% - Accent6 2 8 8" xfId="12401" xr:uid="{00000000-0005-0000-0000-0000F52D0000}"/>
    <cellStyle name="20% - Accent6 2 8 8 2" xfId="31802" xr:uid="{00000000-0005-0000-0000-0000F62D0000}"/>
    <cellStyle name="20% - Accent6 2 8 9" xfId="22104" xr:uid="{00000000-0005-0000-0000-0000F72D0000}"/>
    <cellStyle name="20% - Accent6 2 9" xfId="2108" xr:uid="{00000000-0005-0000-0000-0000F82D0000}"/>
    <cellStyle name="20% - Accent6 20" xfId="1089" xr:uid="{00000000-0005-0000-0000-0000F92D0000}"/>
    <cellStyle name="20% - Accent6 20 2" xfId="11960" xr:uid="{00000000-0005-0000-0000-0000FA2D0000}"/>
    <cellStyle name="20% - Accent6 20 2 2" xfId="21664" xr:uid="{00000000-0005-0000-0000-0000FB2D0000}"/>
    <cellStyle name="20% - Accent6 20 2 2 2" xfId="41064" xr:uid="{00000000-0005-0000-0000-0000FC2D0000}"/>
    <cellStyle name="20% - Accent6 20 2 3" xfId="31366" xr:uid="{00000000-0005-0000-0000-0000FD2D0000}"/>
    <cellStyle name="20% - Accent6 20 3" xfId="12316" xr:uid="{00000000-0005-0000-0000-0000FE2D0000}"/>
    <cellStyle name="20% - Accent6 20 3 2" xfId="31719" xr:uid="{00000000-0005-0000-0000-0000FF2D0000}"/>
    <cellStyle name="20% - Accent6 20 4" xfId="22021" xr:uid="{00000000-0005-0000-0000-0000002E0000}"/>
    <cellStyle name="20% - Accent6 21" xfId="11843" xr:uid="{00000000-0005-0000-0000-0000012E0000}"/>
    <cellStyle name="20% - Accent6 21 2" xfId="21547" xr:uid="{00000000-0005-0000-0000-0000022E0000}"/>
    <cellStyle name="20% - Accent6 21 2 2" xfId="40947" xr:uid="{00000000-0005-0000-0000-0000032E0000}"/>
    <cellStyle name="20% - Accent6 21 3" xfId="31249" xr:uid="{00000000-0005-0000-0000-0000042E0000}"/>
    <cellStyle name="20% - Accent6 22" xfId="12199" xr:uid="{00000000-0005-0000-0000-0000052E0000}"/>
    <cellStyle name="20% - Accent6 22 2" xfId="31602" xr:uid="{00000000-0005-0000-0000-0000062E0000}"/>
    <cellStyle name="20% - Accent6 23" xfId="21904" xr:uid="{00000000-0005-0000-0000-0000072E0000}"/>
    <cellStyle name="20% - Accent6 3" xfId="78" xr:uid="{00000000-0005-0000-0000-0000082E0000}"/>
    <cellStyle name="20% - Accent6 3 2" xfId="2109" xr:uid="{00000000-0005-0000-0000-0000092E0000}"/>
    <cellStyle name="20% - Accent6 3 3" xfId="2609" xr:uid="{00000000-0005-0000-0000-00000A2E0000}"/>
    <cellStyle name="20% - Accent6 3 4" xfId="11391" xr:uid="{00000000-0005-0000-0000-00000B2E0000}"/>
    <cellStyle name="20% - Accent6 3 5" xfId="1204" xr:uid="{00000000-0005-0000-0000-00000C2E0000}"/>
    <cellStyle name="20% - Accent6 4" xfId="79" xr:uid="{00000000-0005-0000-0000-00000D2E0000}"/>
    <cellStyle name="20% - Accent6 4 2" xfId="2775" xr:uid="{00000000-0005-0000-0000-00000E2E0000}"/>
    <cellStyle name="20% - Accent6 4 3" xfId="11392" xr:uid="{00000000-0005-0000-0000-00000F2E0000}"/>
    <cellStyle name="20% - Accent6 4 4" xfId="1206" xr:uid="{00000000-0005-0000-0000-0000102E0000}"/>
    <cellStyle name="20% - Accent6 5" xfId="80" xr:uid="{00000000-0005-0000-0000-0000112E0000}"/>
    <cellStyle name="20% - Accent6 5 2" xfId="11393" xr:uid="{00000000-0005-0000-0000-0000122E0000}"/>
    <cellStyle name="20% - Accent6 5 3" xfId="1667" xr:uid="{00000000-0005-0000-0000-0000132E0000}"/>
    <cellStyle name="20% - Accent6 6" xfId="81" xr:uid="{00000000-0005-0000-0000-0000142E0000}"/>
    <cellStyle name="20% - Accent6 6 2" xfId="11394" xr:uid="{00000000-0005-0000-0000-0000152E0000}"/>
    <cellStyle name="20% - Accent6 6 3" xfId="1833" xr:uid="{00000000-0005-0000-0000-0000162E0000}"/>
    <cellStyle name="20% - Accent6 7" xfId="82" xr:uid="{00000000-0005-0000-0000-0000172E0000}"/>
    <cellStyle name="20% - Accent6 8" xfId="83" xr:uid="{00000000-0005-0000-0000-0000182E0000}"/>
    <cellStyle name="20% - Accent6 9" xfId="84" xr:uid="{00000000-0005-0000-0000-0000192E0000}"/>
    <cellStyle name="40% - Accent1" xfId="942" builtinId="31" customBuiltin="1"/>
    <cellStyle name="40% - Accent1 10" xfId="85" xr:uid="{00000000-0005-0000-0000-00001B2E0000}"/>
    <cellStyle name="40% - Accent1 11" xfId="86" xr:uid="{00000000-0005-0000-0000-00001C2E0000}"/>
    <cellStyle name="40% - Accent1 12" xfId="87" xr:uid="{00000000-0005-0000-0000-00001D2E0000}"/>
    <cellStyle name="40% - Accent1 13" xfId="88" xr:uid="{00000000-0005-0000-0000-00001E2E0000}"/>
    <cellStyle name="40% - Accent1 14" xfId="89" xr:uid="{00000000-0005-0000-0000-00001F2E0000}"/>
    <cellStyle name="40% - Accent1 15" xfId="90" xr:uid="{00000000-0005-0000-0000-0000202E0000}"/>
    <cellStyle name="40% - Accent1 16" xfId="676" xr:uid="{00000000-0005-0000-0000-0000212E0000}"/>
    <cellStyle name="40% - Accent1 17" xfId="990" xr:uid="{00000000-0005-0000-0000-0000222E0000}"/>
    <cellStyle name="40% - Accent1 17 2" xfId="11861" xr:uid="{00000000-0005-0000-0000-0000232E0000}"/>
    <cellStyle name="40% - Accent1 17 2 2" xfId="21565" xr:uid="{00000000-0005-0000-0000-0000242E0000}"/>
    <cellStyle name="40% - Accent1 17 2 2 2" xfId="40965" xr:uid="{00000000-0005-0000-0000-0000252E0000}"/>
    <cellStyle name="40% - Accent1 17 2 3" xfId="31267" xr:uid="{00000000-0005-0000-0000-0000262E0000}"/>
    <cellStyle name="40% - Accent1 17 3" xfId="12217" xr:uid="{00000000-0005-0000-0000-0000272E0000}"/>
    <cellStyle name="40% - Accent1 17 3 2" xfId="31620" xr:uid="{00000000-0005-0000-0000-0000282E0000}"/>
    <cellStyle name="40% - Accent1 17 4" xfId="21922" xr:uid="{00000000-0005-0000-0000-0000292E0000}"/>
    <cellStyle name="40% - Accent1 18" xfId="1015" xr:uid="{00000000-0005-0000-0000-00002A2E0000}"/>
    <cellStyle name="40% - Accent1 18 2" xfId="11886" xr:uid="{00000000-0005-0000-0000-00002B2E0000}"/>
    <cellStyle name="40% - Accent1 18 2 2" xfId="21590" xr:uid="{00000000-0005-0000-0000-00002C2E0000}"/>
    <cellStyle name="40% - Accent1 18 2 2 2" xfId="40990" xr:uid="{00000000-0005-0000-0000-00002D2E0000}"/>
    <cellStyle name="40% - Accent1 18 2 3" xfId="31292" xr:uid="{00000000-0005-0000-0000-00002E2E0000}"/>
    <cellStyle name="40% - Accent1 18 3" xfId="12242" xr:uid="{00000000-0005-0000-0000-00002F2E0000}"/>
    <cellStyle name="40% - Accent1 18 3 2" xfId="31645" xr:uid="{00000000-0005-0000-0000-0000302E0000}"/>
    <cellStyle name="40% - Accent1 18 4" xfId="21947" xr:uid="{00000000-0005-0000-0000-0000312E0000}"/>
    <cellStyle name="40% - Accent1 19" xfId="1065" xr:uid="{00000000-0005-0000-0000-0000322E0000}"/>
    <cellStyle name="40% - Accent1 19 2" xfId="11936" xr:uid="{00000000-0005-0000-0000-0000332E0000}"/>
    <cellStyle name="40% - Accent1 19 2 2" xfId="21640" xr:uid="{00000000-0005-0000-0000-0000342E0000}"/>
    <cellStyle name="40% - Accent1 19 2 2 2" xfId="41040" xr:uid="{00000000-0005-0000-0000-0000352E0000}"/>
    <cellStyle name="40% - Accent1 19 2 3" xfId="31342" xr:uid="{00000000-0005-0000-0000-0000362E0000}"/>
    <cellStyle name="40% - Accent1 19 3" xfId="12292" xr:uid="{00000000-0005-0000-0000-0000372E0000}"/>
    <cellStyle name="40% - Accent1 19 3 2" xfId="31695" xr:uid="{00000000-0005-0000-0000-0000382E0000}"/>
    <cellStyle name="40% - Accent1 19 4" xfId="21997" xr:uid="{00000000-0005-0000-0000-0000392E0000}"/>
    <cellStyle name="40% - Accent1 2" xfId="91" xr:uid="{00000000-0005-0000-0000-00003A2E0000}"/>
    <cellStyle name="40% - Accent1 2 10" xfId="2110" xr:uid="{00000000-0005-0000-0000-00003B2E0000}"/>
    <cellStyle name="40% - Accent1 2 10 2" xfId="3101" xr:uid="{00000000-0005-0000-0000-00003C2E0000}"/>
    <cellStyle name="40% - Accent1 2 10 2 2" xfId="5370" xr:uid="{00000000-0005-0000-0000-00003D2E0000}"/>
    <cellStyle name="40% - Accent1 2 10 2 2 2" xfId="9834" xr:uid="{00000000-0005-0000-0000-00003E2E0000}"/>
    <cellStyle name="40% - Accent1 2 10 2 2 2 2" xfId="19830" xr:uid="{00000000-0005-0000-0000-00003F2E0000}"/>
    <cellStyle name="40% - Accent1 2 10 2 2 2 2 2" xfId="39230" xr:uid="{00000000-0005-0000-0000-0000402E0000}"/>
    <cellStyle name="40% - Accent1 2 10 2 2 2 3" xfId="29532" xr:uid="{00000000-0005-0000-0000-0000412E0000}"/>
    <cellStyle name="40% - Accent1 2 10 2 2 3" xfId="15375" xr:uid="{00000000-0005-0000-0000-0000422E0000}"/>
    <cellStyle name="40% - Accent1 2 10 2 2 3 2" xfId="34775" xr:uid="{00000000-0005-0000-0000-0000432E0000}"/>
    <cellStyle name="40% - Accent1 2 10 2 2 4" xfId="25077" xr:uid="{00000000-0005-0000-0000-0000442E0000}"/>
    <cellStyle name="40% - Accent1 2 10 2 3" xfId="7606" xr:uid="{00000000-0005-0000-0000-0000452E0000}"/>
    <cellStyle name="40% - Accent1 2 10 2 3 2" xfId="17602" xr:uid="{00000000-0005-0000-0000-0000462E0000}"/>
    <cellStyle name="40% - Accent1 2 10 2 3 2 2" xfId="37002" xr:uid="{00000000-0005-0000-0000-0000472E0000}"/>
    <cellStyle name="40% - Accent1 2 10 2 3 3" xfId="27304" xr:uid="{00000000-0005-0000-0000-0000482E0000}"/>
    <cellStyle name="40% - Accent1 2 10 2 4" xfId="13147" xr:uid="{00000000-0005-0000-0000-0000492E0000}"/>
    <cellStyle name="40% - Accent1 2 10 2 4 2" xfId="32547" xr:uid="{00000000-0005-0000-0000-00004A2E0000}"/>
    <cellStyle name="40% - Accent1 2 10 2 5" xfId="22849" xr:uid="{00000000-0005-0000-0000-00004B2E0000}"/>
    <cellStyle name="40% - Accent1 2 10 3" xfId="3684" xr:uid="{00000000-0005-0000-0000-00004C2E0000}"/>
    <cellStyle name="40% - Accent1 2 10 3 2" xfId="4814" xr:uid="{00000000-0005-0000-0000-00004D2E0000}"/>
    <cellStyle name="40% - Accent1 2 10 3 2 2" xfId="9278" xr:uid="{00000000-0005-0000-0000-00004E2E0000}"/>
    <cellStyle name="40% - Accent1 2 10 3 2 2 2" xfId="19274" xr:uid="{00000000-0005-0000-0000-00004F2E0000}"/>
    <cellStyle name="40% - Accent1 2 10 3 2 2 2 2" xfId="38674" xr:uid="{00000000-0005-0000-0000-0000502E0000}"/>
    <cellStyle name="40% - Accent1 2 10 3 2 2 3" xfId="28976" xr:uid="{00000000-0005-0000-0000-0000512E0000}"/>
    <cellStyle name="40% - Accent1 2 10 3 2 3" xfId="14819" xr:uid="{00000000-0005-0000-0000-0000522E0000}"/>
    <cellStyle name="40% - Accent1 2 10 3 2 3 2" xfId="34219" xr:uid="{00000000-0005-0000-0000-0000532E0000}"/>
    <cellStyle name="40% - Accent1 2 10 3 2 4" xfId="24521" xr:uid="{00000000-0005-0000-0000-0000542E0000}"/>
    <cellStyle name="40% - Accent1 2 10 3 3" xfId="8163" xr:uid="{00000000-0005-0000-0000-0000552E0000}"/>
    <cellStyle name="40% - Accent1 2 10 3 3 2" xfId="18159" xr:uid="{00000000-0005-0000-0000-0000562E0000}"/>
    <cellStyle name="40% - Accent1 2 10 3 3 2 2" xfId="37559" xr:uid="{00000000-0005-0000-0000-0000572E0000}"/>
    <cellStyle name="40% - Accent1 2 10 3 3 3" xfId="27861" xr:uid="{00000000-0005-0000-0000-0000582E0000}"/>
    <cellStyle name="40% - Accent1 2 10 3 4" xfId="13704" xr:uid="{00000000-0005-0000-0000-0000592E0000}"/>
    <cellStyle name="40% - Accent1 2 10 3 4 2" xfId="33104" xr:uid="{00000000-0005-0000-0000-00005A2E0000}"/>
    <cellStyle name="40% - Accent1 2 10 3 5" xfId="23406" xr:uid="{00000000-0005-0000-0000-00005B2E0000}"/>
    <cellStyle name="40% - Accent1 2 10 4" xfId="4257" xr:uid="{00000000-0005-0000-0000-00005C2E0000}"/>
    <cellStyle name="40% - Accent1 2 10 4 2" xfId="8721" xr:uid="{00000000-0005-0000-0000-00005D2E0000}"/>
    <cellStyle name="40% - Accent1 2 10 4 2 2" xfId="18717" xr:uid="{00000000-0005-0000-0000-00005E2E0000}"/>
    <cellStyle name="40% - Accent1 2 10 4 2 2 2" xfId="38117" xr:uid="{00000000-0005-0000-0000-00005F2E0000}"/>
    <cellStyle name="40% - Accent1 2 10 4 2 3" xfId="28419" xr:uid="{00000000-0005-0000-0000-0000602E0000}"/>
    <cellStyle name="40% - Accent1 2 10 4 3" xfId="14262" xr:uid="{00000000-0005-0000-0000-0000612E0000}"/>
    <cellStyle name="40% - Accent1 2 10 4 3 2" xfId="33662" xr:uid="{00000000-0005-0000-0000-0000622E0000}"/>
    <cellStyle name="40% - Accent1 2 10 4 4" xfId="23964" xr:uid="{00000000-0005-0000-0000-0000632E0000}"/>
    <cellStyle name="40% - Accent1 2 10 5" xfId="5927" xr:uid="{00000000-0005-0000-0000-0000642E0000}"/>
    <cellStyle name="40% - Accent1 2 10 5 2" xfId="10391" xr:uid="{00000000-0005-0000-0000-0000652E0000}"/>
    <cellStyle name="40% - Accent1 2 10 5 2 2" xfId="20387" xr:uid="{00000000-0005-0000-0000-0000662E0000}"/>
    <cellStyle name="40% - Accent1 2 10 5 2 2 2" xfId="39787" xr:uid="{00000000-0005-0000-0000-0000672E0000}"/>
    <cellStyle name="40% - Accent1 2 10 5 2 3" xfId="30089" xr:uid="{00000000-0005-0000-0000-0000682E0000}"/>
    <cellStyle name="40% - Accent1 2 10 5 3" xfId="15932" xr:uid="{00000000-0005-0000-0000-0000692E0000}"/>
    <cellStyle name="40% - Accent1 2 10 5 3 2" xfId="35332" xr:uid="{00000000-0005-0000-0000-00006A2E0000}"/>
    <cellStyle name="40% - Accent1 2 10 5 4" xfId="25634" xr:uid="{00000000-0005-0000-0000-00006B2E0000}"/>
    <cellStyle name="40% - Accent1 2 10 6" xfId="6493" xr:uid="{00000000-0005-0000-0000-00006C2E0000}"/>
    <cellStyle name="40% - Accent1 2 10 6 2" xfId="10948" xr:uid="{00000000-0005-0000-0000-00006D2E0000}"/>
    <cellStyle name="40% - Accent1 2 10 6 2 2" xfId="20944" xr:uid="{00000000-0005-0000-0000-00006E2E0000}"/>
    <cellStyle name="40% - Accent1 2 10 6 2 2 2" xfId="40344" xr:uid="{00000000-0005-0000-0000-00006F2E0000}"/>
    <cellStyle name="40% - Accent1 2 10 6 2 3" xfId="30646" xr:uid="{00000000-0005-0000-0000-0000702E0000}"/>
    <cellStyle name="40% - Accent1 2 10 6 3" xfId="16489" xr:uid="{00000000-0005-0000-0000-0000712E0000}"/>
    <cellStyle name="40% - Accent1 2 10 6 3 2" xfId="35889" xr:uid="{00000000-0005-0000-0000-0000722E0000}"/>
    <cellStyle name="40% - Accent1 2 10 6 4" xfId="26191" xr:uid="{00000000-0005-0000-0000-0000732E0000}"/>
    <cellStyle name="40% - Accent1 2 10 7" xfId="7050" xr:uid="{00000000-0005-0000-0000-0000742E0000}"/>
    <cellStyle name="40% - Accent1 2 10 7 2" xfId="17046" xr:uid="{00000000-0005-0000-0000-0000752E0000}"/>
    <cellStyle name="40% - Accent1 2 10 7 2 2" xfId="36446" xr:uid="{00000000-0005-0000-0000-0000762E0000}"/>
    <cellStyle name="40% - Accent1 2 10 7 3" xfId="26748" xr:uid="{00000000-0005-0000-0000-0000772E0000}"/>
    <cellStyle name="40% - Accent1 2 10 8" xfId="12590" xr:uid="{00000000-0005-0000-0000-0000782E0000}"/>
    <cellStyle name="40% - Accent1 2 10 8 2" xfId="31991" xr:uid="{00000000-0005-0000-0000-0000792E0000}"/>
    <cellStyle name="40% - Accent1 2 10 9" xfId="22293" xr:uid="{00000000-0005-0000-0000-00007A2E0000}"/>
    <cellStyle name="40% - Accent1 2 11" xfId="11305" xr:uid="{00000000-0005-0000-0000-00007B2E0000}"/>
    <cellStyle name="40% - Accent1 2 11 2" xfId="21290" xr:uid="{00000000-0005-0000-0000-00007C2E0000}"/>
    <cellStyle name="40% - Accent1 2 11 2 2" xfId="40690" xr:uid="{00000000-0005-0000-0000-00007D2E0000}"/>
    <cellStyle name="40% - Accent1 2 11 3" xfId="30992" xr:uid="{00000000-0005-0000-0000-00007E2E0000}"/>
    <cellStyle name="40% - Accent1 2 12" xfId="11334" xr:uid="{00000000-0005-0000-0000-00007F2E0000}"/>
    <cellStyle name="40% - Accent1 2 12 2" xfId="21316" xr:uid="{00000000-0005-0000-0000-0000802E0000}"/>
    <cellStyle name="40% - Accent1 2 12 2 2" xfId="40716" xr:uid="{00000000-0005-0000-0000-0000812E0000}"/>
    <cellStyle name="40% - Accent1 2 12 3" xfId="31018" xr:uid="{00000000-0005-0000-0000-0000822E0000}"/>
    <cellStyle name="40% - Accent1 2 13" xfId="1208" xr:uid="{00000000-0005-0000-0000-0000832E0000}"/>
    <cellStyle name="40% - Accent1 2 14" xfId="1130" xr:uid="{00000000-0005-0000-0000-0000842E0000}"/>
    <cellStyle name="40% - Accent1 2 14 2" xfId="12349" xr:uid="{00000000-0005-0000-0000-0000852E0000}"/>
    <cellStyle name="40% - Accent1 2 14 2 2" xfId="31751" xr:uid="{00000000-0005-0000-0000-0000862E0000}"/>
    <cellStyle name="40% - Accent1 2 14 3" xfId="22053" xr:uid="{00000000-0005-0000-0000-0000872E0000}"/>
    <cellStyle name="40% - Accent1 2 2" xfId="718" xr:uid="{00000000-0005-0000-0000-0000882E0000}"/>
    <cellStyle name="40% - Accent1 2 2 2" xfId="1750" xr:uid="{00000000-0005-0000-0000-0000892E0000}"/>
    <cellStyle name="40% - Accent1 2 2 3" xfId="1210" xr:uid="{00000000-0005-0000-0000-00008A2E0000}"/>
    <cellStyle name="40% - Accent1 2 2 4" xfId="11675" xr:uid="{00000000-0005-0000-0000-00008B2E0000}"/>
    <cellStyle name="40% - Accent1 2 2 4 2" xfId="21399" xr:uid="{00000000-0005-0000-0000-00008C2E0000}"/>
    <cellStyle name="40% - Accent1 2 2 4 2 2" xfId="40799" xr:uid="{00000000-0005-0000-0000-00008D2E0000}"/>
    <cellStyle name="40% - Accent1 2 2 4 3" xfId="31101" xr:uid="{00000000-0005-0000-0000-00008E2E0000}"/>
    <cellStyle name="40% - Accent1 2 2 5" xfId="1171" xr:uid="{00000000-0005-0000-0000-00008F2E0000}"/>
    <cellStyle name="40% - Accent1 2 2 6" xfId="12051" xr:uid="{00000000-0005-0000-0000-0000902E0000}"/>
    <cellStyle name="40% - Accent1 2 2 6 2" xfId="31454" xr:uid="{00000000-0005-0000-0000-0000912E0000}"/>
    <cellStyle name="40% - Accent1 2 2 7" xfId="21756" xr:uid="{00000000-0005-0000-0000-0000922E0000}"/>
    <cellStyle name="40% - Accent1 2 3" xfId="1100" xr:uid="{00000000-0005-0000-0000-0000932E0000}"/>
    <cellStyle name="40% - Accent1 2 3 2" xfId="2111" xr:uid="{00000000-0005-0000-0000-0000942E0000}"/>
    <cellStyle name="40% - Accent1 2 3 2 10" xfId="7051" xr:uid="{00000000-0005-0000-0000-0000952E0000}"/>
    <cellStyle name="40% - Accent1 2 3 2 10 2" xfId="17047" xr:uid="{00000000-0005-0000-0000-0000962E0000}"/>
    <cellStyle name="40% - Accent1 2 3 2 10 2 2" xfId="36447" xr:uid="{00000000-0005-0000-0000-0000972E0000}"/>
    <cellStyle name="40% - Accent1 2 3 2 10 3" xfId="26749" xr:uid="{00000000-0005-0000-0000-0000982E0000}"/>
    <cellStyle name="40% - Accent1 2 3 2 11" xfId="12591" xr:uid="{00000000-0005-0000-0000-0000992E0000}"/>
    <cellStyle name="40% - Accent1 2 3 2 11 2" xfId="31992" xr:uid="{00000000-0005-0000-0000-00009A2E0000}"/>
    <cellStyle name="40% - Accent1 2 3 2 12" xfId="22294" xr:uid="{00000000-0005-0000-0000-00009B2E0000}"/>
    <cellStyle name="40% - Accent1 2 3 2 2" xfId="2112" xr:uid="{00000000-0005-0000-0000-00009C2E0000}"/>
    <cellStyle name="40% - Accent1 2 3 2 2 10" xfId="12592" xr:uid="{00000000-0005-0000-0000-00009D2E0000}"/>
    <cellStyle name="40% - Accent1 2 3 2 2 10 2" xfId="31993" xr:uid="{00000000-0005-0000-0000-00009E2E0000}"/>
    <cellStyle name="40% - Accent1 2 3 2 2 11" xfId="22295" xr:uid="{00000000-0005-0000-0000-00009F2E0000}"/>
    <cellStyle name="40% - Accent1 2 3 2 2 2" xfId="2113" xr:uid="{00000000-0005-0000-0000-0000A02E0000}"/>
    <cellStyle name="40% - Accent1 2 3 2 2 2 2" xfId="3104" xr:uid="{00000000-0005-0000-0000-0000A12E0000}"/>
    <cellStyle name="40% - Accent1 2 3 2 2 2 2 2" xfId="5373" xr:uid="{00000000-0005-0000-0000-0000A22E0000}"/>
    <cellStyle name="40% - Accent1 2 3 2 2 2 2 2 2" xfId="9837" xr:uid="{00000000-0005-0000-0000-0000A32E0000}"/>
    <cellStyle name="40% - Accent1 2 3 2 2 2 2 2 2 2" xfId="19833" xr:uid="{00000000-0005-0000-0000-0000A42E0000}"/>
    <cellStyle name="40% - Accent1 2 3 2 2 2 2 2 2 2 2" xfId="39233" xr:uid="{00000000-0005-0000-0000-0000A52E0000}"/>
    <cellStyle name="40% - Accent1 2 3 2 2 2 2 2 2 3" xfId="29535" xr:uid="{00000000-0005-0000-0000-0000A62E0000}"/>
    <cellStyle name="40% - Accent1 2 3 2 2 2 2 2 3" xfId="15378" xr:uid="{00000000-0005-0000-0000-0000A72E0000}"/>
    <cellStyle name="40% - Accent1 2 3 2 2 2 2 2 3 2" xfId="34778" xr:uid="{00000000-0005-0000-0000-0000A82E0000}"/>
    <cellStyle name="40% - Accent1 2 3 2 2 2 2 2 4" xfId="25080" xr:uid="{00000000-0005-0000-0000-0000A92E0000}"/>
    <cellStyle name="40% - Accent1 2 3 2 2 2 2 3" xfId="7609" xr:uid="{00000000-0005-0000-0000-0000AA2E0000}"/>
    <cellStyle name="40% - Accent1 2 3 2 2 2 2 3 2" xfId="17605" xr:uid="{00000000-0005-0000-0000-0000AB2E0000}"/>
    <cellStyle name="40% - Accent1 2 3 2 2 2 2 3 2 2" xfId="37005" xr:uid="{00000000-0005-0000-0000-0000AC2E0000}"/>
    <cellStyle name="40% - Accent1 2 3 2 2 2 2 3 3" xfId="27307" xr:uid="{00000000-0005-0000-0000-0000AD2E0000}"/>
    <cellStyle name="40% - Accent1 2 3 2 2 2 2 4" xfId="13150" xr:uid="{00000000-0005-0000-0000-0000AE2E0000}"/>
    <cellStyle name="40% - Accent1 2 3 2 2 2 2 4 2" xfId="32550" xr:uid="{00000000-0005-0000-0000-0000AF2E0000}"/>
    <cellStyle name="40% - Accent1 2 3 2 2 2 2 5" xfId="22852" xr:uid="{00000000-0005-0000-0000-0000B02E0000}"/>
    <cellStyle name="40% - Accent1 2 3 2 2 2 3" xfId="3687" xr:uid="{00000000-0005-0000-0000-0000B12E0000}"/>
    <cellStyle name="40% - Accent1 2 3 2 2 2 3 2" xfId="4817" xr:uid="{00000000-0005-0000-0000-0000B22E0000}"/>
    <cellStyle name="40% - Accent1 2 3 2 2 2 3 2 2" xfId="9281" xr:uid="{00000000-0005-0000-0000-0000B32E0000}"/>
    <cellStyle name="40% - Accent1 2 3 2 2 2 3 2 2 2" xfId="19277" xr:uid="{00000000-0005-0000-0000-0000B42E0000}"/>
    <cellStyle name="40% - Accent1 2 3 2 2 2 3 2 2 2 2" xfId="38677" xr:uid="{00000000-0005-0000-0000-0000B52E0000}"/>
    <cellStyle name="40% - Accent1 2 3 2 2 2 3 2 2 3" xfId="28979" xr:uid="{00000000-0005-0000-0000-0000B62E0000}"/>
    <cellStyle name="40% - Accent1 2 3 2 2 2 3 2 3" xfId="14822" xr:uid="{00000000-0005-0000-0000-0000B72E0000}"/>
    <cellStyle name="40% - Accent1 2 3 2 2 2 3 2 3 2" xfId="34222" xr:uid="{00000000-0005-0000-0000-0000B82E0000}"/>
    <cellStyle name="40% - Accent1 2 3 2 2 2 3 2 4" xfId="24524" xr:uid="{00000000-0005-0000-0000-0000B92E0000}"/>
    <cellStyle name="40% - Accent1 2 3 2 2 2 3 3" xfId="8166" xr:uid="{00000000-0005-0000-0000-0000BA2E0000}"/>
    <cellStyle name="40% - Accent1 2 3 2 2 2 3 3 2" xfId="18162" xr:uid="{00000000-0005-0000-0000-0000BB2E0000}"/>
    <cellStyle name="40% - Accent1 2 3 2 2 2 3 3 2 2" xfId="37562" xr:uid="{00000000-0005-0000-0000-0000BC2E0000}"/>
    <cellStyle name="40% - Accent1 2 3 2 2 2 3 3 3" xfId="27864" xr:uid="{00000000-0005-0000-0000-0000BD2E0000}"/>
    <cellStyle name="40% - Accent1 2 3 2 2 2 3 4" xfId="13707" xr:uid="{00000000-0005-0000-0000-0000BE2E0000}"/>
    <cellStyle name="40% - Accent1 2 3 2 2 2 3 4 2" xfId="33107" xr:uid="{00000000-0005-0000-0000-0000BF2E0000}"/>
    <cellStyle name="40% - Accent1 2 3 2 2 2 3 5" xfId="23409" xr:uid="{00000000-0005-0000-0000-0000C02E0000}"/>
    <cellStyle name="40% - Accent1 2 3 2 2 2 4" xfId="4260" xr:uid="{00000000-0005-0000-0000-0000C12E0000}"/>
    <cellStyle name="40% - Accent1 2 3 2 2 2 4 2" xfId="8724" xr:uid="{00000000-0005-0000-0000-0000C22E0000}"/>
    <cellStyle name="40% - Accent1 2 3 2 2 2 4 2 2" xfId="18720" xr:uid="{00000000-0005-0000-0000-0000C32E0000}"/>
    <cellStyle name="40% - Accent1 2 3 2 2 2 4 2 2 2" xfId="38120" xr:uid="{00000000-0005-0000-0000-0000C42E0000}"/>
    <cellStyle name="40% - Accent1 2 3 2 2 2 4 2 3" xfId="28422" xr:uid="{00000000-0005-0000-0000-0000C52E0000}"/>
    <cellStyle name="40% - Accent1 2 3 2 2 2 4 3" xfId="14265" xr:uid="{00000000-0005-0000-0000-0000C62E0000}"/>
    <cellStyle name="40% - Accent1 2 3 2 2 2 4 3 2" xfId="33665" xr:uid="{00000000-0005-0000-0000-0000C72E0000}"/>
    <cellStyle name="40% - Accent1 2 3 2 2 2 4 4" xfId="23967" xr:uid="{00000000-0005-0000-0000-0000C82E0000}"/>
    <cellStyle name="40% - Accent1 2 3 2 2 2 5" xfId="5930" xr:uid="{00000000-0005-0000-0000-0000C92E0000}"/>
    <cellStyle name="40% - Accent1 2 3 2 2 2 5 2" xfId="10394" xr:uid="{00000000-0005-0000-0000-0000CA2E0000}"/>
    <cellStyle name="40% - Accent1 2 3 2 2 2 5 2 2" xfId="20390" xr:uid="{00000000-0005-0000-0000-0000CB2E0000}"/>
    <cellStyle name="40% - Accent1 2 3 2 2 2 5 2 2 2" xfId="39790" xr:uid="{00000000-0005-0000-0000-0000CC2E0000}"/>
    <cellStyle name="40% - Accent1 2 3 2 2 2 5 2 3" xfId="30092" xr:uid="{00000000-0005-0000-0000-0000CD2E0000}"/>
    <cellStyle name="40% - Accent1 2 3 2 2 2 5 3" xfId="15935" xr:uid="{00000000-0005-0000-0000-0000CE2E0000}"/>
    <cellStyle name="40% - Accent1 2 3 2 2 2 5 3 2" xfId="35335" xr:uid="{00000000-0005-0000-0000-0000CF2E0000}"/>
    <cellStyle name="40% - Accent1 2 3 2 2 2 5 4" xfId="25637" xr:uid="{00000000-0005-0000-0000-0000D02E0000}"/>
    <cellStyle name="40% - Accent1 2 3 2 2 2 6" xfId="6496" xr:uid="{00000000-0005-0000-0000-0000D12E0000}"/>
    <cellStyle name="40% - Accent1 2 3 2 2 2 6 2" xfId="10951" xr:uid="{00000000-0005-0000-0000-0000D22E0000}"/>
    <cellStyle name="40% - Accent1 2 3 2 2 2 6 2 2" xfId="20947" xr:uid="{00000000-0005-0000-0000-0000D32E0000}"/>
    <cellStyle name="40% - Accent1 2 3 2 2 2 6 2 2 2" xfId="40347" xr:uid="{00000000-0005-0000-0000-0000D42E0000}"/>
    <cellStyle name="40% - Accent1 2 3 2 2 2 6 2 3" xfId="30649" xr:uid="{00000000-0005-0000-0000-0000D52E0000}"/>
    <cellStyle name="40% - Accent1 2 3 2 2 2 6 3" xfId="16492" xr:uid="{00000000-0005-0000-0000-0000D62E0000}"/>
    <cellStyle name="40% - Accent1 2 3 2 2 2 6 3 2" xfId="35892" xr:uid="{00000000-0005-0000-0000-0000D72E0000}"/>
    <cellStyle name="40% - Accent1 2 3 2 2 2 6 4" xfId="26194" xr:uid="{00000000-0005-0000-0000-0000D82E0000}"/>
    <cellStyle name="40% - Accent1 2 3 2 2 2 7" xfId="7053" xr:uid="{00000000-0005-0000-0000-0000D92E0000}"/>
    <cellStyle name="40% - Accent1 2 3 2 2 2 7 2" xfId="17049" xr:uid="{00000000-0005-0000-0000-0000DA2E0000}"/>
    <cellStyle name="40% - Accent1 2 3 2 2 2 7 2 2" xfId="36449" xr:uid="{00000000-0005-0000-0000-0000DB2E0000}"/>
    <cellStyle name="40% - Accent1 2 3 2 2 2 7 3" xfId="26751" xr:uid="{00000000-0005-0000-0000-0000DC2E0000}"/>
    <cellStyle name="40% - Accent1 2 3 2 2 2 8" xfId="12593" xr:uid="{00000000-0005-0000-0000-0000DD2E0000}"/>
    <cellStyle name="40% - Accent1 2 3 2 2 2 8 2" xfId="31994" xr:uid="{00000000-0005-0000-0000-0000DE2E0000}"/>
    <cellStyle name="40% - Accent1 2 3 2 2 2 9" xfId="22296" xr:uid="{00000000-0005-0000-0000-0000DF2E0000}"/>
    <cellStyle name="40% - Accent1 2 3 2 2 3" xfId="2114" xr:uid="{00000000-0005-0000-0000-0000E02E0000}"/>
    <cellStyle name="40% - Accent1 2 3 2 2 3 2" xfId="3105" xr:uid="{00000000-0005-0000-0000-0000E12E0000}"/>
    <cellStyle name="40% - Accent1 2 3 2 2 3 2 2" xfId="5374" xr:uid="{00000000-0005-0000-0000-0000E22E0000}"/>
    <cellStyle name="40% - Accent1 2 3 2 2 3 2 2 2" xfId="9838" xr:uid="{00000000-0005-0000-0000-0000E32E0000}"/>
    <cellStyle name="40% - Accent1 2 3 2 2 3 2 2 2 2" xfId="19834" xr:uid="{00000000-0005-0000-0000-0000E42E0000}"/>
    <cellStyle name="40% - Accent1 2 3 2 2 3 2 2 2 2 2" xfId="39234" xr:uid="{00000000-0005-0000-0000-0000E52E0000}"/>
    <cellStyle name="40% - Accent1 2 3 2 2 3 2 2 2 3" xfId="29536" xr:uid="{00000000-0005-0000-0000-0000E62E0000}"/>
    <cellStyle name="40% - Accent1 2 3 2 2 3 2 2 3" xfId="15379" xr:uid="{00000000-0005-0000-0000-0000E72E0000}"/>
    <cellStyle name="40% - Accent1 2 3 2 2 3 2 2 3 2" xfId="34779" xr:uid="{00000000-0005-0000-0000-0000E82E0000}"/>
    <cellStyle name="40% - Accent1 2 3 2 2 3 2 2 4" xfId="25081" xr:uid="{00000000-0005-0000-0000-0000E92E0000}"/>
    <cellStyle name="40% - Accent1 2 3 2 2 3 2 3" xfId="7610" xr:uid="{00000000-0005-0000-0000-0000EA2E0000}"/>
    <cellStyle name="40% - Accent1 2 3 2 2 3 2 3 2" xfId="17606" xr:uid="{00000000-0005-0000-0000-0000EB2E0000}"/>
    <cellStyle name="40% - Accent1 2 3 2 2 3 2 3 2 2" xfId="37006" xr:uid="{00000000-0005-0000-0000-0000EC2E0000}"/>
    <cellStyle name="40% - Accent1 2 3 2 2 3 2 3 3" xfId="27308" xr:uid="{00000000-0005-0000-0000-0000ED2E0000}"/>
    <cellStyle name="40% - Accent1 2 3 2 2 3 2 4" xfId="13151" xr:uid="{00000000-0005-0000-0000-0000EE2E0000}"/>
    <cellStyle name="40% - Accent1 2 3 2 2 3 2 4 2" xfId="32551" xr:uid="{00000000-0005-0000-0000-0000EF2E0000}"/>
    <cellStyle name="40% - Accent1 2 3 2 2 3 2 5" xfId="22853" xr:uid="{00000000-0005-0000-0000-0000F02E0000}"/>
    <cellStyle name="40% - Accent1 2 3 2 2 3 3" xfId="3688" xr:uid="{00000000-0005-0000-0000-0000F12E0000}"/>
    <cellStyle name="40% - Accent1 2 3 2 2 3 3 2" xfId="4818" xr:uid="{00000000-0005-0000-0000-0000F22E0000}"/>
    <cellStyle name="40% - Accent1 2 3 2 2 3 3 2 2" xfId="9282" xr:uid="{00000000-0005-0000-0000-0000F32E0000}"/>
    <cellStyle name="40% - Accent1 2 3 2 2 3 3 2 2 2" xfId="19278" xr:uid="{00000000-0005-0000-0000-0000F42E0000}"/>
    <cellStyle name="40% - Accent1 2 3 2 2 3 3 2 2 2 2" xfId="38678" xr:uid="{00000000-0005-0000-0000-0000F52E0000}"/>
    <cellStyle name="40% - Accent1 2 3 2 2 3 3 2 2 3" xfId="28980" xr:uid="{00000000-0005-0000-0000-0000F62E0000}"/>
    <cellStyle name="40% - Accent1 2 3 2 2 3 3 2 3" xfId="14823" xr:uid="{00000000-0005-0000-0000-0000F72E0000}"/>
    <cellStyle name="40% - Accent1 2 3 2 2 3 3 2 3 2" xfId="34223" xr:uid="{00000000-0005-0000-0000-0000F82E0000}"/>
    <cellStyle name="40% - Accent1 2 3 2 2 3 3 2 4" xfId="24525" xr:uid="{00000000-0005-0000-0000-0000F92E0000}"/>
    <cellStyle name="40% - Accent1 2 3 2 2 3 3 3" xfId="8167" xr:uid="{00000000-0005-0000-0000-0000FA2E0000}"/>
    <cellStyle name="40% - Accent1 2 3 2 2 3 3 3 2" xfId="18163" xr:uid="{00000000-0005-0000-0000-0000FB2E0000}"/>
    <cellStyle name="40% - Accent1 2 3 2 2 3 3 3 2 2" xfId="37563" xr:uid="{00000000-0005-0000-0000-0000FC2E0000}"/>
    <cellStyle name="40% - Accent1 2 3 2 2 3 3 3 3" xfId="27865" xr:uid="{00000000-0005-0000-0000-0000FD2E0000}"/>
    <cellStyle name="40% - Accent1 2 3 2 2 3 3 4" xfId="13708" xr:uid="{00000000-0005-0000-0000-0000FE2E0000}"/>
    <cellStyle name="40% - Accent1 2 3 2 2 3 3 4 2" xfId="33108" xr:uid="{00000000-0005-0000-0000-0000FF2E0000}"/>
    <cellStyle name="40% - Accent1 2 3 2 2 3 3 5" xfId="23410" xr:uid="{00000000-0005-0000-0000-0000002F0000}"/>
    <cellStyle name="40% - Accent1 2 3 2 2 3 4" xfId="4261" xr:uid="{00000000-0005-0000-0000-0000012F0000}"/>
    <cellStyle name="40% - Accent1 2 3 2 2 3 4 2" xfId="8725" xr:uid="{00000000-0005-0000-0000-0000022F0000}"/>
    <cellStyle name="40% - Accent1 2 3 2 2 3 4 2 2" xfId="18721" xr:uid="{00000000-0005-0000-0000-0000032F0000}"/>
    <cellStyle name="40% - Accent1 2 3 2 2 3 4 2 2 2" xfId="38121" xr:uid="{00000000-0005-0000-0000-0000042F0000}"/>
    <cellStyle name="40% - Accent1 2 3 2 2 3 4 2 3" xfId="28423" xr:uid="{00000000-0005-0000-0000-0000052F0000}"/>
    <cellStyle name="40% - Accent1 2 3 2 2 3 4 3" xfId="14266" xr:uid="{00000000-0005-0000-0000-0000062F0000}"/>
    <cellStyle name="40% - Accent1 2 3 2 2 3 4 3 2" xfId="33666" xr:uid="{00000000-0005-0000-0000-0000072F0000}"/>
    <cellStyle name="40% - Accent1 2 3 2 2 3 4 4" xfId="23968" xr:uid="{00000000-0005-0000-0000-0000082F0000}"/>
    <cellStyle name="40% - Accent1 2 3 2 2 3 5" xfId="5931" xr:uid="{00000000-0005-0000-0000-0000092F0000}"/>
    <cellStyle name="40% - Accent1 2 3 2 2 3 5 2" xfId="10395" xr:uid="{00000000-0005-0000-0000-00000A2F0000}"/>
    <cellStyle name="40% - Accent1 2 3 2 2 3 5 2 2" xfId="20391" xr:uid="{00000000-0005-0000-0000-00000B2F0000}"/>
    <cellStyle name="40% - Accent1 2 3 2 2 3 5 2 2 2" xfId="39791" xr:uid="{00000000-0005-0000-0000-00000C2F0000}"/>
    <cellStyle name="40% - Accent1 2 3 2 2 3 5 2 3" xfId="30093" xr:uid="{00000000-0005-0000-0000-00000D2F0000}"/>
    <cellStyle name="40% - Accent1 2 3 2 2 3 5 3" xfId="15936" xr:uid="{00000000-0005-0000-0000-00000E2F0000}"/>
    <cellStyle name="40% - Accent1 2 3 2 2 3 5 3 2" xfId="35336" xr:uid="{00000000-0005-0000-0000-00000F2F0000}"/>
    <cellStyle name="40% - Accent1 2 3 2 2 3 5 4" xfId="25638" xr:uid="{00000000-0005-0000-0000-0000102F0000}"/>
    <cellStyle name="40% - Accent1 2 3 2 2 3 6" xfId="6497" xr:uid="{00000000-0005-0000-0000-0000112F0000}"/>
    <cellStyle name="40% - Accent1 2 3 2 2 3 6 2" xfId="10952" xr:uid="{00000000-0005-0000-0000-0000122F0000}"/>
    <cellStyle name="40% - Accent1 2 3 2 2 3 6 2 2" xfId="20948" xr:uid="{00000000-0005-0000-0000-0000132F0000}"/>
    <cellStyle name="40% - Accent1 2 3 2 2 3 6 2 2 2" xfId="40348" xr:uid="{00000000-0005-0000-0000-0000142F0000}"/>
    <cellStyle name="40% - Accent1 2 3 2 2 3 6 2 3" xfId="30650" xr:uid="{00000000-0005-0000-0000-0000152F0000}"/>
    <cellStyle name="40% - Accent1 2 3 2 2 3 6 3" xfId="16493" xr:uid="{00000000-0005-0000-0000-0000162F0000}"/>
    <cellStyle name="40% - Accent1 2 3 2 2 3 6 3 2" xfId="35893" xr:uid="{00000000-0005-0000-0000-0000172F0000}"/>
    <cellStyle name="40% - Accent1 2 3 2 2 3 6 4" xfId="26195" xr:uid="{00000000-0005-0000-0000-0000182F0000}"/>
    <cellStyle name="40% - Accent1 2 3 2 2 3 7" xfId="7054" xr:uid="{00000000-0005-0000-0000-0000192F0000}"/>
    <cellStyle name="40% - Accent1 2 3 2 2 3 7 2" xfId="17050" xr:uid="{00000000-0005-0000-0000-00001A2F0000}"/>
    <cellStyle name="40% - Accent1 2 3 2 2 3 7 2 2" xfId="36450" xr:uid="{00000000-0005-0000-0000-00001B2F0000}"/>
    <cellStyle name="40% - Accent1 2 3 2 2 3 7 3" xfId="26752" xr:uid="{00000000-0005-0000-0000-00001C2F0000}"/>
    <cellStyle name="40% - Accent1 2 3 2 2 3 8" xfId="12594" xr:uid="{00000000-0005-0000-0000-00001D2F0000}"/>
    <cellStyle name="40% - Accent1 2 3 2 2 3 8 2" xfId="31995" xr:uid="{00000000-0005-0000-0000-00001E2F0000}"/>
    <cellStyle name="40% - Accent1 2 3 2 2 3 9" xfId="22297" xr:uid="{00000000-0005-0000-0000-00001F2F0000}"/>
    <cellStyle name="40% - Accent1 2 3 2 2 4" xfId="3103" xr:uid="{00000000-0005-0000-0000-0000202F0000}"/>
    <cellStyle name="40% - Accent1 2 3 2 2 4 2" xfId="5372" xr:uid="{00000000-0005-0000-0000-0000212F0000}"/>
    <cellStyle name="40% - Accent1 2 3 2 2 4 2 2" xfId="9836" xr:uid="{00000000-0005-0000-0000-0000222F0000}"/>
    <cellStyle name="40% - Accent1 2 3 2 2 4 2 2 2" xfId="19832" xr:uid="{00000000-0005-0000-0000-0000232F0000}"/>
    <cellStyle name="40% - Accent1 2 3 2 2 4 2 2 2 2" xfId="39232" xr:uid="{00000000-0005-0000-0000-0000242F0000}"/>
    <cellStyle name="40% - Accent1 2 3 2 2 4 2 2 3" xfId="29534" xr:uid="{00000000-0005-0000-0000-0000252F0000}"/>
    <cellStyle name="40% - Accent1 2 3 2 2 4 2 3" xfId="15377" xr:uid="{00000000-0005-0000-0000-0000262F0000}"/>
    <cellStyle name="40% - Accent1 2 3 2 2 4 2 3 2" xfId="34777" xr:uid="{00000000-0005-0000-0000-0000272F0000}"/>
    <cellStyle name="40% - Accent1 2 3 2 2 4 2 4" xfId="25079" xr:uid="{00000000-0005-0000-0000-0000282F0000}"/>
    <cellStyle name="40% - Accent1 2 3 2 2 4 3" xfId="7608" xr:uid="{00000000-0005-0000-0000-0000292F0000}"/>
    <cellStyle name="40% - Accent1 2 3 2 2 4 3 2" xfId="17604" xr:uid="{00000000-0005-0000-0000-00002A2F0000}"/>
    <cellStyle name="40% - Accent1 2 3 2 2 4 3 2 2" xfId="37004" xr:uid="{00000000-0005-0000-0000-00002B2F0000}"/>
    <cellStyle name="40% - Accent1 2 3 2 2 4 3 3" xfId="27306" xr:uid="{00000000-0005-0000-0000-00002C2F0000}"/>
    <cellStyle name="40% - Accent1 2 3 2 2 4 4" xfId="13149" xr:uid="{00000000-0005-0000-0000-00002D2F0000}"/>
    <cellStyle name="40% - Accent1 2 3 2 2 4 4 2" xfId="32549" xr:uid="{00000000-0005-0000-0000-00002E2F0000}"/>
    <cellStyle name="40% - Accent1 2 3 2 2 4 5" xfId="22851" xr:uid="{00000000-0005-0000-0000-00002F2F0000}"/>
    <cellStyle name="40% - Accent1 2 3 2 2 5" xfId="3686" xr:uid="{00000000-0005-0000-0000-0000302F0000}"/>
    <cellStyle name="40% - Accent1 2 3 2 2 5 2" xfId="4816" xr:uid="{00000000-0005-0000-0000-0000312F0000}"/>
    <cellStyle name="40% - Accent1 2 3 2 2 5 2 2" xfId="9280" xr:uid="{00000000-0005-0000-0000-0000322F0000}"/>
    <cellStyle name="40% - Accent1 2 3 2 2 5 2 2 2" xfId="19276" xr:uid="{00000000-0005-0000-0000-0000332F0000}"/>
    <cellStyle name="40% - Accent1 2 3 2 2 5 2 2 2 2" xfId="38676" xr:uid="{00000000-0005-0000-0000-0000342F0000}"/>
    <cellStyle name="40% - Accent1 2 3 2 2 5 2 2 3" xfId="28978" xr:uid="{00000000-0005-0000-0000-0000352F0000}"/>
    <cellStyle name="40% - Accent1 2 3 2 2 5 2 3" xfId="14821" xr:uid="{00000000-0005-0000-0000-0000362F0000}"/>
    <cellStyle name="40% - Accent1 2 3 2 2 5 2 3 2" xfId="34221" xr:uid="{00000000-0005-0000-0000-0000372F0000}"/>
    <cellStyle name="40% - Accent1 2 3 2 2 5 2 4" xfId="24523" xr:uid="{00000000-0005-0000-0000-0000382F0000}"/>
    <cellStyle name="40% - Accent1 2 3 2 2 5 3" xfId="8165" xr:uid="{00000000-0005-0000-0000-0000392F0000}"/>
    <cellStyle name="40% - Accent1 2 3 2 2 5 3 2" xfId="18161" xr:uid="{00000000-0005-0000-0000-00003A2F0000}"/>
    <cellStyle name="40% - Accent1 2 3 2 2 5 3 2 2" xfId="37561" xr:uid="{00000000-0005-0000-0000-00003B2F0000}"/>
    <cellStyle name="40% - Accent1 2 3 2 2 5 3 3" xfId="27863" xr:uid="{00000000-0005-0000-0000-00003C2F0000}"/>
    <cellStyle name="40% - Accent1 2 3 2 2 5 4" xfId="13706" xr:uid="{00000000-0005-0000-0000-00003D2F0000}"/>
    <cellStyle name="40% - Accent1 2 3 2 2 5 4 2" xfId="33106" xr:uid="{00000000-0005-0000-0000-00003E2F0000}"/>
    <cellStyle name="40% - Accent1 2 3 2 2 5 5" xfId="23408" xr:uid="{00000000-0005-0000-0000-00003F2F0000}"/>
    <cellStyle name="40% - Accent1 2 3 2 2 6" xfId="4259" xr:uid="{00000000-0005-0000-0000-0000402F0000}"/>
    <cellStyle name="40% - Accent1 2 3 2 2 6 2" xfId="8723" xr:uid="{00000000-0005-0000-0000-0000412F0000}"/>
    <cellStyle name="40% - Accent1 2 3 2 2 6 2 2" xfId="18719" xr:uid="{00000000-0005-0000-0000-0000422F0000}"/>
    <cellStyle name="40% - Accent1 2 3 2 2 6 2 2 2" xfId="38119" xr:uid="{00000000-0005-0000-0000-0000432F0000}"/>
    <cellStyle name="40% - Accent1 2 3 2 2 6 2 3" xfId="28421" xr:uid="{00000000-0005-0000-0000-0000442F0000}"/>
    <cellStyle name="40% - Accent1 2 3 2 2 6 3" xfId="14264" xr:uid="{00000000-0005-0000-0000-0000452F0000}"/>
    <cellStyle name="40% - Accent1 2 3 2 2 6 3 2" xfId="33664" xr:uid="{00000000-0005-0000-0000-0000462F0000}"/>
    <cellStyle name="40% - Accent1 2 3 2 2 6 4" xfId="23966" xr:uid="{00000000-0005-0000-0000-0000472F0000}"/>
    <cellStyle name="40% - Accent1 2 3 2 2 7" xfId="5929" xr:uid="{00000000-0005-0000-0000-0000482F0000}"/>
    <cellStyle name="40% - Accent1 2 3 2 2 7 2" xfId="10393" xr:uid="{00000000-0005-0000-0000-0000492F0000}"/>
    <cellStyle name="40% - Accent1 2 3 2 2 7 2 2" xfId="20389" xr:uid="{00000000-0005-0000-0000-00004A2F0000}"/>
    <cellStyle name="40% - Accent1 2 3 2 2 7 2 2 2" xfId="39789" xr:uid="{00000000-0005-0000-0000-00004B2F0000}"/>
    <cellStyle name="40% - Accent1 2 3 2 2 7 2 3" xfId="30091" xr:uid="{00000000-0005-0000-0000-00004C2F0000}"/>
    <cellStyle name="40% - Accent1 2 3 2 2 7 3" xfId="15934" xr:uid="{00000000-0005-0000-0000-00004D2F0000}"/>
    <cellStyle name="40% - Accent1 2 3 2 2 7 3 2" xfId="35334" xr:uid="{00000000-0005-0000-0000-00004E2F0000}"/>
    <cellStyle name="40% - Accent1 2 3 2 2 7 4" xfId="25636" xr:uid="{00000000-0005-0000-0000-00004F2F0000}"/>
    <cellStyle name="40% - Accent1 2 3 2 2 8" xfId="6495" xr:uid="{00000000-0005-0000-0000-0000502F0000}"/>
    <cellStyle name="40% - Accent1 2 3 2 2 8 2" xfId="10950" xr:uid="{00000000-0005-0000-0000-0000512F0000}"/>
    <cellStyle name="40% - Accent1 2 3 2 2 8 2 2" xfId="20946" xr:uid="{00000000-0005-0000-0000-0000522F0000}"/>
    <cellStyle name="40% - Accent1 2 3 2 2 8 2 2 2" xfId="40346" xr:uid="{00000000-0005-0000-0000-0000532F0000}"/>
    <cellStyle name="40% - Accent1 2 3 2 2 8 2 3" xfId="30648" xr:uid="{00000000-0005-0000-0000-0000542F0000}"/>
    <cellStyle name="40% - Accent1 2 3 2 2 8 3" xfId="16491" xr:uid="{00000000-0005-0000-0000-0000552F0000}"/>
    <cellStyle name="40% - Accent1 2 3 2 2 8 3 2" xfId="35891" xr:uid="{00000000-0005-0000-0000-0000562F0000}"/>
    <cellStyle name="40% - Accent1 2 3 2 2 8 4" xfId="26193" xr:uid="{00000000-0005-0000-0000-0000572F0000}"/>
    <cellStyle name="40% - Accent1 2 3 2 2 9" xfId="7052" xr:uid="{00000000-0005-0000-0000-0000582F0000}"/>
    <cellStyle name="40% - Accent1 2 3 2 2 9 2" xfId="17048" xr:uid="{00000000-0005-0000-0000-0000592F0000}"/>
    <cellStyle name="40% - Accent1 2 3 2 2 9 2 2" xfId="36448" xr:uid="{00000000-0005-0000-0000-00005A2F0000}"/>
    <cellStyle name="40% - Accent1 2 3 2 2 9 3" xfId="26750" xr:uid="{00000000-0005-0000-0000-00005B2F0000}"/>
    <cellStyle name="40% - Accent1 2 3 2 3" xfId="2115" xr:uid="{00000000-0005-0000-0000-00005C2F0000}"/>
    <cellStyle name="40% - Accent1 2 3 2 3 2" xfId="3106" xr:uid="{00000000-0005-0000-0000-00005D2F0000}"/>
    <cellStyle name="40% - Accent1 2 3 2 3 2 2" xfId="5375" xr:uid="{00000000-0005-0000-0000-00005E2F0000}"/>
    <cellStyle name="40% - Accent1 2 3 2 3 2 2 2" xfId="9839" xr:uid="{00000000-0005-0000-0000-00005F2F0000}"/>
    <cellStyle name="40% - Accent1 2 3 2 3 2 2 2 2" xfId="19835" xr:uid="{00000000-0005-0000-0000-0000602F0000}"/>
    <cellStyle name="40% - Accent1 2 3 2 3 2 2 2 2 2" xfId="39235" xr:uid="{00000000-0005-0000-0000-0000612F0000}"/>
    <cellStyle name="40% - Accent1 2 3 2 3 2 2 2 3" xfId="29537" xr:uid="{00000000-0005-0000-0000-0000622F0000}"/>
    <cellStyle name="40% - Accent1 2 3 2 3 2 2 3" xfId="15380" xr:uid="{00000000-0005-0000-0000-0000632F0000}"/>
    <cellStyle name="40% - Accent1 2 3 2 3 2 2 3 2" xfId="34780" xr:uid="{00000000-0005-0000-0000-0000642F0000}"/>
    <cellStyle name="40% - Accent1 2 3 2 3 2 2 4" xfId="25082" xr:uid="{00000000-0005-0000-0000-0000652F0000}"/>
    <cellStyle name="40% - Accent1 2 3 2 3 2 3" xfId="7611" xr:uid="{00000000-0005-0000-0000-0000662F0000}"/>
    <cellStyle name="40% - Accent1 2 3 2 3 2 3 2" xfId="17607" xr:uid="{00000000-0005-0000-0000-0000672F0000}"/>
    <cellStyle name="40% - Accent1 2 3 2 3 2 3 2 2" xfId="37007" xr:uid="{00000000-0005-0000-0000-0000682F0000}"/>
    <cellStyle name="40% - Accent1 2 3 2 3 2 3 3" xfId="27309" xr:uid="{00000000-0005-0000-0000-0000692F0000}"/>
    <cellStyle name="40% - Accent1 2 3 2 3 2 4" xfId="13152" xr:uid="{00000000-0005-0000-0000-00006A2F0000}"/>
    <cellStyle name="40% - Accent1 2 3 2 3 2 4 2" xfId="32552" xr:uid="{00000000-0005-0000-0000-00006B2F0000}"/>
    <cellStyle name="40% - Accent1 2 3 2 3 2 5" xfId="22854" xr:uid="{00000000-0005-0000-0000-00006C2F0000}"/>
    <cellStyle name="40% - Accent1 2 3 2 3 3" xfId="3689" xr:uid="{00000000-0005-0000-0000-00006D2F0000}"/>
    <cellStyle name="40% - Accent1 2 3 2 3 3 2" xfId="4819" xr:uid="{00000000-0005-0000-0000-00006E2F0000}"/>
    <cellStyle name="40% - Accent1 2 3 2 3 3 2 2" xfId="9283" xr:uid="{00000000-0005-0000-0000-00006F2F0000}"/>
    <cellStyle name="40% - Accent1 2 3 2 3 3 2 2 2" xfId="19279" xr:uid="{00000000-0005-0000-0000-0000702F0000}"/>
    <cellStyle name="40% - Accent1 2 3 2 3 3 2 2 2 2" xfId="38679" xr:uid="{00000000-0005-0000-0000-0000712F0000}"/>
    <cellStyle name="40% - Accent1 2 3 2 3 3 2 2 3" xfId="28981" xr:uid="{00000000-0005-0000-0000-0000722F0000}"/>
    <cellStyle name="40% - Accent1 2 3 2 3 3 2 3" xfId="14824" xr:uid="{00000000-0005-0000-0000-0000732F0000}"/>
    <cellStyle name="40% - Accent1 2 3 2 3 3 2 3 2" xfId="34224" xr:uid="{00000000-0005-0000-0000-0000742F0000}"/>
    <cellStyle name="40% - Accent1 2 3 2 3 3 2 4" xfId="24526" xr:uid="{00000000-0005-0000-0000-0000752F0000}"/>
    <cellStyle name="40% - Accent1 2 3 2 3 3 3" xfId="8168" xr:uid="{00000000-0005-0000-0000-0000762F0000}"/>
    <cellStyle name="40% - Accent1 2 3 2 3 3 3 2" xfId="18164" xr:uid="{00000000-0005-0000-0000-0000772F0000}"/>
    <cellStyle name="40% - Accent1 2 3 2 3 3 3 2 2" xfId="37564" xr:uid="{00000000-0005-0000-0000-0000782F0000}"/>
    <cellStyle name="40% - Accent1 2 3 2 3 3 3 3" xfId="27866" xr:uid="{00000000-0005-0000-0000-0000792F0000}"/>
    <cellStyle name="40% - Accent1 2 3 2 3 3 4" xfId="13709" xr:uid="{00000000-0005-0000-0000-00007A2F0000}"/>
    <cellStyle name="40% - Accent1 2 3 2 3 3 4 2" xfId="33109" xr:uid="{00000000-0005-0000-0000-00007B2F0000}"/>
    <cellStyle name="40% - Accent1 2 3 2 3 3 5" xfId="23411" xr:uid="{00000000-0005-0000-0000-00007C2F0000}"/>
    <cellStyle name="40% - Accent1 2 3 2 3 4" xfId="4262" xr:uid="{00000000-0005-0000-0000-00007D2F0000}"/>
    <cellStyle name="40% - Accent1 2 3 2 3 4 2" xfId="8726" xr:uid="{00000000-0005-0000-0000-00007E2F0000}"/>
    <cellStyle name="40% - Accent1 2 3 2 3 4 2 2" xfId="18722" xr:uid="{00000000-0005-0000-0000-00007F2F0000}"/>
    <cellStyle name="40% - Accent1 2 3 2 3 4 2 2 2" xfId="38122" xr:uid="{00000000-0005-0000-0000-0000802F0000}"/>
    <cellStyle name="40% - Accent1 2 3 2 3 4 2 3" xfId="28424" xr:uid="{00000000-0005-0000-0000-0000812F0000}"/>
    <cellStyle name="40% - Accent1 2 3 2 3 4 3" xfId="14267" xr:uid="{00000000-0005-0000-0000-0000822F0000}"/>
    <cellStyle name="40% - Accent1 2 3 2 3 4 3 2" xfId="33667" xr:uid="{00000000-0005-0000-0000-0000832F0000}"/>
    <cellStyle name="40% - Accent1 2 3 2 3 4 4" xfId="23969" xr:uid="{00000000-0005-0000-0000-0000842F0000}"/>
    <cellStyle name="40% - Accent1 2 3 2 3 5" xfId="5932" xr:uid="{00000000-0005-0000-0000-0000852F0000}"/>
    <cellStyle name="40% - Accent1 2 3 2 3 5 2" xfId="10396" xr:uid="{00000000-0005-0000-0000-0000862F0000}"/>
    <cellStyle name="40% - Accent1 2 3 2 3 5 2 2" xfId="20392" xr:uid="{00000000-0005-0000-0000-0000872F0000}"/>
    <cellStyle name="40% - Accent1 2 3 2 3 5 2 2 2" xfId="39792" xr:uid="{00000000-0005-0000-0000-0000882F0000}"/>
    <cellStyle name="40% - Accent1 2 3 2 3 5 2 3" xfId="30094" xr:uid="{00000000-0005-0000-0000-0000892F0000}"/>
    <cellStyle name="40% - Accent1 2 3 2 3 5 3" xfId="15937" xr:uid="{00000000-0005-0000-0000-00008A2F0000}"/>
    <cellStyle name="40% - Accent1 2 3 2 3 5 3 2" xfId="35337" xr:uid="{00000000-0005-0000-0000-00008B2F0000}"/>
    <cellStyle name="40% - Accent1 2 3 2 3 5 4" xfId="25639" xr:uid="{00000000-0005-0000-0000-00008C2F0000}"/>
    <cellStyle name="40% - Accent1 2 3 2 3 6" xfId="6498" xr:uid="{00000000-0005-0000-0000-00008D2F0000}"/>
    <cellStyle name="40% - Accent1 2 3 2 3 6 2" xfId="10953" xr:uid="{00000000-0005-0000-0000-00008E2F0000}"/>
    <cellStyle name="40% - Accent1 2 3 2 3 6 2 2" xfId="20949" xr:uid="{00000000-0005-0000-0000-00008F2F0000}"/>
    <cellStyle name="40% - Accent1 2 3 2 3 6 2 2 2" xfId="40349" xr:uid="{00000000-0005-0000-0000-0000902F0000}"/>
    <cellStyle name="40% - Accent1 2 3 2 3 6 2 3" xfId="30651" xr:uid="{00000000-0005-0000-0000-0000912F0000}"/>
    <cellStyle name="40% - Accent1 2 3 2 3 6 3" xfId="16494" xr:uid="{00000000-0005-0000-0000-0000922F0000}"/>
    <cellStyle name="40% - Accent1 2 3 2 3 6 3 2" xfId="35894" xr:uid="{00000000-0005-0000-0000-0000932F0000}"/>
    <cellStyle name="40% - Accent1 2 3 2 3 6 4" xfId="26196" xr:uid="{00000000-0005-0000-0000-0000942F0000}"/>
    <cellStyle name="40% - Accent1 2 3 2 3 7" xfId="7055" xr:uid="{00000000-0005-0000-0000-0000952F0000}"/>
    <cellStyle name="40% - Accent1 2 3 2 3 7 2" xfId="17051" xr:uid="{00000000-0005-0000-0000-0000962F0000}"/>
    <cellStyle name="40% - Accent1 2 3 2 3 7 2 2" xfId="36451" xr:uid="{00000000-0005-0000-0000-0000972F0000}"/>
    <cellStyle name="40% - Accent1 2 3 2 3 7 3" xfId="26753" xr:uid="{00000000-0005-0000-0000-0000982F0000}"/>
    <cellStyle name="40% - Accent1 2 3 2 3 8" xfId="12595" xr:uid="{00000000-0005-0000-0000-0000992F0000}"/>
    <cellStyle name="40% - Accent1 2 3 2 3 8 2" xfId="31996" xr:uid="{00000000-0005-0000-0000-00009A2F0000}"/>
    <cellStyle name="40% - Accent1 2 3 2 3 9" xfId="22298" xr:uid="{00000000-0005-0000-0000-00009B2F0000}"/>
    <cellStyle name="40% - Accent1 2 3 2 4" xfId="2116" xr:uid="{00000000-0005-0000-0000-00009C2F0000}"/>
    <cellStyle name="40% - Accent1 2 3 2 4 2" xfId="3107" xr:uid="{00000000-0005-0000-0000-00009D2F0000}"/>
    <cellStyle name="40% - Accent1 2 3 2 4 2 2" xfId="5376" xr:uid="{00000000-0005-0000-0000-00009E2F0000}"/>
    <cellStyle name="40% - Accent1 2 3 2 4 2 2 2" xfId="9840" xr:uid="{00000000-0005-0000-0000-00009F2F0000}"/>
    <cellStyle name="40% - Accent1 2 3 2 4 2 2 2 2" xfId="19836" xr:uid="{00000000-0005-0000-0000-0000A02F0000}"/>
    <cellStyle name="40% - Accent1 2 3 2 4 2 2 2 2 2" xfId="39236" xr:uid="{00000000-0005-0000-0000-0000A12F0000}"/>
    <cellStyle name="40% - Accent1 2 3 2 4 2 2 2 3" xfId="29538" xr:uid="{00000000-0005-0000-0000-0000A22F0000}"/>
    <cellStyle name="40% - Accent1 2 3 2 4 2 2 3" xfId="15381" xr:uid="{00000000-0005-0000-0000-0000A32F0000}"/>
    <cellStyle name="40% - Accent1 2 3 2 4 2 2 3 2" xfId="34781" xr:uid="{00000000-0005-0000-0000-0000A42F0000}"/>
    <cellStyle name="40% - Accent1 2 3 2 4 2 2 4" xfId="25083" xr:uid="{00000000-0005-0000-0000-0000A52F0000}"/>
    <cellStyle name="40% - Accent1 2 3 2 4 2 3" xfId="7612" xr:uid="{00000000-0005-0000-0000-0000A62F0000}"/>
    <cellStyle name="40% - Accent1 2 3 2 4 2 3 2" xfId="17608" xr:uid="{00000000-0005-0000-0000-0000A72F0000}"/>
    <cellStyle name="40% - Accent1 2 3 2 4 2 3 2 2" xfId="37008" xr:uid="{00000000-0005-0000-0000-0000A82F0000}"/>
    <cellStyle name="40% - Accent1 2 3 2 4 2 3 3" xfId="27310" xr:uid="{00000000-0005-0000-0000-0000A92F0000}"/>
    <cellStyle name="40% - Accent1 2 3 2 4 2 4" xfId="13153" xr:uid="{00000000-0005-0000-0000-0000AA2F0000}"/>
    <cellStyle name="40% - Accent1 2 3 2 4 2 4 2" xfId="32553" xr:uid="{00000000-0005-0000-0000-0000AB2F0000}"/>
    <cellStyle name="40% - Accent1 2 3 2 4 2 5" xfId="22855" xr:uid="{00000000-0005-0000-0000-0000AC2F0000}"/>
    <cellStyle name="40% - Accent1 2 3 2 4 3" xfId="3690" xr:uid="{00000000-0005-0000-0000-0000AD2F0000}"/>
    <cellStyle name="40% - Accent1 2 3 2 4 3 2" xfId="4820" xr:uid="{00000000-0005-0000-0000-0000AE2F0000}"/>
    <cellStyle name="40% - Accent1 2 3 2 4 3 2 2" xfId="9284" xr:uid="{00000000-0005-0000-0000-0000AF2F0000}"/>
    <cellStyle name="40% - Accent1 2 3 2 4 3 2 2 2" xfId="19280" xr:uid="{00000000-0005-0000-0000-0000B02F0000}"/>
    <cellStyle name="40% - Accent1 2 3 2 4 3 2 2 2 2" xfId="38680" xr:uid="{00000000-0005-0000-0000-0000B12F0000}"/>
    <cellStyle name="40% - Accent1 2 3 2 4 3 2 2 3" xfId="28982" xr:uid="{00000000-0005-0000-0000-0000B22F0000}"/>
    <cellStyle name="40% - Accent1 2 3 2 4 3 2 3" xfId="14825" xr:uid="{00000000-0005-0000-0000-0000B32F0000}"/>
    <cellStyle name="40% - Accent1 2 3 2 4 3 2 3 2" xfId="34225" xr:uid="{00000000-0005-0000-0000-0000B42F0000}"/>
    <cellStyle name="40% - Accent1 2 3 2 4 3 2 4" xfId="24527" xr:uid="{00000000-0005-0000-0000-0000B52F0000}"/>
    <cellStyle name="40% - Accent1 2 3 2 4 3 3" xfId="8169" xr:uid="{00000000-0005-0000-0000-0000B62F0000}"/>
    <cellStyle name="40% - Accent1 2 3 2 4 3 3 2" xfId="18165" xr:uid="{00000000-0005-0000-0000-0000B72F0000}"/>
    <cellStyle name="40% - Accent1 2 3 2 4 3 3 2 2" xfId="37565" xr:uid="{00000000-0005-0000-0000-0000B82F0000}"/>
    <cellStyle name="40% - Accent1 2 3 2 4 3 3 3" xfId="27867" xr:uid="{00000000-0005-0000-0000-0000B92F0000}"/>
    <cellStyle name="40% - Accent1 2 3 2 4 3 4" xfId="13710" xr:uid="{00000000-0005-0000-0000-0000BA2F0000}"/>
    <cellStyle name="40% - Accent1 2 3 2 4 3 4 2" xfId="33110" xr:uid="{00000000-0005-0000-0000-0000BB2F0000}"/>
    <cellStyle name="40% - Accent1 2 3 2 4 3 5" xfId="23412" xr:uid="{00000000-0005-0000-0000-0000BC2F0000}"/>
    <cellStyle name="40% - Accent1 2 3 2 4 4" xfId="4263" xr:uid="{00000000-0005-0000-0000-0000BD2F0000}"/>
    <cellStyle name="40% - Accent1 2 3 2 4 4 2" xfId="8727" xr:uid="{00000000-0005-0000-0000-0000BE2F0000}"/>
    <cellStyle name="40% - Accent1 2 3 2 4 4 2 2" xfId="18723" xr:uid="{00000000-0005-0000-0000-0000BF2F0000}"/>
    <cellStyle name="40% - Accent1 2 3 2 4 4 2 2 2" xfId="38123" xr:uid="{00000000-0005-0000-0000-0000C02F0000}"/>
    <cellStyle name="40% - Accent1 2 3 2 4 4 2 3" xfId="28425" xr:uid="{00000000-0005-0000-0000-0000C12F0000}"/>
    <cellStyle name="40% - Accent1 2 3 2 4 4 3" xfId="14268" xr:uid="{00000000-0005-0000-0000-0000C22F0000}"/>
    <cellStyle name="40% - Accent1 2 3 2 4 4 3 2" xfId="33668" xr:uid="{00000000-0005-0000-0000-0000C32F0000}"/>
    <cellStyle name="40% - Accent1 2 3 2 4 4 4" xfId="23970" xr:uid="{00000000-0005-0000-0000-0000C42F0000}"/>
    <cellStyle name="40% - Accent1 2 3 2 4 5" xfId="5933" xr:uid="{00000000-0005-0000-0000-0000C52F0000}"/>
    <cellStyle name="40% - Accent1 2 3 2 4 5 2" xfId="10397" xr:uid="{00000000-0005-0000-0000-0000C62F0000}"/>
    <cellStyle name="40% - Accent1 2 3 2 4 5 2 2" xfId="20393" xr:uid="{00000000-0005-0000-0000-0000C72F0000}"/>
    <cellStyle name="40% - Accent1 2 3 2 4 5 2 2 2" xfId="39793" xr:uid="{00000000-0005-0000-0000-0000C82F0000}"/>
    <cellStyle name="40% - Accent1 2 3 2 4 5 2 3" xfId="30095" xr:uid="{00000000-0005-0000-0000-0000C92F0000}"/>
    <cellStyle name="40% - Accent1 2 3 2 4 5 3" xfId="15938" xr:uid="{00000000-0005-0000-0000-0000CA2F0000}"/>
    <cellStyle name="40% - Accent1 2 3 2 4 5 3 2" xfId="35338" xr:uid="{00000000-0005-0000-0000-0000CB2F0000}"/>
    <cellStyle name="40% - Accent1 2 3 2 4 5 4" xfId="25640" xr:uid="{00000000-0005-0000-0000-0000CC2F0000}"/>
    <cellStyle name="40% - Accent1 2 3 2 4 6" xfId="6499" xr:uid="{00000000-0005-0000-0000-0000CD2F0000}"/>
    <cellStyle name="40% - Accent1 2 3 2 4 6 2" xfId="10954" xr:uid="{00000000-0005-0000-0000-0000CE2F0000}"/>
    <cellStyle name="40% - Accent1 2 3 2 4 6 2 2" xfId="20950" xr:uid="{00000000-0005-0000-0000-0000CF2F0000}"/>
    <cellStyle name="40% - Accent1 2 3 2 4 6 2 2 2" xfId="40350" xr:uid="{00000000-0005-0000-0000-0000D02F0000}"/>
    <cellStyle name="40% - Accent1 2 3 2 4 6 2 3" xfId="30652" xr:uid="{00000000-0005-0000-0000-0000D12F0000}"/>
    <cellStyle name="40% - Accent1 2 3 2 4 6 3" xfId="16495" xr:uid="{00000000-0005-0000-0000-0000D22F0000}"/>
    <cellStyle name="40% - Accent1 2 3 2 4 6 3 2" xfId="35895" xr:uid="{00000000-0005-0000-0000-0000D32F0000}"/>
    <cellStyle name="40% - Accent1 2 3 2 4 6 4" xfId="26197" xr:uid="{00000000-0005-0000-0000-0000D42F0000}"/>
    <cellStyle name="40% - Accent1 2 3 2 4 7" xfId="7056" xr:uid="{00000000-0005-0000-0000-0000D52F0000}"/>
    <cellStyle name="40% - Accent1 2 3 2 4 7 2" xfId="17052" xr:uid="{00000000-0005-0000-0000-0000D62F0000}"/>
    <cellStyle name="40% - Accent1 2 3 2 4 7 2 2" xfId="36452" xr:uid="{00000000-0005-0000-0000-0000D72F0000}"/>
    <cellStyle name="40% - Accent1 2 3 2 4 7 3" xfId="26754" xr:uid="{00000000-0005-0000-0000-0000D82F0000}"/>
    <cellStyle name="40% - Accent1 2 3 2 4 8" xfId="12596" xr:uid="{00000000-0005-0000-0000-0000D92F0000}"/>
    <cellStyle name="40% - Accent1 2 3 2 4 8 2" xfId="31997" xr:uid="{00000000-0005-0000-0000-0000DA2F0000}"/>
    <cellStyle name="40% - Accent1 2 3 2 4 9" xfId="22299" xr:uid="{00000000-0005-0000-0000-0000DB2F0000}"/>
    <cellStyle name="40% - Accent1 2 3 2 5" xfId="3102" xr:uid="{00000000-0005-0000-0000-0000DC2F0000}"/>
    <cellStyle name="40% - Accent1 2 3 2 5 2" xfId="5371" xr:uid="{00000000-0005-0000-0000-0000DD2F0000}"/>
    <cellStyle name="40% - Accent1 2 3 2 5 2 2" xfId="9835" xr:uid="{00000000-0005-0000-0000-0000DE2F0000}"/>
    <cellStyle name="40% - Accent1 2 3 2 5 2 2 2" xfId="19831" xr:uid="{00000000-0005-0000-0000-0000DF2F0000}"/>
    <cellStyle name="40% - Accent1 2 3 2 5 2 2 2 2" xfId="39231" xr:uid="{00000000-0005-0000-0000-0000E02F0000}"/>
    <cellStyle name="40% - Accent1 2 3 2 5 2 2 3" xfId="29533" xr:uid="{00000000-0005-0000-0000-0000E12F0000}"/>
    <cellStyle name="40% - Accent1 2 3 2 5 2 3" xfId="15376" xr:uid="{00000000-0005-0000-0000-0000E22F0000}"/>
    <cellStyle name="40% - Accent1 2 3 2 5 2 3 2" xfId="34776" xr:uid="{00000000-0005-0000-0000-0000E32F0000}"/>
    <cellStyle name="40% - Accent1 2 3 2 5 2 4" xfId="25078" xr:uid="{00000000-0005-0000-0000-0000E42F0000}"/>
    <cellStyle name="40% - Accent1 2 3 2 5 3" xfId="7607" xr:uid="{00000000-0005-0000-0000-0000E52F0000}"/>
    <cellStyle name="40% - Accent1 2 3 2 5 3 2" xfId="17603" xr:uid="{00000000-0005-0000-0000-0000E62F0000}"/>
    <cellStyle name="40% - Accent1 2 3 2 5 3 2 2" xfId="37003" xr:uid="{00000000-0005-0000-0000-0000E72F0000}"/>
    <cellStyle name="40% - Accent1 2 3 2 5 3 3" xfId="27305" xr:uid="{00000000-0005-0000-0000-0000E82F0000}"/>
    <cellStyle name="40% - Accent1 2 3 2 5 4" xfId="13148" xr:uid="{00000000-0005-0000-0000-0000E92F0000}"/>
    <cellStyle name="40% - Accent1 2 3 2 5 4 2" xfId="32548" xr:uid="{00000000-0005-0000-0000-0000EA2F0000}"/>
    <cellStyle name="40% - Accent1 2 3 2 5 5" xfId="22850" xr:uid="{00000000-0005-0000-0000-0000EB2F0000}"/>
    <cellStyle name="40% - Accent1 2 3 2 6" xfId="3685" xr:uid="{00000000-0005-0000-0000-0000EC2F0000}"/>
    <cellStyle name="40% - Accent1 2 3 2 6 2" xfId="4815" xr:uid="{00000000-0005-0000-0000-0000ED2F0000}"/>
    <cellStyle name="40% - Accent1 2 3 2 6 2 2" xfId="9279" xr:uid="{00000000-0005-0000-0000-0000EE2F0000}"/>
    <cellStyle name="40% - Accent1 2 3 2 6 2 2 2" xfId="19275" xr:uid="{00000000-0005-0000-0000-0000EF2F0000}"/>
    <cellStyle name="40% - Accent1 2 3 2 6 2 2 2 2" xfId="38675" xr:uid="{00000000-0005-0000-0000-0000F02F0000}"/>
    <cellStyle name="40% - Accent1 2 3 2 6 2 2 3" xfId="28977" xr:uid="{00000000-0005-0000-0000-0000F12F0000}"/>
    <cellStyle name="40% - Accent1 2 3 2 6 2 3" xfId="14820" xr:uid="{00000000-0005-0000-0000-0000F22F0000}"/>
    <cellStyle name="40% - Accent1 2 3 2 6 2 3 2" xfId="34220" xr:uid="{00000000-0005-0000-0000-0000F32F0000}"/>
    <cellStyle name="40% - Accent1 2 3 2 6 2 4" xfId="24522" xr:uid="{00000000-0005-0000-0000-0000F42F0000}"/>
    <cellStyle name="40% - Accent1 2 3 2 6 3" xfId="8164" xr:uid="{00000000-0005-0000-0000-0000F52F0000}"/>
    <cellStyle name="40% - Accent1 2 3 2 6 3 2" xfId="18160" xr:uid="{00000000-0005-0000-0000-0000F62F0000}"/>
    <cellStyle name="40% - Accent1 2 3 2 6 3 2 2" xfId="37560" xr:uid="{00000000-0005-0000-0000-0000F72F0000}"/>
    <cellStyle name="40% - Accent1 2 3 2 6 3 3" xfId="27862" xr:uid="{00000000-0005-0000-0000-0000F82F0000}"/>
    <cellStyle name="40% - Accent1 2 3 2 6 4" xfId="13705" xr:uid="{00000000-0005-0000-0000-0000F92F0000}"/>
    <cellStyle name="40% - Accent1 2 3 2 6 4 2" xfId="33105" xr:uid="{00000000-0005-0000-0000-0000FA2F0000}"/>
    <cellStyle name="40% - Accent1 2 3 2 6 5" xfId="23407" xr:uid="{00000000-0005-0000-0000-0000FB2F0000}"/>
    <cellStyle name="40% - Accent1 2 3 2 7" xfId="4258" xr:uid="{00000000-0005-0000-0000-0000FC2F0000}"/>
    <cellStyle name="40% - Accent1 2 3 2 7 2" xfId="8722" xr:uid="{00000000-0005-0000-0000-0000FD2F0000}"/>
    <cellStyle name="40% - Accent1 2 3 2 7 2 2" xfId="18718" xr:uid="{00000000-0005-0000-0000-0000FE2F0000}"/>
    <cellStyle name="40% - Accent1 2 3 2 7 2 2 2" xfId="38118" xr:uid="{00000000-0005-0000-0000-0000FF2F0000}"/>
    <cellStyle name="40% - Accent1 2 3 2 7 2 3" xfId="28420" xr:uid="{00000000-0005-0000-0000-000000300000}"/>
    <cellStyle name="40% - Accent1 2 3 2 7 3" xfId="14263" xr:uid="{00000000-0005-0000-0000-000001300000}"/>
    <cellStyle name="40% - Accent1 2 3 2 7 3 2" xfId="33663" xr:uid="{00000000-0005-0000-0000-000002300000}"/>
    <cellStyle name="40% - Accent1 2 3 2 7 4" xfId="23965" xr:uid="{00000000-0005-0000-0000-000003300000}"/>
    <cellStyle name="40% - Accent1 2 3 2 8" xfId="5928" xr:uid="{00000000-0005-0000-0000-000004300000}"/>
    <cellStyle name="40% - Accent1 2 3 2 8 2" xfId="10392" xr:uid="{00000000-0005-0000-0000-000005300000}"/>
    <cellStyle name="40% - Accent1 2 3 2 8 2 2" xfId="20388" xr:uid="{00000000-0005-0000-0000-000006300000}"/>
    <cellStyle name="40% - Accent1 2 3 2 8 2 2 2" xfId="39788" xr:uid="{00000000-0005-0000-0000-000007300000}"/>
    <cellStyle name="40% - Accent1 2 3 2 8 2 3" xfId="30090" xr:uid="{00000000-0005-0000-0000-000008300000}"/>
    <cellStyle name="40% - Accent1 2 3 2 8 3" xfId="15933" xr:uid="{00000000-0005-0000-0000-000009300000}"/>
    <cellStyle name="40% - Accent1 2 3 2 8 3 2" xfId="35333" xr:uid="{00000000-0005-0000-0000-00000A300000}"/>
    <cellStyle name="40% - Accent1 2 3 2 8 4" xfId="25635" xr:uid="{00000000-0005-0000-0000-00000B300000}"/>
    <cellStyle name="40% - Accent1 2 3 2 9" xfId="6494" xr:uid="{00000000-0005-0000-0000-00000C300000}"/>
    <cellStyle name="40% - Accent1 2 3 2 9 2" xfId="10949" xr:uid="{00000000-0005-0000-0000-00000D300000}"/>
    <cellStyle name="40% - Accent1 2 3 2 9 2 2" xfId="20945" xr:uid="{00000000-0005-0000-0000-00000E300000}"/>
    <cellStyle name="40% - Accent1 2 3 2 9 2 2 2" xfId="40345" xr:uid="{00000000-0005-0000-0000-00000F300000}"/>
    <cellStyle name="40% - Accent1 2 3 2 9 2 3" xfId="30647" xr:uid="{00000000-0005-0000-0000-000010300000}"/>
    <cellStyle name="40% - Accent1 2 3 2 9 3" xfId="16490" xr:uid="{00000000-0005-0000-0000-000011300000}"/>
    <cellStyle name="40% - Accent1 2 3 2 9 3 2" xfId="35890" xr:uid="{00000000-0005-0000-0000-000012300000}"/>
    <cellStyle name="40% - Accent1 2 3 2 9 4" xfId="26192" xr:uid="{00000000-0005-0000-0000-000013300000}"/>
    <cellStyle name="40% - Accent1 2 3 3" xfId="2117" xr:uid="{00000000-0005-0000-0000-000014300000}"/>
    <cellStyle name="40% - Accent1 2 3 3 10" xfId="12597" xr:uid="{00000000-0005-0000-0000-000015300000}"/>
    <cellStyle name="40% - Accent1 2 3 3 10 2" xfId="31998" xr:uid="{00000000-0005-0000-0000-000016300000}"/>
    <cellStyle name="40% - Accent1 2 3 3 11" xfId="22300" xr:uid="{00000000-0005-0000-0000-000017300000}"/>
    <cellStyle name="40% - Accent1 2 3 3 2" xfId="2118" xr:uid="{00000000-0005-0000-0000-000018300000}"/>
    <cellStyle name="40% - Accent1 2 3 3 2 2" xfId="3109" xr:uid="{00000000-0005-0000-0000-000019300000}"/>
    <cellStyle name="40% - Accent1 2 3 3 2 2 2" xfId="5378" xr:uid="{00000000-0005-0000-0000-00001A300000}"/>
    <cellStyle name="40% - Accent1 2 3 3 2 2 2 2" xfId="9842" xr:uid="{00000000-0005-0000-0000-00001B300000}"/>
    <cellStyle name="40% - Accent1 2 3 3 2 2 2 2 2" xfId="19838" xr:uid="{00000000-0005-0000-0000-00001C300000}"/>
    <cellStyle name="40% - Accent1 2 3 3 2 2 2 2 2 2" xfId="39238" xr:uid="{00000000-0005-0000-0000-00001D300000}"/>
    <cellStyle name="40% - Accent1 2 3 3 2 2 2 2 3" xfId="29540" xr:uid="{00000000-0005-0000-0000-00001E300000}"/>
    <cellStyle name="40% - Accent1 2 3 3 2 2 2 3" xfId="15383" xr:uid="{00000000-0005-0000-0000-00001F300000}"/>
    <cellStyle name="40% - Accent1 2 3 3 2 2 2 3 2" xfId="34783" xr:uid="{00000000-0005-0000-0000-000020300000}"/>
    <cellStyle name="40% - Accent1 2 3 3 2 2 2 4" xfId="25085" xr:uid="{00000000-0005-0000-0000-000021300000}"/>
    <cellStyle name="40% - Accent1 2 3 3 2 2 3" xfId="7614" xr:uid="{00000000-0005-0000-0000-000022300000}"/>
    <cellStyle name="40% - Accent1 2 3 3 2 2 3 2" xfId="17610" xr:uid="{00000000-0005-0000-0000-000023300000}"/>
    <cellStyle name="40% - Accent1 2 3 3 2 2 3 2 2" xfId="37010" xr:uid="{00000000-0005-0000-0000-000024300000}"/>
    <cellStyle name="40% - Accent1 2 3 3 2 2 3 3" xfId="27312" xr:uid="{00000000-0005-0000-0000-000025300000}"/>
    <cellStyle name="40% - Accent1 2 3 3 2 2 4" xfId="13155" xr:uid="{00000000-0005-0000-0000-000026300000}"/>
    <cellStyle name="40% - Accent1 2 3 3 2 2 4 2" xfId="32555" xr:uid="{00000000-0005-0000-0000-000027300000}"/>
    <cellStyle name="40% - Accent1 2 3 3 2 2 5" xfId="22857" xr:uid="{00000000-0005-0000-0000-000028300000}"/>
    <cellStyle name="40% - Accent1 2 3 3 2 3" xfId="3692" xr:uid="{00000000-0005-0000-0000-000029300000}"/>
    <cellStyle name="40% - Accent1 2 3 3 2 3 2" xfId="4822" xr:uid="{00000000-0005-0000-0000-00002A300000}"/>
    <cellStyle name="40% - Accent1 2 3 3 2 3 2 2" xfId="9286" xr:uid="{00000000-0005-0000-0000-00002B300000}"/>
    <cellStyle name="40% - Accent1 2 3 3 2 3 2 2 2" xfId="19282" xr:uid="{00000000-0005-0000-0000-00002C300000}"/>
    <cellStyle name="40% - Accent1 2 3 3 2 3 2 2 2 2" xfId="38682" xr:uid="{00000000-0005-0000-0000-00002D300000}"/>
    <cellStyle name="40% - Accent1 2 3 3 2 3 2 2 3" xfId="28984" xr:uid="{00000000-0005-0000-0000-00002E300000}"/>
    <cellStyle name="40% - Accent1 2 3 3 2 3 2 3" xfId="14827" xr:uid="{00000000-0005-0000-0000-00002F300000}"/>
    <cellStyle name="40% - Accent1 2 3 3 2 3 2 3 2" xfId="34227" xr:uid="{00000000-0005-0000-0000-000030300000}"/>
    <cellStyle name="40% - Accent1 2 3 3 2 3 2 4" xfId="24529" xr:uid="{00000000-0005-0000-0000-000031300000}"/>
    <cellStyle name="40% - Accent1 2 3 3 2 3 3" xfId="8171" xr:uid="{00000000-0005-0000-0000-000032300000}"/>
    <cellStyle name="40% - Accent1 2 3 3 2 3 3 2" xfId="18167" xr:uid="{00000000-0005-0000-0000-000033300000}"/>
    <cellStyle name="40% - Accent1 2 3 3 2 3 3 2 2" xfId="37567" xr:uid="{00000000-0005-0000-0000-000034300000}"/>
    <cellStyle name="40% - Accent1 2 3 3 2 3 3 3" xfId="27869" xr:uid="{00000000-0005-0000-0000-000035300000}"/>
    <cellStyle name="40% - Accent1 2 3 3 2 3 4" xfId="13712" xr:uid="{00000000-0005-0000-0000-000036300000}"/>
    <cellStyle name="40% - Accent1 2 3 3 2 3 4 2" xfId="33112" xr:uid="{00000000-0005-0000-0000-000037300000}"/>
    <cellStyle name="40% - Accent1 2 3 3 2 3 5" xfId="23414" xr:uid="{00000000-0005-0000-0000-000038300000}"/>
    <cellStyle name="40% - Accent1 2 3 3 2 4" xfId="4265" xr:uid="{00000000-0005-0000-0000-000039300000}"/>
    <cellStyle name="40% - Accent1 2 3 3 2 4 2" xfId="8729" xr:uid="{00000000-0005-0000-0000-00003A300000}"/>
    <cellStyle name="40% - Accent1 2 3 3 2 4 2 2" xfId="18725" xr:uid="{00000000-0005-0000-0000-00003B300000}"/>
    <cellStyle name="40% - Accent1 2 3 3 2 4 2 2 2" xfId="38125" xr:uid="{00000000-0005-0000-0000-00003C300000}"/>
    <cellStyle name="40% - Accent1 2 3 3 2 4 2 3" xfId="28427" xr:uid="{00000000-0005-0000-0000-00003D300000}"/>
    <cellStyle name="40% - Accent1 2 3 3 2 4 3" xfId="14270" xr:uid="{00000000-0005-0000-0000-00003E300000}"/>
    <cellStyle name="40% - Accent1 2 3 3 2 4 3 2" xfId="33670" xr:uid="{00000000-0005-0000-0000-00003F300000}"/>
    <cellStyle name="40% - Accent1 2 3 3 2 4 4" xfId="23972" xr:uid="{00000000-0005-0000-0000-000040300000}"/>
    <cellStyle name="40% - Accent1 2 3 3 2 5" xfId="5935" xr:uid="{00000000-0005-0000-0000-000041300000}"/>
    <cellStyle name="40% - Accent1 2 3 3 2 5 2" xfId="10399" xr:uid="{00000000-0005-0000-0000-000042300000}"/>
    <cellStyle name="40% - Accent1 2 3 3 2 5 2 2" xfId="20395" xr:uid="{00000000-0005-0000-0000-000043300000}"/>
    <cellStyle name="40% - Accent1 2 3 3 2 5 2 2 2" xfId="39795" xr:uid="{00000000-0005-0000-0000-000044300000}"/>
    <cellStyle name="40% - Accent1 2 3 3 2 5 2 3" xfId="30097" xr:uid="{00000000-0005-0000-0000-000045300000}"/>
    <cellStyle name="40% - Accent1 2 3 3 2 5 3" xfId="15940" xr:uid="{00000000-0005-0000-0000-000046300000}"/>
    <cellStyle name="40% - Accent1 2 3 3 2 5 3 2" xfId="35340" xr:uid="{00000000-0005-0000-0000-000047300000}"/>
    <cellStyle name="40% - Accent1 2 3 3 2 5 4" xfId="25642" xr:uid="{00000000-0005-0000-0000-000048300000}"/>
    <cellStyle name="40% - Accent1 2 3 3 2 6" xfId="6501" xr:uid="{00000000-0005-0000-0000-000049300000}"/>
    <cellStyle name="40% - Accent1 2 3 3 2 6 2" xfId="10956" xr:uid="{00000000-0005-0000-0000-00004A300000}"/>
    <cellStyle name="40% - Accent1 2 3 3 2 6 2 2" xfId="20952" xr:uid="{00000000-0005-0000-0000-00004B300000}"/>
    <cellStyle name="40% - Accent1 2 3 3 2 6 2 2 2" xfId="40352" xr:uid="{00000000-0005-0000-0000-00004C300000}"/>
    <cellStyle name="40% - Accent1 2 3 3 2 6 2 3" xfId="30654" xr:uid="{00000000-0005-0000-0000-00004D300000}"/>
    <cellStyle name="40% - Accent1 2 3 3 2 6 3" xfId="16497" xr:uid="{00000000-0005-0000-0000-00004E300000}"/>
    <cellStyle name="40% - Accent1 2 3 3 2 6 3 2" xfId="35897" xr:uid="{00000000-0005-0000-0000-00004F300000}"/>
    <cellStyle name="40% - Accent1 2 3 3 2 6 4" xfId="26199" xr:uid="{00000000-0005-0000-0000-000050300000}"/>
    <cellStyle name="40% - Accent1 2 3 3 2 7" xfId="7058" xr:uid="{00000000-0005-0000-0000-000051300000}"/>
    <cellStyle name="40% - Accent1 2 3 3 2 7 2" xfId="17054" xr:uid="{00000000-0005-0000-0000-000052300000}"/>
    <cellStyle name="40% - Accent1 2 3 3 2 7 2 2" xfId="36454" xr:uid="{00000000-0005-0000-0000-000053300000}"/>
    <cellStyle name="40% - Accent1 2 3 3 2 7 3" xfId="26756" xr:uid="{00000000-0005-0000-0000-000054300000}"/>
    <cellStyle name="40% - Accent1 2 3 3 2 8" xfId="12598" xr:uid="{00000000-0005-0000-0000-000055300000}"/>
    <cellStyle name="40% - Accent1 2 3 3 2 8 2" xfId="31999" xr:uid="{00000000-0005-0000-0000-000056300000}"/>
    <cellStyle name="40% - Accent1 2 3 3 2 9" xfId="22301" xr:uid="{00000000-0005-0000-0000-000057300000}"/>
    <cellStyle name="40% - Accent1 2 3 3 3" xfId="2119" xr:uid="{00000000-0005-0000-0000-000058300000}"/>
    <cellStyle name="40% - Accent1 2 3 3 3 2" xfId="3110" xr:uid="{00000000-0005-0000-0000-000059300000}"/>
    <cellStyle name="40% - Accent1 2 3 3 3 2 2" xfId="5379" xr:uid="{00000000-0005-0000-0000-00005A300000}"/>
    <cellStyle name="40% - Accent1 2 3 3 3 2 2 2" xfId="9843" xr:uid="{00000000-0005-0000-0000-00005B300000}"/>
    <cellStyle name="40% - Accent1 2 3 3 3 2 2 2 2" xfId="19839" xr:uid="{00000000-0005-0000-0000-00005C300000}"/>
    <cellStyle name="40% - Accent1 2 3 3 3 2 2 2 2 2" xfId="39239" xr:uid="{00000000-0005-0000-0000-00005D300000}"/>
    <cellStyle name="40% - Accent1 2 3 3 3 2 2 2 3" xfId="29541" xr:uid="{00000000-0005-0000-0000-00005E300000}"/>
    <cellStyle name="40% - Accent1 2 3 3 3 2 2 3" xfId="15384" xr:uid="{00000000-0005-0000-0000-00005F300000}"/>
    <cellStyle name="40% - Accent1 2 3 3 3 2 2 3 2" xfId="34784" xr:uid="{00000000-0005-0000-0000-000060300000}"/>
    <cellStyle name="40% - Accent1 2 3 3 3 2 2 4" xfId="25086" xr:uid="{00000000-0005-0000-0000-000061300000}"/>
    <cellStyle name="40% - Accent1 2 3 3 3 2 3" xfId="7615" xr:uid="{00000000-0005-0000-0000-000062300000}"/>
    <cellStyle name="40% - Accent1 2 3 3 3 2 3 2" xfId="17611" xr:uid="{00000000-0005-0000-0000-000063300000}"/>
    <cellStyle name="40% - Accent1 2 3 3 3 2 3 2 2" xfId="37011" xr:uid="{00000000-0005-0000-0000-000064300000}"/>
    <cellStyle name="40% - Accent1 2 3 3 3 2 3 3" xfId="27313" xr:uid="{00000000-0005-0000-0000-000065300000}"/>
    <cellStyle name="40% - Accent1 2 3 3 3 2 4" xfId="13156" xr:uid="{00000000-0005-0000-0000-000066300000}"/>
    <cellStyle name="40% - Accent1 2 3 3 3 2 4 2" xfId="32556" xr:uid="{00000000-0005-0000-0000-000067300000}"/>
    <cellStyle name="40% - Accent1 2 3 3 3 2 5" xfId="22858" xr:uid="{00000000-0005-0000-0000-000068300000}"/>
    <cellStyle name="40% - Accent1 2 3 3 3 3" xfId="3693" xr:uid="{00000000-0005-0000-0000-000069300000}"/>
    <cellStyle name="40% - Accent1 2 3 3 3 3 2" xfId="4823" xr:uid="{00000000-0005-0000-0000-00006A300000}"/>
    <cellStyle name="40% - Accent1 2 3 3 3 3 2 2" xfId="9287" xr:uid="{00000000-0005-0000-0000-00006B300000}"/>
    <cellStyle name="40% - Accent1 2 3 3 3 3 2 2 2" xfId="19283" xr:uid="{00000000-0005-0000-0000-00006C300000}"/>
    <cellStyle name="40% - Accent1 2 3 3 3 3 2 2 2 2" xfId="38683" xr:uid="{00000000-0005-0000-0000-00006D300000}"/>
    <cellStyle name="40% - Accent1 2 3 3 3 3 2 2 3" xfId="28985" xr:uid="{00000000-0005-0000-0000-00006E300000}"/>
    <cellStyle name="40% - Accent1 2 3 3 3 3 2 3" xfId="14828" xr:uid="{00000000-0005-0000-0000-00006F300000}"/>
    <cellStyle name="40% - Accent1 2 3 3 3 3 2 3 2" xfId="34228" xr:uid="{00000000-0005-0000-0000-000070300000}"/>
    <cellStyle name="40% - Accent1 2 3 3 3 3 2 4" xfId="24530" xr:uid="{00000000-0005-0000-0000-000071300000}"/>
    <cellStyle name="40% - Accent1 2 3 3 3 3 3" xfId="8172" xr:uid="{00000000-0005-0000-0000-000072300000}"/>
    <cellStyle name="40% - Accent1 2 3 3 3 3 3 2" xfId="18168" xr:uid="{00000000-0005-0000-0000-000073300000}"/>
    <cellStyle name="40% - Accent1 2 3 3 3 3 3 2 2" xfId="37568" xr:uid="{00000000-0005-0000-0000-000074300000}"/>
    <cellStyle name="40% - Accent1 2 3 3 3 3 3 3" xfId="27870" xr:uid="{00000000-0005-0000-0000-000075300000}"/>
    <cellStyle name="40% - Accent1 2 3 3 3 3 4" xfId="13713" xr:uid="{00000000-0005-0000-0000-000076300000}"/>
    <cellStyle name="40% - Accent1 2 3 3 3 3 4 2" xfId="33113" xr:uid="{00000000-0005-0000-0000-000077300000}"/>
    <cellStyle name="40% - Accent1 2 3 3 3 3 5" xfId="23415" xr:uid="{00000000-0005-0000-0000-000078300000}"/>
    <cellStyle name="40% - Accent1 2 3 3 3 4" xfId="4266" xr:uid="{00000000-0005-0000-0000-000079300000}"/>
    <cellStyle name="40% - Accent1 2 3 3 3 4 2" xfId="8730" xr:uid="{00000000-0005-0000-0000-00007A300000}"/>
    <cellStyle name="40% - Accent1 2 3 3 3 4 2 2" xfId="18726" xr:uid="{00000000-0005-0000-0000-00007B300000}"/>
    <cellStyle name="40% - Accent1 2 3 3 3 4 2 2 2" xfId="38126" xr:uid="{00000000-0005-0000-0000-00007C300000}"/>
    <cellStyle name="40% - Accent1 2 3 3 3 4 2 3" xfId="28428" xr:uid="{00000000-0005-0000-0000-00007D300000}"/>
    <cellStyle name="40% - Accent1 2 3 3 3 4 3" xfId="14271" xr:uid="{00000000-0005-0000-0000-00007E300000}"/>
    <cellStyle name="40% - Accent1 2 3 3 3 4 3 2" xfId="33671" xr:uid="{00000000-0005-0000-0000-00007F300000}"/>
    <cellStyle name="40% - Accent1 2 3 3 3 4 4" xfId="23973" xr:uid="{00000000-0005-0000-0000-000080300000}"/>
    <cellStyle name="40% - Accent1 2 3 3 3 5" xfId="5936" xr:uid="{00000000-0005-0000-0000-000081300000}"/>
    <cellStyle name="40% - Accent1 2 3 3 3 5 2" xfId="10400" xr:uid="{00000000-0005-0000-0000-000082300000}"/>
    <cellStyle name="40% - Accent1 2 3 3 3 5 2 2" xfId="20396" xr:uid="{00000000-0005-0000-0000-000083300000}"/>
    <cellStyle name="40% - Accent1 2 3 3 3 5 2 2 2" xfId="39796" xr:uid="{00000000-0005-0000-0000-000084300000}"/>
    <cellStyle name="40% - Accent1 2 3 3 3 5 2 3" xfId="30098" xr:uid="{00000000-0005-0000-0000-000085300000}"/>
    <cellStyle name="40% - Accent1 2 3 3 3 5 3" xfId="15941" xr:uid="{00000000-0005-0000-0000-000086300000}"/>
    <cellStyle name="40% - Accent1 2 3 3 3 5 3 2" xfId="35341" xr:uid="{00000000-0005-0000-0000-000087300000}"/>
    <cellStyle name="40% - Accent1 2 3 3 3 5 4" xfId="25643" xr:uid="{00000000-0005-0000-0000-000088300000}"/>
    <cellStyle name="40% - Accent1 2 3 3 3 6" xfId="6502" xr:uid="{00000000-0005-0000-0000-000089300000}"/>
    <cellStyle name="40% - Accent1 2 3 3 3 6 2" xfId="10957" xr:uid="{00000000-0005-0000-0000-00008A300000}"/>
    <cellStyle name="40% - Accent1 2 3 3 3 6 2 2" xfId="20953" xr:uid="{00000000-0005-0000-0000-00008B300000}"/>
    <cellStyle name="40% - Accent1 2 3 3 3 6 2 2 2" xfId="40353" xr:uid="{00000000-0005-0000-0000-00008C300000}"/>
    <cellStyle name="40% - Accent1 2 3 3 3 6 2 3" xfId="30655" xr:uid="{00000000-0005-0000-0000-00008D300000}"/>
    <cellStyle name="40% - Accent1 2 3 3 3 6 3" xfId="16498" xr:uid="{00000000-0005-0000-0000-00008E300000}"/>
    <cellStyle name="40% - Accent1 2 3 3 3 6 3 2" xfId="35898" xr:uid="{00000000-0005-0000-0000-00008F300000}"/>
    <cellStyle name="40% - Accent1 2 3 3 3 6 4" xfId="26200" xr:uid="{00000000-0005-0000-0000-000090300000}"/>
    <cellStyle name="40% - Accent1 2 3 3 3 7" xfId="7059" xr:uid="{00000000-0005-0000-0000-000091300000}"/>
    <cellStyle name="40% - Accent1 2 3 3 3 7 2" xfId="17055" xr:uid="{00000000-0005-0000-0000-000092300000}"/>
    <cellStyle name="40% - Accent1 2 3 3 3 7 2 2" xfId="36455" xr:uid="{00000000-0005-0000-0000-000093300000}"/>
    <cellStyle name="40% - Accent1 2 3 3 3 7 3" xfId="26757" xr:uid="{00000000-0005-0000-0000-000094300000}"/>
    <cellStyle name="40% - Accent1 2 3 3 3 8" xfId="12599" xr:uid="{00000000-0005-0000-0000-000095300000}"/>
    <cellStyle name="40% - Accent1 2 3 3 3 8 2" xfId="32000" xr:uid="{00000000-0005-0000-0000-000096300000}"/>
    <cellStyle name="40% - Accent1 2 3 3 3 9" xfId="22302" xr:uid="{00000000-0005-0000-0000-000097300000}"/>
    <cellStyle name="40% - Accent1 2 3 3 4" xfId="3108" xr:uid="{00000000-0005-0000-0000-000098300000}"/>
    <cellStyle name="40% - Accent1 2 3 3 4 2" xfId="5377" xr:uid="{00000000-0005-0000-0000-000099300000}"/>
    <cellStyle name="40% - Accent1 2 3 3 4 2 2" xfId="9841" xr:uid="{00000000-0005-0000-0000-00009A300000}"/>
    <cellStyle name="40% - Accent1 2 3 3 4 2 2 2" xfId="19837" xr:uid="{00000000-0005-0000-0000-00009B300000}"/>
    <cellStyle name="40% - Accent1 2 3 3 4 2 2 2 2" xfId="39237" xr:uid="{00000000-0005-0000-0000-00009C300000}"/>
    <cellStyle name="40% - Accent1 2 3 3 4 2 2 3" xfId="29539" xr:uid="{00000000-0005-0000-0000-00009D300000}"/>
    <cellStyle name="40% - Accent1 2 3 3 4 2 3" xfId="15382" xr:uid="{00000000-0005-0000-0000-00009E300000}"/>
    <cellStyle name="40% - Accent1 2 3 3 4 2 3 2" xfId="34782" xr:uid="{00000000-0005-0000-0000-00009F300000}"/>
    <cellStyle name="40% - Accent1 2 3 3 4 2 4" xfId="25084" xr:uid="{00000000-0005-0000-0000-0000A0300000}"/>
    <cellStyle name="40% - Accent1 2 3 3 4 3" xfId="7613" xr:uid="{00000000-0005-0000-0000-0000A1300000}"/>
    <cellStyle name="40% - Accent1 2 3 3 4 3 2" xfId="17609" xr:uid="{00000000-0005-0000-0000-0000A2300000}"/>
    <cellStyle name="40% - Accent1 2 3 3 4 3 2 2" xfId="37009" xr:uid="{00000000-0005-0000-0000-0000A3300000}"/>
    <cellStyle name="40% - Accent1 2 3 3 4 3 3" xfId="27311" xr:uid="{00000000-0005-0000-0000-0000A4300000}"/>
    <cellStyle name="40% - Accent1 2 3 3 4 4" xfId="13154" xr:uid="{00000000-0005-0000-0000-0000A5300000}"/>
    <cellStyle name="40% - Accent1 2 3 3 4 4 2" xfId="32554" xr:uid="{00000000-0005-0000-0000-0000A6300000}"/>
    <cellStyle name="40% - Accent1 2 3 3 4 5" xfId="22856" xr:uid="{00000000-0005-0000-0000-0000A7300000}"/>
    <cellStyle name="40% - Accent1 2 3 3 5" xfId="3691" xr:uid="{00000000-0005-0000-0000-0000A8300000}"/>
    <cellStyle name="40% - Accent1 2 3 3 5 2" xfId="4821" xr:uid="{00000000-0005-0000-0000-0000A9300000}"/>
    <cellStyle name="40% - Accent1 2 3 3 5 2 2" xfId="9285" xr:uid="{00000000-0005-0000-0000-0000AA300000}"/>
    <cellStyle name="40% - Accent1 2 3 3 5 2 2 2" xfId="19281" xr:uid="{00000000-0005-0000-0000-0000AB300000}"/>
    <cellStyle name="40% - Accent1 2 3 3 5 2 2 2 2" xfId="38681" xr:uid="{00000000-0005-0000-0000-0000AC300000}"/>
    <cellStyle name="40% - Accent1 2 3 3 5 2 2 3" xfId="28983" xr:uid="{00000000-0005-0000-0000-0000AD300000}"/>
    <cellStyle name="40% - Accent1 2 3 3 5 2 3" xfId="14826" xr:uid="{00000000-0005-0000-0000-0000AE300000}"/>
    <cellStyle name="40% - Accent1 2 3 3 5 2 3 2" xfId="34226" xr:uid="{00000000-0005-0000-0000-0000AF300000}"/>
    <cellStyle name="40% - Accent1 2 3 3 5 2 4" xfId="24528" xr:uid="{00000000-0005-0000-0000-0000B0300000}"/>
    <cellStyle name="40% - Accent1 2 3 3 5 3" xfId="8170" xr:uid="{00000000-0005-0000-0000-0000B1300000}"/>
    <cellStyle name="40% - Accent1 2 3 3 5 3 2" xfId="18166" xr:uid="{00000000-0005-0000-0000-0000B2300000}"/>
    <cellStyle name="40% - Accent1 2 3 3 5 3 2 2" xfId="37566" xr:uid="{00000000-0005-0000-0000-0000B3300000}"/>
    <cellStyle name="40% - Accent1 2 3 3 5 3 3" xfId="27868" xr:uid="{00000000-0005-0000-0000-0000B4300000}"/>
    <cellStyle name="40% - Accent1 2 3 3 5 4" xfId="13711" xr:uid="{00000000-0005-0000-0000-0000B5300000}"/>
    <cellStyle name="40% - Accent1 2 3 3 5 4 2" xfId="33111" xr:uid="{00000000-0005-0000-0000-0000B6300000}"/>
    <cellStyle name="40% - Accent1 2 3 3 5 5" xfId="23413" xr:uid="{00000000-0005-0000-0000-0000B7300000}"/>
    <cellStyle name="40% - Accent1 2 3 3 6" xfId="4264" xr:uid="{00000000-0005-0000-0000-0000B8300000}"/>
    <cellStyle name="40% - Accent1 2 3 3 6 2" xfId="8728" xr:uid="{00000000-0005-0000-0000-0000B9300000}"/>
    <cellStyle name="40% - Accent1 2 3 3 6 2 2" xfId="18724" xr:uid="{00000000-0005-0000-0000-0000BA300000}"/>
    <cellStyle name="40% - Accent1 2 3 3 6 2 2 2" xfId="38124" xr:uid="{00000000-0005-0000-0000-0000BB300000}"/>
    <cellStyle name="40% - Accent1 2 3 3 6 2 3" xfId="28426" xr:uid="{00000000-0005-0000-0000-0000BC300000}"/>
    <cellStyle name="40% - Accent1 2 3 3 6 3" xfId="14269" xr:uid="{00000000-0005-0000-0000-0000BD300000}"/>
    <cellStyle name="40% - Accent1 2 3 3 6 3 2" xfId="33669" xr:uid="{00000000-0005-0000-0000-0000BE300000}"/>
    <cellStyle name="40% - Accent1 2 3 3 6 4" xfId="23971" xr:uid="{00000000-0005-0000-0000-0000BF300000}"/>
    <cellStyle name="40% - Accent1 2 3 3 7" xfId="5934" xr:uid="{00000000-0005-0000-0000-0000C0300000}"/>
    <cellStyle name="40% - Accent1 2 3 3 7 2" xfId="10398" xr:uid="{00000000-0005-0000-0000-0000C1300000}"/>
    <cellStyle name="40% - Accent1 2 3 3 7 2 2" xfId="20394" xr:uid="{00000000-0005-0000-0000-0000C2300000}"/>
    <cellStyle name="40% - Accent1 2 3 3 7 2 2 2" xfId="39794" xr:uid="{00000000-0005-0000-0000-0000C3300000}"/>
    <cellStyle name="40% - Accent1 2 3 3 7 2 3" xfId="30096" xr:uid="{00000000-0005-0000-0000-0000C4300000}"/>
    <cellStyle name="40% - Accent1 2 3 3 7 3" xfId="15939" xr:uid="{00000000-0005-0000-0000-0000C5300000}"/>
    <cellStyle name="40% - Accent1 2 3 3 7 3 2" xfId="35339" xr:uid="{00000000-0005-0000-0000-0000C6300000}"/>
    <cellStyle name="40% - Accent1 2 3 3 7 4" xfId="25641" xr:uid="{00000000-0005-0000-0000-0000C7300000}"/>
    <cellStyle name="40% - Accent1 2 3 3 8" xfId="6500" xr:uid="{00000000-0005-0000-0000-0000C8300000}"/>
    <cellStyle name="40% - Accent1 2 3 3 8 2" xfId="10955" xr:uid="{00000000-0005-0000-0000-0000C9300000}"/>
    <cellStyle name="40% - Accent1 2 3 3 8 2 2" xfId="20951" xr:uid="{00000000-0005-0000-0000-0000CA300000}"/>
    <cellStyle name="40% - Accent1 2 3 3 8 2 2 2" xfId="40351" xr:uid="{00000000-0005-0000-0000-0000CB300000}"/>
    <cellStyle name="40% - Accent1 2 3 3 8 2 3" xfId="30653" xr:uid="{00000000-0005-0000-0000-0000CC300000}"/>
    <cellStyle name="40% - Accent1 2 3 3 8 3" xfId="16496" xr:uid="{00000000-0005-0000-0000-0000CD300000}"/>
    <cellStyle name="40% - Accent1 2 3 3 8 3 2" xfId="35896" xr:uid="{00000000-0005-0000-0000-0000CE300000}"/>
    <cellStyle name="40% - Accent1 2 3 3 8 4" xfId="26198" xr:uid="{00000000-0005-0000-0000-0000CF300000}"/>
    <cellStyle name="40% - Accent1 2 3 3 9" xfId="7057" xr:uid="{00000000-0005-0000-0000-0000D0300000}"/>
    <cellStyle name="40% - Accent1 2 3 3 9 2" xfId="17053" xr:uid="{00000000-0005-0000-0000-0000D1300000}"/>
    <cellStyle name="40% - Accent1 2 3 3 9 2 2" xfId="36453" xr:uid="{00000000-0005-0000-0000-0000D2300000}"/>
    <cellStyle name="40% - Accent1 2 3 3 9 3" xfId="26755" xr:uid="{00000000-0005-0000-0000-0000D3300000}"/>
    <cellStyle name="40% - Accent1 2 3 4" xfId="2120" xr:uid="{00000000-0005-0000-0000-0000D4300000}"/>
    <cellStyle name="40% - Accent1 2 3 4 2" xfId="3111" xr:uid="{00000000-0005-0000-0000-0000D5300000}"/>
    <cellStyle name="40% - Accent1 2 3 4 2 2" xfId="5380" xr:uid="{00000000-0005-0000-0000-0000D6300000}"/>
    <cellStyle name="40% - Accent1 2 3 4 2 2 2" xfId="9844" xr:uid="{00000000-0005-0000-0000-0000D7300000}"/>
    <cellStyle name="40% - Accent1 2 3 4 2 2 2 2" xfId="19840" xr:uid="{00000000-0005-0000-0000-0000D8300000}"/>
    <cellStyle name="40% - Accent1 2 3 4 2 2 2 2 2" xfId="39240" xr:uid="{00000000-0005-0000-0000-0000D9300000}"/>
    <cellStyle name="40% - Accent1 2 3 4 2 2 2 3" xfId="29542" xr:uid="{00000000-0005-0000-0000-0000DA300000}"/>
    <cellStyle name="40% - Accent1 2 3 4 2 2 3" xfId="15385" xr:uid="{00000000-0005-0000-0000-0000DB300000}"/>
    <cellStyle name="40% - Accent1 2 3 4 2 2 3 2" xfId="34785" xr:uid="{00000000-0005-0000-0000-0000DC300000}"/>
    <cellStyle name="40% - Accent1 2 3 4 2 2 4" xfId="25087" xr:uid="{00000000-0005-0000-0000-0000DD300000}"/>
    <cellStyle name="40% - Accent1 2 3 4 2 3" xfId="7616" xr:uid="{00000000-0005-0000-0000-0000DE300000}"/>
    <cellStyle name="40% - Accent1 2 3 4 2 3 2" xfId="17612" xr:uid="{00000000-0005-0000-0000-0000DF300000}"/>
    <cellStyle name="40% - Accent1 2 3 4 2 3 2 2" xfId="37012" xr:uid="{00000000-0005-0000-0000-0000E0300000}"/>
    <cellStyle name="40% - Accent1 2 3 4 2 3 3" xfId="27314" xr:uid="{00000000-0005-0000-0000-0000E1300000}"/>
    <cellStyle name="40% - Accent1 2 3 4 2 4" xfId="13157" xr:uid="{00000000-0005-0000-0000-0000E2300000}"/>
    <cellStyle name="40% - Accent1 2 3 4 2 4 2" xfId="32557" xr:uid="{00000000-0005-0000-0000-0000E3300000}"/>
    <cellStyle name="40% - Accent1 2 3 4 2 5" xfId="22859" xr:uid="{00000000-0005-0000-0000-0000E4300000}"/>
    <cellStyle name="40% - Accent1 2 3 4 3" xfId="3694" xr:uid="{00000000-0005-0000-0000-0000E5300000}"/>
    <cellStyle name="40% - Accent1 2 3 4 3 2" xfId="4824" xr:uid="{00000000-0005-0000-0000-0000E6300000}"/>
    <cellStyle name="40% - Accent1 2 3 4 3 2 2" xfId="9288" xr:uid="{00000000-0005-0000-0000-0000E7300000}"/>
    <cellStyle name="40% - Accent1 2 3 4 3 2 2 2" xfId="19284" xr:uid="{00000000-0005-0000-0000-0000E8300000}"/>
    <cellStyle name="40% - Accent1 2 3 4 3 2 2 2 2" xfId="38684" xr:uid="{00000000-0005-0000-0000-0000E9300000}"/>
    <cellStyle name="40% - Accent1 2 3 4 3 2 2 3" xfId="28986" xr:uid="{00000000-0005-0000-0000-0000EA300000}"/>
    <cellStyle name="40% - Accent1 2 3 4 3 2 3" xfId="14829" xr:uid="{00000000-0005-0000-0000-0000EB300000}"/>
    <cellStyle name="40% - Accent1 2 3 4 3 2 3 2" xfId="34229" xr:uid="{00000000-0005-0000-0000-0000EC300000}"/>
    <cellStyle name="40% - Accent1 2 3 4 3 2 4" xfId="24531" xr:uid="{00000000-0005-0000-0000-0000ED300000}"/>
    <cellStyle name="40% - Accent1 2 3 4 3 3" xfId="8173" xr:uid="{00000000-0005-0000-0000-0000EE300000}"/>
    <cellStyle name="40% - Accent1 2 3 4 3 3 2" xfId="18169" xr:uid="{00000000-0005-0000-0000-0000EF300000}"/>
    <cellStyle name="40% - Accent1 2 3 4 3 3 2 2" xfId="37569" xr:uid="{00000000-0005-0000-0000-0000F0300000}"/>
    <cellStyle name="40% - Accent1 2 3 4 3 3 3" xfId="27871" xr:uid="{00000000-0005-0000-0000-0000F1300000}"/>
    <cellStyle name="40% - Accent1 2 3 4 3 4" xfId="13714" xr:uid="{00000000-0005-0000-0000-0000F2300000}"/>
    <cellStyle name="40% - Accent1 2 3 4 3 4 2" xfId="33114" xr:uid="{00000000-0005-0000-0000-0000F3300000}"/>
    <cellStyle name="40% - Accent1 2 3 4 3 5" xfId="23416" xr:uid="{00000000-0005-0000-0000-0000F4300000}"/>
    <cellStyle name="40% - Accent1 2 3 4 4" xfId="4267" xr:uid="{00000000-0005-0000-0000-0000F5300000}"/>
    <cellStyle name="40% - Accent1 2 3 4 4 2" xfId="8731" xr:uid="{00000000-0005-0000-0000-0000F6300000}"/>
    <cellStyle name="40% - Accent1 2 3 4 4 2 2" xfId="18727" xr:uid="{00000000-0005-0000-0000-0000F7300000}"/>
    <cellStyle name="40% - Accent1 2 3 4 4 2 2 2" xfId="38127" xr:uid="{00000000-0005-0000-0000-0000F8300000}"/>
    <cellStyle name="40% - Accent1 2 3 4 4 2 3" xfId="28429" xr:uid="{00000000-0005-0000-0000-0000F9300000}"/>
    <cellStyle name="40% - Accent1 2 3 4 4 3" xfId="14272" xr:uid="{00000000-0005-0000-0000-0000FA300000}"/>
    <cellStyle name="40% - Accent1 2 3 4 4 3 2" xfId="33672" xr:uid="{00000000-0005-0000-0000-0000FB300000}"/>
    <cellStyle name="40% - Accent1 2 3 4 4 4" xfId="23974" xr:uid="{00000000-0005-0000-0000-0000FC300000}"/>
    <cellStyle name="40% - Accent1 2 3 4 5" xfId="5937" xr:uid="{00000000-0005-0000-0000-0000FD300000}"/>
    <cellStyle name="40% - Accent1 2 3 4 5 2" xfId="10401" xr:uid="{00000000-0005-0000-0000-0000FE300000}"/>
    <cellStyle name="40% - Accent1 2 3 4 5 2 2" xfId="20397" xr:uid="{00000000-0005-0000-0000-0000FF300000}"/>
    <cellStyle name="40% - Accent1 2 3 4 5 2 2 2" xfId="39797" xr:uid="{00000000-0005-0000-0000-000000310000}"/>
    <cellStyle name="40% - Accent1 2 3 4 5 2 3" xfId="30099" xr:uid="{00000000-0005-0000-0000-000001310000}"/>
    <cellStyle name="40% - Accent1 2 3 4 5 3" xfId="15942" xr:uid="{00000000-0005-0000-0000-000002310000}"/>
    <cellStyle name="40% - Accent1 2 3 4 5 3 2" xfId="35342" xr:uid="{00000000-0005-0000-0000-000003310000}"/>
    <cellStyle name="40% - Accent1 2 3 4 5 4" xfId="25644" xr:uid="{00000000-0005-0000-0000-000004310000}"/>
    <cellStyle name="40% - Accent1 2 3 4 6" xfId="6503" xr:uid="{00000000-0005-0000-0000-000005310000}"/>
    <cellStyle name="40% - Accent1 2 3 4 6 2" xfId="10958" xr:uid="{00000000-0005-0000-0000-000006310000}"/>
    <cellStyle name="40% - Accent1 2 3 4 6 2 2" xfId="20954" xr:uid="{00000000-0005-0000-0000-000007310000}"/>
    <cellStyle name="40% - Accent1 2 3 4 6 2 2 2" xfId="40354" xr:uid="{00000000-0005-0000-0000-000008310000}"/>
    <cellStyle name="40% - Accent1 2 3 4 6 2 3" xfId="30656" xr:uid="{00000000-0005-0000-0000-000009310000}"/>
    <cellStyle name="40% - Accent1 2 3 4 6 3" xfId="16499" xr:uid="{00000000-0005-0000-0000-00000A310000}"/>
    <cellStyle name="40% - Accent1 2 3 4 6 3 2" xfId="35899" xr:uid="{00000000-0005-0000-0000-00000B310000}"/>
    <cellStyle name="40% - Accent1 2 3 4 6 4" xfId="26201" xr:uid="{00000000-0005-0000-0000-00000C310000}"/>
    <cellStyle name="40% - Accent1 2 3 4 7" xfId="7060" xr:uid="{00000000-0005-0000-0000-00000D310000}"/>
    <cellStyle name="40% - Accent1 2 3 4 7 2" xfId="17056" xr:uid="{00000000-0005-0000-0000-00000E310000}"/>
    <cellStyle name="40% - Accent1 2 3 4 7 2 2" xfId="36456" xr:uid="{00000000-0005-0000-0000-00000F310000}"/>
    <cellStyle name="40% - Accent1 2 3 4 7 3" xfId="26758" xr:uid="{00000000-0005-0000-0000-000010310000}"/>
    <cellStyle name="40% - Accent1 2 3 4 8" xfId="12600" xr:uid="{00000000-0005-0000-0000-000011310000}"/>
    <cellStyle name="40% - Accent1 2 3 4 8 2" xfId="32001" xr:uid="{00000000-0005-0000-0000-000012310000}"/>
    <cellStyle name="40% - Accent1 2 3 4 9" xfId="22303" xr:uid="{00000000-0005-0000-0000-000013310000}"/>
    <cellStyle name="40% - Accent1 2 3 5" xfId="2121" xr:uid="{00000000-0005-0000-0000-000014310000}"/>
    <cellStyle name="40% - Accent1 2 3 5 2" xfId="3112" xr:uid="{00000000-0005-0000-0000-000015310000}"/>
    <cellStyle name="40% - Accent1 2 3 5 2 2" xfId="5381" xr:uid="{00000000-0005-0000-0000-000016310000}"/>
    <cellStyle name="40% - Accent1 2 3 5 2 2 2" xfId="9845" xr:uid="{00000000-0005-0000-0000-000017310000}"/>
    <cellStyle name="40% - Accent1 2 3 5 2 2 2 2" xfId="19841" xr:uid="{00000000-0005-0000-0000-000018310000}"/>
    <cellStyle name="40% - Accent1 2 3 5 2 2 2 2 2" xfId="39241" xr:uid="{00000000-0005-0000-0000-000019310000}"/>
    <cellStyle name="40% - Accent1 2 3 5 2 2 2 3" xfId="29543" xr:uid="{00000000-0005-0000-0000-00001A310000}"/>
    <cellStyle name="40% - Accent1 2 3 5 2 2 3" xfId="15386" xr:uid="{00000000-0005-0000-0000-00001B310000}"/>
    <cellStyle name="40% - Accent1 2 3 5 2 2 3 2" xfId="34786" xr:uid="{00000000-0005-0000-0000-00001C310000}"/>
    <cellStyle name="40% - Accent1 2 3 5 2 2 4" xfId="25088" xr:uid="{00000000-0005-0000-0000-00001D310000}"/>
    <cellStyle name="40% - Accent1 2 3 5 2 3" xfId="7617" xr:uid="{00000000-0005-0000-0000-00001E310000}"/>
    <cellStyle name="40% - Accent1 2 3 5 2 3 2" xfId="17613" xr:uid="{00000000-0005-0000-0000-00001F310000}"/>
    <cellStyle name="40% - Accent1 2 3 5 2 3 2 2" xfId="37013" xr:uid="{00000000-0005-0000-0000-000020310000}"/>
    <cellStyle name="40% - Accent1 2 3 5 2 3 3" xfId="27315" xr:uid="{00000000-0005-0000-0000-000021310000}"/>
    <cellStyle name="40% - Accent1 2 3 5 2 4" xfId="13158" xr:uid="{00000000-0005-0000-0000-000022310000}"/>
    <cellStyle name="40% - Accent1 2 3 5 2 4 2" xfId="32558" xr:uid="{00000000-0005-0000-0000-000023310000}"/>
    <cellStyle name="40% - Accent1 2 3 5 2 5" xfId="22860" xr:uid="{00000000-0005-0000-0000-000024310000}"/>
    <cellStyle name="40% - Accent1 2 3 5 3" xfId="3695" xr:uid="{00000000-0005-0000-0000-000025310000}"/>
    <cellStyle name="40% - Accent1 2 3 5 3 2" xfId="4825" xr:uid="{00000000-0005-0000-0000-000026310000}"/>
    <cellStyle name="40% - Accent1 2 3 5 3 2 2" xfId="9289" xr:uid="{00000000-0005-0000-0000-000027310000}"/>
    <cellStyle name="40% - Accent1 2 3 5 3 2 2 2" xfId="19285" xr:uid="{00000000-0005-0000-0000-000028310000}"/>
    <cellStyle name="40% - Accent1 2 3 5 3 2 2 2 2" xfId="38685" xr:uid="{00000000-0005-0000-0000-000029310000}"/>
    <cellStyle name="40% - Accent1 2 3 5 3 2 2 3" xfId="28987" xr:uid="{00000000-0005-0000-0000-00002A310000}"/>
    <cellStyle name="40% - Accent1 2 3 5 3 2 3" xfId="14830" xr:uid="{00000000-0005-0000-0000-00002B310000}"/>
    <cellStyle name="40% - Accent1 2 3 5 3 2 3 2" xfId="34230" xr:uid="{00000000-0005-0000-0000-00002C310000}"/>
    <cellStyle name="40% - Accent1 2 3 5 3 2 4" xfId="24532" xr:uid="{00000000-0005-0000-0000-00002D310000}"/>
    <cellStyle name="40% - Accent1 2 3 5 3 3" xfId="8174" xr:uid="{00000000-0005-0000-0000-00002E310000}"/>
    <cellStyle name="40% - Accent1 2 3 5 3 3 2" xfId="18170" xr:uid="{00000000-0005-0000-0000-00002F310000}"/>
    <cellStyle name="40% - Accent1 2 3 5 3 3 2 2" xfId="37570" xr:uid="{00000000-0005-0000-0000-000030310000}"/>
    <cellStyle name="40% - Accent1 2 3 5 3 3 3" xfId="27872" xr:uid="{00000000-0005-0000-0000-000031310000}"/>
    <cellStyle name="40% - Accent1 2 3 5 3 4" xfId="13715" xr:uid="{00000000-0005-0000-0000-000032310000}"/>
    <cellStyle name="40% - Accent1 2 3 5 3 4 2" xfId="33115" xr:uid="{00000000-0005-0000-0000-000033310000}"/>
    <cellStyle name="40% - Accent1 2 3 5 3 5" xfId="23417" xr:uid="{00000000-0005-0000-0000-000034310000}"/>
    <cellStyle name="40% - Accent1 2 3 5 4" xfId="4268" xr:uid="{00000000-0005-0000-0000-000035310000}"/>
    <cellStyle name="40% - Accent1 2 3 5 4 2" xfId="8732" xr:uid="{00000000-0005-0000-0000-000036310000}"/>
    <cellStyle name="40% - Accent1 2 3 5 4 2 2" xfId="18728" xr:uid="{00000000-0005-0000-0000-000037310000}"/>
    <cellStyle name="40% - Accent1 2 3 5 4 2 2 2" xfId="38128" xr:uid="{00000000-0005-0000-0000-000038310000}"/>
    <cellStyle name="40% - Accent1 2 3 5 4 2 3" xfId="28430" xr:uid="{00000000-0005-0000-0000-000039310000}"/>
    <cellStyle name="40% - Accent1 2 3 5 4 3" xfId="14273" xr:uid="{00000000-0005-0000-0000-00003A310000}"/>
    <cellStyle name="40% - Accent1 2 3 5 4 3 2" xfId="33673" xr:uid="{00000000-0005-0000-0000-00003B310000}"/>
    <cellStyle name="40% - Accent1 2 3 5 4 4" xfId="23975" xr:uid="{00000000-0005-0000-0000-00003C310000}"/>
    <cellStyle name="40% - Accent1 2 3 5 5" xfId="5938" xr:uid="{00000000-0005-0000-0000-00003D310000}"/>
    <cellStyle name="40% - Accent1 2 3 5 5 2" xfId="10402" xr:uid="{00000000-0005-0000-0000-00003E310000}"/>
    <cellStyle name="40% - Accent1 2 3 5 5 2 2" xfId="20398" xr:uid="{00000000-0005-0000-0000-00003F310000}"/>
    <cellStyle name="40% - Accent1 2 3 5 5 2 2 2" xfId="39798" xr:uid="{00000000-0005-0000-0000-000040310000}"/>
    <cellStyle name="40% - Accent1 2 3 5 5 2 3" xfId="30100" xr:uid="{00000000-0005-0000-0000-000041310000}"/>
    <cellStyle name="40% - Accent1 2 3 5 5 3" xfId="15943" xr:uid="{00000000-0005-0000-0000-000042310000}"/>
    <cellStyle name="40% - Accent1 2 3 5 5 3 2" xfId="35343" xr:uid="{00000000-0005-0000-0000-000043310000}"/>
    <cellStyle name="40% - Accent1 2 3 5 5 4" xfId="25645" xr:uid="{00000000-0005-0000-0000-000044310000}"/>
    <cellStyle name="40% - Accent1 2 3 5 6" xfId="6504" xr:uid="{00000000-0005-0000-0000-000045310000}"/>
    <cellStyle name="40% - Accent1 2 3 5 6 2" xfId="10959" xr:uid="{00000000-0005-0000-0000-000046310000}"/>
    <cellStyle name="40% - Accent1 2 3 5 6 2 2" xfId="20955" xr:uid="{00000000-0005-0000-0000-000047310000}"/>
    <cellStyle name="40% - Accent1 2 3 5 6 2 2 2" xfId="40355" xr:uid="{00000000-0005-0000-0000-000048310000}"/>
    <cellStyle name="40% - Accent1 2 3 5 6 2 3" xfId="30657" xr:uid="{00000000-0005-0000-0000-000049310000}"/>
    <cellStyle name="40% - Accent1 2 3 5 6 3" xfId="16500" xr:uid="{00000000-0005-0000-0000-00004A310000}"/>
    <cellStyle name="40% - Accent1 2 3 5 6 3 2" xfId="35900" xr:uid="{00000000-0005-0000-0000-00004B310000}"/>
    <cellStyle name="40% - Accent1 2 3 5 6 4" xfId="26202" xr:uid="{00000000-0005-0000-0000-00004C310000}"/>
    <cellStyle name="40% - Accent1 2 3 5 7" xfId="7061" xr:uid="{00000000-0005-0000-0000-00004D310000}"/>
    <cellStyle name="40% - Accent1 2 3 5 7 2" xfId="17057" xr:uid="{00000000-0005-0000-0000-00004E310000}"/>
    <cellStyle name="40% - Accent1 2 3 5 7 2 2" xfId="36457" xr:uid="{00000000-0005-0000-0000-00004F310000}"/>
    <cellStyle name="40% - Accent1 2 3 5 7 3" xfId="26759" xr:uid="{00000000-0005-0000-0000-000050310000}"/>
    <cellStyle name="40% - Accent1 2 3 5 8" xfId="12601" xr:uid="{00000000-0005-0000-0000-000051310000}"/>
    <cellStyle name="40% - Accent1 2 3 5 8 2" xfId="32002" xr:uid="{00000000-0005-0000-0000-000052310000}"/>
    <cellStyle name="40% - Accent1 2 3 5 9" xfId="22304" xr:uid="{00000000-0005-0000-0000-000053310000}"/>
    <cellStyle name="40% - Accent1 2 3 6" xfId="11965" xr:uid="{00000000-0005-0000-0000-000054310000}"/>
    <cellStyle name="40% - Accent1 2 3 6 2" xfId="21669" xr:uid="{00000000-0005-0000-0000-000055310000}"/>
    <cellStyle name="40% - Accent1 2 3 6 2 2" xfId="41069" xr:uid="{00000000-0005-0000-0000-000056310000}"/>
    <cellStyle name="40% - Accent1 2 3 6 3" xfId="31371" xr:uid="{00000000-0005-0000-0000-000057310000}"/>
    <cellStyle name="40% - Accent1 2 3 7" xfId="1212" xr:uid="{00000000-0005-0000-0000-000058310000}"/>
    <cellStyle name="40% - Accent1 2 3 8" xfId="12321" xr:uid="{00000000-0005-0000-0000-000059310000}"/>
    <cellStyle name="40% - Accent1 2 3 8 2" xfId="31724" xr:uid="{00000000-0005-0000-0000-00005A310000}"/>
    <cellStyle name="40% - Accent1 2 3 9" xfId="22026" xr:uid="{00000000-0005-0000-0000-00005B310000}"/>
    <cellStyle name="40% - Accent1 2 4" xfId="1214" xr:uid="{00000000-0005-0000-0000-00005C310000}"/>
    <cellStyle name="40% - Accent1 2 4 2" xfId="2122" xr:uid="{00000000-0005-0000-0000-00005D310000}"/>
    <cellStyle name="40% - Accent1 2 4 2 10" xfId="12602" xr:uid="{00000000-0005-0000-0000-00005E310000}"/>
    <cellStyle name="40% - Accent1 2 4 2 10 2" xfId="32003" xr:uid="{00000000-0005-0000-0000-00005F310000}"/>
    <cellStyle name="40% - Accent1 2 4 2 11" xfId="22305" xr:uid="{00000000-0005-0000-0000-000060310000}"/>
    <cellStyle name="40% - Accent1 2 4 2 2" xfId="2123" xr:uid="{00000000-0005-0000-0000-000061310000}"/>
    <cellStyle name="40% - Accent1 2 4 2 2 2" xfId="3114" xr:uid="{00000000-0005-0000-0000-000062310000}"/>
    <cellStyle name="40% - Accent1 2 4 2 2 2 2" xfId="5383" xr:uid="{00000000-0005-0000-0000-000063310000}"/>
    <cellStyle name="40% - Accent1 2 4 2 2 2 2 2" xfId="9847" xr:uid="{00000000-0005-0000-0000-000064310000}"/>
    <cellStyle name="40% - Accent1 2 4 2 2 2 2 2 2" xfId="19843" xr:uid="{00000000-0005-0000-0000-000065310000}"/>
    <cellStyle name="40% - Accent1 2 4 2 2 2 2 2 2 2" xfId="39243" xr:uid="{00000000-0005-0000-0000-000066310000}"/>
    <cellStyle name="40% - Accent1 2 4 2 2 2 2 2 3" xfId="29545" xr:uid="{00000000-0005-0000-0000-000067310000}"/>
    <cellStyle name="40% - Accent1 2 4 2 2 2 2 3" xfId="15388" xr:uid="{00000000-0005-0000-0000-000068310000}"/>
    <cellStyle name="40% - Accent1 2 4 2 2 2 2 3 2" xfId="34788" xr:uid="{00000000-0005-0000-0000-000069310000}"/>
    <cellStyle name="40% - Accent1 2 4 2 2 2 2 4" xfId="25090" xr:uid="{00000000-0005-0000-0000-00006A310000}"/>
    <cellStyle name="40% - Accent1 2 4 2 2 2 3" xfId="7619" xr:uid="{00000000-0005-0000-0000-00006B310000}"/>
    <cellStyle name="40% - Accent1 2 4 2 2 2 3 2" xfId="17615" xr:uid="{00000000-0005-0000-0000-00006C310000}"/>
    <cellStyle name="40% - Accent1 2 4 2 2 2 3 2 2" xfId="37015" xr:uid="{00000000-0005-0000-0000-00006D310000}"/>
    <cellStyle name="40% - Accent1 2 4 2 2 2 3 3" xfId="27317" xr:uid="{00000000-0005-0000-0000-00006E310000}"/>
    <cellStyle name="40% - Accent1 2 4 2 2 2 4" xfId="13160" xr:uid="{00000000-0005-0000-0000-00006F310000}"/>
    <cellStyle name="40% - Accent1 2 4 2 2 2 4 2" xfId="32560" xr:uid="{00000000-0005-0000-0000-000070310000}"/>
    <cellStyle name="40% - Accent1 2 4 2 2 2 5" xfId="22862" xr:uid="{00000000-0005-0000-0000-000071310000}"/>
    <cellStyle name="40% - Accent1 2 4 2 2 3" xfId="3697" xr:uid="{00000000-0005-0000-0000-000072310000}"/>
    <cellStyle name="40% - Accent1 2 4 2 2 3 2" xfId="4827" xr:uid="{00000000-0005-0000-0000-000073310000}"/>
    <cellStyle name="40% - Accent1 2 4 2 2 3 2 2" xfId="9291" xr:uid="{00000000-0005-0000-0000-000074310000}"/>
    <cellStyle name="40% - Accent1 2 4 2 2 3 2 2 2" xfId="19287" xr:uid="{00000000-0005-0000-0000-000075310000}"/>
    <cellStyle name="40% - Accent1 2 4 2 2 3 2 2 2 2" xfId="38687" xr:uid="{00000000-0005-0000-0000-000076310000}"/>
    <cellStyle name="40% - Accent1 2 4 2 2 3 2 2 3" xfId="28989" xr:uid="{00000000-0005-0000-0000-000077310000}"/>
    <cellStyle name="40% - Accent1 2 4 2 2 3 2 3" xfId="14832" xr:uid="{00000000-0005-0000-0000-000078310000}"/>
    <cellStyle name="40% - Accent1 2 4 2 2 3 2 3 2" xfId="34232" xr:uid="{00000000-0005-0000-0000-000079310000}"/>
    <cellStyle name="40% - Accent1 2 4 2 2 3 2 4" xfId="24534" xr:uid="{00000000-0005-0000-0000-00007A310000}"/>
    <cellStyle name="40% - Accent1 2 4 2 2 3 3" xfId="8176" xr:uid="{00000000-0005-0000-0000-00007B310000}"/>
    <cellStyle name="40% - Accent1 2 4 2 2 3 3 2" xfId="18172" xr:uid="{00000000-0005-0000-0000-00007C310000}"/>
    <cellStyle name="40% - Accent1 2 4 2 2 3 3 2 2" xfId="37572" xr:uid="{00000000-0005-0000-0000-00007D310000}"/>
    <cellStyle name="40% - Accent1 2 4 2 2 3 3 3" xfId="27874" xr:uid="{00000000-0005-0000-0000-00007E310000}"/>
    <cellStyle name="40% - Accent1 2 4 2 2 3 4" xfId="13717" xr:uid="{00000000-0005-0000-0000-00007F310000}"/>
    <cellStyle name="40% - Accent1 2 4 2 2 3 4 2" xfId="33117" xr:uid="{00000000-0005-0000-0000-000080310000}"/>
    <cellStyle name="40% - Accent1 2 4 2 2 3 5" xfId="23419" xr:uid="{00000000-0005-0000-0000-000081310000}"/>
    <cellStyle name="40% - Accent1 2 4 2 2 4" xfId="4270" xr:uid="{00000000-0005-0000-0000-000082310000}"/>
    <cellStyle name="40% - Accent1 2 4 2 2 4 2" xfId="8734" xr:uid="{00000000-0005-0000-0000-000083310000}"/>
    <cellStyle name="40% - Accent1 2 4 2 2 4 2 2" xfId="18730" xr:uid="{00000000-0005-0000-0000-000084310000}"/>
    <cellStyle name="40% - Accent1 2 4 2 2 4 2 2 2" xfId="38130" xr:uid="{00000000-0005-0000-0000-000085310000}"/>
    <cellStyle name="40% - Accent1 2 4 2 2 4 2 3" xfId="28432" xr:uid="{00000000-0005-0000-0000-000086310000}"/>
    <cellStyle name="40% - Accent1 2 4 2 2 4 3" xfId="14275" xr:uid="{00000000-0005-0000-0000-000087310000}"/>
    <cellStyle name="40% - Accent1 2 4 2 2 4 3 2" xfId="33675" xr:uid="{00000000-0005-0000-0000-000088310000}"/>
    <cellStyle name="40% - Accent1 2 4 2 2 4 4" xfId="23977" xr:uid="{00000000-0005-0000-0000-000089310000}"/>
    <cellStyle name="40% - Accent1 2 4 2 2 5" xfId="5940" xr:uid="{00000000-0005-0000-0000-00008A310000}"/>
    <cellStyle name="40% - Accent1 2 4 2 2 5 2" xfId="10404" xr:uid="{00000000-0005-0000-0000-00008B310000}"/>
    <cellStyle name="40% - Accent1 2 4 2 2 5 2 2" xfId="20400" xr:uid="{00000000-0005-0000-0000-00008C310000}"/>
    <cellStyle name="40% - Accent1 2 4 2 2 5 2 2 2" xfId="39800" xr:uid="{00000000-0005-0000-0000-00008D310000}"/>
    <cellStyle name="40% - Accent1 2 4 2 2 5 2 3" xfId="30102" xr:uid="{00000000-0005-0000-0000-00008E310000}"/>
    <cellStyle name="40% - Accent1 2 4 2 2 5 3" xfId="15945" xr:uid="{00000000-0005-0000-0000-00008F310000}"/>
    <cellStyle name="40% - Accent1 2 4 2 2 5 3 2" xfId="35345" xr:uid="{00000000-0005-0000-0000-000090310000}"/>
    <cellStyle name="40% - Accent1 2 4 2 2 5 4" xfId="25647" xr:uid="{00000000-0005-0000-0000-000091310000}"/>
    <cellStyle name="40% - Accent1 2 4 2 2 6" xfId="6506" xr:uid="{00000000-0005-0000-0000-000092310000}"/>
    <cellStyle name="40% - Accent1 2 4 2 2 6 2" xfId="10961" xr:uid="{00000000-0005-0000-0000-000093310000}"/>
    <cellStyle name="40% - Accent1 2 4 2 2 6 2 2" xfId="20957" xr:uid="{00000000-0005-0000-0000-000094310000}"/>
    <cellStyle name="40% - Accent1 2 4 2 2 6 2 2 2" xfId="40357" xr:uid="{00000000-0005-0000-0000-000095310000}"/>
    <cellStyle name="40% - Accent1 2 4 2 2 6 2 3" xfId="30659" xr:uid="{00000000-0005-0000-0000-000096310000}"/>
    <cellStyle name="40% - Accent1 2 4 2 2 6 3" xfId="16502" xr:uid="{00000000-0005-0000-0000-000097310000}"/>
    <cellStyle name="40% - Accent1 2 4 2 2 6 3 2" xfId="35902" xr:uid="{00000000-0005-0000-0000-000098310000}"/>
    <cellStyle name="40% - Accent1 2 4 2 2 6 4" xfId="26204" xr:uid="{00000000-0005-0000-0000-000099310000}"/>
    <cellStyle name="40% - Accent1 2 4 2 2 7" xfId="7063" xr:uid="{00000000-0005-0000-0000-00009A310000}"/>
    <cellStyle name="40% - Accent1 2 4 2 2 7 2" xfId="17059" xr:uid="{00000000-0005-0000-0000-00009B310000}"/>
    <cellStyle name="40% - Accent1 2 4 2 2 7 2 2" xfId="36459" xr:uid="{00000000-0005-0000-0000-00009C310000}"/>
    <cellStyle name="40% - Accent1 2 4 2 2 7 3" xfId="26761" xr:uid="{00000000-0005-0000-0000-00009D310000}"/>
    <cellStyle name="40% - Accent1 2 4 2 2 8" xfId="12603" xr:uid="{00000000-0005-0000-0000-00009E310000}"/>
    <cellStyle name="40% - Accent1 2 4 2 2 8 2" xfId="32004" xr:uid="{00000000-0005-0000-0000-00009F310000}"/>
    <cellStyle name="40% - Accent1 2 4 2 2 9" xfId="22306" xr:uid="{00000000-0005-0000-0000-0000A0310000}"/>
    <cellStyle name="40% - Accent1 2 4 2 3" xfId="2124" xr:uid="{00000000-0005-0000-0000-0000A1310000}"/>
    <cellStyle name="40% - Accent1 2 4 2 3 2" xfId="3115" xr:uid="{00000000-0005-0000-0000-0000A2310000}"/>
    <cellStyle name="40% - Accent1 2 4 2 3 2 2" xfId="5384" xr:uid="{00000000-0005-0000-0000-0000A3310000}"/>
    <cellStyle name="40% - Accent1 2 4 2 3 2 2 2" xfId="9848" xr:uid="{00000000-0005-0000-0000-0000A4310000}"/>
    <cellStyle name="40% - Accent1 2 4 2 3 2 2 2 2" xfId="19844" xr:uid="{00000000-0005-0000-0000-0000A5310000}"/>
    <cellStyle name="40% - Accent1 2 4 2 3 2 2 2 2 2" xfId="39244" xr:uid="{00000000-0005-0000-0000-0000A6310000}"/>
    <cellStyle name="40% - Accent1 2 4 2 3 2 2 2 3" xfId="29546" xr:uid="{00000000-0005-0000-0000-0000A7310000}"/>
    <cellStyle name="40% - Accent1 2 4 2 3 2 2 3" xfId="15389" xr:uid="{00000000-0005-0000-0000-0000A8310000}"/>
    <cellStyle name="40% - Accent1 2 4 2 3 2 2 3 2" xfId="34789" xr:uid="{00000000-0005-0000-0000-0000A9310000}"/>
    <cellStyle name="40% - Accent1 2 4 2 3 2 2 4" xfId="25091" xr:uid="{00000000-0005-0000-0000-0000AA310000}"/>
    <cellStyle name="40% - Accent1 2 4 2 3 2 3" xfId="7620" xr:uid="{00000000-0005-0000-0000-0000AB310000}"/>
    <cellStyle name="40% - Accent1 2 4 2 3 2 3 2" xfId="17616" xr:uid="{00000000-0005-0000-0000-0000AC310000}"/>
    <cellStyle name="40% - Accent1 2 4 2 3 2 3 2 2" xfId="37016" xr:uid="{00000000-0005-0000-0000-0000AD310000}"/>
    <cellStyle name="40% - Accent1 2 4 2 3 2 3 3" xfId="27318" xr:uid="{00000000-0005-0000-0000-0000AE310000}"/>
    <cellStyle name="40% - Accent1 2 4 2 3 2 4" xfId="13161" xr:uid="{00000000-0005-0000-0000-0000AF310000}"/>
    <cellStyle name="40% - Accent1 2 4 2 3 2 4 2" xfId="32561" xr:uid="{00000000-0005-0000-0000-0000B0310000}"/>
    <cellStyle name="40% - Accent1 2 4 2 3 2 5" xfId="22863" xr:uid="{00000000-0005-0000-0000-0000B1310000}"/>
    <cellStyle name="40% - Accent1 2 4 2 3 3" xfId="3698" xr:uid="{00000000-0005-0000-0000-0000B2310000}"/>
    <cellStyle name="40% - Accent1 2 4 2 3 3 2" xfId="4828" xr:uid="{00000000-0005-0000-0000-0000B3310000}"/>
    <cellStyle name="40% - Accent1 2 4 2 3 3 2 2" xfId="9292" xr:uid="{00000000-0005-0000-0000-0000B4310000}"/>
    <cellStyle name="40% - Accent1 2 4 2 3 3 2 2 2" xfId="19288" xr:uid="{00000000-0005-0000-0000-0000B5310000}"/>
    <cellStyle name="40% - Accent1 2 4 2 3 3 2 2 2 2" xfId="38688" xr:uid="{00000000-0005-0000-0000-0000B6310000}"/>
    <cellStyle name="40% - Accent1 2 4 2 3 3 2 2 3" xfId="28990" xr:uid="{00000000-0005-0000-0000-0000B7310000}"/>
    <cellStyle name="40% - Accent1 2 4 2 3 3 2 3" xfId="14833" xr:uid="{00000000-0005-0000-0000-0000B8310000}"/>
    <cellStyle name="40% - Accent1 2 4 2 3 3 2 3 2" xfId="34233" xr:uid="{00000000-0005-0000-0000-0000B9310000}"/>
    <cellStyle name="40% - Accent1 2 4 2 3 3 2 4" xfId="24535" xr:uid="{00000000-0005-0000-0000-0000BA310000}"/>
    <cellStyle name="40% - Accent1 2 4 2 3 3 3" xfId="8177" xr:uid="{00000000-0005-0000-0000-0000BB310000}"/>
    <cellStyle name="40% - Accent1 2 4 2 3 3 3 2" xfId="18173" xr:uid="{00000000-0005-0000-0000-0000BC310000}"/>
    <cellStyle name="40% - Accent1 2 4 2 3 3 3 2 2" xfId="37573" xr:uid="{00000000-0005-0000-0000-0000BD310000}"/>
    <cellStyle name="40% - Accent1 2 4 2 3 3 3 3" xfId="27875" xr:uid="{00000000-0005-0000-0000-0000BE310000}"/>
    <cellStyle name="40% - Accent1 2 4 2 3 3 4" xfId="13718" xr:uid="{00000000-0005-0000-0000-0000BF310000}"/>
    <cellStyle name="40% - Accent1 2 4 2 3 3 4 2" xfId="33118" xr:uid="{00000000-0005-0000-0000-0000C0310000}"/>
    <cellStyle name="40% - Accent1 2 4 2 3 3 5" xfId="23420" xr:uid="{00000000-0005-0000-0000-0000C1310000}"/>
    <cellStyle name="40% - Accent1 2 4 2 3 4" xfId="4271" xr:uid="{00000000-0005-0000-0000-0000C2310000}"/>
    <cellStyle name="40% - Accent1 2 4 2 3 4 2" xfId="8735" xr:uid="{00000000-0005-0000-0000-0000C3310000}"/>
    <cellStyle name="40% - Accent1 2 4 2 3 4 2 2" xfId="18731" xr:uid="{00000000-0005-0000-0000-0000C4310000}"/>
    <cellStyle name="40% - Accent1 2 4 2 3 4 2 2 2" xfId="38131" xr:uid="{00000000-0005-0000-0000-0000C5310000}"/>
    <cellStyle name="40% - Accent1 2 4 2 3 4 2 3" xfId="28433" xr:uid="{00000000-0005-0000-0000-0000C6310000}"/>
    <cellStyle name="40% - Accent1 2 4 2 3 4 3" xfId="14276" xr:uid="{00000000-0005-0000-0000-0000C7310000}"/>
    <cellStyle name="40% - Accent1 2 4 2 3 4 3 2" xfId="33676" xr:uid="{00000000-0005-0000-0000-0000C8310000}"/>
    <cellStyle name="40% - Accent1 2 4 2 3 4 4" xfId="23978" xr:uid="{00000000-0005-0000-0000-0000C9310000}"/>
    <cellStyle name="40% - Accent1 2 4 2 3 5" xfId="5941" xr:uid="{00000000-0005-0000-0000-0000CA310000}"/>
    <cellStyle name="40% - Accent1 2 4 2 3 5 2" xfId="10405" xr:uid="{00000000-0005-0000-0000-0000CB310000}"/>
    <cellStyle name="40% - Accent1 2 4 2 3 5 2 2" xfId="20401" xr:uid="{00000000-0005-0000-0000-0000CC310000}"/>
    <cellStyle name="40% - Accent1 2 4 2 3 5 2 2 2" xfId="39801" xr:uid="{00000000-0005-0000-0000-0000CD310000}"/>
    <cellStyle name="40% - Accent1 2 4 2 3 5 2 3" xfId="30103" xr:uid="{00000000-0005-0000-0000-0000CE310000}"/>
    <cellStyle name="40% - Accent1 2 4 2 3 5 3" xfId="15946" xr:uid="{00000000-0005-0000-0000-0000CF310000}"/>
    <cellStyle name="40% - Accent1 2 4 2 3 5 3 2" xfId="35346" xr:uid="{00000000-0005-0000-0000-0000D0310000}"/>
    <cellStyle name="40% - Accent1 2 4 2 3 5 4" xfId="25648" xr:uid="{00000000-0005-0000-0000-0000D1310000}"/>
    <cellStyle name="40% - Accent1 2 4 2 3 6" xfId="6507" xr:uid="{00000000-0005-0000-0000-0000D2310000}"/>
    <cellStyle name="40% - Accent1 2 4 2 3 6 2" xfId="10962" xr:uid="{00000000-0005-0000-0000-0000D3310000}"/>
    <cellStyle name="40% - Accent1 2 4 2 3 6 2 2" xfId="20958" xr:uid="{00000000-0005-0000-0000-0000D4310000}"/>
    <cellStyle name="40% - Accent1 2 4 2 3 6 2 2 2" xfId="40358" xr:uid="{00000000-0005-0000-0000-0000D5310000}"/>
    <cellStyle name="40% - Accent1 2 4 2 3 6 2 3" xfId="30660" xr:uid="{00000000-0005-0000-0000-0000D6310000}"/>
    <cellStyle name="40% - Accent1 2 4 2 3 6 3" xfId="16503" xr:uid="{00000000-0005-0000-0000-0000D7310000}"/>
    <cellStyle name="40% - Accent1 2 4 2 3 6 3 2" xfId="35903" xr:uid="{00000000-0005-0000-0000-0000D8310000}"/>
    <cellStyle name="40% - Accent1 2 4 2 3 6 4" xfId="26205" xr:uid="{00000000-0005-0000-0000-0000D9310000}"/>
    <cellStyle name="40% - Accent1 2 4 2 3 7" xfId="7064" xr:uid="{00000000-0005-0000-0000-0000DA310000}"/>
    <cellStyle name="40% - Accent1 2 4 2 3 7 2" xfId="17060" xr:uid="{00000000-0005-0000-0000-0000DB310000}"/>
    <cellStyle name="40% - Accent1 2 4 2 3 7 2 2" xfId="36460" xr:uid="{00000000-0005-0000-0000-0000DC310000}"/>
    <cellStyle name="40% - Accent1 2 4 2 3 7 3" xfId="26762" xr:uid="{00000000-0005-0000-0000-0000DD310000}"/>
    <cellStyle name="40% - Accent1 2 4 2 3 8" xfId="12604" xr:uid="{00000000-0005-0000-0000-0000DE310000}"/>
    <cellStyle name="40% - Accent1 2 4 2 3 8 2" xfId="32005" xr:uid="{00000000-0005-0000-0000-0000DF310000}"/>
    <cellStyle name="40% - Accent1 2 4 2 3 9" xfId="22307" xr:uid="{00000000-0005-0000-0000-0000E0310000}"/>
    <cellStyle name="40% - Accent1 2 4 2 4" xfId="3113" xr:uid="{00000000-0005-0000-0000-0000E1310000}"/>
    <cellStyle name="40% - Accent1 2 4 2 4 2" xfId="5382" xr:uid="{00000000-0005-0000-0000-0000E2310000}"/>
    <cellStyle name="40% - Accent1 2 4 2 4 2 2" xfId="9846" xr:uid="{00000000-0005-0000-0000-0000E3310000}"/>
    <cellStyle name="40% - Accent1 2 4 2 4 2 2 2" xfId="19842" xr:uid="{00000000-0005-0000-0000-0000E4310000}"/>
    <cellStyle name="40% - Accent1 2 4 2 4 2 2 2 2" xfId="39242" xr:uid="{00000000-0005-0000-0000-0000E5310000}"/>
    <cellStyle name="40% - Accent1 2 4 2 4 2 2 3" xfId="29544" xr:uid="{00000000-0005-0000-0000-0000E6310000}"/>
    <cellStyle name="40% - Accent1 2 4 2 4 2 3" xfId="15387" xr:uid="{00000000-0005-0000-0000-0000E7310000}"/>
    <cellStyle name="40% - Accent1 2 4 2 4 2 3 2" xfId="34787" xr:uid="{00000000-0005-0000-0000-0000E8310000}"/>
    <cellStyle name="40% - Accent1 2 4 2 4 2 4" xfId="25089" xr:uid="{00000000-0005-0000-0000-0000E9310000}"/>
    <cellStyle name="40% - Accent1 2 4 2 4 3" xfId="7618" xr:uid="{00000000-0005-0000-0000-0000EA310000}"/>
    <cellStyle name="40% - Accent1 2 4 2 4 3 2" xfId="17614" xr:uid="{00000000-0005-0000-0000-0000EB310000}"/>
    <cellStyle name="40% - Accent1 2 4 2 4 3 2 2" xfId="37014" xr:uid="{00000000-0005-0000-0000-0000EC310000}"/>
    <cellStyle name="40% - Accent1 2 4 2 4 3 3" xfId="27316" xr:uid="{00000000-0005-0000-0000-0000ED310000}"/>
    <cellStyle name="40% - Accent1 2 4 2 4 4" xfId="13159" xr:uid="{00000000-0005-0000-0000-0000EE310000}"/>
    <cellStyle name="40% - Accent1 2 4 2 4 4 2" xfId="32559" xr:uid="{00000000-0005-0000-0000-0000EF310000}"/>
    <cellStyle name="40% - Accent1 2 4 2 4 5" xfId="22861" xr:uid="{00000000-0005-0000-0000-0000F0310000}"/>
    <cellStyle name="40% - Accent1 2 4 2 5" xfId="3696" xr:uid="{00000000-0005-0000-0000-0000F1310000}"/>
    <cellStyle name="40% - Accent1 2 4 2 5 2" xfId="4826" xr:uid="{00000000-0005-0000-0000-0000F2310000}"/>
    <cellStyle name="40% - Accent1 2 4 2 5 2 2" xfId="9290" xr:uid="{00000000-0005-0000-0000-0000F3310000}"/>
    <cellStyle name="40% - Accent1 2 4 2 5 2 2 2" xfId="19286" xr:uid="{00000000-0005-0000-0000-0000F4310000}"/>
    <cellStyle name="40% - Accent1 2 4 2 5 2 2 2 2" xfId="38686" xr:uid="{00000000-0005-0000-0000-0000F5310000}"/>
    <cellStyle name="40% - Accent1 2 4 2 5 2 2 3" xfId="28988" xr:uid="{00000000-0005-0000-0000-0000F6310000}"/>
    <cellStyle name="40% - Accent1 2 4 2 5 2 3" xfId="14831" xr:uid="{00000000-0005-0000-0000-0000F7310000}"/>
    <cellStyle name="40% - Accent1 2 4 2 5 2 3 2" xfId="34231" xr:uid="{00000000-0005-0000-0000-0000F8310000}"/>
    <cellStyle name="40% - Accent1 2 4 2 5 2 4" xfId="24533" xr:uid="{00000000-0005-0000-0000-0000F9310000}"/>
    <cellStyle name="40% - Accent1 2 4 2 5 3" xfId="8175" xr:uid="{00000000-0005-0000-0000-0000FA310000}"/>
    <cellStyle name="40% - Accent1 2 4 2 5 3 2" xfId="18171" xr:uid="{00000000-0005-0000-0000-0000FB310000}"/>
    <cellStyle name="40% - Accent1 2 4 2 5 3 2 2" xfId="37571" xr:uid="{00000000-0005-0000-0000-0000FC310000}"/>
    <cellStyle name="40% - Accent1 2 4 2 5 3 3" xfId="27873" xr:uid="{00000000-0005-0000-0000-0000FD310000}"/>
    <cellStyle name="40% - Accent1 2 4 2 5 4" xfId="13716" xr:uid="{00000000-0005-0000-0000-0000FE310000}"/>
    <cellStyle name="40% - Accent1 2 4 2 5 4 2" xfId="33116" xr:uid="{00000000-0005-0000-0000-0000FF310000}"/>
    <cellStyle name="40% - Accent1 2 4 2 5 5" xfId="23418" xr:uid="{00000000-0005-0000-0000-000000320000}"/>
    <cellStyle name="40% - Accent1 2 4 2 6" xfId="4269" xr:uid="{00000000-0005-0000-0000-000001320000}"/>
    <cellStyle name="40% - Accent1 2 4 2 6 2" xfId="8733" xr:uid="{00000000-0005-0000-0000-000002320000}"/>
    <cellStyle name="40% - Accent1 2 4 2 6 2 2" xfId="18729" xr:uid="{00000000-0005-0000-0000-000003320000}"/>
    <cellStyle name="40% - Accent1 2 4 2 6 2 2 2" xfId="38129" xr:uid="{00000000-0005-0000-0000-000004320000}"/>
    <cellStyle name="40% - Accent1 2 4 2 6 2 3" xfId="28431" xr:uid="{00000000-0005-0000-0000-000005320000}"/>
    <cellStyle name="40% - Accent1 2 4 2 6 3" xfId="14274" xr:uid="{00000000-0005-0000-0000-000006320000}"/>
    <cellStyle name="40% - Accent1 2 4 2 6 3 2" xfId="33674" xr:uid="{00000000-0005-0000-0000-000007320000}"/>
    <cellStyle name="40% - Accent1 2 4 2 6 4" xfId="23976" xr:uid="{00000000-0005-0000-0000-000008320000}"/>
    <cellStyle name="40% - Accent1 2 4 2 7" xfId="5939" xr:uid="{00000000-0005-0000-0000-000009320000}"/>
    <cellStyle name="40% - Accent1 2 4 2 7 2" xfId="10403" xr:uid="{00000000-0005-0000-0000-00000A320000}"/>
    <cellStyle name="40% - Accent1 2 4 2 7 2 2" xfId="20399" xr:uid="{00000000-0005-0000-0000-00000B320000}"/>
    <cellStyle name="40% - Accent1 2 4 2 7 2 2 2" xfId="39799" xr:uid="{00000000-0005-0000-0000-00000C320000}"/>
    <cellStyle name="40% - Accent1 2 4 2 7 2 3" xfId="30101" xr:uid="{00000000-0005-0000-0000-00000D320000}"/>
    <cellStyle name="40% - Accent1 2 4 2 7 3" xfId="15944" xr:uid="{00000000-0005-0000-0000-00000E320000}"/>
    <cellStyle name="40% - Accent1 2 4 2 7 3 2" xfId="35344" xr:uid="{00000000-0005-0000-0000-00000F320000}"/>
    <cellStyle name="40% - Accent1 2 4 2 7 4" xfId="25646" xr:uid="{00000000-0005-0000-0000-000010320000}"/>
    <cellStyle name="40% - Accent1 2 4 2 8" xfId="6505" xr:uid="{00000000-0005-0000-0000-000011320000}"/>
    <cellStyle name="40% - Accent1 2 4 2 8 2" xfId="10960" xr:uid="{00000000-0005-0000-0000-000012320000}"/>
    <cellStyle name="40% - Accent1 2 4 2 8 2 2" xfId="20956" xr:uid="{00000000-0005-0000-0000-000013320000}"/>
    <cellStyle name="40% - Accent1 2 4 2 8 2 2 2" xfId="40356" xr:uid="{00000000-0005-0000-0000-000014320000}"/>
    <cellStyle name="40% - Accent1 2 4 2 8 2 3" xfId="30658" xr:uid="{00000000-0005-0000-0000-000015320000}"/>
    <cellStyle name="40% - Accent1 2 4 2 8 3" xfId="16501" xr:uid="{00000000-0005-0000-0000-000016320000}"/>
    <cellStyle name="40% - Accent1 2 4 2 8 3 2" xfId="35901" xr:uid="{00000000-0005-0000-0000-000017320000}"/>
    <cellStyle name="40% - Accent1 2 4 2 8 4" xfId="26203" xr:uid="{00000000-0005-0000-0000-000018320000}"/>
    <cellStyle name="40% - Accent1 2 4 2 9" xfId="7062" xr:uid="{00000000-0005-0000-0000-000019320000}"/>
    <cellStyle name="40% - Accent1 2 4 2 9 2" xfId="17058" xr:uid="{00000000-0005-0000-0000-00001A320000}"/>
    <cellStyle name="40% - Accent1 2 4 2 9 2 2" xfId="36458" xr:uid="{00000000-0005-0000-0000-00001B320000}"/>
    <cellStyle name="40% - Accent1 2 4 2 9 3" xfId="26760" xr:uid="{00000000-0005-0000-0000-00001C320000}"/>
    <cellStyle name="40% - Accent1 2 4 3" xfId="2125" xr:uid="{00000000-0005-0000-0000-00001D320000}"/>
    <cellStyle name="40% - Accent1 2 4 3 10" xfId="12605" xr:uid="{00000000-0005-0000-0000-00001E320000}"/>
    <cellStyle name="40% - Accent1 2 4 3 10 2" xfId="32006" xr:uid="{00000000-0005-0000-0000-00001F320000}"/>
    <cellStyle name="40% - Accent1 2 4 3 11" xfId="22308" xr:uid="{00000000-0005-0000-0000-000020320000}"/>
    <cellStyle name="40% - Accent1 2 4 3 2" xfId="2126" xr:uid="{00000000-0005-0000-0000-000021320000}"/>
    <cellStyle name="40% - Accent1 2 4 3 2 2" xfId="3117" xr:uid="{00000000-0005-0000-0000-000022320000}"/>
    <cellStyle name="40% - Accent1 2 4 3 2 2 2" xfId="5386" xr:uid="{00000000-0005-0000-0000-000023320000}"/>
    <cellStyle name="40% - Accent1 2 4 3 2 2 2 2" xfId="9850" xr:uid="{00000000-0005-0000-0000-000024320000}"/>
    <cellStyle name="40% - Accent1 2 4 3 2 2 2 2 2" xfId="19846" xr:uid="{00000000-0005-0000-0000-000025320000}"/>
    <cellStyle name="40% - Accent1 2 4 3 2 2 2 2 2 2" xfId="39246" xr:uid="{00000000-0005-0000-0000-000026320000}"/>
    <cellStyle name="40% - Accent1 2 4 3 2 2 2 2 3" xfId="29548" xr:uid="{00000000-0005-0000-0000-000027320000}"/>
    <cellStyle name="40% - Accent1 2 4 3 2 2 2 3" xfId="15391" xr:uid="{00000000-0005-0000-0000-000028320000}"/>
    <cellStyle name="40% - Accent1 2 4 3 2 2 2 3 2" xfId="34791" xr:uid="{00000000-0005-0000-0000-000029320000}"/>
    <cellStyle name="40% - Accent1 2 4 3 2 2 2 4" xfId="25093" xr:uid="{00000000-0005-0000-0000-00002A320000}"/>
    <cellStyle name="40% - Accent1 2 4 3 2 2 3" xfId="7622" xr:uid="{00000000-0005-0000-0000-00002B320000}"/>
    <cellStyle name="40% - Accent1 2 4 3 2 2 3 2" xfId="17618" xr:uid="{00000000-0005-0000-0000-00002C320000}"/>
    <cellStyle name="40% - Accent1 2 4 3 2 2 3 2 2" xfId="37018" xr:uid="{00000000-0005-0000-0000-00002D320000}"/>
    <cellStyle name="40% - Accent1 2 4 3 2 2 3 3" xfId="27320" xr:uid="{00000000-0005-0000-0000-00002E320000}"/>
    <cellStyle name="40% - Accent1 2 4 3 2 2 4" xfId="13163" xr:uid="{00000000-0005-0000-0000-00002F320000}"/>
    <cellStyle name="40% - Accent1 2 4 3 2 2 4 2" xfId="32563" xr:uid="{00000000-0005-0000-0000-000030320000}"/>
    <cellStyle name="40% - Accent1 2 4 3 2 2 5" xfId="22865" xr:uid="{00000000-0005-0000-0000-000031320000}"/>
    <cellStyle name="40% - Accent1 2 4 3 2 3" xfId="3700" xr:uid="{00000000-0005-0000-0000-000032320000}"/>
    <cellStyle name="40% - Accent1 2 4 3 2 3 2" xfId="4830" xr:uid="{00000000-0005-0000-0000-000033320000}"/>
    <cellStyle name="40% - Accent1 2 4 3 2 3 2 2" xfId="9294" xr:uid="{00000000-0005-0000-0000-000034320000}"/>
    <cellStyle name="40% - Accent1 2 4 3 2 3 2 2 2" xfId="19290" xr:uid="{00000000-0005-0000-0000-000035320000}"/>
    <cellStyle name="40% - Accent1 2 4 3 2 3 2 2 2 2" xfId="38690" xr:uid="{00000000-0005-0000-0000-000036320000}"/>
    <cellStyle name="40% - Accent1 2 4 3 2 3 2 2 3" xfId="28992" xr:uid="{00000000-0005-0000-0000-000037320000}"/>
    <cellStyle name="40% - Accent1 2 4 3 2 3 2 3" xfId="14835" xr:uid="{00000000-0005-0000-0000-000038320000}"/>
    <cellStyle name="40% - Accent1 2 4 3 2 3 2 3 2" xfId="34235" xr:uid="{00000000-0005-0000-0000-000039320000}"/>
    <cellStyle name="40% - Accent1 2 4 3 2 3 2 4" xfId="24537" xr:uid="{00000000-0005-0000-0000-00003A320000}"/>
    <cellStyle name="40% - Accent1 2 4 3 2 3 3" xfId="8179" xr:uid="{00000000-0005-0000-0000-00003B320000}"/>
    <cellStyle name="40% - Accent1 2 4 3 2 3 3 2" xfId="18175" xr:uid="{00000000-0005-0000-0000-00003C320000}"/>
    <cellStyle name="40% - Accent1 2 4 3 2 3 3 2 2" xfId="37575" xr:uid="{00000000-0005-0000-0000-00003D320000}"/>
    <cellStyle name="40% - Accent1 2 4 3 2 3 3 3" xfId="27877" xr:uid="{00000000-0005-0000-0000-00003E320000}"/>
    <cellStyle name="40% - Accent1 2 4 3 2 3 4" xfId="13720" xr:uid="{00000000-0005-0000-0000-00003F320000}"/>
    <cellStyle name="40% - Accent1 2 4 3 2 3 4 2" xfId="33120" xr:uid="{00000000-0005-0000-0000-000040320000}"/>
    <cellStyle name="40% - Accent1 2 4 3 2 3 5" xfId="23422" xr:uid="{00000000-0005-0000-0000-000041320000}"/>
    <cellStyle name="40% - Accent1 2 4 3 2 4" xfId="4273" xr:uid="{00000000-0005-0000-0000-000042320000}"/>
    <cellStyle name="40% - Accent1 2 4 3 2 4 2" xfId="8737" xr:uid="{00000000-0005-0000-0000-000043320000}"/>
    <cellStyle name="40% - Accent1 2 4 3 2 4 2 2" xfId="18733" xr:uid="{00000000-0005-0000-0000-000044320000}"/>
    <cellStyle name="40% - Accent1 2 4 3 2 4 2 2 2" xfId="38133" xr:uid="{00000000-0005-0000-0000-000045320000}"/>
    <cellStyle name="40% - Accent1 2 4 3 2 4 2 3" xfId="28435" xr:uid="{00000000-0005-0000-0000-000046320000}"/>
    <cellStyle name="40% - Accent1 2 4 3 2 4 3" xfId="14278" xr:uid="{00000000-0005-0000-0000-000047320000}"/>
    <cellStyle name="40% - Accent1 2 4 3 2 4 3 2" xfId="33678" xr:uid="{00000000-0005-0000-0000-000048320000}"/>
    <cellStyle name="40% - Accent1 2 4 3 2 4 4" xfId="23980" xr:uid="{00000000-0005-0000-0000-000049320000}"/>
    <cellStyle name="40% - Accent1 2 4 3 2 5" xfId="5943" xr:uid="{00000000-0005-0000-0000-00004A320000}"/>
    <cellStyle name="40% - Accent1 2 4 3 2 5 2" xfId="10407" xr:uid="{00000000-0005-0000-0000-00004B320000}"/>
    <cellStyle name="40% - Accent1 2 4 3 2 5 2 2" xfId="20403" xr:uid="{00000000-0005-0000-0000-00004C320000}"/>
    <cellStyle name="40% - Accent1 2 4 3 2 5 2 2 2" xfId="39803" xr:uid="{00000000-0005-0000-0000-00004D320000}"/>
    <cellStyle name="40% - Accent1 2 4 3 2 5 2 3" xfId="30105" xr:uid="{00000000-0005-0000-0000-00004E320000}"/>
    <cellStyle name="40% - Accent1 2 4 3 2 5 3" xfId="15948" xr:uid="{00000000-0005-0000-0000-00004F320000}"/>
    <cellStyle name="40% - Accent1 2 4 3 2 5 3 2" xfId="35348" xr:uid="{00000000-0005-0000-0000-000050320000}"/>
    <cellStyle name="40% - Accent1 2 4 3 2 5 4" xfId="25650" xr:uid="{00000000-0005-0000-0000-000051320000}"/>
    <cellStyle name="40% - Accent1 2 4 3 2 6" xfId="6509" xr:uid="{00000000-0005-0000-0000-000052320000}"/>
    <cellStyle name="40% - Accent1 2 4 3 2 6 2" xfId="10964" xr:uid="{00000000-0005-0000-0000-000053320000}"/>
    <cellStyle name="40% - Accent1 2 4 3 2 6 2 2" xfId="20960" xr:uid="{00000000-0005-0000-0000-000054320000}"/>
    <cellStyle name="40% - Accent1 2 4 3 2 6 2 2 2" xfId="40360" xr:uid="{00000000-0005-0000-0000-000055320000}"/>
    <cellStyle name="40% - Accent1 2 4 3 2 6 2 3" xfId="30662" xr:uid="{00000000-0005-0000-0000-000056320000}"/>
    <cellStyle name="40% - Accent1 2 4 3 2 6 3" xfId="16505" xr:uid="{00000000-0005-0000-0000-000057320000}"/>
    <cellStyle name="40% - Accent1 2 4 3 2 6 3 2" xfId="35905" xr:uid="{00000000-0005-0000-0000-000058320000}"/>
    <cellStyle name="40% - Accent1 2 4 3 2 6 4" xfId="26207" xr:uid="{00000000-0005-0000-0000-000059320000}"/>
    <cellStyle name="40% - Accent1 2 4 3 2 7" xfId="7066" xr:uid="{00000000-0005-0000-0000-00005A320000}"/>
    <cellStyle name="40% - Accent1 2 4 3 2 7 2" xfId="17062" xr:uid="{00000000-0005-0000-0000-00005B320000}"/>
    <cellStyle name="40% - Accent1 2 4 3 2 7 2 2" xfId="36462" xr:uid="{00000000-0005-0000-0000-00005C320000}"/>
    <cellStyle name="40% - Accent1 2 4 3 2 7 3" xfId="26764" xr:uid="{00000000-0005-0000-0000-00005D320000}"/>
    <cellStyle name="40% - Accent1 2 4 3 2 8" xfId="12606" xr:uid="{00000000-0005-0000-0000-00005E320000}"/>
    <cellStyle name="40% - Accent1 2 4 3 2 8 2" xfId="32007" xr:uid="{00000000-0005-0000-0000-00005F320000}"/>
    <cellStyle name="40% - Accent1 2 4 3 2 9" xfId="22309" xr:uid="{00000000-0005-0000-0000-000060320000}"/>
    <cellStyle name="40% - Accent1 2 4 3 3" xfId="2127" xr:uid="{00000000-0005-0000-0000-000061320000}"/>
    <cellStyle name="40% - Accent1 2 4 3 3 2" xfId="3118" xr:uid="{00000000-0005-0000-0000-000062320000}"/>
    <cellStyle name="40% - Accent1 2 4 3 3 2 2" xfId="5387" xr:uid="{00000000-0005-0000-0000-000063320000}"/>
    <cellStyle name="40% - Accent1 2 4 3 3 2 2 2" xfId="9851" xr:uid="{00000000-0005-0000-0000-000064320000}"/>
    <cellStyle name="40% - Accent1 2 4 3 3 2 2 2 2" xfId="19847" xr:uid="{00000000-0005-0000-0000-000065320000}"/>
    <cellStyle name="40% - Accent1 2 4 3 3 2 2 2 2 2" xfId="39247" xr:uid="{00000000-0005-0000-0000-000066320000}"/>
    <cellStyle name="40% - Accent1 2 4 3 3 2 2 2 3" xfId="29549" xr:uid="{00000000-0005-0000-0000-000067320000}"/>
    <cellStyle name="40% - Accent1 2 4 3 3 2 2 3" xfId="15392" xr:uid="{00000000-0005-0000-0000-000068320000}"/>
    <cellStyle name="40% - Accent1 2 4 3 3 2 2 3 2" xfId="34792" xr:uid="{00000000-0005-0000-0000-000069320000}"/>
    <cellStyle name="40% - Accent1 2 4 3 3 2 2 4" xfId="25094" xr:uid="{00000000-0005-0000-0000-00006A320000}"/>
    <cellStyle name="40% - Accent1 2 4 3 3 2 3" xfId="7623" xr:uid="{00000000-0005-0000-0000-00006B320000}"/>
    <cellStyle name="40% - Accent1 2 4 3 3 2 3 2" xfId="17619" xr:uid="{00000000-0005-0000-0000-00006C320000}"/>
    <cellStyle name="40% - Accent1 2 4 3 3 2 3 2 2" xfId="37019" xr:uid="{00000000-0005-0000-0000-00006D320000}"/>
    <cellStyle name="40% - Accent1 2 4 3 3 2 3 3" xfId="27321" xr:uid="{00000000-0005-0000-0000-00006E320000}"/>
    <cellStyle name="40% - Accent1 2 4 3 3 2 4" xfId="13164" xr:uid="{00000000-0005-0000-0000-00006F320000}"/>
    <cellStyle name="40% - Accent1 2 4 3 3 2 4 2" xfId="32564" xr:uid="{00000000-0005-0000-0000-000070320000}"/>
    <cellStyle name="40% - Accent1 2 4 3 3 2 5" xfId="22866" xr:uid="{00000000-0005-0000-0000-000071320000}"/>
    <cellStyle name="40% - Accent1 2 4 3 3 3" xfId="3701" xr:uid="{00000000-0005-0000-0000-000072320000}"/>
    <cellStyle name="40% - Accent1 2 4 3 3 3 2" xfId="4831" xr:uid="{00000000-0005-0000-0000-000073320000}"/>
    <cellStyle name="40% - Accent1 2 4 3 3 3 2 2" xfId="9295" xr:uid="{00000000-0005-0000-0000-000074320000}"/>
    <cellStyle name="40% - Accent1 2 4 3 3 3 2 2 2" xfId="19291" xr:uid="{00000000-0005-0000-0000-000075320000}"/>
    <cellStyle name="40% - Accent1 2 4 3 3 3 2 2 2 2" xfId="38691" xr:uid="{00000000-0005-0000-0000-000076320000}"/>
    <cellStyle name="40% - Accent1 2 4 3 3 3 2 2 3" xfId="28993" xr:uid="{00000000-0005-0000-0000-000077320000}"/>
    <cellStyle name="40% - Accent1 2 4 3 3 3 2 3" xfId="14836" xr:uid="{00000000-0005-0000-0000-000078320000}"/>
    <cellStyle name="40% - Accent1 2 4 3 3 3 2 3 2" xfId="34236" xr:uid="{00000000-0005-0000-0000-000079320000}"/>
    <cellStyle name="40% - Accent1 2 4 3 3 3 2 4" xfId="24538" xr:uid="{00000000-0005-0000-0000-00007A320000}"/>
    <cellStyle name="40% - Accent1 2 4 3 3 3 3" xfId="8180" xr:uid="{00000000-0005-0000-0000-00007B320000}"/>
    <cellStyle name="40% - Accent1 2 4 3 3 3 3 2" xfId="18176" xr:uid="{00000000-0005-0000-0000-00007C320000}"/>
    <cellStyle name="40% - Accent1 2 4 3 3 3 3 2 2" xfId="37576" xr:uid="{00000000-0005-0000-0000-00007D320000}"/>
    <cellStyle name="40% - Accent1 2 4 3 3 3 3 3" xfId="27878" xr:uid="{00000000-0005-0000-0000-00007E320000}"/>
    <cellStyle name="40% - Accent1 2 4 3 3 3 4" xfId="13721" xr:uid="{00000000-0005-0000-0000-00007F320000}"/>
    <cellStyle name="40% - Accent1 2 4 3 3 3 4 2" xfId="33121" xr:uid="{00000000-0005-0000-0000-000080320000}"/>
    <cellStyle name="40% - Accent1 2 4 3 3 3 5" xfId="23423" xr:uid="{00000000-0005-0000-0000-000081320000}"/>
    <cellStyle name="40% - Accent1 2 4 3 3 4" xfId="4274" xr:uid="{00000000-0005-0000-0000-000082320000}"/>
    <cellStyle name="40% - Accent1 2 4 3 3 4 2" xfId="8738" xr:uid="{00000000-0005-0000-0000-000083320000}"/>
    <cellStyle name="40% - Accent1 2 4 3 3 4 2 2" xfId="18734" xr:uid="{00000000-0005-0000-0000-000084320000}"/>
    <cellStyle name="40% - Accent1 2 4 3 3 4 2 2 2" xfId="38134" xr:uid="{00000000-0005-0000-0000-000085320000}"/>
    <cellStyle name="40% - Accent1 2 4 3 3 4 2 3" xfId="28436" xr:uid="{00000000-0005-0000-0000-000086320000}"/>
    <cellStyle name="40% - Accent1 2 4 3 3 4 3" xfId="14279" xr:uid="{00000000-0005-0000-0000-000087320000}"/>
    <cellStyle name="40% - Accent1 2 4 3 3 4 3 2" xfId="33679" xr:uid="{00000000-0005-0000-0000-000088320000}"/>
    <cellStyle name="40% - Accent1 2 4 3 3 4 4" xfId="23981" xr:uid="{00000000-0005-0000-0000-000089320000}"/>
    <cellStyle name="40% - Accent1 2 4 3 3 5" xfId="5944" xr:uid="{00000000-0005-0000-0000-00008A320000}"/>
    <cellStyle name="40% - Accent1 2 4 3 3 5 2" xfId="10408" xr:uid="{00000000-0005-0000-0000-00008B320000}"/>
    <cellStyle name="40% - Accent1 2 4 3 3 5 2 2" xfId="20404" xr:uid="{00000000-0005-0000-0000-00008C320000}"/>
    <cellStyle name="40% - Accent1 2 4 3 3 5 2 2 2" xfId="39804" xr:uid="{00000000-0005-0000-0000-00008D320000}"/>
    <cellStyle name="40% - Accent1 2 4 3 3 5 2 3" xfId="30106" xr:uid="{00000000-0005-0000-0000-00008E320000}"/>
    <cellStyle name="40% - Accent1 2 4 3 3 5 3" xfId="15949" xr:uid="{00000000-0005-0000-0000-00008F320000}"/>
    <cellStyle name="40% - Accent1 2 4 3 3 5 3 2" xfId="35349" xr:uid="{00000000-0005-0000-0000-000090320000}"/>
    <cellStyle name="40% - Accent1 2 4 3 3 5 4" xfId="25651" xr:uid="{00000000-0005-0000-0000-000091320000}"/>
    <cellStyle name="40% - Accent1 2 4 3 3 6" xfId="6510" xr:uid="{00000000-0005-0000-0000-000092320000}"/>
    <cellStyle name="40% - Accent1 2 4 3 3 6 2" xfId="10965" xr:uid="{00000000-0005-0000-0000-000093320000}"/>
    <cellStyle name="40% - Accent1 2 4 3 3 6 2 2" xfId="20961" xr:uid="{00000000-0005-0000-0000-000094320000}"/>
    <cellStyle name="40% - Accent1 2 4 3 3 6 2 2 2" xfId="40361" xr:uid="{00000000-0005-0000-0000-000095320000}"/>
    <cellStyle name="40% - Accent1 2 4 3 3 6 2 3" xfId="30663" xr:uid="{00000000-0005-0000-0000-000096320000}"/>
    <cellStyle name="40% - Accent1 2 4 3 3 6 3" xfId="16506" xr:uid="{00000000-0005-0000-0000-000097320000}"/>
    <cellStyle name="40% - Accent1 2 4 3 3 6 3 2" xfId="35906" xr:uid="{00000000-0005-0000-0000-000098320000}"/>
    <cellStyle name="40% - Accent1 2 4 3 3 6 4" xfId="26208" xr:uid="{00000000-0005-0000-0000-000099320000}"/>
    <cellStyle name="40% - Accent1 2 4 3 3 7" xfId="7067" xr:uid="{00000000-0005-0000-0000-00009A320000}"/>
    <cellStyle name="40% - Accent1 2 4 3 3 7 2" xfId="17063" xr:uid="{00000000-0005-0000-0000-00009B320000}"/>
    <cellStyle name="40% - Accent1 2 4 3 3 7 2 2" xfId="36463" xr:uid="{00000000-0005-0000-0000-00009C320000}"/>
    <cellStyle name="40% - Accent1 2 4 3 3 7 3" xfId="26765" xr:uid="{00000000-0005-0000-0000-00009D320000}"/>
    <cellStyle name="40% - Accent1 2 4 3 3 8" xfId="12607" xr:uid="{00000000-0005-0000-0000-00009E320000}"/>
    <cellStyle name="40% - Accent1 2 4 3 3 8 2" xfId="32008" xr:uid="{00000000-0005-0000-0000-00009F320000}"/>
    <cellStyle name="40% - Accent1 2 4 3 3 9" xfId="22310" xr:uid="{00000000-0005-0000-0000-0000A0320000}"/>
    <cellStyle name="40% - Accent1 2 4 3 4" xfId="3116" xr:uid="{00000000-0005-0000-0000-0000A1320000}"/>
    <cellStyle name="40% - Accent1 2 4 3 4 2" xfId="5385" xr:uid="{00000000-0005-0000-0000-0000A2320000}"/>
    <cellStyle name="40% - Accent1 2 4 3 4 2 2" xfId="9849" xr:uid="{00000000-0005-0000-0000-0000A3320000}"/>
    <cellStyle name="40% - Accent1 2 4 3 4 2 2 2" xfId="19845" xr:uid="{00000000-0005-0000-0000-0000A4320000}"/>
    <cellStyle name="40% - Accent1 2 4 3 4 2 2 2 2" xfId="39245" xr:uid="{00000000-0005-0000-0000-0000A5320000}"/>
    <cellStyle name="40% - Accent1 2 4 3 4 2 2 3" xfId="29547" xr:uid="{00000000-0005-0000-0000-0000A6320000}"/>
    <cellStyle name="40% - Accent1 2 4 3 4 2 3" xfId="15390" xr:uid="{00000000-0005-0000-0000-0000A7320000}"/>
    <cellStyle name="40% - Accent1 2 4 3 4 2 3 2" xfId="34790" xr:uid="{00000000-0005-0000-0000-0000A8320000}"/>
    <cellStyle name="40% - Accent1 2 4 3 4 2 4" xfId="25092" xr:uid="{00000000-0005-0000-0000-0000A9320000}"/>
    <cellStyle name="40% - Accent1 2 4 3 4 3" xfId="7621" xr:uid="{00000000-0005-0000-0000-0000AA320000}"/>
    <cellStyle name="40% - Accent1 2 4 3 4 3 2" xfId="17617" xr:uid="{00000000-0005-0000-0000-0000AB320000}"/>
    <cellStyle name="40% - Accent1 2 4 3 4 3 2 2" xfId="37017" xr:uid="{00000000-0005-0000-0000-0000AC320000}"/>
    <cellStyle name="40% - Accent1 2 4 3 4 3 3" xfId="27319" xr:uid="{00000000-0005-0000-0000-0000AD320000}"/>
    <cellStyle name="40% - Accent1 2 4 3 4 4" xfId="13162" xr:uid="{00000000-0005-0000-0000-0000AE320000}"/>
    <cellStyle name="40% - Accent1 2 4 3 4 4 2" xfId="32562" xr:uid="{00000000-0005-0000-0000-0000AF320000}"/>
    <cellStyle name="40% - Accent1 2 4 3 4 5" xfId="22864" xr:uid="{00000000-0005-0000-0000-0000B0320000}"/>
    <cellStyle name="40% - Accent1 2 4 3 5" xfId="3699" xr:uid="{00000000-0005-0000-0000-0000B1320000}"/>
    <cellStyle name="40% - Accent1 2 4 3 5 2" xfId="4829" xr:uid="{00000000-0005-0000-0000-0000B2320000}"/>
    <cellStyle name="40% - Accent1 2 4 3 5 2 2" xfId="9293" xr:uid="{00000000-0005-0000-0000-0000B3320000}"/>
    <cellStyle name="40% - Accent1 2 4 3 5 2 2 2" xfId="19289" xr:uid="{00000000-0005-0000-0000-0000B4320000}"/>
    <cellStyle name="40% - Accent1 2 4 3 5 2 2 2 2" xfId="38689" xr:uid="{00000000-0005-0000-0000-0000B5320000}"/>
    <cellStyle name="40% - Accent1 2 4 3 5 2 2 3" xfId="28991" xr:uid="{00000000-0005-0000-0000-0000B6320000}"/>
    <cellStyle name="40% - Accent1 2 4 3 5 2 3" xfId="14834" xr:uid="{00000000-0005-0000-0000-0000B7320000}"/>
    <cellStyle name="40% - Accent1 2 4 3 5 2 3 2" xfId="34234" xr:uid="{00000000-0005-0000-0000-0000B8320000}"/>
    <cellStyle name="40% - Accent1 2 4 3 5 2 4" xfId="24536" xr:uid="{00000000-0005-0000-0000-0000B9320000}"/>
    <cellStyle name="40% - Accent1 2 4 3 5 3" xfId="8178" xr:uid="{00000000-0005-0000-0000-0000BA320000}"/>
    <cellStyle name="40% - Accent1 2 4 3 5 3 2" xfId="18174" xr:uid="{00000000-0005-0000-0000-0000BB320000}"/>
    <cellStyle name="40% - Accent1 2 4 3 5 3 2 2" xfId="37574" xr:uid="{00000000-0005-0000-0000-0000BC320000}"/>
    <cellStyle name="40% - Accent1 2 4 3 5 3 3" xfId="27876" xr:uid="{00000000-0005-0000-0000-0000BD320000}"/>
    <cellStyle name="40% - Accent1 2 4 3 5 4" xfId="13719" xr:uid="{00000000-0005-0000-0000-0000BE320000}"/>
    <cellStyle name="40% - Accent1 2 4 3 5 4 2" xfId="33119" xr:uid="{00000000-0005-0000-0000-0000BF320000}"/>
    <cellStyle name="40% - Accent1 2 4 3 5 5" xfId="23421" xr:uid="{00000000-0005-0000-0000-0000C0320000}"/>
    <cellStyle name="40% - Accent1 2 4 3 6" xfId="4272" xr:uid="{00000000-0005-0000-0000-0000C1320000}"/>
    <cellStyle name="40% - Accent1 2 4 3 6 2" xfId="8736" xr:uid="{00000000-0005-0000-0000-0000C2320000}"/>
    <cellStyle name="40% - Accent1 2 4 3 6 2 2" xfId="18732" xr:uid="{00000000-0005-0000-0000-0000C3320000}"/>
    <cellStyle name="40% - Accent1 2 4 3 6 2 2 2" xfId="38132" xr:uid="{00000000-0005-0000-0000-0000C4320000}"/>
    <cellStyle name="40% - Accent1 2 4 3 6 2 3" xfId="28434" xr:uid="{00000000-0005-0000-0000-0000C5320000}"/>
    <cellStyle name="40% - Accent1 2 4 3 6 3" xfId="14277" xr:uid="{00000000-0005-0000-0000-0000C6320000}"/>
    <cellStyle name="40% - Accent1 2 4 3 6 3 2" xfId="33677" xr:uid="{00000000-0005-0000-0000-0000C7320000}"/>
    <cellStyle name="40% - Accent1 2 4 3 6 4" xfId="23979" xr:uid="{00000000-0005-0000-0000-0000C8320000}"/>
    <cellStyle name="40% - Accent1 2 4 3 7" xfId="5942" xr:uid="{00000000-0005-0000-0000-0000C9320000}"/>
    <cellStyle name="40% - Accent1 2 4 3 7 2" xfId="10406" xr:uid="{00000000-0005-0000-0000-0000CA320000}"/>
    <cellStyle name="40% - Accent1 2 4 3 7 2 2" xfId="20402" xr:uid="{00000000-0005-0000-0000-0000CB320000}"/>
    <cellStyle name="40% - Accent1 2 4 3 7 2 2 2" xfId="39802" xr:uid="{00000000-0005-0000-0000-0000CC320000}"/>
    <cellStyle name="40% - Accent1 2 4 3 7 2 3" xfId="30104" xr:uid="{00000000-0005-0000-0000-0000CD320000}"/>
    <cellStyle name="40% - Accent1 2 4 3 7 3" xfId="15947" xr:uid="{00000000-0005-0000-0000-0000CE320000}"/>
    <cellStyle name="40% - Accent1 2 4 3 7 3 2" xfId="35347" xr:uid="{00000000-0005-0000-0000-0000CF320000}"/>
    <cellStyle name="40% - Accent1 2 4 3 7 4" xfId="25649" xr:uid="{00000000-0005-0000-0000-0000D0320000}"/>
    <cellStyle name="40% - Accent1 2 4 3 8" xfId="6508" xr:uid="{00000000-0005-0000-0000-0000D1320000}"/>
    <cellStyle name="40% - Accent1 2 4 3 8 2" xfId="10963" xr:uid="{00000000-0005-0000-0000-0000D2320000}"/>
    <cellStyle name="40% - Accent1 2 4 3 8 2 2" xfId="20959" xr:uid="{00000000-0005-0000-0000-0000D3320000}"/>
    <cellStyle name="40% - Accent1 2 4 3 8 2 2 2" xfId="40359" xr:uid="{00000000-0005-0000-0000-0000D4320000}"/>
    <cellStyle name="40% - Accent1 2 4 3 8 2 3" xfId="30661" xr:uid="{00000000-0005-0000-0000-0000D5320000}"/>
    <cellStyle name="40% - Accent1 2 4 3 8 3" xfId="16504" xr:uid="{00000000-0005-0000-0000-0000D6320000}"/>
    <cellStyle name="40% - Accent1 2 4 3 8 3 2" xfId="35904" xr:uid="{00000000-0005-0000-0000-0000D7320000}"/>
    <cellStyle name="40% - Accent1 2 4 3 8 4" xfId="26206" xr:uid="{00000000-0005-0000-0000-0000D8320000}"/>
    <cellStyle name="40% - Accent1 2 4 3 9" xfId="7065" xr:uid="{00000000-0005-0000-0000-0000D9320000}"/>
    <cellStyle name="40% - Accent1 2 4 3 9 2" xfId="17061" xr:uid="{00000000-0005-0000-0000-0000DA320000}"/>
    <cellStyle name="40% - Accent1 2 4 3 9 2 2" xfId="36461" xr:uid="{00000000-0005-0000-0000-0000DB320000}"/>
    <cellStyle name="40% - Accent1 2 4 3 9 3" xfId="26763" xr:uid="{00000000-0005-0000-0000-0000DC320000}"/>
    <cellStyle name="40% - Accent1 2 4 4" xfId="2128" xr:uid="{00000000-0005-0000-0000-0000DD320000}"/>
    <cellStyle name="40% - Accent1 2 4 4 2" xfId="3119" xr:uid="{00000000-0005-0000-0000-0000DE320000}"/>
    <cellStyle name="40% - Accent1 2 4 4 2 2" xfId="5388" xr:uid="{00000000-0005-0000-0000-0000DF320000}"/>
    <cellStyle name="40% - Accent1 2 4 4 2 2 2" xfId="9852" xr:uid="{00000000-0005-0000-0000-0000E0320000}"/>
    <cellStyle name="40% - Accent1 2 4 4 2 2 2 2" xfId="19848" xr:uid="{00000000-0005-0000-0000-0000E1320000}"/>
    <cellStyle name="40% - Accent1 2 4 4 2 2 2 2 2" xfId="39248" xr:uid="{00000000-0005-0000-0000-0000E2320000}"/>
    <cellStyle name="40% - Accent1 2 4 4 2 2 2 3" xfId="29550" xr:uid="{00000000-0005-0000-0000-0000E3320000}"/>
    <cellStyle name="40% - Accent1 2 4 4 2 2 3" xfId="15393" xr:uid="{00000000-0005-0000-0000-0000E4320000}"/>
    <cellStyle name="40% - Accent1 2 4 4 2 2 3 2" xfId="34793" xr:uid="{00000000-0005-0000-0000-0000E5320000}"/>
    <cellStyle name="40% - Accent1 2 4 4 2 2 4" xfId="25095" xr:uid="{00000000-0005-0000-0000-0000E6320000}"/>
    <cellStyle name="40% - Accent1 2 4 4 2 3" xfId="7624" xr:uid="{00000000-0005-0000-0000-0000E7320000}"/>
    <cellStyle name="40% - Accent1 2 4 4 2 3 2" xfId="17620" xr:uid="{00000000-0005-0000-0000-0000E8320000}"/>
    <cellStyle name="40% - Accent1 2 4 4 2 3 2 2" xfId="37020" xr:uid="{00000000-0005-0000-0000-0000E9320000}"/>
    <cellStyle name="40% - Accent1 2 4 4 2 3 3" xfId="27322" xr:uid="{00000000-0005-0000-0000-0000EA320000}"/>
    <cellStyle name="40% - Accent1 2 4 4 2 4" xfId="13165" xr:uid="{00000000-0005-0000-0000-0000EB320000}"/>
    <cellStyle name="40% - Accent1 2 4 4 2 4 2" xfId="32565" xr:uid="{00000000-0005-0000-0000-0000EC320000}"/>
    <cellStyle name="40% - Accent1 2 4 4 2 5" xfId="22867" xr:uid="{00000000-0005-0000-0000-0000ED320000}"/>
    <cellStyle name="40% - Accent1 2 4 4 3" xfId="3702" xr:uid="{00000000-0005-0000-0000-0000EE320000}"/>
    <cellStyle name="40% - Accent1 2 4 4 3 2" xfId="4832" xr:uid="{00000000-0005-0000-0000-0000EF320000}"/>
    <cellStyle name="40% - Accent1 2 4 4 3 2 2" xfId="9296" xr:uid="{00000000-0005-0000-0000-0000F0320000}"/>
    <cellStyle name="40% - Accent1 2 4 4 3 2 2 2" xfId="19292" xr:uid="{00000000-0005-0000-0000-0000F1320000}"/>
    <cellStyle name="40% - Accent1 2 4 4 3 2 2 2 2" xfId="38692" xr:uid="{00000000-0005-0000-0000-0000F2320000}"/>
    <cellStyle name="40% - Accent1 2 4 4 3 2 2 3" xfId="28994" xr:uid="{00000000-0005-0000-0000-0000F3320000}"/>
    <cellStyle name="40% - Accent1 2 4 4 3 2 3" xfId="14837" xr:uid="{00000000-0005-0000-0000-0000F4320000}"/>
    <cellStyle name="40% - Accent1 2 4 4 3 2 3 2" xfId="34237" xr:uid="{00000000-0005-0000-0000-0000F5320000}"/>
    <cellStyle name="40% - Accent1 2 4 4 3 2 4" xfId="24539" xr:uid="{00000000-0005-0000-0000-0000F6320000}"/>
    <cellStyle name="40% - Accent1 2 4 4 3 3" xfId="8181" xr:uid="{00000000-0005-0000-0000-0000F7320000}"/>
    <cellStyle name="40% - Accent1 2 4 4 3 3 2" xfId="18177" xr:uid="{00000000-0005-0000-0000-0000F8320000}"/>
    <cellStyle name="40% - Accent1 2 4 4 3 3 2 2" xfId="37577" xr:uid="{00000000-0005-0000-0000-0000F9320000}"/>
    <cellStyle name="40% - Accent1 2 4 4 3 3 3" xfId="27879" xr:uid="{00000000-0005-0000-0000-0000FA320000}"/>
    <cellStyle name="40% - Accent1 2 4 4 3 4" xfId="13722" xr:uid="{00000000-0005-0000-0000-0000FB320000}"/>
    <cellStyle name="40% - Accent1 2 4 4 3 4 2" xfId="33122" xr:uid="{00000000-0005-0000-0000-0000FC320000}"/>
    <cellStyle name="40% - Accent1 2 4 4 3 5" xfId="23424" xr:uid="{00000000-0005-0000-0000-0000FD320000}"/>
    <cellStyle name="40% - Accent1 2 4 4 4" xfId="4275" xr:uid="{00000000-0005-0000-0000-0000FE320000}"/>
    <cellStyle name="40% - Accent1 2 4 4 4 2" xfId="8739" xr:uid="{00000000-0005-0000-0000-0000FF320000}"/>
    <cellStyle name="40% - Accent1 2 4 4 4 2 2" xfId="18735" xr:uid="{00000000-0005-0000-0000-000000330000}"/>
    <cellStyle name="40% - Accent1 2 4 4 4 2 2 2" xfId="38135" xr:uid="{00000000-0005-0000-0000-000001330000}"/>
    <cellStyle name="40% - Accent1 2 4 4 4 2 3" xfId="28437" xr:uid="{00000000-0005-0000-0000-000002330000}"/>
    <cellStyle name="40% - Accent1 2 4 4 4 3" xfId="14280" xr:uid="{00000000-0005-0000-0000-000003330000}"/>
    <cellStyle name="40% - Accent1 2 4 4 4 3 2" xfId="33680" xr:uid="{00000000-0005-0000-0000-000004330000}"/>
    <cellStyle name="40% - Accent1 2 4 4 4 4" xfId="23982" xr:uid="{00000000-0005-0000-0000-000005330000}"/>
    <cellStyle name="40% - Accent1 2 4 4 5" xfId="5945" xr:uid="{00000000-0005-0000-0000-000006330000}"/>
    <cellStyle name="40% - Accent1 2 4 4 5 2" xfId="10409" xr:uid="{00000000-0005-0000-0000-000007330000}"/>
    <cellStyle name="40% - Accent1 2 4 4 5 2 2" xfId="20405" xr:uid="{00000000-0005-0000-0000-000008330000}"/>
    <cellStyle name="40% - Accent1 2 4 4 5 2 2 2" xfId="39805" xr:uid="{00000000-0005-0000-0000-000009330000}"/>
    <cellStyle name="40% - Accent1 2 4 4 5 2 3" xfId="30107" xr:uid="{00000000-0005-0000-0000-00000A330000}"/>
    <cellStyle name="40% - Accent1 2 4 4 5 3" xfId="15950" xr:uid="{00000000-0005-0000-0000-00000B330000}"/>
    <cellStyle name="40% - Accent1 2 4 4 5 3 2" xfId="35350" xr:uid="{00000000-0005-0000-0000-00000C330000}"/>
    <cellStyle name="40% - Accent1 2 4 4 5 4" xfId="25652" xr:uid="{00000000-0005-0000-0000-00000D330000}"/>
    <cellStyle name="40% - Accent1 2 4 4 6" xfId="6511" xr:uid="{00000000-0005-0000-0000-00000E330000}"/>
    <cellStyle name="40% - Accent1 2 4 4 6 2" xfId="10966" xr:uid="{00000000-0005-0000-0000-00000F330000}"/>
    <cellStyle name="40% - Accent1 2 4 4 6 2 2" xfId="20962" xr:uid="{00000000-0005-0000-0000-000010330000}"/>
    <cellStyle name="40% - Accent1 2 4 4 6 2 2 2" xfId="40362" xr:uid="{00000000-0005-0000-0000-000011330000}"/>
    <cellStyle name="40% - Accent1 2 4 4 6 2 3" xfId="30664" xr:uid="{00000000-0005-0000-0000-000012330000}"/>
    <cellStyle name="40% - Accent1 2 4 4 6 3" xfId="16507" xr:uid="{00000000-0005-0000-0000-000013330000}"/>
    <cellStyle name="40% - Accent1 2 4 4 6 3 2" xfId="35907" xr:uid="{00000000-0005-0000-0000-000014330000}"/>
    <cellStyle name="40% - Accent1 2 4 4 6 4" xfId="26209" xr:uid="{00000000-0005-0000-0000-000015330000}"/>
    <cellStyle name="40% - Accent1 2 4 4 7" xfId="7068" xr:uid="{00000000-0005-0000-0000-000016330000}"/>
    <cellStyle name="40% - Accent1 2 4 4 7 2" xfId="17064" xr:uid="{00000000-0005-0000-0000-000017330000}"/>
    <cellStyle name="40% - Accent1 2 4 4 7 2 2" xfId="36464" xr:uid="{00000000-0005-0000-0000-000018330000}"/>
    <cellStyle name="40% - Accent1 2 4 4 7 3" xfId="26766" xr:uid="{00000000-0005-0000-0000-000019330000}"/>
    <cellStyle name="40% - Accent1 2 4 4 8" xfId="12608" xr:uid="{00000000-0005-0000-0000-00001A330000}"/>
    <cellStyle name="40% - Accent1 2 4 4 8 2" xfId="32009" xr:uid="{00000000-0005-0000-0000-00001B330000}"/>
    <cellStyle name="40% - Accent1 2 4 4 9" xfId="22311" xr:uid="{00000000-0005-0000-0000-00001C330000}"/>
    <cellStyle name="40% - Accent1 2 4 5" xfId="2129" xr:uid="{00000000-0005-0000-0000-00001D330000}"/>
    <cellStyle name="40% - Accent1 2 4 5 2" xfId="3120" xr:uid="{00000000-0005-0000-0000-00001E330000}"/>
    <cellStyle name="40% - Accent1 2 4 5 2 2" xfId="5389" xr:uid="{00000000-0005-0000-0000-00001F330000}"/>
    <cellStyle name="40% - Accent1 2 4 5 2 2 2" xfId="9853" xr:uid="{00000000-0005-0000-0000-000020330000}"/>
    <cellStyle name="40% - Accent1 2 4 5 2 2 2 2" xfId="19849" xr:uid="{00000000-0005-0000-0000-000021330000}"/>
    <cellStyle name="40% - Accent1 2 4 5 2 2 2 2 2" xfId="39249" xr:uid="{00000000-0005-0000-0000-000022330000}"/>
    <cellStyle name="40% - Accent1 2 4 5 2 2 2 3" xfId="29551" xr:uid="{00000000-0005-0000-0000-000023330000}"/>
    <cellStyle name="40% - Accent1 2 4 5 2 2 3" xfId="15394" xr:uid="{00000000-0005-0000-0000-000024330000}"/>
    <cellStyle name="40% - Accent1 2 4 5 2 2 3 2" xfId="34794" xr:uid="{00000000-0005-0000-0000-000025330000}"/>
    <cellStyle name="40% - Accent1 2 4 5 2 2 4" xfId="25096" xr:uid="{00000000-0005-0000-0000-000026330000}"/>
    <cellStyle name="40% - Accent1 2 4 5 2 3" xfId="7625" xr:uid="{00000000-0005-0000-0000-000027330000}"/>
    <cellStyle name="40% - Accent1 2 4 5 2 3 2" xfId="17621" xr:uid="{00000000-0005-0000-0000-000028330000}"/>
    <cellStyle name="40% - Accent1 2 4 5 2 3 2 2" xfId="37021" xr:uid="{00000000-0005-0000-0000-000029330000}"/>
    <cellStyle name="40% - Accent1 2 4 5 2 3 3" xfId="27323" xr:uid="{00000000-0005-0000-0000-00002A330000}"/>
    <cellStyle name="40% - Accent1 2 4 5 2 4" xfId="13166" xr:uid="{00000000-0005-0000-0000-00002B330000}"/>
    <cellStyle name="40% - Accent1 2 4 5 2 4 2" xfId="32566" xr:uid="{00000000-0005-0000-0000-00002C330000}"/>
    <cellStyle name="40% - Accent1 2 4 5 2 5" xfId="22868" xr:uid="{00000000-0005-0000-0000-00002D330000}"/>
    <cellStyle name="40% - Accent1 2 4 5 3" xfId="3703" xr:uid="{00000000-0005-0000-0000-00002E330000}"/>
    <cellStyle name="40% - Accent1 2 4 5 3 2" xfId="4833" xr:uid="{00000000-0005-0000-0000-00002F330000}"/>
    <cellStyle name="40% - Accent1 2 4 5 3 2 2" xfId="9297" xr:uid="{00000000-0005-0000-0000-000030330000}"/>
    <cellStyle name="40% - Accent1 2 4 5 3 2 2 2" xfId="19293" xr:uid="{00000000-0005-0000-0000-000031330000}"/>
    <cellStyle name="40% - Accent1 2 4 5 3 2 2 2 2" xfId="38693" xr:uid="{00000000-0005-0000-0000-000032330000}"/>
    <cellStyle name="40% - Accent1 2 4 5 3 2 2 3" xfId="28995" xr:uid="{00000000-0005-0000-0000-000033330000}"/>
    <cellStyle name="40% - Accent1 2 4 5 3 2 3" xfId="14838" xr:uid="{00000000-0005-0000-0000-000034330000}"/>
    <cellStyle name="40% - Accent1 2 4 5 3 2 3 2" xfId="34238" xr:uid="{00000000-0005-0000-0000-000035330000}"/>
    <cellStyle name="40% - Accent1 2 4 5 3 2 4" xfId="24540" xr:uid="{00000000-0005-0000-0000-000036330000}"/>
    <cellStyle name="40% - Accent1 2 4 5 3 3" xfId="8182" xr:uid="{00000000-0005-0000-0000-000037330000}"/>
    <cellStyle name="40% - Accent1 2 4 5 3 3 2" xfId="18178" xr:uid="{00000000-0005-0000-0000-000038330000}"/>
    <cellStyle name="40% - Accent1 2 4 5 3 3 2 2" xfId="37578" xr:uid="{00000000-0005-0000-0000-000039330000}"/>
    <cellStyle name="40% - Accent1 2 4 5 3 3 3" xfId="27880" xr:uid="{00000000-0005-0000-0000-00003A330000}"/>
    <cellStyle name="40% - Accent1 2 4 5 3 4" xfId="13723" xr:uid="{00000000-0005-0000-0000-00003B330000}"/>
    <cellStyle name="40% - Accent1 2 4 5 3 4 2" xfId="33123" xr:uid="{00000000-0005-0000-0000-00003C330000}"/>
    <cellStyle name="40% - Accent1 2 4 5 3 5" xfId="23425" xr:uid="{00000000-0005-0000-0000-00003D330000}"/>
    <cellStyle name="40% - Accent1 2 4 5 4" xfId="4276" xr:uid="{00000000-0005-0000-0000-00003E330000}"/>
    <cellStyle name="40% - Accent1 2 4 5 4 2" xfId="8740" xr:uid="{00000000-0005-0000-0000-00003F330000}"/>
    <cellStyle name="40% - Accent1 2 4 5 4 2 2" xfId="18736" xr:uid="{00000000-0005-0000-0000-000040330000}"/>
    <cellStyle name="40% - Accent1 2 4 5 4 2 2 2" xfId="38136" xr:uid="{00000000-0005-0000-0000-000041330000}"/>
    <cellStyle name="40% - Accent1 2 4 5 4 2 3" xfId="28438" xr:uid="{00000000-0005-0000-0000-000042330000}"/>
    <cellStyle name="40% - Accent1 2 4 5 4 3" xfId="14281" xr:uid="{00000000-0005-0000-0000-000043330000}"/>
    <cellStyle name="40% - Accent1 2 4 5 4 3 2" xfId="33681" xr:uid="{00000000-0005-0000-0000-000044330000}"/>
    <cellStyle name="40% - Accent1 2 4 5 4 4" xfId="23983" xr:uid="{00000000-0005-0000-0000-000045330000}"/>
    <cellStyle name="40% - Accent1 2 4 5 5" xfId="5946" xr:uid="{00000000-0005-0000-0000-000046330000}"/>
    <cellStyle name="40% - Accent1 2 4 5 5 2" xfId="10410" xr:uid="{00000000-0005-0000-0000-000047330000}"/>
    <cellStyle name="40% - Accent1 2 4 5 5 2 2" xfId="20406" xr:uid="{00000000-0005-0000-0000-000048330000}"/>
    <cellStyle name="40% - Accent1 2 4 5 5 2 2 2" xfId="39806" xr:uid="{00000000-0005-0000-0000-000049330000}"/>
    <cellStyle name="40% - Accent1 2 4 5 5 2 3" xfId="30108" xr:uid="{00000000-0005-0000-0000-00004A330000}"/>
    <cellStyle name="40% - Accent1 2 4 5 5 3" xfId="15951" xr:uid="{00000000-0005-0000-0000-00004B330000}"/>
    <cellStyle name="40% - Accent1 2 4 5 5 3 2" xfId="35351" xr:uid="{00000000-0005-0000-0000-00004C330000}"/>
    <cellStyle name="40% - Accent1 2 4 5 5 4" xfId="25653" xr:uid="{00000000-0005-0000-0000-00004D330000}"/>
    <cellStyle name="40% - Accent1 2 4 5 6" xfId="6512" xr:uid="{00000000-0005-0000-0000-00004E330000}"/>
    <cellStyle name="40% - Accent1 2 4 5 6 2" xfId="10967" xr:uid="{00000000-0005-0000-0000-00004F330000}"/>
    <cellStyle name="40% - Accent1 2 4 5 6 2 2" xfId="20963" xr:uid="{00000000-0005-0000-0000-000050330000}"/>
    <cellStyle name="40% - Accent1 2 4 5 6 2 2 2" xfId="40363" xr:uid="{00000000-0005-0000-0000-000051330000}"/>
    <cellStyle name="40% - Accent1 2 4 5 6 2 3" xfId="30665" xr:uid="{00000000-0005-0000-0000-000052330000}"/>
    <cellStyle name="40% - Accent1 2 4 5 6 3" xfId="16508" xr:uid="{00000000-0005-0000-0000-000053330000}"/>
    <cellStyle name="40% - Accent1 2 4 5 6 3 2" xfId="35908" xr:uid="{00000000-0005-0000-0000-000054330000}"/>
    <cellStyle name="40% - Accent1 2 4 5 6 4" xfId="26210" xr:uid="{00000000-0005-0000-0000-000055330000}"/>
    <cellStyle name="40% - Accent1 2 4 5 7" xfId="7069" xr:uid="{00000000-0005-0000-0000-000056330000}"/>
    <cellStyle name="40% - Accent1 2 4 5 7 2" xfId="17065" xr:uid="{00000000-0005-0000-0000-000057330000}"/>
    <cellStyle name="40% - Accent1 2 4 5 7 2 2" xfId="36465" xr:uid="{00000000-0005-0000-0000-000058330000}"/>
    <cellStyle name="40% - Accent1 2 4 5 7 3" xfId="26767" xr:uid="{00000000-0005-0000-0000-000059330000}"/>
    <cellStyle name="40% - Accent1 2 4 5 8" xfId="12609" xr:uid="{00000000-0005-0000-0000-00005A330000}"/>
    <cellStyle name="40% - Accent1 2 4 5 8 2" xfId="32010" xr:uid="{00000000-0005-0000-0000-00005B330000}"/>
    <cellStyle name="40% - Accent1 2 4 5 9" xfId="22312" xr:uid="{00000000-0005-0000-0000-00005C330000}"/>
    <cellStyle name="40% - Accent1 2 5" xfId="1215" xr:uid="{00000000-0005-0000-0000-00005D330000}"/>
    <cellStyle name="40% - Accent1 2 5 2" xfId="2130" xr:uid="{00000000-0005-0000-0000-00005E330000}"/>
    <cellStyle name="40% - Accent1 2 5 2 10" xfId="12610" xr:uid="{00000000-0005-0000-0000-00005F330000}"/>
    <cellStyle name="40% - Accent1 2 5 2 10 2" xfId="32011" xr:uid="{00000000-0005-0000-0000-000060330000}"/>
    <cellStyle name="40% - Accent1 2 5 2 11" xfId="22313" xr:uid="{00000000-0005-0000-0000-000061330000}"/>
    <cellStyle name="40% - Accent1 2 5 2 2" xfId="2131" xr:uid="{00000000-0005-0000-0000-000062330000}"/>
    <cellStyle name="40% - Accent1 2 5 2 2 2" xfId="3122" xr:uid="{00000000-0005-0000-0000-000063330000}"/>
    <cellStyle name="40% - Accent1 2 5 2 2 2 2" xfId="5391" xr:uid="{00000000-0005-0000-0000-000064330000}"/>
    <cellStyle name="40% - Accent1 2 5 2 2 2 2 2" xfId="9855" xr:uid="{00000000-0005-0000-0000-000065330000}"/>
    <cellStyle name="40% - Accent1 2 5 2 2 2 2 2 2" xfId="19851" xr:uid="{00000000-0005-0000-0000-000066330000}"/>
    <cellStyle name="40% - Accent1 2 5 2 2 2 2 2 2 2" xfId="39251" xr:uid="{00000000-0005-0000-0000-000067330000}"/>
    <cellStyle name="40% - Accent1 2 5 2 2 2 2 2 3" xfId="29553" xr:uid="{00000000-0005-0000-0000-000068330000}"/>
    <cellStyle name="40% - Accent1 2 5 2 2 2 2 3" xfId="15396" xr:uid="{00000000-0005-0000-0000-000069330000}"/>
    <cellStyle name="40% - Accent1 2 5 2 2 2 2 3 2" xfId="34796" xr:uid="{00000000-0005-0000-0000-00006A330000}"/>
    <cellStyle name="40% - Accent1 2 5 2 2 2 2 4" xfId="25098" xr:uid="{00000000-0005-0000-0000-00006B330000}"/>
    <cellStyle name="40% - Accent1 2 5 2 2 2 3" xfId="7627" xr:uid="{00000000-0005-0000-0000-00006C330000}"/>
    <cellStyle name="40% - Accent1 2 5 2 2 2 3 2" xfId="17623" xr:uid="{00000000-0005-0000-0000-00006D330000}"/>
    <cellStyle name="40% - Accent1 2 5 2 2 2 3 2 2" xfId="37023" xr:uid="{00000000-0005-0000-0000-00006E330000}"/>
    <cellStyle name="40% - Accent1 2 5 2 2 2 3 3" xfId="27325" xr:uid="{00000000-0005-0000-0000-00006F330000}"/>
    <cellStyle name="40% - Accent1 2 5 2 2 2 4" xfId="13168" xr:uid="{00000000-0005-0000-0000-000070330000}"/>
    <cellStyle name="40% - Accent1 2 5 2 2 2 4 2" xfId="32568" xr:uid="{00000000-0005-0000-0000-000071330000}"/>
    <cellStyle name="40% - Accent1 2 5 2 2 2 5" xfId="22870" xr:uid="{00000000-0005-0000-0000-000072330000}"/>
    <cellStyle name="40% - Accent1 2 5 2 2 3" xfId="3705" xr:uid="{00000000-0005-0000-0000-000073330000}"/>
    <cellStyle name="40% - Accent1 2 5 2 2 3 2" xfId="4835" xr:uid="{00000000-0005-0000-0000-000074330000}"/>
    <cellStyle name="40% - Accent1 2 5 2 2 3 2 2" xfId="9299" xr:uid="{00000000-0005-0000-0000-000075330000}"/>
    <cellStyle name="40% - Accent1 2 5 2 2 3 2 2 2" xfId="19295" xr:uid="{00000000-0005-0000-0000-000076330000}"/>
    <cellStyle name="40% - Accent1 2 5 2 2 3 2 2 2 2" xfId="38695" xr:uid="{00000000-0005-0000-0000-000077330000}"/>
    <cellStyle name="40% - Accent1 2 5 2 2 3 2 2 3" xfId="28997" xr:uid="{00000000-0005-0000-0000-000078330000}"/>
    <cellStyle name="40% - Accent1 2 5 2 2 3 2 3" xfId="14840" xr:uid="{00000000-0005-0000-0000-000079330000}"/>
    <cellStyle name="40% - Accent1 2 5 2 2 3 2 3 2" xfId="34240" xr:uid="{00000000-0005-0000-0000-00007A330000}"/>
    <cellStyle name="40% - Accent1 2 5 2 2 3 2 4" xfId="24542" xr:uid="{00000000-0005-0000-0000-00007B330000}"/>
    <cellStyle name="40% - Accent1 2 5 2 2 3 3" xfId="8184" xr:uid="{00000000-0005-0000-0000-00007C330000}"/>
    <cellStyle name="40% - Accent1 2 5 2 2 3 3 2" xfId="18180" xr:uid="{00000000-0005-0000-0000-00007D330000}"/>
    <cellStyle name="40% - Accent1 2 5 2 2 3 3 2 2" xfId="37580" xr:uid="{00000000-0005-0000-0000-00007E330000}"/>
    <cellStyle name="40% - Accent1 2 5 2 2 3 3 3" xfId="27882" xr:uid="{00000000-0005-0000-0000-00007F330000}"/>
    <cellStyle name="40% - Accent1 2 5 2 2 3 4" xfId="13725" xr:uid="{00000000-0005-0000-0000-000080330000}"/>
    <cellStyle name="40% - Accent1 2 5 2 2 3 4 2" xfId="33125" xr:uid="{00000000-0005-0000-0000-000081330000}"/>
    <cellStyle name="40% - Accent1 2 5 2 2 3 5" xfId="23427" xr:uid="{00000000-0005-0000-0000-000082330000}"/>
    <cellStyle name="40% - Accent1 2 5 2 2 4" xfId="4278" xr:uid="{00000000-0005-0000-0000-000083330000}"/>
    <cellStyle name="40% - Accent1 2 5 2 2 4 2" xfId="8742" xr:uid="{00000000-0005-0000-0000-000084330000}"/>
    <cellStyle name="40% - Accent1 2 5 2 2 4 2 2" xfId="18738" xr:uid="{00000000-0005-0000-0000-000085330000}"/>
    <cellStyle name="40% - Accent1 2 5 2 2 4 2 2 2" xfId="38138" xr:uid="{00000000-0005-0000-0000-000086330000}"/>
    <cellStyle name="40% - Accent1 2 5 2 2 4 2 3" xfId="28440" xr:uid="{00000000-0005-0000-0000-000087330000}"/>
    <cellStyle name="40% - Accent1 2 5 2 2 4 3" xfId="14283" xr:uid="{00000000-0005-0000-0000-000088330000}"/>
    <cellStyle name="40% - Accent1 2 5 2 2 4 3 2" xfId="33683" xr:uid="{00000000-0005-0000-0000-000089330000}"/>
    <cellStyle name="40% - Accent1 2 5 2 2 4 4" xfId="23985" xr:uid="{00000000-0005-0000-0000-00008A330000}"/>
    <cellStyle name="40% - Accent1 2 5 2 2 5" xfId="5948" xr:uid="{00000000-0005-0000-0000-00008B330000}"/>
    <cellStyle name="40% - Accent1 2 5 2 2 5 2" xfId="10412" xr:uid="{00000000-0005-0000-0000-00008C330000}"/>
    <cellStyle name="40% - Accent1 2 5 2 2 5 2 2" xfId="20408" xr:uid="{00000000-0005-0000-0000-00008D330000}"/>
    <cellStyle name="40% - Accent1 2 5 2 2 5 2 2 2" xfId="39808" xr:uid="{00000000-0005-0000-0000-00008E330000}"/>
    <cellStyle name="40% - Accent1 2 5 2 2 5 2 3" xfId="30110" xr:uid="{00000000-0005-0000-0000-00008F330000}"/>
    <cellStyle name="40% - Accent1 2 5 2 2 5 3" xfId="15953" xr:uid="{00000000-0005-0000-0000-000090330000}"/>
    <cellStyle name="40% - Accent1 2 5 2 2 5 3 2" xfId="35353" xr:uid="{00000000-0005-0000-0000-000091330000}"/>
    <cellStyle name="40% - Accent1 2 5 2 2 5 4" xfId="25655" xr:uid="{00000000-0005-0000-0000-000092330000}"/>
    <cellStyle name="40% - Accent1 2 5 2 2 6" xfId="6514" xr:uid="{00000000-0005-0000-0000-000093330000}"/>
    <cellStyle name="40% - Accent1 2 5 2 2 6 2" xfId="10969" xr:uid="{00000000-0005-0000-0000-000094330000}"/>
    <cellStyle name="40% - Accent1 2 5 2 2 6 2 2" xfId="20965" xr:uid="{00000000-0005-0000-0000-000095330000}"/>
    <cellStyle name="40% - Accent1 2 5 2 2 6 2 2 2" xfId="40365" xr:uid="{00000000-0005-0000-0000-000096330000}"/>
    <cellStyle name="40% - Accent1 2 5 2 2 6 2 3" xfId="30667" xr:uid="{00000000-0005-0000-0000-000097330000}"/>
    <cellStyle name="40% - Accent1 2 5 2 2 6 3" xfId="16510" xr:uid="{00000000-0005-0000-0000-000098330000}"/>
    <cellStyle name="40% - Accent1 2 5 2 2 6 3 2" xfId="35910" xr:uid="{00000000-0005-0000-0000-000099330000}"/>
    <cellStyle name="40% - Accent1 2 5 2 2 6 4" xfId="26212" xr:uid="{00000000-0005-0000-0000-00009A330000}"/>
    <cellStyle name="40% - Accent1 2 5 2 2 7" xfId="7071" xr:uid="{00000000-0005-0000-0000-00009B330000}"/>
    <cellStyle name="40% - Accent1 2 5 2 2 7 2" xfId="17067" xr:uid="{00000000-0005-0000-0000-00009C330000}"/>
    <cellStyle name="40% - Accent1 2 5 2 2 7 2 2" xfId="36467" xr:uid="{00000000-0005-0000-0000-00009D330000}"/>
    <cellStyle name="40% - Accent1 2 5 2 2 7 3" xfId="26769" xr:uid="{00000000-0005-0000-0000-00009E330000}"/>
    <cellStyle name="40% - Accent1 2 5 2 2 8" xfId="12611" xr:uid="{00000000-0005-0000-0000-00009F330000}"/>
    <cellStyle name="40% - Accent1 2 5 2 2 8 2" xfId="32012" xr:uid="{00000000-0005-0000-0000-0000A0330000}"/>
    <cellStyle name="40% - Accent1 2 5 2 2 9" xfId="22314" xr:uid="{00000000-0005-0000-0000-0000A1330000}"/>
    <cellStyle name="40% - Accent1 2 5 2 3" xfId="2132" xr:uid="{00000000-0005-0000-0000-0000A2330000}"/>
    <cellStyle name="40% - Accent1 2 5 2 3 2" xfId="3123" xr:uid="{00000000-0005-0000-0000-0000A3330000}"/>
    <cellStyle name="40% - Accent1 2 5 2 3 2 2" xfId="5392" xr:uid="{00000000-0005-0000-0000-0000A4330000}"/>
    <cellStyle name="40% - Accent1 2 5 2 3 2 2 2" xfId="9856" xr:uid="{00000000-0005-0000-0000-0000A5330000}"/>
    <cellStyle name="40% - Accent1 2 5 2 3 2 2 2 2" xfId="19852" xr:uid="{00000000-0005-0000-0000-0000A6330000}"/>
    <cellStyle name="40% - Accent1 2 5 2 3 2 2 2 2 2" xfId="39252" xr:uid="{00000000-0005-0000-0000-0000A7330000}"/>
    <cellStyle name="40% - Accent1 2 5 2 3 2 2 2 3" xfId="29554" xr:uid="{00000000-0005-0000-0000-0000A8330000}"/>
    <cellStyle name="40% - Accent1 2 5 2 3 2 2 3" xfId="15397" xr:uid="{00000000-0005-0000-0000-0000A9330000}"/>
    <cellStyle name="40% - Accent1 2 5 2 3 2 2 3 2" xfId="34797" xr:uid="{00000000-0005-0000-0000-0000AA330000}"/>
    <cellStyle name="40% - Accent1 2 5 2 3 2 2 4" xfId="25099" xr:uid="{00000000-0005-0000-0000-0000AB330000}"/>
    <cellStyle name="40% - Accent1 2 5 2 3 2 3" xfId="7628" xr:uid="{00000000-0005-0000-0000-0000AC330000}"/>
    <cellStyle name="40% - Accent1 2 5 2 3 2 3 2" xfId="17624" xr:uid="{00000000-0005-0000-0000-0000AD330000}"/>
    <cellStyle name="40% - Accent1 2 5 2 3 2 3 2 2" xfId="37024" xr:uid="{00000000-0005-0000-0000-0000AE330000}"/>
    <cellStyle name="40% - Accent1 2 5 2 3 2 3 3" xfId="27326" xr:uid="{00000000-0005-0000-0000-0000AF330000}"/>
    <cellStyle name="40% - Accent1 2 5 2 3 2 4" xfId="13169" xr:uid="{00000000-0005-0000-0000-0000B0330000}"/>
    <cellStyle name="40% - Accent1 2 5 2 3 2 4 2" xfId="32569" xr:uid="{00000000-0005-0000-0000-0000B1330000}"/>
    <cellStyle name="40% - Accent1 2 5 2 3 2 5" xfId="22871" xr:uid="{00000000-0005-0000-0000-0000B2330000}"/>
    <cellStyle name="40% - Accent1 2 5 2 3 3" xfId="3706" xr:uid="{00000000-0005-0000-0000-0000B3330000}"/>
    <cellStyle name="40% - Accent1 2 5 2 3 3 2" xfId="4836" xr:uid="{00000000-0005-0000-0000-0000B4330000}"/>
    <cellStyle name="40% - Accent1 2 5 2 3 3 2 2" xfId="9300" xr:uid="{00000000-0005-0000-0000-0000B5330000}"/>
    <cellStyle name="40% - Accent1 2 5 2 3 3 2 2 2" xfId="19296" xr:uid="{00000000-0005-0000-0000-0000B6330000}"/>
    <cellStyle name="40% - Accent1 2 5 2 3 3 2 2 2 2" xfId="38696" xr:uid="{00000000-0005-0000-0000-0000B7330000}"/>
    <cellStyle name="40% - Accent1 2 5 2 3 3 2 2 3" xfId="28998" xr:uid="{00000000-0005-0000-0000-0000B8330000}"/>
    <cellStyle name="40% - Accent1 2 5 2 3 3 2 3" xfId="14841" xr:uid="{00000000-0005-0000-0000-0000B9330000}"/>
    <cellStyle name="40% - Accent1 2 5 2 3 3 2 3 2" xfId="34241" xr:uid="{00000000-0005-0000-0000-0000BA330000}"/>
    <cellStyle name="40% - Accent1 2 5 2 3 3 2 4" xfId="24543" xr:uid="{00000000-0005-0000-0000-0000BB330000}"/>
    <cellStyle name="40% - Accent1 2 5 2 3 3 3" xfId="8185" xr:uid="{00000000-0005-0000-0000-0000BC330000}"/>
    <cellStyle name="40% - Accent1 2 5 2 3 3 3 2" xfId="18181" xr:uid="{00000000-0005-0000-0000-0000BD330000}"/>
    <cellStyle name="40% - Accent1 2 5 2 3 3 3 2 2" xfId="37581" xr:uid="{00000000-0005-0000-0000-0000BE330000}"/>
    <cellStyle name="40% - Accent1 2 5 2 3 3 3 3" xfId="27883" xr:uid="{00000000-0005-0000-0000-0000BF330000}"/>
    <cellStyle name="40% - Accent1 2 5 2 3 3 4" xfId="13726" xr:uid="{00000000-0005-0000-0000-0000C0330000}"/>
    <cellStyle name="40% - Accent1 2 5 2 3 3 4 2" xfId="33126" xr:uid="{00000000-0005-0000-0000-0000C1330000}"/>
    <cellStyle name="40% - Accent1 2 5 2 3 3 5" xfId="23428" xr:uid="{00000000-0005-0000-0000-0000C2330000}"/>
    <cellStyle name="40% - Accent1 2 5 2 3 4" xfId="4279" xr:uid="{00000000-0005-0000-0000-0000C3330000}"/>
    <cellStyle name="40% - Accent1 2 5 2 3 4 2" xfId="8743" xr:uid="{00000000-0005-0000-0000-0000C4330000}"/>
    <cellStyle name="40% - Accent1 2 5 2 3 4 2 2" xfId="18739" xr:uid="{00000000-0005-0000-0000-0000C5330000}"/>
    <cellStyle name="40% - Accent1 2 5 2 3 4 2 2 2" xfId="38139" xr:uid="{00000000-0005-0000-0000-0000C6330000}"/>
    <cellStyle name="40% - Accent1 2 5 2 3 4 2 3" xfId="28441" xr:uid="{00000000-0005-0000-0000-0000C7330000}"/>
    <cellStyle name="40% - Accent1 2 5 2 3 4 3" xfId="14284" xr:uid="{00000000-0005-0000-0000-0000C8330000}"/>
    <cellStyle name="40% - Accent1 2 5 2 3 4 3 2" xfId="33684" xr:uid="{00000000-0005-0000-0000-0000C9330000}"/>
    <cellStyle name="40% - Accent1 2 5 2 3 4 4" xfId="23986" xr:uid="{00000000-0005-0000-0000-0000CA330000}"/>
    <cellStyle name="40% - Accent1 2 5 2 3 5" xfId="5949" xr:uid="{00000000-0005-0000-0000-0000CB330000}"/>
    <cellStyle name="40% - Accent1 2 5 2 3 5 2" xfId="10413" xr:uid="{00000000-0005-0000-0000-0000CC330000}"/>
    <cellStyle name="40% - Accent1 2 5 2 3 5 2 2" xfId="20409" xr:uid="{00000000-0005-0000-0000-0000CD330000}"/>
    <cellStyle name="40% - Accent1 2 5 2 3 5 2 2 2" xfId="39809" xr:uid="{00000000-0005-0000-0000-0000CE330000}"/>
    <cellStyle name="40% - Accent1 2 5 2 3 5 2 3" xfId="30111" xr:uid="{00000000-0005-0000-0000-0000CF330000}"/>
    <cellStyle name="40% - Accent1 2 5 2 3 5 3" xfId="15954" xr:uid="{00000000-0005-0000-0000-0000D0330000}"/>
    <cellStyle name="40% - Accent1 2 5 2 3 5 3 2" xfId="35354" xr:uid="{00000000-0005-0000-0000-0000D1330000}"/>
    <cellStyle name="40% - Accent1 2 5 2 3 5 4" xfId="25656" xr:uid="{00000000-0005-0000-0000-0000D2330000}"/>
    <cellStyle name="40% - Accent1 2 5 2 3 6" xfId="6515" xr:uid="{00000000-0005-0000-0000-0000D3330000}"/>
    <cellStyle name="40% - Accent1 2 5 2 3 6 2" xfId="10970" xr:uid="{00000000-0005-0000-0000-0000D4330000}"/>
    <cellStyle name="40% - Accent1 2 5 2 3 6 2 2" xfId="20966" xr:uid="{00000000-0005-0000-0000-0000D5330000}"/>
    <cellStyle name="40% - Accent1 2 5 2 3 6 2 2 2" xfId="40366" xr:uid="{00000000-0005-0000-0000-0000D6330000}"/>
    <cellStyle name="40% - Accent1 2 5 2 3 6 2 3" xfId="30668" xr:uid="{00000000-0005-0000-0000-0000D7330000}"/>
    <cellStyle name="40% - Accent1 2 5 2 3 6 3" xfId="16511" xr:uid="{00000000-0005-0000-0000-0000D8330000}"/>
    <cellStyle name="40% - Accent1 2 5 2 3 6 3 2" xfId="35911" xr:uid="{00000000-0005-0000-0000-0000D9330000}"/>
    <cellStyle name="40% - Accent1 2 5 2 3 6 4" xfId="26213" xr:uid="{00000000-0005-0000-0000-0000DA330000}"/>
    <cellStyle name="40% - Accent1 2 5 2 3 7" xfId="7072" xr:uid="{00000000-0005-0000-0000-0000DB330000}"/>
    <cellStyle name="40% - Accent1 2 5 2 3 7 2" xfId="17068" xr:uid="{00000000-0005-0000-0000-0000DC330000}"/>
    <cellStyle name="40% - Accent1 2 5 2 3 7 2 2" xfId="36468" xr:uid="{00000000-0005-0000-0000-0000DD330000}"/>
    <cellStyle name="40% - Accent1 2 5 2 3 7 3" xfId="26770" xr:uid="{00000000-0005-0000-0000-0000DE330000}"/>
    <cellStyle name="40% - Accent1 2 5 2 3 8" xfId="12612" xr:uid="{00000000-0005-0000-0000-0000DF330000}"/>
    <cellStyle name="40% - Accent1 2 5 2 3 8 2" xfId="32013" xr:uid="{00000000-0005-0000-0000-0000E0330000}"/>
    <cellStyle name="40% - Accent1 2 5 2 3 9" xfId="22315" xr:uid="{00000000-0005-0000-0000-0000E1330000}"/>
    <cellStyle name="40% - Accent1 2 5 2 4" xfId="3121" xr:uid="{00000000-0005-0000-0000-0000E2330000}"/>
    <cellStyle name="40% - Accent1 2 5 2 4 2" xfId="5390" xr:uid="{00000000-0005-0000-0000-0000E3330000}"/>
    <cellStyle name="40% - Accent1 2 5 2 4 2 2" xfId="9854" xr:uid="{00000000-0005-0000-0000-0000E4330000}"/>
    <cellStyle name="40% - Accent1 2 5 2 4 2 2 2" xfId="19850" xr:uid="{00000000-0005-0000-0000-0000E5330000}"/>
    <cellStyle name="40% - Accent1 2 5 2 4 2 2 2 2" xfId="39250" xr:uid="{00000000-0005-0000-0000-0000E6330000}"/>
    <cellStyle name="40% - Accent1 2 5 2 4 2 2 3" xfId="29552" xr:uid="{00000000-0005-0000-0000-0000E7330000}"/>
    <cellStyle name="40% - Accent1 2 5 2 4 2 3" xfId="15395" xr:uid="{00000000-0005-0000-0000-0000E8330000}"/>
    <cellStyle name="40% - Accent1 2 5 2 4 2 3 2" xfId="34795" xr:uid="{00000000-0005-0000-0000-0000E9330000}"/>
    <cellStyle name="40% - Accent1 2 5 2 4 2 4" xfId="25097" xr:uid="{00000000-0005-0000-0000-0000EA330000}"/>
    <cellStyle name="40% - Accent1 2 5 2 4 3" xfId="7626" xr:uid="{00000000-0005-0000-0000-0000EB330000}"/>
    <cellStyle name="40% - Accent1 2 5 2 4 3 2" xfId="17622" xr:uid="{00000000-0005-0000-0000-0000EC330000}"/>
    <cellStyle name="40% - Accent1 2 5 2 4 3 2 2" xfId="37022" xr:uid="{00000000-0005-0000-0000-0000ED330000}"/>
    <cellStyle name="40% - Accent1 2 5 2 4 3 3" xfId="27324" xr:uid="{00000000-0005-0000-0000-0000EE330000}"/>
    <cellStyle name="40% - Accent1 2 5 2 4 4" xfId="13167" xr:uid="{00000000-0005-0000-0000-0000EF330000}"/>
    <cellStyle name="40% - Accent1 2 5 2 4 4 2" xfId="32567" xr:uid="{00000000-0005-0000-0000-0000F0330000}"/>
    <cellStyle name="40% - Accent1 2 5 2 4 5" xfId="22869" xr:uid="{00000000-0005-0000-0000-0000F1330000}"/>
    <cellStyle name="40% - Accent1 2 5 2 5" xfId="3704" xr:uid="{00000000-0005-0000-0000-0000F2330000}"/>
    <cellStyle name="40% - Accent1 2 5 2 5 2" xfId="4834" xr:uid="{00000000-0005-0000-0000-0000F3330000}"/>
    <cellStyle name="40% - Accent1 2 5 2 5 2 2" xfId="9298" xr:uid="{00000000-0005-0000-0000-0000F4330000}"/>
    <cellStyle name="40% - Accent1 2 5 2 5 2 2 2" xfId="19294" xr:uid="{00000000-0005-0000-0000-0000F5330000}"/>
    <cellStyle name="40% - Accent1 2 5 2 5 2 2 2 2" xfId="38694" xr:uid="{00000000-0005-0000-0000-0000F6330000}"/>
    <cellStyle name="40% - Accent1 2 5 2 5 2 2 3" xfId="28996" xr:uid="{00000000-0005-0000-0000-0000F7330000}"/>
    <cellStyle name="40% - Accent1 2 5 2 5 2 3" xfId="14839" xr:uid="{00000000-0005-0000-0000-0000F8330000}"/>
    <cellStyle name="40% - Accent1 2 5 2 5 2 3 2" xfId="34239" xr:uid="{00000000-0005-0000-0000-0000F9330000}"/>
    <cellStyle name="40% - Accent1 2 5 2 5 2 4" xfId="24541" xr:uid="{00000000-0005-0000-0000-0000FA330000}"/>
    <cellStyle name="40% - Accent1 2 5 2 5 3" xfId="8183" xr:uid="{00000000-0005-0000-0000-0000FB330000}"/>
    <cellStyle name="40% - Accent1 2 5 2 5 3 2" xfId="18179" xr:uid="{00000000-0005-0000-0000-0000FC330000}"/>
    <cellStyle name="40% - Accent1 2 5 2 5 3 2 2" xfId="37579" xr:uid="{00000000-0005-0000-0000-0000FD330000}"/>
    <cellStyle name="40% - Accent1 2 5 2 5 3 3" xfId="27881" xr:uid="{00000000-0005-0000-0000-0000FE330000}"/>
    <cellStyle name="40% - Accent1 2 5 2 5 4" xfId="13724" xr:uid="{00000000-0005-0000-0000-0000FF330000}"/>
    <cellStyle name="40% - Accent1 2 5 2 5 4 2" xfId="33124" xr:uid="{00000000-0005-0000-0000-000000340000}"/>
    <cellStyle name="40% - Accent1 2 5 2 5 5" xfId="23426" xr:uid="{00000000-0005-0000-0000-000001340000}"/>
    <cellStyle name="40% - Accent1 2 5 2 6" xfId="4277" xr:uid="{00000000-0005-0000-0000-000002340000}"/>
    <cellStyle name="40% - Accent1 2 5 2 6 2" xfId="8741" xr:uid="{00000000-0005-0000-0000-000003340000}"/>
    <cellStyle name="40% - Accent1 2 5 2 6 2 2" xfId="18737" xr:uid="{00000000-0005-0000-0000-000004340000}"/>
    <cellStyle name="40% - Accent1 2 5 2 6 2 2 2" xfId="38137" xr:uid="{00000000-0005-0000-0000-000005340000}"/>
    <cellStyle name="40% - Accent1 2 5 2 6 2 3" xfId="28439" xr:uid="{00000000-0005-0000-0000-000006340000}"/>
    <cellStyle name="40% - Accent1 2 5 2 6 3" xfId="14282" xr:uid="{00000000-0005-0000-0000-000007340000}"/>
    <cellStyle name="40% - Accent1 2 5 2 6 3 2" xfId="33682" xr:uid="{00000000-0005-0000-0000-000008340000}"/>
    <cellStyle name="40% - Accent1 2 5 2 6 4" xfId="23984" xr:uid="{00000000-0005-0000-0000-000009340000}"/>
    <cellStyle name="40% - Accent1 2 5 2 7" xfId="5947" xr:uid="{00000000-0005-0000-0000-00000A340000}"/>
    <cellStyle name="40% - Accent1 2 5 2 7 2" xfId="10411" xr:uid="{00000000-0005-0000-0000-00000B340000}"/>
    <cellStyle name="40% - Accent1 2 5 2 7 2 2" xfId="20407" xr:uid="{00000000-0005-0000-0000-00000C340000}"/>
    <cellStyle name="40% - Accent1 2 5 2 7 2 2 2" xfId="39807" xr:uid="{00000000-0005-0000-0000-00000D340000}"/>
    <cellStyle name="40% - Accent1 2 5 2 7 2 3" xfId="30109" xr:uid="{00000000-0005-0000-0000-00000E340000}"/>
    <cellStyle name="40% - Accent1 2 5 2 7 3" xfId="15952" xr:uid="{00000000-0005-0000-0000-00000F340000}"/>
    <cellStyle name="40% - Accent1 2 5 2 7 3 2" xfId="35352" xr:uid="{00000000-0005-0000-0000-000010340000}"/>
    <cellStyle name="40% - Accent1 2 5 2 7 4" xfId="25654" xr:uid="{00000000-0005-0000-0000-000011340000}"/>
    <cellStyle name="40% - Accent1 2 5 2 8" xfId="6513" xr:uid="{00000000-0005-0000-0000-000012340000}"/>
    <cellStyle name="40% - Accent1 2 5 2 8 2" xfId="10968" xr:uid="{00000000-0005-0000-0000-000013340000}"/>
    <cellStyle name="40% - Accent1 2 5 2 8 2 2" xfId="20964" xr:uid="{00000000-0005-0000-0000-000014340000}"/>
    <cellStyle name="40% - Accent1 2 5 2 8 2 2 2" xfId="40364" xr:uid="{00000000-0005-0000-0000-000015340000}"/>
    <cellStyle name="40% - Accent1 2 5 2 8 2 3" xfId="30666" xr:uid="{00000000-0005-0000-0000-000016340000}"/>
    <cellStyle name="40% - Accent1 2 5 2 8 3" xfId="16509" xr:uid="{00000000-0005-0000-0000-000017340000}"/>
    <cellStyle name="40% - Accent1 2 5 2 8 3 2" xfId="35909" xr:uid="{00000000-0005-0000-0000-000018340000}"/>
    <cellStyle name="40% - Accent1 2 5 2 8 4" xfId="26211" xr:uid="{00000000-0005-0000-0000-000019340000}"/>
    <cellStyle name="40% - Accent1 2 5 2 9" xfId="7070" xr:uid="{00000000-0005-0000-0000-00001A340000}"/>
    <cellStyle name="40% - Accent1 2 5 2 9 2" xfId="17066" xr:uid="{00000000-0005-0000-0000-00001B340000}"/>
    <cellStyle name="40% - Accent1 2 5 2 9 2 2" xfId="36466" xr:uid="{00000000-0005-0000-0000-00001C340000}"/>
    <cellStyle name="40% - Accent1 2 5 2 9 3" xfId="26768" xr:uid="{00000000-0005-0000-0000-00001D340000}"/>
    <cellStyle name="40% - Accent1 2 5 3" xfId="2133" xr:uid="{00000000-0005-0000-0000-00001E340000}"/>
    <cellStyle name="40% - Accent1 2 5 3 2" xfId="3124" xr:uid="{00000000-0005-0000-0000-00001F340000}"/>
    <cellStyle name="40% - Accent1 2 5 3 2 2" xfId="5393" xr:uid="{00000000-0005-0000-0000-000020340000}"/>
    <cellStyle name="40% - Accent1 2 5 3 2 2 2" xfId="9857" xr:uid="{00000000-0005-0000-0000-000021340000}"/>
    <cellStyle name="40% - Accent1 2 5 3 2 2 2 2" xfId="19853" xr:uid="{00000000-0005-0000-0000-000022340000}"/>
    <cellStyle name="40% - Accent1 2 5 3 2 2 2 2 2" xfId="39253" xr:uid="{00000000-0005-0000-0000-000023340000}"/>
    <cellStyle name="40% - Accent1 2 5 3 2 2 2 3" xfId="29555" xr:uid="{00000000-0005-0000-0000-000024340000}"/>
    <cellStyle name="40% - Accent1 2 5 3 2 2 3" xfId="15398" xr:uid="{00000000-0005-0000-0000-000025340000}"/>
    <cellStyle name="40% - Accent1 2 5 3 2 2 3 2" xfId="34798" xr:uid="{00000000-0005-0000-0000-000026340000}"/>
    <cellStyle name="40% - Accent1 2 5 3 2 2 4" xfId="25100" xr:uid="{00000000-0005-0000-0000-000027340000}"/>
    <cellStyle name="40% - Accent1 2 5 3 2 3" xfId="7629" xr:uid="{00000000-0005-0000-0000-000028340000}"/>
    <cellStyle name="40% - Accent1 2 5 3 2 3 2" xfId="17625" xr:uid="{00000000-0005-0000-0000-000029340000}"/>
    <cellStyle name="40% - Accent1 2 5 3 2 3 2 2" xfId="37025" xr:uid="{00000000-0005-0000-0000-00002A340000}"/>
    <cellStyle name="40% - Accent1 2 5 3 2 3 3" xfId="27327" xr:uid="{00000000-0005-0000-0000-00002B340000}"/>
    <cellStyle name="40% - Accent1 2 5 3 2 4" xfId="13170" xr:uid="{00000000-0005-0000-0000-00002C340000}"/>
    <cellStyle name="40% - Accent1 2 5 3 2 4 2" xfId="32570" xr:uid="{00000000-0005-0000-0000-00002D340000}"/>
    <cellStyle name="40% - Accent1 2 5 3 2 5" xfId="22872" xr:uid="{00000000-0005-0000-0000-00002E340000}"/>
    <cellStyle name="40% - Accent1 2 5 3 3" xfId="3707" xr:uid="{00000000-0005-0000-0000-00002F340000}"/>
    <cellStyle name="40% - Accent1 2 5 3 3 2" xfId="4837" xr:uid="{00000000-0005-0000-0000-000030340000}"/>
    <cellStyle name="40% - Accent1 2 5 3 3 2 2" xfId="9301" xr:uid="{00000000-0005-0000-0000-000031340000}"/>
    <cellStyle name="40% - Accent1 2 5 3 3 2 2 2" xfId="19297" xr:uid="{00000000-0005-0000-0000-000032340000}"/>
    <cellStyle name="40% - Accent1 2 5 3 3 2 2 2 2" xfId="38697" xr:uid="{00000000-0005-0000-0000-000033340000}"/>
    <cellStyle name="40% - Accent1 2 5 3 3 2 2 3" xfId="28999" xr:uid="{00000000-0005-0000-0000-000034340000}"/>
    <cellStyle name="40% - Accent1 2 5 3 3 2 3" xfId="14842" xr:uid="{00000000-0005-0000-0000-000035340000}"/>
    <cellStyle name="40% - Accent1 2 5 3 3 2 3 2" xfId="34242" xr:uid="{00000000-0005-0000-0000-000036340000}"/>
    <cellStyle name="40% - Accent1 2 5 3 3 2 4" xfId="24544" xr:uid="{00000000-0005-0000-0000-000037340000}"/>
    <cellStyle name="40% - Accent1 2 5 3 3 3" xfId="8186" xr:uid="{00000000-0005-0000-0000-000038340000}"/>
    <cellStyle name="40% - Accent1 2 5 3 3 3 2" xfId="18182" xr:uid="{00000000-0005-0000-0000-000039340000}"/>
    <cellStyle name="40% - Accent1 2 5 3 3 3 2 2" xfId="37582" xr:uid="{00000000-0005-0000-0000-00003A340000}"/>
    <cellStyle name="40% - Accent1 2 5 3 3 3 3" xfId="27884" xr:uid="{00000000-0005-0000-0000-00003B340000}"/>
    <cellStyle name="40% - Accent1 2 5 3 3 4" xfId="13727" xr:uid="{00000000-0005-0000-0000-00003C340000}"/>
    <cellStyle name="40% - Accent1 2 5 3 3 4 2" xfId="33127" xr:uid="{00000000-0005-0000-0000-00003D340000}"/>
    <cellStyle name="40% - Accent1 2 5 3 3 5" xfId="23429" xr:uid="{00000000-0005-0000-0000-00003E340000}"/>
    <cellStyle name="40% - Accent1 2 5 3 4" xfId="4280" xr:uid="{00000000-0005-0000-0000-00003F340000}"/>
    <cellStyle name="40% - Accent1 2 5 3 4 2" xfId="8744" xr:uid="{00000000-0005-0000-0000-000040340000}"/>
    <cellStyle name="40% - Accent1 2 5 3 4 2 2" xfId="18740" xr:uid="{00000000-0005-0000-0000-000041340000}"/>
    <cellStyle name="40% - Accent1 2 5 3 4 2 2 2" xfId="38140" xr:uid="{00000000-0005-0000-0000-000042340000}"/>
    <cellStyle name="40% - Accent1 2 5 3 4 2 3" xfId="28442" xr:uid="{00000000-0005-0000-0000-000043340000}"/>
    <cellStyle name="40% - Accent1 2 5 3 4 3" xfId="14285" xr:uid="{00000000-0005-0000-0000-000044340000}"/>
    <cellStyle name="40% - Accent1 2 5 3 4 3 2" xfId="33685" xr:uid="{00000000-0005-0000-0000-000045340000}"/>
    <cellStyle name="40% - Accent1 2 5 3 4 4" xfId="23987" xr:uid="{00000000-0005-0000-0000-000046340000}"/>
    <cellStyle name="40% - Accent1 2 5 3 5" xfId="5950" xr:uid="{00000000-0005-0000-0000-000047340000}"/>
    <cellStyle name="40% - Accent1 2 5 3 5 2" xfId="10414" xr:uid="{00000000-0005-0000-0000-000048340000}"/>
    <cellStyle name="40% - Accent1 2 5 3 5 2 2" xfId="20410" xr:uid="{00000000-0005-0000-0000-000049340000}"/>
    <cellStyle name="40% - Accent1 2 5 3 5 2 2 2" xfId="39810" xr:uid="{00000000-0005-0000-0000-00004A340000}"/>
    <cellStyle name="40% - Accent1 2 5 3 5 2 3" xfId="30112" xr:uid="{00000000-0005-0000-0000-00004B340000}"/>
    <cellStyle name="40% - Accent1 2 5 3 5 3" xfId="15955" xr:uid="{00000000-0005-0000-0000-00004C340000}"/>
    <cellStyle name="40% - Accent1 2 5 3 5 3 2" xfId="35355" xr:uid="{00000000-0005-0000-0000-00004D340000}"/>
    <cellStyle name="40% - Accent1 2 5 3 5 4" xfId="25657" xr:uid="{00000000-0005-0000-0000-00004E340000}"/>
    <cellStyle name="40% - Accent1 2 5 3 6" xfId="6516" xr:uid="{00000000-0005-0000-0000-00004F340000}"/>
    <cellStyle name="40% - Accent1 2 5 3 6 2" xfId="10971" xr:uid="{00000000-0005-0000-0000-000050340000}"/>
    <cellStyle name="40% - Accent1 2 5 3 6 2 2" xfId="20967" xr:uid="{00000000-0005-0000-0000-000051340000}"/>
    <cellStyle name="40% - Accent1 2 5 3 6 2 2 2" xfId="40367" xr:uid="{00000000-0005-0000-0000-000052340000}"/>
    <cellStyle name="40% - Accent1 2 5 3 6 2 3" xfId="30669" xr:uid="{00000000-0005-0000-0000-000053340000}"/>
    <cellStyle name="40% - Accent1 2 5 3 6 3" xfId="16512" xr:uid="{00000000-0005-0000-0000-000054340000}"/>
    <cellStyle name="40% - Accent1 2 5 3 6 3 2" xfId="35912" xr:uid="{00000000-0005-0000-0000-000055340000}"/>
    <cellStyle name="40% - Accent1 2 5 3 6 4" xfId="26214" xr:uid="{00000000-0005-0000-0000-000056340000}"/>
    <cellStyle name="40% - Accent1 2 5 3 7" xfId="7073" xr:uid="{00000000-0005-0000-0000-000057340000}"/>
    <cellStyle name="40% - Accent1 2 5 3 7 2" xfId="17069" xr:uid="{00000000-0005-0000-0000-000058340000}"/>
    <cellStyle name="40% - Accent1 2 5 3 7 2 2" xfId="36469" xr:uid="{00000000-0005-0000-0000-000059340000}"/>
    <cellStyle name="40% - Accent1 2 5 3 7 3" xfId="26771" xr:uid="{00000000-0005-0000-0000-00005A340000}"/>
    <cellStyle name="40% - Accent1 2 5 3 8" xfId="12613" xr:uid="{00000000-0005-0000-0000-00005B340000}"/>
    <cellStyle name="40% - Accent1 2 5 3 8 2" xfId="32014" xr:uid="{00000000-0005-0000-0000-00005C340000}"/>
    <cellStyle name="40% - Accent1 2 5 3 9" xfId="22316" xr:uid="{00000000-0005-0000-0000-00005D340000}"/>
    <cellStyle name="40% - Accent1 2 5 4" xfId="2134" xr:uid="{00000000-0005-0000-0000-00005E340000}"/>
    <cellStyle name="40% - Accent1 2 5 4 2" xfId="3125" xr:uid="{00000000-0005-0000-0000-00005F340000}"/>
    <cellStyle name="40% - Accent1 2 5 4 2 2" xfId="5394" xr:uid="{00000000-0005-0000-0000-000060340000}"/>
    <cellStyle name="40% - Accent1 2 5 4 2 2 2" xfId="9858" xr:uid="{00000000-0005-0000-0000-000061340000}"/>
    <cellStyle name="40% - Accent1 2 5 4 2 2 2 2" xfId="19854" xr:uid="{00000000-0005-0000-0000-000062340000}"/>
    <cellStyle name="40% - Accent1 2 5 4 2 2 2 2 2" xfId="39254" xr:uid="{00000000-0005-0000-0000-000063340000}"/>
    <cellStyle name="40% - Accent1 2 5 4 2 2 2 3" xfId="29556" xr:uid="{00000000-0005-0000-0000-000064340000}"/>
    <cellStyle name="40% - Accent1 2 5 4 2 2 3" xfId="15399" xr:uid="{00000000-0005-0000-0000-000065340000}"/>
    <cellStyle name="40% - Accent1 2 5 4 2 2 3 2" xfId="34799" xr:uid="{00000000-0005-0000-0000-000066340000}"/>
    <cellStyle name="40% - Accent1 2 5 4 2 2 4" xfId="25101" xr:uid="{00000000-0005-0000-0000-000067340000}"/>
    <cellStyle name="40% - Accent1 2 5 4 2 3" xfId="7630" xr:uid="{00000000-0005-0000-0000-000068340000}"/>
    <cellStyle name="40% - Accent1 2 5 4 2 3 2" xfId="17626" xr:uid="{00000000-0005-0000-0000-000069340000}"/>
    <cellStyle name="40% - Accent1 2 5 4 2 3 2 2" xfId="37026" xr:uid="{00000000-0005-0000-0000-00006A340000}"/>
    <cellStyle name="40% - Accent1 2 5 4 2 3 3" xfId="27328" xr:uid="{00000000-0005-0000-0000-00006B340000}"/>
    <cellStyle name="40% - Accent1 2 5 4 2 4" xfId="13171" xr:uid="{00000000-0005-0000-0000-00006C340000}"/>
    <cellStyle name="40% - Accent1 2 5 4 2 4 2" xfId="32571" xr:uid="{00000000-0005-0000-0000-00006D340000}"/>
    <cellStyle name="40% - Accent1 2 5 4 2 5" xfId="22873" xr:uid="{00000000-0005-0000-0000-00006E340000}"/>
    <cellStyle name="40% - Accent1 2 5 4 3" xfId="3708" xr:uid="{00000000-0005-0000-0000-00006F340000}"/>
    <cellStyle name="40% - Accent1 2 5 4 3 2" xfId="4838" xr:uid="{00000000-0005-0000-0000-000070340000}"/>
    <cellStyle name="40% - Accent1 2 5 4 3 2 2" xfId="9302" xr:uid="{00000000-0005-0000-0000-000071340000}"/>
    <cellStyle name="40% - Accent1 2 5 4 3 2 2 2" xfId="19298" xr:uid="{00000000-0005-0000-0000-000072340000}"/>
    <cellStyle name="40% - Accent1 2 5 4 3 2 2 2 2" xfId="38698" xr:uid="{00000000-0005-0000-0000-000073340000}"/>
    <cellStyle name="40% - Accent1 2 5 4 3 2 2 3" xfId="29000" xr:uid="{00000000-0005-0000-0000-000074340000}"/>
    <cellStyle name="40% - Accent1 2 5 4 3 2 3" xfId="14843" xr:uid="{00000000-0005-0000-0000-000075340000}"/>
    <cellStyle name="40% - Accent1 2 5 4 3 2 3 2" xfId="34243" xr:uid="{00000000-0005-0000-0000-000076340000}"/>
    <cellStyle name="40% - Accent1 2 5 4 3 2 4" xfId="24545" xr:uid="{00000000-0005-0000-0000-000077340000}"/>
    <cellStyle name="40% - Accent1 2 5 4 3 3" xfId="8187" xr:uid="{00000000-0005-0000-0000-000078340000}"/>
    <cellStyle name="40% - Accent1 2 5 4 3 3 2" xfId="18183" xr:uid="{00000000-0005-0000-0000-000079340000}"/>
    <cellStyle name="40% - Accent1 2 5 4 3 3 2 2" xfId="37583" xr:uid="{00000000-0005-0000-0000-00007A340000}"/>
    <cellStyle name="40% - Accent1 2 5 4 3 3 3" xfId="27885" xr:uid="{00000000-0005-0000-0000-00007B340000}"/>
    <cellStyle name="40% - Accent1 2 5 4 3 4" xfId="13728" xr:uid="{00000000-0005-0000-0000-00007C340000}"/>
    <cellStyle name="40% - Accent1 2 5 4 3 4 2" xfId="33128" xr:uid="{00000000-0005-0000-0000-00007D340000}"/>
    <cellStyle name="40% - Accent1 2 5 4 3 5" xfId="23430" xr:uid="{00000000-0005-0000-0000-00007E340000}"/>
    <cellStyle name="40% - Accent1 2 5 4 4" xfId="4281" xr:uid="{00000000-0005-0000-0000-00007F340000}"/>
    <cellStyle name="40% - Accent1 2 5 4 4 2" xfId="8745" xr:uid="{00000000-0005-0000-0000-000080340000}"/>
    <cellStyle name="40% - Accent1 2 5 4 4 2 2" xfId="18741" xr:uid="{00000000-0005-0000-0000-000081340000}"/>
    <cellStyle name="40% - Accent1 2 5 4 4 2 2 2" xfId="38141" xr:uid="{00000000-0005-0000-0000-000082340000}"/>
    <cellStyle name="40% - Accent1 2 5 4 4 2 3" xfId="28443" xr:uid="{00000000-0005-0000-0000-000083340000}"/>
    <cellStyle name="40% - Accent1 2 5 4 4 3" xfId="14286" xr:uid="{00000000-0005-0000-0000-000084340000}"/>
    <cellStyle name="40% - Accent1 2 5 4 4 3 2" xfId="33686" xr:uid="{00000000-0005-0000-0000-000085340000}"/>
    <cellStyle name="40% - Accent1 2 5 4 4 4" xfId="23988" xr:uid="{00000000-0005-0000-0000-000086340000}"/>
    <cellStyle name="40% - Accent1 2 5 4 5" xfId="5951" xr:uid="{00000000-0005-0000-0000-000087340000}"/>
    <cellStyle name="40% - Accent1 2 5 4 5 2" xfId="10415" xr:uid="{00000000-0005-0000-0000-000088340000}"/>
    <cellStyle name="40% - Accent1 2 5 4 5 2 2" xfId="20411" xr:uid="{00000000-0005-0000-0000-000089340000}"/>
    <cellStyle name="40% - Accent1 2 5 4 5 2 2 2" xfId="39811" xr:uid="{00000000-0005-0000-0000-00008A340000}"/>
    <cellStyle name="40% - Accent1 2 5 4 5 2 3" xfId="30113" xr:uid="{00000000-0005-0000-0000-00008B340000}"/>
    <cellStyle name="40% - Accent1 2 5 4 5 3" xfId="15956" xr:uid="{00000000-0005-0000-0000-00008C340000}"/>
    <cellStyle name="40% - Accent1 2 5 4 5 3 2" xfId="35356" xr:uid="{00000000-0005-0000-0000-00008D340000}"/>
    <cellStyle name="40% - Accent1 2 5 4 5 4" xfId="25658" xr:uid="{00000000-0005-0000-0000-00008E340000}"/>
    <cellStyle name="40% - Accent1 2 5 4 6" xfId="6517" xr:uid="{00000000-0005-0000-0000-00008F340000}"/>
    <cellStyle name="40% - Accent1 2 5 4 6 2" xfId="10972" xr:uid="{00000000-0005-0000-0000-000090340000}"/>
    <cellStyle name="40% - Accent1 2 5 4 6 2 2" xfId="20968" xr:uid="{00000000-0005-0000-0000-000091340000}"/>
    <cellStyle name="40% - Accent1 2 5 4 6 2 2 2" xfId="40368" xr:uid="{00000000-0005-0000-0000-000092340000}"/>
    <cellStyle name="40% - Accent1 2 5 4 6 2 3" xfId="30670" xr:uid="{00000000-0005-0000-0000-000093340000}"/>
    <cellStyle name="40% - Accent1 2 5 4 6 3" xfId="16513" xr:uid="{00000000-0005-0000-0000-000094340000}"/>
    <cellStyle name="40% - Accent1 2 5 4 6 3 2" xfId="35913" xr:uid="{00000000-0005-0000-0000-000095340000}"/>
    <cellStyle name="40% - Accent1 2 5 4 6 4" xfId="26215" xr:uid="{00000000-0005-0000-0000-000096340000}"/>
    <cellStyle name="40% - Accent1 2 5 4 7" xfId="7074" xr:uid="{00000000-0005-0000-0000-000097340000}"/>
    <cellStyle name="40% - Accent1 2 5 4 7 2" xfId="17070" xr:uid="{00000000-0005-0000-0000-000098340000}"/>
    <cellStyle name="40% - Accent1 2 5 4 7 2 2" xfId="36470" xr:uid="{00000000-0005-0000-0000-000099340000}"/>
    <cellStyle name="40% - Accent1 2 5 4 7 3" xfId="26772" xr:uid="{00000000-0005-0000-0000-00009A340000}"/>
    <cellStyle name="40% - Accent1 2 5 4 8" xfId="12614" xr:uid="{00000000-0005-0000-0000-00009B340000}"/>
    <cellStyle name="40% - Accent1 2 5 4 8 2" xfId="32015" xr:uid="{00000000-0005-0000-0000-00009C340000}"/>
    <cellStyle name="40% - Accent1 2 5 4 9" xfId="22317" xr:uid="{00000000-0005-0000-0000-00009D340000}"/>
    <cellStyle name="40% - Accent1 2 6" xfId="1216" xr:uid="{00000000-0005-0000-0000-00009E340000}"/>
    <cellStyle name="40% - Accent1 2 6 2" xfId="2135" xr:uid="{00000000-0005-0000-0000-00009F340000}"/>
    <cellStyle name="40% - Accent1 2 6 2 2" xfId="3126" xr:uid="{00000000-0005-0000-0000-0000A0340000}"/>
    <cellStyle name="40% - Accent1 2 6 2 2 2" xfId="5395" xr:uid="{00000000-0005-0000-0000-0000A1340000}"/>
    <cellStyle name="40% - Accent1 2 6 2 2 2 2" xfId="9859" xr:uid="{00000000-0005-0000-0000-0000A2340000}"/>
    <cellStyle name="40% - Accent1 2 6 2 2 2 2 2" xfId="19855" xr:uid="{00000000-0005-0000-0000-0000A3340000}"/>
    <cellStyle name="40% - Accent1 2 6 2 2 2 2 2 2" xfId="39255" xr:uid="{00000000-0005-0000-0000-0000A4340000}"/>
    <cellStyle name="40% - Accent1 2 6 2 2 2 2 3" xfId="29557" xr:uid="{00000000-0005-0000-0000-0000A5340000}"/>
    <cellStyle name="40% - Accent1 2 6 2 2 2 3" xfId="15400" xr:uid="{00000000-0005-0000-0000-0000A6340000}"/>
    <cellStyle name="40% - Accent1 2 6 2 2 2 3 2" xfId="34800" xr:uid="{00000000-0005-0000-0000-0000A7340000}"/>
    <cellStyle name="40% - Accent1 2 6 2 2 2 4" xfId="25102" xr:uid="{00000000-0005-0000-0000-0000A8340000}"/>
    <cellStyle name="40% - Accent1 2 6 2 2 3" xfId="7631" xr:uid="{00000000-0005-0000-0000-0000A9340000}"/>
    <cellStyle name="40% - Accent1 2 6 2 2 3 2" xfId="17627" xr:uid="{00000000-0005-0000-0000-0000AA340000}"/>
    <cellStyle name="40% - Accent1 2 6 2 2 3 2 2" xfId="37027" xr:uid="{00000000-0005-0000-0000-0000AB340000}"/>
    <cellStyle name="40% - Accent1 2 6 2 2 3 3" xfId="27329" xr:uid="{00000000-0005-0000-0000-0000AC340000}"/>
    <cellStyle name="40% - Accent1 2 6 2 2 4" xfId="13172" xr:uid="{00000000-0005-0000-0000-0000AD340000}"/>
    <cellStyle name="40% - Accent1 2 6 2 2 4 2" xfId="32572" xr:uid="{00000000-0005-0000-0000-0000AE340000}"/>
    <cellStyle name="40% - Accent1 2 6 2 2 5" xfId="22874" xr:uid="{00000000-0005-0000-0000-0000AF340000}"/>
    <cellStyle name="40% - Accent1 2 6 2 3" xfId="3709" xr:uid="{00000000-0005-0000-0000-0000B0340000}"/>
    <cellStyle name="40% - Accent1 2 6 2 3 2" xfId="4839" xr:uid="{00000000-0005-0000-0000-0000B1340000}"/>
    <cellStyle name="40% - Accent1 2 6 2 3 2 2" xfId="9303" xr:uid="{00000000-0005-0000-0000-0000B2340000}"/>
    <cellStyle name="40% - Accent1 2 6 2 3 2 2 2" xfId="19299" xr:uid="{00000000-0005-0000-0000-0000B3340000}"/>
    <cellStyle name="40% - Accent1 2 6 2 3 2 2 2 2" xfId="38699" xr:uid="{00000000-0005-0000-0000-0000B4340000}"/>
    <cellStyle name="40% - Accent1 2 6 2 3 2 2 3" xfId="29001" xr:uid="{00000000-0005-0000-0000-0000B5340000}"/>
    <cellStyle name="40% - Accent1 2 6 2 3 2 3" xfId="14844" xr:uid="{00000000-0005-0000-0000-0000B6340000}"/>
    <cellStyle name="40% - Accent1 2 6 2 3 2 3 2" xfId="34244" xr:uid="{00000000-0005-0000-0000-0000B7340000}"/>
    <cellStyle name="40% - Accent1 2 6 2 3 2 4" xfId="24546" xr:uid="{00000000-0005-0000-0000-0000B8340000}"/>
    <cellStyle name="40% - Accent1 2 6 2 3 3" xfId="8188" xr:uid="{00000000-0005-0000-0000-0000B9340000}"/>
    <cellStyle name="40% - Accent1 2 6 2 3 3 2" xfId="18184" xr:uid="{00000000-0005-0000-0000-0000BA340000}"/>
    <cellStyle name="40% - Accent1 2 6 2 3 3 2 2" xfId="37584" xr:uid="{00000000-0005-0000-0000-0000BB340000}"/>
    <cellStyle name="40% - Accent1 2 6 2 3 3 3" xfId="27886" xr:uid="{00000000-0005-0000-0000-0000BC340000}"/>
    <cellStyle name="40% - Accent1 2 6 2 3 4" xfId="13729" xr:uid="{00000000-0005-0000-0000-0000BD340000}"/>
    <cellStyle name="40% - Accent1 2 6 2 3 4 2" xfId="33129" xr:uid="{00000000-0005-0000-0000-0000BE340000}"/>
    <cellStyle name="40% - Accent1 2 6 2 3 5" xfId="23431" xr:uid="{00000000-0005-0000-0000-0000BF340000}"/>
    <cellStyle name="40% - Accent1 2 6 2 4" xfId="4282" xr:uid="{00000000-0005-0000-0000-0000C0340000}"/>
    <cellStyle name="40% - Accent1 2 6 2 4 2" xfId="8746" xr:uid="{00000000-0005-0000-0000-0000C1340000}"/>
    <cellStyle name="40% - Accent1 2 6 2 4 2 2" xfId="18742" xr:uid="{00000000-0005-0000-0000-0000C2340000}"/>
    <cellStyle name="40% - Accent1 2 6 2 4 2 2 2" xfId="38142" xr:uid="{00000000-0005-0000-0000-0000C3340000}"/>
    <cellStyle name="40% - Accent1 2 6 2 4 2 3" xfId="28444" xr:uid="{00000000-0005-0000-0000-0000C4340000}"/>
    <cellStyle name="40% - Accent1 2 6 2 4 3" xfId="14287" xr:uid="{00000000-0005-0000-0000-0000C5340000}"/>
    <cellStyle name="40% - Accent1 2 6 2 4 3 2" xfId="33687" xr:uid="{00000000-0005-0000-0000-0000C6340000}"/>
    <cellStyle name="40% - Accent1 2 6 2 4 4" xfId="23989" xr:uid="{00000000-0005-0000-0000-0000C7340000}"/>
    <cellStyle name="40% - Accent1 2 6 2 5" xfId="5952" xr:uid="{00000000-0005-0000-0000-0000C8340000}"/>
    <cellStyle name="40% - Accent1 2 6 2 5 2" xfId="10416" xr:uid="{00000000-0005-0000-0000-0000C9340000}"/>
    <cellStyle name="40% - Accent1 2 6 2 5 2 2" xfId="20412" xr:uid="{00000000-0005-0000-0000-0000CA340000}"/>
    <cellStyle name="40% - Accent1 2 6 2 5 2 2 2" xfId="39812" xr:uid="{00000000-0005-0000-0000-0000CB340000}"/>
    <cellStyle name="40% - Accent1 2 6 2 5 2 3" xfId="30114" xr:uid="{00000000-0005-0000-0000-0000CC340000}"/>
    <cellStyle name="40% - Accent1 2 6 2 5 3" xfId="15957" xr:uid="{00000000-0005-0000-0000-0000CD340000}"/>
    <cellStyle name="40% - Accent1 2 6 2 5 3 2" xfId="35357" xr:uid="{00000000-0005-0000-0000-0000CE340000}"/>
    <cellStyle name="40% - Accent1 2 6 2 5 4" xfId="25659" xr:uid="{00000000-0005-0000-0000-0000CF340000}"/>
    <cellStyle name="40% - Accent1 2 6 2 6" xfId="6518" xr:uid="{00000000-0005-0000-0000-0000D0340000}"/>
    <cellStyle name="40% - Accent1 2 6 2 6 2" xfId="10973" xr:uid="{00000000-0005-0000-0000-0000D1340000}"/>
    <cellStyle name="40% - Accent1 2 6 2 6 2 2" xfId="20969" xr:uid="{00000000-0005-0000-0000-0000D2340000}"/>
    <cellStyle name="40% - Accent1 2 6 2 6 2 2 2" xfId="40369" xr:uid="{00000000-0005-0000-0000-0000D3340000}"/>
    <cellStyle name="40% - Accent1 2 6 2 6 2 3" xfId="30671" xr:uid="{00000000-0005-0000-0000-0000D4340000}"/>
    <cellStyle name="40% - Accent1 2 6 2 6 3" xfId="16514" xr:uid="{00000000-0005-0000-0000-0000D5340000}"/>
    <cellStyle name="40% - Accent1 2 6 2 6 3 2" xfId="35914" xr:uid="{00000000-0005-0000-0000-0000D6340000}"/>
    <cellStyle name="40% - Accent1 2 6 2 6 4" xfId="26216" xr:uid="{00000000-0005-0000-0000-0000D7340000}"/>
    <cellStyle name="40% - Accent1 2 6 2 7" xfId="7075" xr:uid="{00000000-0005-0000-0000-0000D8340000}"/>
    <cellStyle name="40% - Accent1 2 6 2 7 2" xfId="17071" xr:uid="{00000000-0005-0000-0000-0000D9340000}"/>
    <cellStyle name="40% - Accent1 2 6 2 7 2 2" xfId="36471" xr:uid="{00000000-0005-0000-0000-0000DA340000}"/>
    <cellStyle name="40% - Accent1 2 6 2 7 3" xfId="26773" xr:uid="{00000000-0005-0000-0000-0000DB340000}"/>
    <cellStyle name="40% - Accent1 2 6 2 8" xfId="12615" xr:uid="{00000000-0005-0000-0000-0000DC340000}"/>
    <cellStyle name="40% - Accent1 2 6 2 8 2" xfId="32016" xr:uid="{00000000-0005-0000-0000-0000DD340000}"/>
    <cellStyle name="40% - Accent1 2 6 2 9" xfId="22318" xr:uid="{00000000-0005-0000-0000-0000DE340000}"/>
    <cellStyle name="40% - Accent1 2 6 3" xfId="2136" xr:uid="{00000000-0005-0000-0000-0000DF340000}"/>
    <cellStyle name="40% - Accent1 2 6 3 2" xfId="3127" xr:uid="{00000000-0005-0000-0000-0000E0340000}"/>
    <cellStyle name="40% - Accent1 2 6 3 2 2" xfId="5396" xr:uid="{00000000-0005-0000-0000-0000E1340000}"/>
    <cellStyle name="40% - Accent1 2 6 3 2 2 2" xfId="9860" xr:uid="{00000000-0005-0000-0000-0000E2340000}"/>
    <cellStyle name="40% - Accent1 2 6 3 2 2 2 2" xfId="19856" xr:uid="{00000000-0005-0000-0000-0000E3340000}"/>
    <cellStyle name="40% - Accent1 2 6 3 2 2 2 2 2" xfId="39256" xr:uid="{00000000-0005-0000-0000-0000E4340000}"/>
    <cellStyle name="40% - Accent1 2 6 3 2 2 2 3" xfId="29558" xr:uid="{00000000-0005-0000-0000-0000E5340000}"/>
    <cellStyle name="40% - Accent1 2 6 3 2 2 3" xfId="15401" xr:uid="{00000000-0005-0000-0000-0000E6340000}"/>
    <cellStyle name="40% - Accent1 2 6 3 2 2 3 2" xfId="34801" xr:uid="{00000000-0005-0000-0000-0000E7340000}"/>
    <cellStyle name="40% - Accent1 2 6 3 2 2 4" xfId="25103" xr:uid="{00000000-0005-0000-0000-0000E8340000}"/>
    <cellStyle name="40% - Accent1 2 6 3 2 3" xfId="7632" xr:uid="{00000000-0005-0000-0000-0000E9340000}"/>
    <cellStyle name="40% - Accent1 2 6 3 2 3 2" xfId="17628" xr:uid="{00000000-0005-0000-0000-0000EA340000}"/>
    <cellStyle name="40% - Accent1 2 6 3 2 3 2 2" xfId="37028" xr:uid="{00000000-0005-0000-0000-0000EB340000}"/>
    <cellStyle name="40% - Accent1 2 6 3 2 3 3" xfId="27330" xr:uid="{00000000-0005-0000-0000-0000EC340000}"/>
    <cellStyle name="40% - Accent1 2 6 3 2 4" xfId="13173" xr:uid="{00000000-0005-0000-0000-0000ED340000}"/>
    <cellStyle name="40% - Accent1 2 6 3 2 4 2" xfId="32573" xr:uid="{00000000-0005-0000-0000-0000EE340000}"/>
    <cellStyle name="40% - Accent1 2 6 3 2 5" xfId="22875" xr:uid="{00000000-0005-0000-0000-0000EF340000}"/>
    <cellStyle name="40% - Accent1 2 6 3 3" xfId="3710" xr:uid="{00000000-0005-0000-0000-0000F0340000}"/>
    <cellStyle name="40% - Accent1 2 6 3 3 2" xfId="4840" xr:uid="{00000000-0005-0000-0000-0000F1340000}"/>
    <cellStyle name="40% - Accent1 2 6 3 3 2 2" xfId="9304" xr:uid="{00000000-0005-0000-0000-0000F2340000}"/>
    <cellStyle name="40% - Accent1 2 6 3 3 2 2 2" xfId="19300" xr:uid="{00000000-0005-0000-0000-0000F3340000}"/>
    <cellStyle name="40% - Accent1 2 6 3 3 2 2 2 2" xfId="38700" xr:uid="{00000000-0005-0000-0000-0000F4340000}"/>
    <cellStyle name="40% - Accent1 2 6 3 3 2 2 3" xfId="29002" xr:uid="{00000000-0005-0000-0000-0000F5340000}"/>
    <cellStyle name="40% - Accent1 2 6 3 3 2 3" xfId="14845" xr:uid="{00000000-0005-0000-0000-0000F6340000}"/>
    <cellStyle name="40% - Accent1 2 6 3 3 2 3 2" xfId="34245" xr:uid="{00000000-0005-0000-0000-0000F7340000}"/>
    <cellStyle name="40% - Accent1 2 6 3 3 2 4" xfId="24547" xr:uid="{00000000-0005-0000-0000-0000F8340000}"/>
    <cellStyle name="40% - Accent1 2 6 3 3 3" xfId="8189" xr:uid="{00000000-0005-0000-0000-0000F9340000}"/>
    <cellStyle name="40% - Accent1 2 6 3 3 3 2" xfId="18185" xr:uid="{00000000-0005-0000-0000-0000FA340000}"/>
    <cellStyle name="40% - Accent1 2 6 3 3 3 2 2" xfId="37585" xr:uid="{00000000-0005-0000-0000-0000FB340000}"/>
    <cellStyle name="40% - Accent1 2 6 3 3 3 3" xfId="27887" xr:uid="{00000000-0005-0000-0000-0000FC340000}"/>
    <cellStyle name="40% - Accent1 2 6 3 3 4" xfId="13730" xr:uid="{00000000-0005-0000-0000-0000FD340000}"/>
    <cellStyle name="40% - Accent1 2 6 3 3 4 2" xfId="33130" xr:uid="{00000000-0005-0000-0000-0000FE340000}"/>
    <cellStyle name="40% - Accent1 2 6 3 3 5" xfId="23432" xr:uid="{00000000-0005-0000-0000-0000FF340000}"/>
    <cellStyle name="40% - Accent1 2 6 3 4" xfId="4283" xr:uid="{00000000-0005-0000-0000-000000350000}"/>
    <cellStyle name="40% - Accent1 2 6 3 4 2" xfId="8747" xr:uid="{00000000-0005-0000-0000-000001350000}"/>
    <cellStyle name="40% - Accent1 2 6 3 4 2 2" xfId="18743" xr:uid="{00000000-0005-0000-0000-000002350000}"/>
    <cellStyle name="40% - Accent1 2 6 3 4 2 2 2" xfId="38143" xr:uid="{00000000-0005-0000-0000-000003350000}"/>
    <cellStyle name="40% - Accent1 2 6 3 4 2 3" xfId="28445" xr:uid="{00000000-0005-0000-0000-000004350000}"/>
    <cellStyle name="40% - Accent1 2 6 3 4 3" xfId="14288" xr:uid="{00000000-0005-0000-0000-000005350000}"/>
    <cellStyle name="40% - Accent1 2 6 3 4 3 2" xfId="33688" xr:uid="{00000000-0005-0000-0000-000006350000}"/>
    <cellStyle name="40% - Accent1 2 6 3 4 4" xfId="23990" xr:uid="{00000000-0005-0000-0000-000007350000}"/>
    <cellStyle name="40% - Accent1 2 6 3 5" xfId="5953" xr:uid="{00000000-0005-0000-0000-000008350000}"/>
    <cellStyle name="40% - Accent1 2 6 3 5 2" xfId="10417" xr:uid="{00000000-0005-0000-0000-000009350000}"/>
    <cellStyle name="40% - Accent1 2 6 3 5 2 2" xfId="20413" xr:uid="{00000000-0005-0000-0000-00000A350000}"/>
    <cellStyle name="40% - Accent1 2 6 3 5 2 2 2" xfId="39813" xr:uid="{00000000-0005-0000-0000-00000B350000}"/>
    <cellStyle name="40% - Accent1 2 6 3 5 2 3" xfId="30115" xr:uid="{00000000-0005-0000-0000-00000C350000}"/>
    <cellStyle name="40% - Accent1 2 6 3 5 3" xfId="15958" xr:uid="{00000000-0005-0000-0000-00000D350000}"/>
    <cellStyle name="40% - Accent1 2 6 3 5 3 2" xfId="35358" xr:uid="{00000000-0005-0000-0000-00000E350000}"/>
    <cellStyle name="40% - Accent1 2 6 3 5 4" xfId="25660" xr:uid="{00000000-0005-0000-0000-00000F350000}"/>
    <cellStyle name="40% - Accent1 2 6 3 6" xfId="6519" xr:uid="{00000000-0005-0000-0000-000010350000}"/>
    <cellStyle name="40% - Accent1 2 6 3 6 2" xfId="10974" xr:uid="{00000000-0005-0000-0000-000011350000}"/>
    <cellStyle name="40% - Accent1 2 6 3 6 2 2" xfId="20970" xr:uid="{00000000-0005-0000-0000-000012350000}"/>
    <cellStyle name="40% - Accent1 2 6 3 6 2 2 2" xfId="40370" xr:uid="{00000000-0005-0000-0000-000013350000}"/>
    <cellStyle name="40% - Accent1 2 6 3 6 2 3" xfId="30672" xr:uid="{00000000-0005-0000-0000-000014350000}"/>
    <cellStyle name="40% - Accent1 2 6 3 6 3" xfId="16515" xr:uid="{00000000-0005-0000-0000-000015350000}"/>
    <cellStyle name="40% - Accent1 2 6 3 6 3 2" xfId="35915" xr:uid="{00000000-0005-0000-0000-000016350000}"/>
    <cellStyle name="40% - Accent1 2 6 3 6 4" xfId="26217" xr:uid="{00000000-0005-0000-0000-000017350000}"/>
    <cellStyle name="40% - Accent1 2 6 3 7" xfId="7076" xr:uid="{00000000-0005-0000-0000-000018350000}"/>
    <cellStyle name="40% - Accent1 2 6 3 7 2" xfId="17072" xr:uid="{00000000-0005-0000-0000-000019350000}"/>
    <cellStyle name="40% - Accent1 2 6 3 7 2 2" xfId="36472" xr:uid="{00000000-0005-0000-0000-00001A350000}"/>
    <cellStyle name="40% - Accent1 2 6 3 7 3" xfId="26774" xr:uid="{00000000-0005-0000-0000-00001B350000}"/>
    <cellStyle name="40% - Accent1 2 6 3 8" xfId="12616" xr:uid="{00000000-0005-0000-0000-00001C350000}"/>
    <cellStyle name="40% - Accent1 2 6 3 8 2" xfId="32017" xr:uid="{00000000-0005-0000-0000-00001D350000}"/>
    <cellStyle name="40% - Accent1 2 6 3 9" xfId="22319" xr:uid="{00000000-0005-0000-0000-00001E350000}"/>
    <cellStyle name="40% - Accent1 2 7" xfId="1722" xr:uid="{00000000-0005-0000-0000-00001F350000}"/>
    <cellStyle name="40% - Accent1 2 7 2" xfId="2894" xr:uid="{00000000-0005-0000-0000-000020350000}"/>
    <cellStyle name="40% - Accent1 2 7 2 2" xfId="5163" xr:uid="{00000000-0005-0000-0000-000021350000}"/>
    <cellStyle name="40% - Accent1 2 7 2 2 2" xfId="9627" xr:uid="{00000000-0005-0000-0000-000022350000}"/>
    <cellStyle name="40% - Accent1 2 7 2 2 2 2" xfId="19623" xr:uid="{00000000-0005-0000-0000-000023350000}"/>
    <cellStyle name="40% - Accent1 2 7 2 2 2 2 2" xfId="39023" xr:uid="{00000000-0005-0000-0000-000024350000}"/>
    <cellStyle name="40% - Accent1 2 7 2 2 2 3" xfId="29325" xr:uid="{00000000-0005-0000-0000-000025350000}"/>
    <cellStyle name="40% - Accent1 2 7 2 2 3" xfId="15168" xr:uid="{00000000-0005-0000-0000-000026350000}"/>
    <cellStyle name="40% - Accent1 2 7 2 2 3 2" xfId="34568" xr:uid="{00000000-0005-0000-0000-000027350000}"/>
    <cellStyle name="40% - Accent1 2 7 2 2 4" xfId="24870" xr:uid="{00000000-0005-0000-0000-000028350000}"/>
    <cellStyle name="40% - Accent1 2 7 2 3" xfId="7399" xr:uid="{00000000-0005-0000-0000-000029350000}"/>
    <cellStyle name="40% - Accent1 2 7 2 3 2" xfId="17395" xr:uid="{00000000-0005-0000-0000-00002A350000}"/>
    <cellStyle name="40% - Accent1 2 7 2 3 2 2" xfId="36795" xr:uid="{00000000-0005-0000-0000-00002B350000}"/>
    <cellStyle name="40% - Accent1 2 7 2 3 3" xfId="27097" xr:uid="{00000000-0005-0000-0000-00002C350000}"/>
    <cellStyle name="40% - Accent1 2 7 2 4" xfId="12940" xr:uid="{00000000-0005-0000-0000-00002D350000}"/>
    <cellStyle name="40% - Accent1 2 7 2 4 2" xfId="32340" xr:uid="{00000000-0005-0000-0000-00002E350000}"/>
    <cellStyle name="40% - Accent1 2 7 2 5" xfId="22642" xr:uid="{00000000-0005-0000-0000-00002F350000}"/>
    <cellStyle name="40% - Accent1 2 7 3" xfId="3477" xr:uid="{00000000-0005-0000-0000-000030350000}"/>
    <cellStyle name="40% - Accent1 2 7 3 2" xfId="4607" xr:uid="{00000000-0005-0000-0000-000031350000}"/>
    <cellStyle name="40% - Accent1 2 7 3 2 2" xfId="9071" xr:uid="{00000000-0005-0000-0000-000032350000}"/>
    <cellStyle name="40% - Accent1 2 7 3 2 2 2" xfId="19067" xr:uid="{00000000-0005-0000-0000-000033350000}"/>
    <cellStyle name="40% - Accent1 2 7 3 2 2 2 2" xfId="38467" xr:uid="{00000000-0005-0000-0000-000034350000}"/>
    <cellStyle name="40% - Accent1 2 7 3 2 2 3" xfId="28769" xr:uid="{00000000-0005-0000-0000-000035350000}"/>
    <cellStyle name="40% - Accent1 2 7 3 2 3" xfId="14612" xr:uid="{00000000-0005-0000-0000-000036350000}"/>
    <cellStyle name="40% - Accent1 2 7 3 2 3 2" xfId="34012" xr:uid="{00000000-0005-0000-0000-000037350000}"/>
    <cellStyle name="40% - Accent1 2 7 3 2 4" xfId="24314" xr:uid="{00000000-0005-0000-0000-000038350000}"/>
    <cellStyle name="40% - Accent1 2 7 3 3" xfId="7956" xr:uid="{00000000-0005-0000-0000-000039350000}"/>
    <cellStyle name="40% - Accent1 2 7 3 3 2" xfId="17952" xr:uid="{00000000-0005-0000-0000-00003A350000}"/>
    <cellStyle name="40% - Accent1 2 7 3 3 2 2" xfId="37352" xr:uid="{00000000-0005-0000-0000-00003B350000}"/>
    <cellStyle name="40% - Accent1 2 7 3 3 3" xfId="27654" xr:uid="{00000000-0005-0000-0000-00003C350000}"/>
    <cellStyle name="40% - Accent1 2 7 3 4" xfId="13497" xr:uid="{00000000-0005-0000-0000-00003D350000}"/>
    <cellStyle name="40% - Accent1 2 7 3 4 2" xfId="32897" xr:uid="{00000000-0005-0000-0000-00003E350000}"/>
    <cellStyle name="40% - Accent1 2 7 3 5" xfId="23199" xr:uid="{00000000-0005-0000-0000-00003F350000}"/>
    <cellStyle name="40% - Accent1 2 7 4" xfId="4050" xr:uid="{00000000-0005-0000-0000-000040350000}"/>
    <cellStyle name="40% - Accent1 2 7 4 2" xfId="8514" xr:uid="{00000000-0005-0000-0000-000041350000}"/>
    <cellStyle name="40% - Accent1 2 7 4 2 2" xfId="18510" xr:uid="{00000000-0005-0000-0000-000042350000}"/>
    <cellStyle name="40% - Accent1 2 7 4 2 2 2" xfId="37910" xr:uid="{00000000-0005-0000-0000-000043350000}"/>
    <cellStyle name="40% - Accent1 2 7 4 2 3" xfId="28212" xr:uid="{00000000-0005-0000-0000-000044350000}"/>
    <cellStyle name="40% - Accent1 2 7 4 3" xfId="14055" xr:uid="{00000000-0005-0000-0000-000045350000}"/>
    <cellStyle name="40% - Accent1 2 7 4 3 2" xfId="33455" xr:uid="{00000000-0005-0000-0000-000046350000}"/>
    <cellStyle name="40% - Accent1 2 7 4 4" xfId="23757" xr:uid="{00000000-0005-0000-0000-000047350000}"/>
    <cellStyle name="40% - Accent1 2 7 5" xfId="5720" xr:uid="{00000000-0005-0000-0000-000048350000}"/>
    <cellStyle name="40% - Accent1 2 7 5 2" xfId="10184" xr:uid="{00000000-0005-0000-0000-000049350000}"/>
    <cellStyle name="40% - Accent1 2 7 5 2 2" xfId="20180" xr:uid="{00000000-0005-0000-0000-00004A350000}"/>
    <cellStyle name="40% - Accent1 2 7 5 2 2 2" xfId="39580" xr:uid="{00000000-0005-0000-0000-00004B350000}"/>
    <cellStyle name="40% - Accent1 2 7 5 2 3" xfId="29882" xr:uid="{00000000-0005-0000-0000-00004C350000}"/>
    <cellStyle name="40% - Accent1 2 7 5 3" xfId="15725" xr:uid="{00000000-0005-0000-0000-00004D350000}"/>
    <cellStyle name="40% - Accent1 2 7 5 3 2" xfId="35125" xr:uid="{00000000-0005-0000-0000-00004E350000}"/>
    <cellStyle name="40% - Accent1 2 7 5 4" xfId="25427" xr:uid="{00000000-0005-0000-0000-00004F350000}"/>
    <cellStyle name="40% - Accent1 2 7 6" xfId="6286" xr:uid="{00000000-0005-0000-0000-000050350000}"/>
    <cellStyle name="40% - Accent1 2 7 6 2" xfId="10741" xr:uid="{00000000-0005-0000-0000-000051350000}"/>
    <cellStyle name="40% - Accent1 2 7 6 2 2" xfId="20737" xr:uid="{00000000-0005-0000-0000-000052350000}"/>
    <cellStyle name="40% - Accent1 2 7 6 2 2 2" xfId="40137" xr:uid="{00000000-0005-0000-0000-000053350000}"/>
    <cellStyle name="40% - Accent1 2 7 6 2 3" xfId="30439" xr:uid="{00000000-0005-0000-0000-000054350000}"/>
    <cellStyle name="40% - Accent1 2 7 6 3" xfId="16282" xr:uid="{00000000-0005-0000-0000-000055350000}"/>
    <cellStyle name="40% - Accent1 2 7 6 3 2" xfId="35682" xr:uid="{00000000-0005-0000-0000-000056350000}"/>
    <cellStyle name="40% - Accent1 2 7 6 4" xfId="25984" xr:uid="{00000000-0005-0000-0000-000057350000}"/>
    <cellStyle name="40% - Accent1 2 7 7" xfId="6843" xr:uid="{00000000-0005-0000-0000-000058350000}"/>
    <cellStyle name="40% - Accent1 2 7 7 2" xfId="16839" xr:uid="{00000000-0005-0000-0000-000059350000}"/>
    <cellStyle name="40% - Accent1 2 7 7 2 2" xfId="36239" xr:uid="{00000000-0005-0000-0000-00005A350000}"/>
    <cellStyle name="40% - Accent1 2 7 7 3" xfId="26541" xr:uid="{00000000-0005-0000-0000-00005B350000}"/>
    <cellStyle name="40% - Accent1 2 7 8" xfId="12383" xr:uid="{00000000-0005-0000-0000-00005C350000}"/>
    <cellStyle name="40% - Accent1 2 7 8 2" xfId="31784" xr:uid="{00000000-0005-0000-0000-00005D350000}"/>
    <cellStyle name="40% - Accent1 2 7 9" xfId="22086" xr:uid="{00000000-0005-0000-0000-00005E350000}"/>
    <cellStyle name="40% - Accent1 2 8" xfId="1836" xr:uid="{00000000-0005-0000-0000-00005F350000}"/>
    <cellStyle name="40% - Accent1 2 8 2" xfId="2913" xr:uid="{00000000-0005-0000-0000-000060350000}"/>
    <cellStyle name="40% - Accent1 2 8 2 2" xfId="5182" xr:uid="{00000000-0005-0000-0000-000061350000}"/>
    <cellStyle name="40% - Accent1 2 8 2 2 2" xfId="9646" xr:uid="{00000000-0005-0000-0000-000062350000}"/>
    <cellStyle name="40% - Accent1 2 8 2 2 2 2" xfId="19642" xr:uid="{00000000-0005-0000-0000-000063350000}"/>
    <cellStyle name="40% - Accent1 2 8 2 2 2 2 2" xfId="39042" xr:uid="{00000000-0005-0000-0000-000064350000}"/>
    <cellStyle name="40% - Accent1 2 8 2 2 2 3" xfId="29344" xr:uid="{00000000-0005-0000-0000-000065350000}"/>
    <cellStyle name="40% - Accent1 2 8 2 2 3" xfId="15187" xr:uid="{00000000-0005-0000-0000-000066350000}"/>
    <cellStyle name="40% - Accent1 2 8 2 2 3 2" xfId="34587" xr:uid="{00000000-0005-0000-0000-000067350000}"/>
    <cellStyle name="40% - Accent1 2 8 2 2 4" xfId="24889" xr:uid="{00000000-0005-0000-0000-000068350000}"/>
    <cellStyle name="40% - Accent1 2 8 2 3" xfId="7418" xr:uid="{00000000-0005-0000-0000-000069350000}"/>
    <cellStyle name="40% - Accent1 2 8 2 3 2" xfId="17414" xr:uid="{00000000-0005-0000-0000-00006A350000}"/>
    <cellStyle name="40% - Accent1 2 8 2 3 2 2" xfId="36814" xr:uid="{00000000-0005-0000-0000-00006B350000}"/>
    <cellStyle name="40% - Accent1 2 8 2 3 3" xfId="27116" xr:uid="{00000000-0005-0000-0000-00006C350000}"/>
    <cellStyle name="40% - Accent1 2 8 2 4" xfId="12959" xr:uid="{00000000-0005-0000-0000-00006D350000}"/>
    <cellStyle name="40% - Accent1 2 8 2 4 2" xfId="32359" xr:uid="{00000000-0005-0000-0000-00006E350000}"/>
    <cellStyle name="40% - Accent1 2 8 2 5" xfId="22661" xr:uid="{00000000-0005-0000-0000-00006F350000}"/>
    <cellStyle name="40% - Accent1 2 8 3" xfId="3496" xr:uid="{00000000-0005-0000-0000-000070350000}"/>
    <cellStyle name="40% - Accent1 2 8 3 2" xfId="4626" xr:uid="{00000000-0005-0000-0000-000071350000}"/>
    <cellStyle name="40% - Accent1 2 8 3 2 2" xfId="9090" xr:uid="{00000000-0005-0000-0000-000072350000}"/>
    <cellStyle name="40% - Accent1 2 8 3 2 2 2" xfId="19086" xr:uid="{00000000-0005-0000-0000-000073350000}"/>
    <cellStyle name="40% - Accent1 2 8 3 2 2 2 2" xfId="38486" xr:uid="{00000000-0005-0000-0000-000074350000}"/>
    <cellStyle name="40% - Accent1 2 8 3 2 2 3" xfId="28788" xr:uid="{00000000-0005-0000-0000-000075350000}"/>
    <cellStyle name="40% - Accent1 2 8 3 2 3" xfId="14631" xr:uid="{00000000-0005-0000-0000-000076350000}"/>
    <cellStyle name="40% - Accent1 2 8 3 2 3 2" xfId="34031" xr:uid="{00000000-0005-0000-0000-000077350000}"/>
    <cellStyle name="40% - Accent1 2 8 3 2 4" xfId="24333" xr:uid="{00000000-0005-0000-0000-000078350000}"/>
    <cellStyle name="40% - Accent1 2 8 3 3" xfId="7975" xr:uid="{00000000-0005-0000-0000-000079350000}"/>
    <cellStyle name="40% - Accent1 2 8 3 3 2" xfId="17971" xr:uid="{00000000-0005-0000-0000-00007A350000}"/>
    <cellStyle name="40% - Accent1 2 8 3 3 2 2" xfId="37371" xr:uid="{00000000-0005-0000-0000-00007B350000}"/>
    <cellStyle name="40% - Accent1 2 8 3 3 3" xfId="27673" xr:uid="{00000000-0005-0000-0000-00007C350000}"/>
    <cellStyle name="40% - Accent1 2 8 3 4" xfId="13516" xr:uid="{00000000-0005-0000-0000-00007D350000}"/>
    <cellStyle name="40% - Accent1 2 8 3 4 2" xfId="32916" xr:uid="{00000000-0005-0000-0000-00007E350000}"/>
    <cellStyle name="40% - Accent1 2 8 3 5" xfId="23218" xr:uid="{00000000-0005-0000-0000-00007F350000}"/>
    <cellStyle name="40% - Accent1 2 8 4" xfId="4069" xr:uid="{00000000-0005-0000-0000-000080350000}"/>
    <cellStyle name="40% - Accent1 2 8 4 2" xfId="8533" xr:uid="{00000000-0005-0000-0000-000081350000}"/>
    <cellStyle name="40% - Accent1 2 8 4 2 2" xfId="18529" xr:uid="{00000000-0005-0000-0000-000082350000}"/>
    <cellStyle name="40% - Accent1 2 8 4 2 2 2" xfId="37929" xr:uid="{00000000-0005-0000-0000-000083350000}"/>
    <cellStyle name="40% - Accent1 2 8 4 2 3" xfId="28231" xr:uid="{00000000-0005-0000-0000-000084350000}"/>
    <cellStyle name="40% - Accent1 2 8 4 3" xfId="14074" xr:uid="{00000000-0005-0000-0000-000085350000}"/>
    <cellStyle name="40% - Accent1 2 8 4 3 2" xfId="33474" xr:uid="{00000000-0005-0000-0000-000086350000}"/>
    <cellStyle name="40% - Accent1 2 8 4 4" xfId="23776" xr:uid="{00000000-0005-0000-0000-000087350000}"/>
    <cellStyle name="40% - Accent1 2 8 5" xfId="5739" xr:uid="{00000000-0005-0000-0000-000088350000}"/>
    <cellStyle name="40% - Accent1 2 8 5 2" xfId="10203" xr:uid="{00000000-0005-0000-0000-000089350000}"/>
    <cellStyle name="40% - Accent1 2 8 5 2 2" xfId="20199" xr:uid="{00000000-0005-0000-0000-00008A350000}"/>
    <cellStyle name="40% - Accent1 2 8 5 2 2 2" xfId="39599" xr:uid="{00000000-0005-0000-0000-00008B350000}"/>
    <cellStyle name="40% - Accent1 2 8 5 2 3" xfId="29901" xr:uid="{00000000-0005-0000-0000-00008C350000}"/>
    <cellStyle name="40% - Accent1 2 8 5 3" xfId="15744" xr:uid="{00000000-0005-0000-0000-00008D350000}"/>
    <cellStyle name="40% - Accent1 2 8 5 3 2" xfId="35144" xr:uid="{00000000-0005-0000-0000-00008E350000}"/>
    <cellStyle name="40% - Accent1 2 8 5 4" xfId="25446" xr:uid="{00000000-0005-0000-0000-00008F350000}"/>
    <cellStyle name="40% - Accent1 2 8 6" xfId="6305" xr:uid="{00000000-0005-0000-0000-000090350000}"/>
    <cellStyle name="40% - Accent1 2 8 6 2" xfId="10760" xr:uid="{00000000-0005-0000-0000-000091350000}"/>
    <cellStyle name="40% - Accent1 2 8 6 2 2" xfId="20756" xr:uid="{00000000-0005-0000-0000-000092350000}"/>
    <cellStyle name="40% - Accent1 2 8 6 2 2 2" xfId="40156" xr:uid="{00000000-0005-0000-0000-000093350000}"/>
    <cellStyle name="40% - Accent1 2 8 6 2 3" xfId="30458" xr:uid="{00000000-0005-0000-0000-000094350000}"/>
    <cellStyle name="40% - Accent1 2 8 6 3" xfId="16301" xr:uid="{00000000-0005-0000-0000-000095350000}"/>
    <cellStyle name="40% - Accent1 2 8 6 3 2" xfId="35701" xr:uid="{00000000-0005-0000-0000-000096350000}"/>
    <cellStyle name="40% - Accent1 2 8 6 4" xfId="26003" xr:uid="{00000000-0005-0000-0000-000097350000}"/>
    <cellStyle name="40% - Accent1 2 8 7" xfId="6862" xr:uid="{00000000-0005-0000-0000-000098350000}"/>
    <cellStyle name="40% - Accent1 2 8 7 2" xfId="16858" xr:uid="{00000000-0005-0000-0000-000099350000}"/>
    <cellStyle name="40% - Accent1 2 8 7 2 2" xfId="36258" xr:uid="{00000000-0005-0000-0000-00009A350000}"/>
    <cellStyle name="40% - Accent1 2 8 7 3" xfId="26560" xr:uid="{00000000-0005-0000-0000-00009B350000}"/>
    <cellStyle name="40% - Accent1 2 8 8" xfId="12402" xr:uid="{00000000-0005-0000-0000-00009C350000}"/>
    <cellStyle name="40% - Accent1 2 8 8 2" xfId="31803" xr:uid="{00000000-0005-0000-0000-00009D350000}"/>
    <cellStyle name="40% - Accent1 2 8 9" xfId="22105" xr:uid="{00000000-0005-0000-0000-00009E350000}"/>
    <cellStyle name="40% - Accent1 2 9" xfId="2137" xr:uid="{00000000-0005-0000-0000-00009F350000}"/>
    <cellStyle name="40% - Accent1 20" xfId="1080" xr:uid="{00000000-0005-0000-0000-0000A0350000}"/>
    <cellStyle name="40% - Accent1 20 2" xfId="11951" xr:uid="{00000000-0005-0000-0000-0000A1350000}"/>
    <cellStyle name="40% - Accent1 20 2 2" xfId="21655" xr:uid="{00000000-0005-0000-0000-0000A2350000}"/>
    <cellStyle name="40% - Accent1 20 2 2 2" xfId="41055" xr:uid="{00000000-0005-0000-0000-0000A3350000}"/>
    <cellStyle name="40% - Accent1 20 2 3" xfId="31357" xr:uid="{00000000-0005-0000-0000-0000A4350000}"/>
    <cellStyle name="40% - Accent1 20 3" xfId="12307" xr:uid="{00000000-0005-0000-0000-0000A5350000}"/>
    <cellStyle name="40% - Accent1 20 3 2" xfId="31710" xr:uid="{00000000-0005-0000-0000-0000A6350000}"/>
    <cellStyle name="40% - Accent1 20 4" xfId="22012" xr:uid="{00000000-0005-0000-0000-0000A7350000}"/>
    <cellStyle name="40% - Accent1 21" xfId="11834" xr:uid="{00000000-0005-0000-0000-0000A8350000}"/>
    <cellStyle name="40% - Accent1 21 2" xfId="21538" xr:uid="{00000000-0005-0000-0000-0000A9350000}"/>
    <cellStyle name="40% - Accent1 21 2 2" xfId="40938" xr:uid="{00000000-0005-0000-0000-0000AA350000}"/>
    <cellStyle name="40% - Accent1 21 3" xfId="31240" xr:uid="{00000000-0005-0000-0000-0000AB350000}"/>
    <cellStyle name="40% - Accent1 22" xfId="12190" xr:uid="{00000000-0005-0000-0000-0000AC350000}"/>
    <cellStyle name="40% - Accent1 22 2" xfId="31593" xr:uid="{00000000-0005-0000-0000-0000AD350000}"/>
    <cellStyle name="40% - Accent1 23" xfId="21895" xr:uid="{00000000-0005-0000-0000-0000AE350000}"/>
    <cellStyle name="40% - Accent1 3" xfId="92" xr:uid="{00000000-0005-0000-0000-0000AF350000}"/>
    <cellStyle name="40% - Accent1 3 2" xfId="2138" xr:uid="{00000000-0005-0000-0000-0000B0350000}"/>
    <cellStyle name="40% - Accent1 3 3" xfId="2610" xr:uid="{00000000-0005-0000-0000-0000B1350000}"/>
    <cellStyle name="40% - Accent1 3 4" xfId="11395" xr:uid="{00000000-0005-0000-0000-0000B2350000}"/>
    <cellStyle name="40% - Accent1 3 5" xfId="1218" xr:uid="{00000000-0005-0000-0000-0000B3350000}"/>
    <cellStyle name="40% - Accent1 4" xfId="93" xr:uid="{00000000-0005-0000-0000-0000B4350000}"/>
    <cellStyle name="40% - Accent1 4 2" xfId="2776" xr:uid="{00000000-0005-0000-0000-0000B5350000}"/>
    <cellStyle name="40% - Accent1 4 3" xfId="11396" xr:uid="{00000000-0005-0000-0000-0000B6350000}"/>
    <cellStyle name="40% - Accent1 4 4" xfId="1220" xr:uid="{00000000-0005-0000-0000-0000B7350000}"/>
    <cellStyle name="40% - Accent1 5" xfId="94" xr:uid="{00000000-0005-0000-0000-0000B8350000}"/>
    <cellStyle name="40% - Accent1 5 2" xfId="11397" xr:uid="{00000000-0005-0000-0000-0000B9350000}"/>
    <cellStyle name="40% - Accent1 5 3" xfId="1668" xr:uid="{00000000-0005-0000-0000-0000BA350000}"/>
    <cellStyle name="40% - Accent1 6" xfId="95" xr:uid="{00000000-0005-0000-0000-0000BB350000}"/>
    <cellStyle name="40% - Accent1 6 2" xfId="11398" xr:uid="{00000000-0005-0000-0000-0000BC350000}"/>
    <cellStyle name="40% - Accent1 6 3" xfId="1835" xr:uid="{00000000-0005-0000-0000-0000BD350000}"/>
    <cellStyle name="40% - Accent1 7" xfId="96" xr:uid="{00000000-0005-0000-0000-0000BE350000}"/>
    <cellStyle name="40% - Accent1 8" xfId="97" xr:uid="{00000000-0005-0000-0000-0000BF350000}"/>
    <cellStyle name="40% - Accent1 9" xfId="98" xr:uid="{00000000-0005-0000-0000-0000C0350000}"/>
    <cellStyle name="40% - Accent2" xfId="946" builtinId="35" customBuiltin="1"/>
    <cellStyle name="40% - Accent2 10" xfId="99" xr:uid="{00000000-0005-0000-0000-0000C2350000}"/>
    <cellStyle name="40% - Accent2 11" xfId="100" xr:uid="{00000000-0005-0000-0000-0000C3350000}"/>
    <cellStyle name="40% - Accent2 12" xfId="101" xr:uid="{00000000-0005-0000-0000-0000C4350000}"/>
    <cellStyle name="40% - Accent2 13" xfId="102" xr:uid="{00000000-0005-0000-0000-0000C5350000}"/>
    <cellStyle name="40% - Accent2 14" xfId="103" xr:uid="{00000000-0005-0000-0000-0000C6350000}"/>
    <cellStyle name="40% - Accent2 15" xfId="104" xr:uid="{00000000-0005-0000-0000-0000C7350000}"/>
    <cellStyle name="40% - Accent2 16" xfId="677" xr:uid="{00000000-0005-0000-0000-0000C8350000}"/>
    <cellStyle name="40% - Accent2 17" xfId="992" xr:uid="{00000000-0005-0000-0000-0000C9350000}"/>
    <cellStyle name="40% - Accent2 17 2" xfId="11863" xr:uid="{00000000-0005-0000-0000-0000CA350000}"/>
    <cellStyle name="40% - Accent2 17 2 2" xfId="21567" xr:uid="{00000000-0005-0000-0000-0000CB350000}"/>
    <cellStyle name="40% - Accent2 17 2 2 2" xfId="40967" xr:uid="{00000000-0005-0000-0000-0000CC350000}"/>
    <cellStyle name="40% - Accent2 17 2 3" xfId="31269" xr:uid="{00000000-0005-0000-0000-0000CD350000}"/>
    <cellStyle name="40% - Accent2 17 3" xfId="12219" xr:uid="{00000000-0005-0000-0000-0000CE350000}"/>
    <cellStyle name="40% - Accent2 17 3 2" xfId="31622" xr:uid="{00000000-0005-0000-0000-0000CF350000}"/>
    <cellStyle name="40% - Accent2 17 4" xfId="21924" xr:uid="{00000000-0005-0000-0000-0000D0350000}"/>
    <cellStyle name="40% - Accent2 18" xfId="1019" xr:uid="{00000000-0005-0000-0000-0000D1350000}"/>
    <cellStyle name="40% - Accent2 18 2" xfId="11890" xr:uid="{00000000-0005-0000-0000-0000D2350000}"/>
    <cellStyle name="40% - Accent2 18 2 2" xfId="21594" xr:uid="{00000000-0005-0000-0000-0000D3350000}"/>
    <cellStyle name="40% - Accent2 18 2 2 2" xfId="40994" xr:uid="{00000000-0005-0000-0000-0000D4350000}"/>
    <cellStyle name="40% - Accent2 18 2 3" xfId="31296" xr:uid="{00000000-0005-0000-0000-0000D5350000}"/>
    <cellStyle name="40% - Accent2 18 3" xfId="12246" xr:uid="{00000000-0005-0000-0000-0000D6350000}"/>
    <cellStyle name="40% - Accent2 18 3 2" xfId="31649" xr:uid="{00000000-0005-0000-0000-0000D7350000}"/>
    <cellStyle name="40% - Accent2 18 4" xfId="21951" xr:uid="{00000000-0005-0000-0000-0000D8350000}"/>
    <cellStyle name="40% - Accent2 19" xfId="1067" xr:uid="{00000000-0005-0000-0000-0000D9350000}"/>
    <cellStyle name="40% - Accent2 19 2" xfId="11938" xr:uid="{00000000-0005-0000-0000-0000DA350000}"/>
    <cellStyle name="40% - Accent2 19 2 2" xfId="21642" xr:uid="{00000000-0005-0000-0000-0000DB350000}"/>
    <cellStyle name="40% - Accent2 19 2 2 2" xfId="41042" xr:uid="{00000000-0005-0000-0000-0000DC350000}"/>
    <cellStyle name="40% - Accent2 19 2 3" xfId="31344" xr:uid="{00000000-0005-0000-0000-0000DD350000}"/>
    <cellStyle name="40% - Accent2 19 3" xfId="12294" xr:uid="{00000000-0005-0000-0000-0000DE350000}"/>
    <cellStyle name="40% - Accent2 19 3 2" xfId="31697" xr:uid="{00000000-0005-0000-0000-0000DF350000}"/>
    <cellStyle name="40% - Accent2 19 4" xfId="21999" xr:uid="{00000000-0005-0000-0000-0000E0350000}"/>
    <cellStyle name="40% - Accent2 2" xfId="105" xr:uid="{00000000-0005-0000-0000-0000E1350000}"/>
    <cellStyle name="40% - Accent2 2 10" xfId="2139" xr:uid="{00000000-0005-0000-0000-0000E2350000}"/>
    <cellStyle name="40% - Accent2 2 10 2" xfId="3128" xr:uid="{00000000-0005-0000-0000-0000E3350000}"/>
    <cellStyle name="40% - Accent2 2 10 2 2" xfId="5397" xr:uid="{00000000-0005-0000-0000-0000E4350000}"/>
    <cellStyle name="40% - Accent2 2 10 2 2 2" xfId="9861" xr:uid="{00000000-0005-0000-0000-0000E5350000}"/>
    <cellStyle name="40% - Accent2 2 10 2 2 2 2" xfId="19857" xr:uid="{00000000-0005-0000-0000-0000E6350000}"/>
    <cellStyle name="40% - Accent2 2 10 2 2 2 2 2" xfId="39257" xr:uid="{00000000-0005-0000-0000-0000E7350000}"/>
    <cellStyle name="40% - Accent2 2 10 2 2 2 3" xfId="29559" xr:uid="{00000000-0005-0000-0000-0000E8350000}"/>
    <cellStyle name="40% - Accent2 2 10 2 2 3" xfId="15402" xr:uid="{00000000-0005-0000-0000-0000E9350000}"/>
    <cellStyle name="40% - Accent2 2 10 2 2 3 2" xfId="34802" xr:uid="{00000000-0005-0000-0000-0000EA350000}"/>
    <cellStyle name="40% - Accent2 2 10 2 2 4" xfId="25104" xr:uid="{00000000-0005-0000-0000-0000EB350000}"/>
    <cellStyle name="40% - Accent2 2 10 2 3" xfId="7633" xr:uid="{00000000-0005-0000-0000-0000EC350000}"/>
    <cellStyle name="40% - Accent2 2 10 2 3 2" xfId="17629" xr:uid="{00000000-0005-0000-0000-0000ED350000}"/>
    <cellStyle name="40% - Accent2 2 10 2 3 2 2" xfId="37029" xr:uid="{00000000-0005-0000-0000-0000EE350000}"/>
    <cellStyle name="40% - Accent2 2 10 2 3 3" xfId="27331" xr:uid="{00000000-0005-0000-0000-0000EF350000}"/>
    <cellStyle name="40% - Accent2 2 10 2 4" xfId="13174" xr:uid="{00000000-0005-0000-0000-0000F0350000}"/>
    <cellStyle name="40% - Accent2 2 10 2 4 2" xfId="32574" xr:uid="{00000000-0005-0000-0000-0000F1350000}"/>
    <cellStyle name="40% - Accent2 2 10 2 5" xfId="22876" xr:uid="{00000000-0005-0000-0000-0000F2350000}"/>
    <cellStyle name="40% - Accent2 2 10 3" xfId="3711" xr:uid="{00000000-0005-0000-0000-0000F3350000}"/>
    <cellStyle name="40% - Accent2 2 10 3 2" xfId="4841" xr:uid="{00000000-0005-0000-0000-0000F4350000}"/>
    <cellStyle name="40% - Accent2 2 10 3 2 2" xfId="9305" xr:uid="{00000000-0005-0000-0000-0000F5350000}"/>
    <cellStyle name="40% - Accent2 2 10 3 2 2 2" xfId="19301" xr:uid="{00000000-0005-0000-0000-0000F6350000}"/>
    <cellStyle name="40% - Accent2 2 10 3 2 2 2 2" xfId="38701" xr:uid="{00000000-0005-0000-0000-0000F7350000}"/>
    <cellStyle name="40% - Accent2 2 10 3 2 2 3" xfId="29003" xr:uid="{00000000-0005-0000-0000-0000F8350000}"/>
    <cellStyle name="40% - Accent2 2 10 3 2 3" xfId="14846" xr:uid="{00000000-0005-0000-0000-0000F9350000}"/>
    <cellStyle name="40% - Accent2 2 10 3 2 3 2" xfId="34246" xr:uid="{00000000-0005-0000-0000-0000FA350000}"/>
    <cellStyle name="40% - Accent2 2 10 3 2 4" xfId="24548" xr:uid="{00000000-0005-0000-0000-0000FB350000}"/>
    <cellStyle name="40% - Accent2 2 10 3 3" xfId="8190" xr:uid="{00000000-0005-0000-0000-0000FC350000}"/>
    <cellStyle name="40% - Accent2 2 10 3 3 2" xfId="18186" xr:uid="{00000000-0005-0000-0000-0000FD350000}"/>
    <cellStyle name="40% - Accent2 2 10 3 3 2 2" xfId="37586" xr:uid="{00000000-0005-0000-0000-0000FE350000}"/>
    <cellStyle name="40% - Accent2 2 10 3 3 3" xfId="27888" xr:uid="{00000000-0005-0000-0000-0000FF350000}"/>
    <cellStyle name="40% - Accent2 2 10 3 4" xfId="13731" xr:uid="{00000000-0005-0000-0000-000000360000}"/>
    <cellStyle name="40% - Accent2 2 10 3 4 2" xfId="33131" xr:uid="{00000000-0005-0000-0000-000001360000}"/>
    <cellStyle name="40% - Accent2 2 10 3 5" xfId="23433" xr:uid="{00000000-0005-0000-0000-000002360000}"/>
    <cellStyle name="40% - Accent2 2 10 4" xfId="4284" xr:uid="{00000000-0005-0000-0000-000003360000}"/>
    <cellStyle name="40% - Accent2 2 10 4 2" xfId="8748" xr:uid="{00000000-0005-0000-0000-000004360000}"/>
    <cellStyle name="40% - Accent2 2 10 4 2 2" xfId="18744" xr:uid="{00000000-0005-0000-0000-000005360000}"/>
    <cellStyle name="40% - Accent2 2 10 4 2 2 2" xfId="38144" xr:uid="{00000000-0005-0000-0000-000006360000}"/>
    <cellStyle name="40% - Accent2 2 10 4 2 3" xfId="28446" xr:uid="{00000000-0005-0000-0000-000007360000}"/>
    <cellStyle name="40% - Accent2 2 10 4 3" xfId="14289" xr:uid="{00000000-0005-0000-0000-000008360000}"/>
    <cellStyle name="40% - Accent2 2 10 4 3 2" xfId="33689" xr:uid="{00000000-0005-0000-0000-000009360000}"/>
    <cellStyle name="40% - Accent2 2 10 4 4" xfId="23991" xr:uid="{00000000-0005-0000-0000-00000A360000}"/>
    <cellStyle name="40% - Accent2 2 10 5" xfId="5954" xr:uid="{00000000-0005-0000-0000-00000B360000}"/>
    <cellStyle name="40% - Accent2 2 10 5 2" xfId="10418" xr:uid="{00000000-0005-0000-0000-00000C360000}"/>
    <cellStyle name="40% - Accent2 2 10 5 2 2" xfId="20414" xr:uid="{00000000-0005-0000-0000-00000D360000}"/>
    <cellStyle name="40% - Accent2 2 10 5 2 2 2" xfId="39814" xr:uid="{00000000-0005-0000-0000-00000E360000}"/>
    <cellStyle name="40% - Accent2 2 10 5 2 3" xfId="30116" xr:uid="{00000000-0005-0000-0000-00000F360000}"/>
    <cellStyle name="40% - Accent2 2 10 5 3" xfId="15959" xr:uid="{00000000-0005-0000-0000-000010360000}"/>
    <cellStyle name="40% - Accent2 2 10 5 3 2" xfId="35359" xr:uid="{00000000-0005-0000-0000-000011360000}"/>
    <cellStyle name="40% - Accent2 2 10 5 4" xfId="25661" xr:uid="{00000000-0005-0000-0000-000012360000}"/>
    <cellStyle name="40% - Accent2 2 10 6" xfId="6520" xr:uid="{00000000-0005-0000-0000-000013360000}"/>
    <cellStyle name="40% - Accent2 2 10 6 2" xfId="10975" xr:uid="{00000000-0005-0000-0000-000014360000}"/>
    <cellStyle name="40% - Accent2 2 10 6 2 2" xfId="20971" xr:uid="{00000000-0005-0000-0000-000015360000}"/>
    <cellStyle name="40% - Accent2 2 10 6 2 2 2" xfId="40371" xr:uid="{00000000-0005-0000-0000-000016360000}"/>
    <cellStyle name="40% - Accent2 2 10 6 2 3" xfId="30673" xr:uid="{00000000-0005-0000-0000-000017360000}"/>
    <cellStyle name="40% - Accent2 2 10 6 3" xfId="16516" xr:uid="{00000000-0005-0000-0000-000018360000}"/>
    <cellStyle name="40% - Accent2 2 10 6 3 2" xfId="35916" xr:uid="{00000000-0005-0000-0000-000019360000}"/>
    <cellStyle name="40% - Accent2 2 10 6 4" xfId="26218" xr:uid="{00000000-0005-0000-0000-00001A360000}"/>
    <cellStyle name="40% - Accent2 2 10 7" xfId="7077" xr:uid="{00000000-0005-0000-0000-00001B360000}"/>
    <cellStyle name="40% - Accent2 2 10 7 2" xfId="17073" xr:uid="{00000000-0005-0000-0000-00001C360000}"/>
    <cellStyle name="40% - Accent2 2 10 7 2 2" xfId="36473" xr:uid="{00000000-0005-0000-0000-00001D360000}"/>
    <cellStyle name="40% - Accent2 2 10 7 3" xfId="26775" xr:uid="{00000000-0005-0000-0000-00001E360000}"/>
    <cellStyle name="40% - Accent2 2 10 8" xfId="12617" xr:uid="{00000000-0005-0000-0000-00001F360000}"/>
    <cellStyle name="40% - Accent2 2 10 8 2" xfId="32018" xr:uid="{00000000-0005-0000-0000-000020360000}"/>
    <cellStyle name="40% - Accent2 2 10 9" xfId="22320" xr:uid="{00000000-0005-0000-0000-000021360000}"/>
    <cellStyle name="40% - Accent2 2 11" xfId="11307" xr:uid="{00000000-0005-0000-0000-000022360000}"/>
    <cellStyle name="40% - Accent2 2 11 2" xfId="21292" xr:uid="{00000000-0005-0000-0000-000023360000}"/>
    <cellStyle name="40% - Accent2 2 11 2 2" xfId="40692" xr:uid="{00000000-0005-0000-0000-000024360000}"/>
    <cellStyle name="40% - Accent2 2 11 3" xfId="30994" xr:uid="{00000000-0005-0000-0000-000025360000}"/>
    <cellStyle name="40% - Accent2 2 12" xfId="11336" xr:uid="{00000000-0005-0000-0000-000026360000}"/>
    <cellStyle name="40% - Accent2 2 12 2" xfId="21318" xr:uid="{00000000-0005-0000-0000-000027360000}"/>
    <cellStyle name="40% - Accent2 2 12 2 2" xfId="40718" xr:uid="{00000000-0005-0000-0000-000028360000}"/>
    <cellStyle name="40% - Accent2 2 12 3" xfId="31020" xr:uid="{00000000-0005-0000-0000-000029360000}"/>
    <cellStyle name="40% - Accent2 2 13" xfId="1222" xr:uid="{00000000-0005-0000-0000-00002A360000}"/>
    <cellStyle name="40% - Accent2 2 14" xfId="1132" xr:uid="{00000000-0005-0000-0000-00002B360000}"/>
    <cellStyle name="40% - Accent2 2 14 2" xfId="12351" xr:uid="{00000000-0005-0000-0000-00002C360000}"/>
    <cellStyle name="40% - Accent2 2 14 2 2" xfId="31753" xr:uid="{00000000-0005-0000-0000-00002D360000}"/>
    <cellStyle name="40% - Accent2 2 14 3" xfId="22055" xr:uid="{00000000-0005-0000-0000-00002E360000}"/>
    <cellStyle name="40% - Accent2 2 2" xfId="722" xr:uid="{00000000-0005-0000-0000-00002F360000}"/>
    <cellStyle name="40% - Accent2 2 2 2" xfId="1751" xr:uid="{00000000-0005-0000-0000-000030360000}"/>
    <cellStyle name="40% - Accent2 2 2 3" xfId="1224" xr:uid="{00000000-0005-0000-0000-000031360000}"/>
    <cellStyle name="40% - Accent2 2 2 4" xfId="11679" xr:uid="{00000000-0005-0000-0000-000032360000}"/>
    <cellStyle name="40% - Accent2 2 2 4 2" xfId="21401" xr:uid="{00000000-0005-0000-0000-000033360000}"/>
    <cellStyle name="40% - Accent2 2 2 4 2 2" xfId="40801" xr:uid="{00000000-0005-0000-0000-000034360000}"/>
    <cellStyle name="40% - Accent2 2 2 4 3" xfId="31103" xr:uid="{00000000-0005-0000-0000-000035360000}"/>
    <cellStyle name="40% - Accent2 2 2 5" xfId="1173" xr:uid="{00000000-0005-0000-0000-000036360000}"/>
    <cellStyle name="40% - Accent2 2 2 6" xfId="12053" xr:uid="{00000000-0005-0000-0000-000037360000}"/>
    <cellStyle name="40% - Accent2 2 2 6 2" xfId="31456" xr:uid="{00000000-0005-0000-0000-000038360000}"/>
    <cellStyle name="40% - Accent2 2 2 7" xfId="21758" xr:uid="{00000000-0005-0000-0000-000039360000}"/>
    <cellStyle name="40% - Accent2 2 3" xfId="1102" xr:uid="{00000000-0005-0000-0000-00003A360000}"/>
    <cellStyle name="40% - Accent2 2 3 2" xfId="2140" xr:uid="{00000000-0005-0000-0000-00003B360000}"/>
    <cellStyle name="40% - Accent2 2 3 2 10" xfId="7078" xr:uid="{00000000-0005-0000-0000-00003C360000}"/>
    <cellStyle name="40% - Accent2 2 3 2 10 2" xfId="17074" xr:uid="{00000000-0005-0000-0000-00003D360000}"/>
    <cellStyle name="40% - Accent2 2 3 2 10 2 2" xfId="36474" xr:uid="{00000000-0005-0000-0000-00003E360000}"/>
    <cellStyle name="40% - Accent2 2 3 2 10 3" xfId="26776" xr:uid="{00000000-0005-0000-0000-00003F360000}"/>
    <cellStyle name="40% - Accent2 2 3 2 11" xfId="12618" xr:uid="{00000000-0005-0000-0000-000040360000}"/>
    <cellStyle name="40% - Accent2 2 3 2 11 2" xfId="32019" xr:uid="{00000000-0005-0000-0000-000041360000}"/>
    <cellStyle name="40% - Accent2 2 3 2 12" xfId="22321" xr:uid="{00000000-0005-0000-0000-000042360000}"/>
    <cellStyle name="40% - Accent2 2 3 2 2" xfId="2141" xr:uid="{00000000-0005-0000-0000-000043360000}"/>
    <cellStyle name="40% - Accent2 2 3 2 2 10" xfId="12619" xr:uid="{00000000-0005-0000-0000-000044360000}"/>
    <cellStyle name="40% - Accent2 2 3 2 2 10 2" xfId="32020" xr:uid="{00000000-0005-0000-0000-000045360000}"/>
    <cellStyle name="40% - Accent2 2 3 2 2 11" xfId="22322" xr:uid="{00000000-0005-0000-0000-000046360000}"/>
    <cellStyle name="40% - Accent2 2 3 2 2 2" xfId="2142" xr:uid="{00000000-0005-0000-0000-000047360000}"/>
    <cellStyle name="40% - Accent2 2 3 2 2 2 2" xfId="3131" xr:uid="{00000000-0005-0000-0000-000048360000}"/>
    <cellStyle name="40% - Accent2 2 3 2 2 2 2 2" xfId="5400" xr:uid="{00000000-0005-0000-0000-000049360000}"/>
    <cellStyle name="40% - Accent2 2 3 2 2 2 2 2 2" xfId="9864" xr:uid="{00000000-0005-0000-0000-00004A360000}"/>
    <cellStyle name="40% - Accent2 2 3 2 2 2 2 2 2 2" xfId="19860" xr:uid="{00000000-0005-0000-0000-00004B360000}"/>
    <cellStyle name="40% - Accent2 2 3 2 2 2 2 2 2 2 2" xfId="39260" xr:uid="{00000000-0005-0000-0000-00004C360000}"/>
    <cellStyle name="40% - Accent2 2 3 2 2 2 2 2 2 3" xfId="29562" xr:uid="{00000000-0005-0000-0000-00004D360000}"/>
    <cellStyle name="40% - Accent2 2 3 2 2 2 2 2 3" xfId="15405" xr:uid="{00000000-0005-0000-0000-00004E360000}"/>
    <cellStyle name="40% - Accent2 2 3 2 2 2 2 2 3 2" xfId="34805" xr:uid="{00000000-0005-0000-0000-00004F360000}"/>
    <cellStyle name="40% - Accent2 2 3 2 2 2 2 2 4" xfId="25107" xr:uid="{00000000-0005-0000-0000-000050360000}"/>
    <cellStyle name="40% - Accent2 2 3 2 2 2 2 3" xfId="7636" xr:uid="{00000000-0005-0000-0000-000051360000}"/>
    <cellStyle name="40% - Accent2 2 3 2 2 2 2 3 2" xfId="17632" xr:uid="{00000000-0005-0000-0000-000052360000}"/>
    <cellStyle name="40% - Accent2 2 3 2 2 2 2 3 2 2" xfId="37032" xr:uid="{00000000-0005-0000-0000-000053360000}"/>
    <cellStyle name="40% - Accent2 2 3 2 2 2 2 3 3" xfId="27334" xr:uid="{00000000-0005-0000-0000-000054360000}"/>
    <cellStyle name="40% - Accent2 2 3 2 2 2 2 4" xfId="13177" xr:uid="{00000000-0005-0000-0000-000055360000}"/>
    <cellStyle name="40% - Accent2 2 3 2 2 2 2 4 2" xfId="32577" xr:uid="{00000000-0005-0000-0000-000056360000}"/>
    <cellStyle name="40% - Accent2 2 3 2 2 2 2 5" xfId="22879" xr:uid="{00000000-0005-0000-0000-000057360000}"/>
    <cellStyle name="40% - Accent2 2 3 2 2 2 3" xfId="3714" xr:uid="{00000000-0005-0000-0000-000058360000}"/>
    <cellStyle name="40% - Accent2 2 3 2 2 2 3 2" xfId="4844" xr:uid="{00000000-0005-0000-0000-000059360000}"/>
    <cellStyle name="40% - Accent2 2 3 2 2 2 3 2 2" xfId="9308" xr:uid="{00000000-0005-0000-0000-00005A360000}"/>
    <cellStyle name="40% - Accent2 2 3 2 2 2 3 2 2 2" xfId="19304" xr:uid="{00000000-0005-0000-0000-00005B360000}"/>
    <cellStyle name="40% - Accent2 2 3 2 2 2 3 2 2 2 2" xfId="38704" xr:uid="{00000000-0005-0000-0000-00005C360000}"/>
    <cellStyle name="40% - Accent2 2 3 2 2 2 3 2 2 3" xfId="29006" xr:uid="{00000000-0005-0000-0000-00005D360000}"/>
    <cellStyle name="40% - Accent2 2 3 2 2 2 3 2 3" xfId="14849" xr:uid="{00000000-0005-0000-0000-00005E360000}"/>
    <cellStyle name="40% - Accent2 2 3 2 2 2 3 2 3 2" xfId="34249" xr:uid="{00000000-0005-0000-0000-00005F360000}"/>
    <cellStyle name="40% - Accent2 2 3 2 2 2 3 2 4" xfId="24551" xr:uid="{00000000-0005-0000-0000-000060360000}"/>
    <cellStyle name="40% - Accent2 2 3 2 2 2 3 3" xfId="8193" xr:uid="{00000000-0005-0000-0000-000061360000}"/>
    <cellStyle name="40% - Accent2 2 3 2 2 2 3 3 2" xfId="18189" xr:uid="{00000000-0005-0000-0000-000062360000}"/>
    <cellStyle name="40% - Accent2 2 3 2 2 2 3 3 2 2" xfId="37589" xr:uid="{00000000-0005-0000-0000-000063360000}"/>
    <cellStyle name="40% - Accent2 2 3 2 2 2 3 3 3" xfId="27891" xr:uid="{00000000-0005-0000-0000-000064360000}"/>
    <cellStyle name="40% - Accent2 2 3 2 2 2 3 4" xfId="13734" xr:uid="{00000000-0005-0000-0000-000065360000}"/>
    <cellStyle name="40% - Accent2 2 3 2 2 2 3 4 2" xfId="33134" xr:uid="{00000000-0005-0000-0000-000066360000}"/>
    <cellStyle name="40% - Accent2 2 3 2 2 2 3 5" xfId="23436" xr:uid="{00000000-0005-0000-0000-000067360000}"/>
    <cellStyle name="40% - Accent2 2 3 2 2 2 4" xfId="4287" xr:uid="{00000000-0005-0000-0000-000068360000}"/>
    <cellStyle name="40% - Accent2 2 3 2 2 2 4 2" xfId="8751" xr:uid="{00000000-0005-0000-0000-000069360000}"/>
    <cellStyle name="40% - Accent2 2 3 2 2 2 4 2 2" xfId="18747" xr:uid="{00000000-0005-0000-0000-00006A360000}"/>
    <cellStyle name="40% - Accent2 2 3 2 2 2 4 2 2 2" xfId="38147" xr:uid="{00000000-0005-0000-0000-00006B360000}"/>
    <cellStyle name="40% - Accent2 2 3 2 2 2 4 2 3" xfId="28449" xr:uid="{00000000-0005-0000-0000-00006C360000}"/>
    <cellStyle name="40% - Accent2 2 3 2 2 2 4 3" xfId="14292" xr:uid="{00000000-0005-0000-0000-00006D360000}"/>
    <cellStyle name="40% - Accent2 2 3 2 2 2 4 3 2" xfId="33692" xr:uid="{00000000-0005-0000-0000-00006E360000}"/>
    <cellStyle name="40% - Accent2 2 3 2 2 2 4 4" xfId="23994" xr:uid="{00000000-0005-0000-0000-00006F360000}"/>
    <cellStyle name="40% - Accent2 2 3 2 2 2 5" xfId="5957" xr:uid="{00000000-0005-0000-0000-000070360000}"/>
    <cellStyle name="40% - Accent2 2 3 2 2 2 5 2" xfId="10421" xr:uid="{00000000-0005-0000-0000-000071360000}"/>
    <cellStyle name="40% - Accent2 2 3 2 2 2 5 2 2" xfId="20417" xr:uid="{00000000-0005-0000-0000-000072360000}"/>
    <cellStyle name="40% - Accent2 2 3 2 2 2 5 2 2 2" xfId="39817" xr:uid="{00000000-0005-0000-0000-000073360000}"/>
    <cellStyle name="40% - Accent2 2 3 2 2 2 5 2 3" xfId="30119" xr:uid="{00000000-0005-0000-0000-000074360000}"/>
    <cellStyle name="40% - Accent2 2 3 2 2 2 5 3" xfId="15962" xr:uid="{00000000-0005-0000-0000-000075360000}"/>
    <cellStyle name="40% - Accent2 2 3 2 2 2 5 3 2" xfId="35362" xr:uid="{00000000-0005-0000-0000-000076360000}"/>
    <cellStyle name="40% - Accent2 2 3 2 2 2 5 4" xfId="25664" xr:uid="{00000000-0005-0000-0000-000077360000}"/>
    <cellStyle name="40% - Accent2 2 3 2 2 2 6" xfId="6523" xr:uid="{00000000-0005-0000-0000-000078360000}"/>
    <cellStyle name="40% - Accent2 2 3 2 2 2 6 2" xfId="10978" xr:uid="{00000000-0005-0000-0000-000079360000}"/>
    <cellStyle name="40% - Accent2 2 3 2 2 2 6 2 2" xfId="20974" xr:uid="{00000000-0005-0000-0000-00007A360000}"/>
    <cellStyle name="40% - Accent2 2 3 2 2 2 6 2 2 2" xfId="40374" xr:uid="{00000000-0005-0000-0000-00007B360000}"/>
    <cellStyle name="40% - Accent2 2 3 2 2 2 6 2 3" xfId="30676" xr:uid="{00000000-0005-0000-0000-00007C360000}"/>
    <cellStyle name="40% - Accent2 2 3 2 2 2 6 3" xfId="16519" xr:uid="{00000000-0005-0000-0000-00007D360000}"/>
    <cellStyle name="40% - Accent2 2 3 2 2 2 6 3 2" xfId="35919" xr:uid="{00000000-0005-0000-0000-00007E360000}"/>
    <cellStyle name="40% - Accent2 2 3 2 2 2 6 4" xfId="26221" xr:uid="{00000000-0005-0000-0000-00007F360000}"/>
    <cellStyle name="40% - Accent2 2 3 2 2 2 7" xfId="7080" xr:uid="{00000000-0005-0000-0000-000080360000}"/>
    <cellStyle name="40% - Accent2 2 3 2 2 2 7 2" xfId="17076" xr:uid="{00000000-0005-0000-0000-000081360000}"/>
    <cellStyle name="40% - Accent2 2 3 2 2 2 7 2 2" xfId="36476" xr:uid="{00000000-0005-0000-0000-000082360000}"/>
    <cellStyle name="40% - Accent2 2 3 2 2 2 7 3" xfId="26778" xr:uid="{00000000-0005-0000-0000-000083360000}"/>
    <cellStyle name="40% - Accent2 2 3 2 2 2 8" xfId="12620" xr:uid="{00000000-0005-0000-0000-000084360000}"/>
    <cellStyle name="40% - Accent2 2 3 2 2 2 8 2" xfId="32021" xr:uid="{00000000-0005-0000-0000-000085360000}"/>
    <cellStyle name="40% - Accent2 2 3 2 2 2 9" xfId="22323" xr:uid="{00000000-0005-0000-0000-000086360000}"/>
    <cellStyle name="40% - Accent2 2 3 2 2 3" xfId="2143" xr:uid="{00000000-0005-0000-0000-000087360000}"/>
    <cellStyle name="40% - Accent2 2 3 2 2 3 2" xfId="3132" xr:uid="{00000000-0005-0000-0000-000088360000}"/>
    <cellStyle name="40% - Accent2 2 3 2 2 3 2 2" xfId="5401" xr:uid="{00000000-0005-0000-0000-000089360000}"/>
    <cellStyle name="40% - Accent2 2 3 2 2 3 2 2 2" xfId="9865" xr:uid="{00000000-0005-0000-0000-00008A360000}"/>
    <cellStyle name="40% - Accent2 2 3 2 2 3 2 2 2 2" xfId="19861" xr:uid="{00000000-0005-0000-0000-00008B360000}"/>
    <cellStyle name="40% - Accent2 2 3 2 2 3 2 2 2 2 2" xfId="39261" xr:uid="{00000000-0005-0000-0000-00008C360000}"/>
    <cellStyle name="40% - Accent2 2 3 2 2 3 2 2 2 3" xfId="29563" xr:uid="{00000000-0005-0000-0000-00008D360000}"/>
    <cellStyle name="40% - Accent2 2 3 2 2 3 2 2 3" xfId="15406" xr:uid="{00000000-0005-0000-0000-00008E360000}"/>
    <cellStyle name="40% - Accent2 2 3 2 2 3 2 2 3 2" xfId="34806" xr:uid="{00000000-0005-0000-0000-00008F360000}"/>
    <cellStyle name="40% - Accent2 2 3 2 2 3 2 2 4" xfId="25108" xr:uid="{00000000-0005-0000-0000-000090360000}"/>
    <cellStyle name="40% - Accent2 2 3 2 2 3 2 3" xfId="7637" xr:uid="{00000000-0005-0000-0000-000091360000}"/>
    <cellStyle name="40% - Accent2 2 3 2 2 3 2 3 2" xfId="17633" xr:uid="{00000000-0005-0000-0000-000092360000}"/>
    <cellStyle name="40% - Accent2 2 3 2 2 3 2 3 2 2" xfId="37033" xr:uid="{00000000-0005-0000-0000-000093360000}"/>
    <cellStyle name="40% - Accent2 2 3 2 2 3 2 3 3" xfId="27335" xr:uid="{00000000-0005-0000-0000-000094360000}"/>
    <cellStyle name="40% - Accent2 2 3 2 2 3 2 4" xfId="13178" xr:uid="{00000000-0005-0000-0000-000095360000}"/>
    <cellStyle name="40% - Accent2 2 3 2 2 3 2 4 2" xfId="32578" xr:uid="{00000000-0005-0000-0000-000096360000}"/>
    <cellStyle name="40% - Accent2 2 3 2 2 3 2 5" xfId="22880" xr:uid="{00000000-0005-0000-0000-000097360000}"/>
    <cellStyle name="40% - Accent2 2 3 2 2 3 3" xfId="3715" xr:uid="{00000000-0005-0000-0000-000098360000}"/>
    <cellStyle name="40% - Accent2 2 3 2 2 3 3 2" xfId="4845" xr:uid="{00000000-0005-0000-0000-000099360000}"/>
    <cellStyle name="40% - Accent2 2 3 2 2 3 3 2 2" xfId="9309" xr:uid="{00000000-0005-0000-0000-00009A360000}"/>
    <cellStyle name="40% - Accent2 2 3 2 2 3 3 2 2 2" xfId="19305" xr:uid="{00000000-0005-0000-0000-00009B360000}"/>
    <cellStyle name="40% - Accent2 2 3 2 2 3 3 2 2 2 2" xfId="38705" xr:uid="{00000000-0005-0000-0000-00009C360000}"/>
    <cellStyle name="40% - Accent2 2 3 2 2 3 3 2 2 3" xfId="29007" xr:uid="{00000000-0005-0000-0000-00009D360000}"/>
    <cellStyle name="40% - Accent2 2 3 2 2 3 3 2 3" xfId="14850" xr:uid="{00000000-0005-0000-0000-00009E360000}"/>
    <cellStyle name="40% - Accent2 2 3 2 2 3 3 2 3 2" xfId="34250" xr:uid="{00000000-0005-0000-0000-00009F360000}"/>
    <cellStyle name="40% - Accent2 2 3 2 2 3 3 2 4" xfId="24552" xr:uid="{00000000-0005-0000-0000-0000A0360000}"/>
    <cellStyle name="40% - Accent2 2 3 2 2 3 3 3" xfId="8194" xr:uid="{00000000-0005-0000-0000-0000A1360000}"/>
    <cellStyle name="40% - Accent2 2 3 2 2 3 3 3 2" xfId="18190" xr:uid="{00000000-0005-0000-0000-0000A2360000}"/>
    <cellStyle name="40% - Accent2 2 3 2 2 3 3 3 2 2" xfId="37590" xr:uid="{00000000-0005-0000-0000-0000A3360000}"/>
    <cellStyle name="40% - Accent2 2 3 2 2 3 3 3 3" xfId="27892" xr:uid="{00000000-0005-0000-0000-0000A4360000}"/>
    <cellStyle name="40% - Accent2 2 3 2 2 3 3 4" xfId="13735" xr:uid="{00000000-0005-0000-0000-0000A5360000}"/>
    <cellStyle name="40% - Accent2 2 3 2 2 3 3 4 2" xfId="33135" xr:uid="{00000000-0005-0000-0000-0000A6360000}"/>
    <cellStyle name="40% - Accent2 2 3 2 2 3 3 5" xfId="23437" xr:uid="{00000000-0005-0000-0000-0000A7360000}"/>
    <cellStyle name="40% - Accent2 2 3 2 2 3 4" xfId="4288" xr:uid="{00000000-0005-0000-0000-0000A8360000}"/>
    <cellStyle name="40% - Accent2 2 3 2 2 3 4 2" xfId="8752" xr:uid="{00000000-0005-0000-0000-0000A9360000}"/>
    <cellStyle name="40% - Accent2 2 3 2 2 3 4 2 2" xfId="18748" xr:uid="{00000000-0005-0000-0000-0000AA360000}"/>
    <cellStyle name="40% - Accent2 2 3 2 2 3 4 2 2 2" xfId="38148" xr:uid="{00000000-0005-0000-0000-0000AB360000}"/>
    <cellStyle name="40% - Accent2 2 3 2 2 3 4 2 3" xfId="28450" xr:uid="{00000000-0005-0000-0000-0000AC360000}"/>
    <cellStyle name="40% - Accent2 2 3 2 2 3 4 3" xfId="14293" xr:uid="{00000000-0005-0000-0000-0000AD360000}"/>
    <cellStyle name="40% - Accent2 2 3 2 2 3 4 3 2" xfId="33693" xr:uid="{00000000-0005-0000-0000-0000AE360000}"/>
    <cellStyle name="40% - Accent2 2 3 2 2 3 4 4" xfId="23995" xr:uid="{00000000-0005-0000-0000-0000AF360000}"/>
    <cellStyle name="40% - Accent2 2 3 2 2 3 5" xfId="5958" xr:uid="{00000000-0005-0000-0000-0000B0360000}"/>
    <cellStyle name="40% - Accent2 2 3 2 2 3 5 2" xfId="10422" xr:uid="{00000000-0005-0000-0000-0000B1360000}"/>
    <cellStyle name="40% - Accent2 2 3 2 2 3 5 2 2" xfId="20418" xr:uid="{00000000-0005-0000-0000-0000B2360000}"/>
    <cellStyle name="40% - Accent2 2 3 2 2 3 5 2 2 2" xfId="39818" xr:uid="{00000000-0005-0000-0000-0000B3360000}"/>
    <cellStyle name="40% - Accent2 2 3 2 2 3 5 2 3" xfId="30120" xr:uid="{00000000-0005-0000-0000-0000B4360000}"/>
    <cellStyle name="40% - Accent2 2 3 2 2 3 5 3" xfId="15963" xr:uid="{00000000-0005-0000-0000-0000B5360000}"/>
    <cellStyle name="40% - Accent2 2 3 2 2 3 5 3 2" xfId="35363" xr:uid="{00000000-0005-0000-0000-0000B6360000}"/>
    <cellStyle name="40% - Accent2 2 3 2 2 3 5 4" xfId="25665" xr:uid="{00000000-0005-0000-0000-0000B7360000}"/>
    <cellStyle name="40% - Accent2 2 3 2 2 3 6" xfId="6524" xr:uid="{00000000-0005-0000-0000-0000B8360000}"/>
    <cellStyle name="40% - Accent2 2 3 2 2 3 6 2" xfId="10979" xr:uid="{00000000-0005-0000-0000-0000B9360000}"/>
    <cellStyle name="40% - Accent2 2 3 2 2 3 6 2 2" xfId="20975" xr:uid="{00000000-0005-0000-0000-0000BA360000}"/>
    <cellStyle name="40% - Accent2 2 3 2 2 3 6 2 2 2" xfId="40375" xr:uid="{00000000-0005-0000-0000-0000BB360000}"/>
    <cellStyle name="40% - Accent2 2 3 2 2 3 6 2 3" xfId="30677" xr:uid="{00000000-0005-0000-0000-0000BC360000}"/>
    <cellStyle name="40% - Accent2 2 3 2 2 3 6 3" xfId="16520" xr:uid="{00000000-0005-0000-0000-0000BD360000}"/>
    <cellStyle name="40% - Accent2 2 3 2 2 3 6 3 2" xfId="35920" xr:uid="{00000000-0005-0000-0000-0000BE360000}"/>
    <cellStyle name="40% - Accent2 2 3 2 2 3 6 4" xfId="26222" xr:uid="{00000000-0005-0000-0000-0000BF360000}"/>
    <cellStyle name="40% - Accent2 2 3 2 2 3 7" xfId="7081" xr:uid="{00000000-0005-0000-0000-0000C0360000}"/>
    <cellStyle name="40% - Accent2 2 3 2 2 3 7 2" xfId="17077" xr:uid="{00000000-0005-0000-0000-0000C1360000}"/>
    <cellStyle name="40% - Accent2 2 3 2 2 3 7 2 2" xfId="36477" xr:uid="{00000000-0005-0000-0000-0000C2360000}"/>
    <cellStyle name="40% - Accent2 2 3 2 2 3 7 3" xfId="26779" xr:uid="{00000000-0005-0000-0000-0000C3360000}"/>
    <cellStyle name="40% - Accent2 2 3 2 2 3 8" xfId="12621" xr:uid="{00000000-0005-0000-0000-0000C4360000}"/>
    <cellStyle name="40% - Accent2 2 3 2 2 3 8 2" xfId="32022" xr:uid="{00000000-0005-0000-0000-0000C5360000}"/>
    <cellStyle name="40% - Accent2 2 3 2 2 3 9" xfId="22324" xr:uid="{00000000-0005-0000-0000-0000C6360000}"/>
    <cellStyle name="40% - Accent2 2 3 2 2 4" xfId="3130" xr:uid="{00000000-0005-0000-0000-0000C7360000}"/>
    <cellStyle name="40% - Accent2 2 3 2 2 4 2" xfId="5399" xr:uid="{00000000-0005-0000-0000-0000C8360000}"/>
    <cellStyle name="40% - Accent2 2 3 2 2 4 2 2" xfId="9863" xr:uid="{00000000-0005-0000-0000-0000C9360000}"/>
    <cellStyle name="40% - Accent2 2 3 2 2 4 2 2 2" xfId="19859" xr:uid="{00000000-0005-0000-0000-0000CA360000}"/>
    <cellStyle name="40% - Accent2 2 3 2 2 4 2 2 2 2" xfId="39259" xr:uid="{00000000-0005-0000-0000-0000CB360000}"/>
    <cellStyle name="40% - Accent2 2 3 2 2 4 2 2 3" xfId="29561" xr:uid="{00000000-0005-0000-0000-0000CC360000}"/>
    <cellStyle name="40% - Accent2 2 3 2 2 4 2 3" xfId="15404" xr:uid="{00000000-0005-0000-0000-0000CD360000}"/>
    <cellStyle name="40% - Accent2 2 3 2 2 4 2 3 2" xfId="34804" xr:uid="{00000000-0005-0000-0000-0000CE360000}"/>
    <cellStyle name="40% - Accent2 2 3 2 2 4 2 4" xfId="25106" xr:uid="{00000000-0005-0000-0000-0000CF360000}"/>
    <cellStyle name="40% - Accent2 2 3 2 2 4 3" xfId="7635" xr:uid="{00000000-0005-0000-0000-0000D0360000}"/>
    <cellStyle name="40% - Accent2 2 3 2 2 4 3 2" xfId="17631" xr:uid="{00000000-0005-0000-0000-0000D1360000}"/>
    <cellStyle name="40% - Accent2 2 3 2 2 4 3 2 2" xfId="37031" xr:uid="{00000000-0005-0000-0000-0000D2360000}"/>
    <cellStyle name="40% - Accent2 2 3 2 2 4 3 3" xfId="27333" xr:uid="{00000000-0005-0000-0000-0000D3360000}"/>
    <cellStyle name="40% - Accent2 2 3 2 2 4 4" xfId="13176" xr:uid="{00000000-0005-0000-0000-0000D4360000}"/>
    <cellStyle name="40% - Accent2 2 3 2 2 4 4 2" xfId="32576" xr:uid="{00000000-0005-0000-0000-0000D5360000}"/>
    <cellStyle name="40% - Accent2 2 3 2 2 4 5" xfId="22878" xr:uid="{00000000-0005-0000-0000-0000D6360000}"/>
    <cellStyle name="40% - Accent2 2 3 2 2 5" xfId="3713" xr:uid="{00000000-0005-0000-0000-0000D7360000}"/>
    <cellStyle name="40% - Accent2 2 3 2 2 5 2" xfId="4843" xr:uid="{00000000-0005-0000-0000-0000D8360000}"/>
    <cellStyle name="40% - Accent2 2 3 2 2 5 2 2" xfId="9307" xr:uid="{00000000-0005-0000-0000-0000D9360000}"/>
    <cellStyle name="40% - Accent2 2 3 2 2 5 2 2 2" xfId="19303" xr:uid="{00000000-0005-0000-0000-0000DA360000}"/>
    <cellStyle name="40% - Accent2 2 3 2 2 5 2 2 2 2" xfId="38703" xr:uid="{00000000-0005-0000-0000-0000DB360000}"/>
    <cellStyle name="40% - Accent2 2 3 2 2 5 2 2 3" xfId="29005" xr:uid="{00000000-0005-0000-0000-0000DC360000}"/>
    <cellStyle name="40% - Accent2 2 3 2 2 5 2 3" xfId="14848" xr:uid="{00000000-0005-0000-0000-0000DD360000}"/>
    <cellStyle name="40% - Accent2 2 3 2 2 5 2 3 2" xfId="34248" xr:uid="{00000000-0005-0000-0000-0000DE360000}"/>
    <cellStyle name="40% - Accent2 2 3 2 2 5 2 4" xfId="24550" xr:uid="{00000000-0005-0000-0000-0000DF360000}"/>
    <cellStyle name="40% - Accent2 2 3 2 2 5 3" xfId="8192" xr:uid="{00000000-0005-0000-0000-0000E0360000}"/>
    <cellStyle name="40% - Accent2 2 3 2 2 5 3 2" xfId="18188" xr:uid="{00000000-0005-0000-0000-0000E1360000}"/>
    <cellStyle name="40% - Accent2 2 3 2 2 5 3 2 2" xfId="37588" xr:uid="{00000000-0005-0000-0000-0000E2360000}"/>
    <cellStyle name="40% - Accent2 2 3 2 2 5 3 3" xfId="27890" xr:uid="{00000000-0005-0000-0000-0000E3360000}"/>
    <cellStyle name="40% - Accent2 2 3 2 2 5 4" xfId="13733" xr:uid="{00000000-0005-0000-0000-0000E4360000}"/>
    <cellStyle name="40% - Accent2 2 3 2 2 5 4 2" xfId="33133" xr:uid="{00000000-0005-0000-0000-0000E5360000}"/>
    <cellStyle name="40% - Accent2 2 3 2 2 5 5" xfId="23435" xr:uid="{00000000-0005-0000-0000-0000E6360000}"/>
    <cellStyle name="40% - Accent2 2 3 2 2 6" xfId="4286" xr:uid="{00000000-0005-0000-0000-0000E7360000}"/>
    <cellStyle name="40% - Accent2 2 3 2 2 6 2" xfId="8750" xr:uid="{00000000-0005-0000-0000-0000E8360000}"/>
    <cellStyle name="40% - Accent2 2 3 2 2 6 2 2" xfId="18746" xr:uid="{00000000-0005-0000-0000-0000E9360000}"/>
    <cellStyle name="40% - Accent2 2 3 2 2 6 2 2 2" xfId="38146" xr:uid="{00000000-0005-0000-0000-0000EA360000}"/>
    <cellStyle name="40% - Accent2 2 3 2 2 6 2 3" xfId="28448" xr:uid="{00000000-0005-0000-0000-0000EB360000}"/>
    <cellStyle name="40% - Accent2 2 3 2 2 6 3" xfId="14291" xr:uid="{00000000-0005-0000-0000-0000EC360000}"/>
    <cellStyle name="40% - Accent2 2 3 2 2 6 3 2" xfId="33691" xr:uid="{00000000-0005-0000-0000-0000ED360000}"/>
    <cellStyle name="40% - Accent2 2 3 2 2 6 4" xfId="23993" xr:uid="{00000000-0005-0000-0000-0000EE360000}"/>
    <cellStyle name="40% - Accent2 2 3 2 2 7" xfId="5956" xr:uid="{00000000-0005-0000-0000-0000EF360000}"/>
    <cellStyle name="40% - Accent2 2 3 2 2 7 2" xfId="10420" xr:uid="{00000000-0005-0000-0000-0000F0360000}"/>
    <cellStyle name="40% - Accent2 2 3 2 2 7 2 2" xfId="20416" xr:uid="{00000000-0005-0000-0000-0000F1360000}"/>
    <cellStyle name="40% - Accent2 2 3 2 2 7 2 2 2" xfId="39816" xr:uid="{00000000-0005-0000-0000-0000F2360000}"/>
    <cellStyle name="40% - Accent2 2 3 2 2 7 2 3" xfId="30118" xr:uid="{00000000-0005-0000-0000-0000F3360000}"/>
    <cellStyle name="40% - Accent2 2 3 2 2 7 3" xfId="15961" xr:uid="{00000000-0005-0000-0000-0000F4360000}"/>
    <cellStyle name="40% - Accent2 2 3 2 2 7 3 2" xfId="35361" xr:uid="{00000000-0005-0000-0000-0000F5360000}"/>
    <cellStyle name="40% - Accent2 2 3 2 2 7 4" xfId="25663" xr:uid="{00000000-0005-0000-0000-0000F6360000}"/>
    <cellStyle name="40% - Accent2 2 3 2 2 8" xfId="6522" xr:uid="{00000000-0005-0000-0000-0000F7360000}"/>
    <cellStyle name="40% - Accent2 2 3 2 2 8 2" xfId="10977" xr:uid="{00000000-0005-0000-0000-0000F8360000}"/>
    <cellStyle name="40% - Accent2 2 3 2 2 8 2 2" xfId="20973" xr:uid="{00000000-0005-0000-0000-0000F9360000}"/>
    <cellStyle name="40% - Accent2 2 3 2 2 8 2 2 2" xfId="40373" xr:uid="{00000000-0005-0000-0000-0000FA360000}"/>
    <cellStyle name="40% - Accent2 2 3 2 2 8 2 3" xfId="30675" xr:uid="{00000000-0005-0000-0000-0000FB360000}"/>
    <cellStyle name="40% - Accent2 2 3 2 2 8 3" xfId="16518" xr:uid="{00000000-0005-0000-0000-0000FC360000}"/>
    <cellStyle name="40% - Accent2 2 3 2 2 8 3 2" xfId="35918" xr:uid="{00000000-0005-0000-0000-0000FD360000}"/>
    <cellStyle name="40% - Accent2 2 3 2 2 8 4" xfId="26220" xr:uid="{00000000-0005-0000-0000-0000FE360000}"/>
    <cellStyle name="40% - Accent2 2 3 2 2 9" xfId="7079" xr:uid="{00000000-0005-0000-0000-0000FF360000}"/>
    <cellStyle name="40% - Accent2 2 3 2 2 9 2" xfId="17075" xr:uid="{00000000-0005-0000-0000-000000370000}"/>
    <cellStyle name="40% - Accent2 2 3 2 2 9 2 2" xfId="36475" xr:uid="{00000000-0005-0000-0000-000001370000}"/>
    <cellStyle name="40% - Accent2 2 3 2 2 9 3" xfId="26777" xr:uid="{00000000-0005-0000-0000-000002370000}"/>
    <cellStyle name="40% - Accent2 2 3 2 3" xfId="2144" xr:uid="{00000000-0005-0000-0000-000003370000}"/>
    <cellStyle name="40% - Accent2 2 3 2 3 2" xfId="3133" xr:uid="{00000000-0005-0000-0000-000004370000}"/>
    <cellStyle name="40% - Accent2 2 3 2 3 2 2" xfId="5402" xr:uid="{00000000-0005-0000-0000-000005370000}"/>
    <cellStyle name="40% - Accent2 2 3 2 3 2 2 2" xfId="9866" xr:uid="{00000000-0005-0000-0000-000006370000}"/>
    <cellStyle name="40% - Accent2 2 3 2 3 2 2 2 2" xfId="19862" xr:uid="{00000000-0005-0000-0000-000007370000}"/>
    <cellStyle name="40% - Accent2 2 3 2 3 2 2 2 2 2" xfId="39262" xr:uid="{00000000-0005-0000-0000-000008370000}"/>
    <cellStyle name="40% - Accent2 2 3 2 3 2 2 2 3" xfId="29564" xr:uid="{00000000-0005-0000-0000-000009370000}"/>
    <cellStyle name="40% - Accent2 2 3 2 3 2 2 3" xfId="15407" xr:uid="{00000000-0005-0000-0000-00000A370000}"/>
    <cellStyle name="40% - Accent2 2 3 2 3 2 2 3 2" xfId="34807" xr:uid="{00000000-0005-0000-0000-00000B370000}"/>
    <cellStyle name="40% - Accent2 2 3 2 3 2 2 4" xfId="25109" xr:uid="{00000000-0005-0000-0000-00000C370000}"/>
    <cellStyle name="40% - Accent2 2 3 2 3 2 3" xfId="7638" xr:uid="{00000000-0005-0000-0000-00000D370000}"/>
    <cellStyle name="40% - Accent2 2 3 2 3 2 3 2" xfId="17634" xr:uid="{00000000-0005-0000-0000-00000E370000}"/>
    <cellStyle name="40% - Accent2 2 3 2 3 2 3 2 2" xfId="37034" xr:uid="{00000000-0005-0000-0000-00000F370000}"/>
    <cellStyle name="40% - Accent2 2 3 2 3 2 3 3" xfId="27336" xr:uid="{00000000-0005-0000-0000-000010370000}"/>
    <cellStyle name="40% - Accent2 2 3 2 3 2 4" xfId="13179" xr:uid="{00000000-0005-0000-0000-000011370000}"/>
    <cellStyle name="40% - Accent2 2 3 2 3 2 4 2" xfId="32579" xr:uid="{00000000-0005-0000-0000-000012370000}"/>
    <cellStyle name="40% - Accent2 2 3 2 3 2 5" xfId="22881" xr:uid="{00000000-0005-0000-0000-000013370000}"/>
    <cellStyle name="40% - Accent2 2 3 2 3 3" xfId="3716" xr:uid="{00000000-0005-0000-0000-000014370000}"/>
    <cellStyle name="40% - Accent2 2 3 2 3 3 2" xfId="4846" xr:uid="{00000000-0005-0000-0000-000015370000}"/>
    <cellStyle name="40% - Accent2 2 3 2 3 3 2 2" xfId="9310" xr:uid="{00000000-0005-0000-0000-000016370000}"/>
    <cellStyle name="40% - Accent2 2 3 2 3 3 2 2 2" xfId="19306" xr:uid="{00000000-0005-0000-0000-000017370000}"/>
    <cellStyle name="40% - Accent2 2 3 2 3 3 2 2 2 2" xfId="38706" xr:uid="{00000000-0005-0000-0000-000018370000}"/>
    <cellStyle name="40% - Accent2 2 3 2 3 3 2 2 3" xfId="29008" xr:uid="{00000000-0005-0000-0000-000019370000}"/>
    <cellStyle name="40% - Accent2 2 3 2 3 3 2 3" xfId="14851" xr:uid="{00000000-0005-0000-0000-00001A370000}"/>
    <cellStyle name="40% - Accent2 2 3 2 3 3 2 3 2" xfId="34251" xr:uid="{00000000-0005-0000-0000-00001B370000}"/>
    <cellStyle name="40% - Accent2 2 3 2 3 3 2 4" xfId="24553" xr:uid="{00000000-0005-0000-0000-00001C370000}"/>
    <cellStyle name="40% - Accent2 2 3 2 3 3 3" xfId="8195" xr:uid="{00000000-0005-0000-0000-00001D370000}"/>
    <cellStyle name="40% - Accent2 2 3 2 3 3 3 2" xfId="18191" xr:uid="{00000000-0005-0000-0000-00001E370000}"/>
    <cellStyle name="40% - Accent2 2 3 2 3 3 3 2 2" xfId="37591" xr:uid="{00000000-0005-0000-0000-00001F370000}"/>
    <cellStyle name="40% - Accent2 2 3 2 3 3 3 3" xfId="27893" xr:uid="{00000000-0005-0000-0000-000020370000}"/>
    <cellStyle name="40% - Accent2 2 3 2 3 3 4" xfId="13736" xr:uid="{00000000-0005-0000-0000-000021370000}"/>
    <cellStyle name="40% - Accent2 2 3 2 3 3 4 2" xfId="33136" xr:uid="{00000000-0005-0000-0000-000022370000}"/>
    <cellStyle name="40% - Accent2 2 3 2 3 3 5" xfId="23438" xr:uid="{00000000-0005-0000-0000-000023370000}"/>
    <cellStyle name="40% - Accent2 2 3 2 3 4" xfId="4289" xr:uid="{00000000-0005-0000-0000-000024370000}"/>
    <cellStyle name="40% - Accent2 2 3 2 3 4 2" xfId="8753" xr:uid="{00000000-0005-0000-0000-000025370000}"/>
    <cellStyle name="40% - Accent2 2 3 2 3 4 2 2" xfId="18749" xr:uid="{00000000-0005-0000-0000-000026370000}"/>
    <cellStyle name="40% - Accent2 2 3 2 3 4 2 2 2" xfId="38149" xr:uid="{00000000-0005-0000-0000-000027370000}"/>
    <cellStyle name="40% - Accent2 2 3 2 3 4 2 3" xfId="28451" xr:uid="{00000000-0005-0000-0000-000028370000}"/>
    <cellStyle name="40% - Accent2 2 3 2 3 4 3" xfId="14294" xr:uid="{00000000-0005-0000-0000-000029370000}"/>
    <cellStyle name="40% - Accent2 2 3 2 3 4 3 2" xfId="33694" xr:uid="{00000000-0005-0000-0000-00002A370000}"/>
    <cellStyle name="40% - Accent2 2 3 2 3 4 4" xfId="23996" xr:uid="{00000000-0005-0000-0000-00002B370000}"/>
    <cellStyle name="40% - Accent2 2 3 2 3 5" xfId="5959" xr:uid="{00000000-0005-0000-0000-00002C370000}"/>
    <cellStyle name="40% - Accent2 2 3 2 3 5 2" xfId="10423" xr:uid="{00000000-0005-0000-0000-00002D370000}"/>
    <cellStyle name="40% - Accent2 2 3 2 3 5 2 2" xfId="20419" xr:uid="{00000000-0005-0000-0000-00002E370000}"/>
    <cellStyle name="40% - Accent2 2 3 2 3 5 2 2 2" xfId="39819" xr:uid="{00000000-0005-0000-0000-00002F370000}"/>
    <cellStyle name="40% - Accent2 2 3 2 3 5 2 3" xfId="30121" xr:uid="{00000000-0005-0000-0000-000030370000}"/>
    <cellStyle name="40% - Accent2 2 3 2 3 5 3" xfId="15964" xr:uid="{00000000-0005-0000-0000-000031370000}"/>
    <cellStyle name="40% - Accent2 2 3 2 3 5 3 2" xfId="35364" xr:uid="{00000000-0005-0000-0000-000032370000}"/>
    <cellStyle name="40% - Accent2 2 3 2 3 5 4" xfId="25666" xr:uid="{00000000-0005-0000-0000-000033370000}"/>
    <cellStyle name="40% - Accent2 2 3 2 3 6" xfId="6525" xr:uid="{00000000-0005-0000-0000-000034370000}"/>
    <cellStyle name="40% - Accent2 2 3 2 3 6 2" xfId="10980" xr:uid="{00000000-0005-0000-0000-000035370000}"/>
    <cellStyle name="40% - Accent2 2 3 2 3 6 2 2" xfId="20976" xr:uid="{00000000-0005-0000-0000-000036370000}"/>
    <cellStyle name="40% - Accent2 2 3 2 3 6 2 2 2" xfId="40376" xr:uid="{00000000-0005-0000-0000-000037370000}"/>
    <cellStyle name="40% - Accent2 2 3 2 3 6 2 3" xfId="30678" xr:uid="{00000000-0005-0000-0000-000038370000}"/>
    <cellStyle name="40% - Accent2 2 3 2 3 6 3" xfId="16521" xr:uid="{00000000-0005-0000-0000-000039370000}"/>
    <cellStyle name="40% - Accent2 2 3 2 3 6 3 2" xfId="35921" xr:uid="{00000000-0005-0000-0000-00003A370000}"/>
    <cellStyle name="40% - Accent2 2 3 2 3 6 4" xfId="26223" xr:uid="{00000000-0005-0000-0000-00003B370000}"/>
    <cellStyle name="40% - Accent2 2 3 2 3 7" xfId="7082" xr:uid="{00000000-0005-0000-0000-00003C370000}"/>
    <cellStyle name="40% - Accent2 2 3 2 3 7 2" xfId="17078" xr:uid="{00000000-0005-0000-0000-00003D370000}"/>
    <cellStyle name="40% - Accent2 2 3 2 3 7 2 2" xfId="36478" xr:uid="{00000000-0005-0000-0000-00003E370000}"/>
    <cellStyle name="40% - Accent2 2 3 2 3 7 3" xfId="26780" xr:uid="{00000000-0005-0000-0000-00003F370000}"/>
    <cellStyle name="40% - Accent2 2 3 2 3 8" xfId="12622" xr:uid="{00000000-0005-0000-0000-000040370000}"/>
    <cellStyle name="40% - Accent2 2 3 2 3 8 2" xfId="32023" xr:uid="{00000000-0005-0000-0000-000041370000}"/>
    <cellStyle name="40% - Accent2 2 3 2 3 9" xfId="22325" xr:uid="{00000000-0005-0000-0000-000042370000}"/>
    <cellStyle name="40% - Accent2 2 3 2 4" xfId="2145" xr:uid="{00000000-0005-0000-0000-000043370000}"/>
    <cellStyle name="40% - Accent2 2 3 2 4 2" xfId="3134" xr:uid="{00000000-0005-0000-0000-000044370000}"/>
    <cellStyle name="40% - Accent2 2 3 2 4 2 2" xfId="5403" xr:uid="{00000000-0005-0000-0000-000045370000}"/>
    <cellStyle name="40% - Accent2 2 3 2 4 2 2 2" xfId="9867" xr:uid="{00000000-0005-0000-0000-000046370000}"/>
    <cellStyle name="40% - Accent2 2 3 2 4 2 2 2 2" xfId="19863" xr:uid="{00000000-0005-0000-0000-000047370000}"/>
    <cellStyle name="40% - Accent2 2 3 2 4 2 2 2 2 2" xfId="39263" xr:uid="{00000000-0005-0000-0000-000048370000}"/>
    <cellStyle name="40% - Accent2 2 3 2 4 2 2 2 3" xfId="29565" xr:uid="{00000000-0005-0000-0000-000049370000}"/>
    <cellStyle name="40% - Accent2 2 3 2 4 2 2 3" xfId="15408" xr:uid="{00000000-0005-0000-0000-00004A370000}"/>
    <cellStyle name="40% - Accent2 2 3 2 4 2 2 3 2" xfId="34808" xr:uid="{00000000-0005-0000-0000-00004B370000}"/>
    <cellStyle name="40% - Accent2 2 3 2 4 2 2 4" xfId="25110" xr:uid="{00000000-0005-0000-0000-00004C370000}"/>
    <cellStyle name="40% - Accent2 2 3 2 4 2 3" xfId="7639" xr:uid="{00000000-0005-0000-0000-00004D370000}"/>
    <cellStyle name="40% - Accent2 2 3 2 4 2 3 2" xfId="17635" xr:uid="{00000000-0005-0000-0000-00004E370000}"/>
    <cellStyle name="40% - Accent2 2 3 2 4 2 3 2 2" xfId="37035" xr:uid="{00000000-0005-0000-0000-00004F370000}"/>
    <cellStyle name="40% - Accent2 2 3 2 4 2 3 3" xfId="27337" xr:uid="{00000000-0005-0000-0000-000050370000}"/>
    <cellStyle name="40% - Accent2 2 3 2 4 2 4" xfId="13180" xr:uid="{00000000-0005-0000-0000-000051370000}"/>
    <cellStyle name="40% - Accent2 2 3 2 4 2 4 2" xfId="32580" xr:uid="{00000000-0005-0000-0000-000052370000}"/>
    <cellStyle name="40% - Accent2 2 3 2 4 2 5" xfId="22882" xr:uid="{00000000-0005-0000-0000-000053370000}"/>
    <cellStyle name="40% - Accent2 2 3 2 4 3" xfId="3717" xr:uid="{00000000-0005-0000-0000-000054370000}"/>
    <cellStyle name="40% - Accent2 2 3 2 4 3 2" xfId="4847" xr:uid="{00000000-0005-0000-0000-000055370000}"/>
    <cellStyle name="40% - Accent2 2 3 2 4 3 2 2" xfId="9311" xr:uid="{00000000-0005-0000-0000-000056370000}"/>
    <cellStyle name="40% - Accent2 2 3 2 4 3 2 2 2" xfId="19307" xr:uid="{00000000-0005-0000-0000-000057370000}"/>
    <cellStyle name="40% - Accent2 2 3 2 4 3 2 2 2 2" xfId="38707" xr:uid="{00000000-0005-0000-0000-000058370000}"/>
    <cellStyle name="40% - Accent2 2 3 2 4 3 2 2 3" xfId="29009" xr:uid="{00000000-0005-0000-0000-000059370000}"/>
    <cellStyle name="40% - Accent2 2 3 2 4 3 2 3" xfId="14852" xr:uid="{00000000-0005-0000-0000-00005A370000}"/>
    <cellStyle name="40% - Accent2 2 3 2 4 3 2 3 2" xfId="34252" xr:uid="{00000000-0005-0000-0000-00005B370000}"/>
    <cellStyle name="40% - Accent2 2 3 2 4 3 2 4" xfId="24554" xr:uid="{00000000-0005-0000-0000-00005C370000}"/>
    <cellStyle name="40% - Accent2 2 3 2 4 3 3" xfId="8196" xr:uid="{00000000-0005-0000-0000-00005D370000}"/>
    <cellStyle name="40% - Accent2 2 3 2 4 3 3 2" xfId="18192" xr:uid="{00000000-0005-0000-0000-00005E370000}"/>
    <cellStyle name="40% - Accent2 2 3 2 4 3 3 2 2" xfId="37592" xr:uid="{00000000-0005-0000-0000-00005F370000}"/>
    <cellStyle name="40% - Accent2 2 3 2 4 3 3 3" xfId="27894" xr:uid="{00000000-0005-0000-0000-000060370000}"/>
    <cellStyle name="40% - Accent2 2 3 2 4 3 4" xfId="13737" xr:uid="{00000000-0005-0000-0000-000061370000}"/>
    <cellStyle name="40% - Accent2 2 3 2 4 3 4 2" xfId="33137" xr:uid="{00000000-0005-0000-0000-000062370000}"/>
    <cellStyle name="40% - Accent2 2 3 2 4 3 5" xfId="23439" xr:uid="{00000000-0005-0000-0000-000063370000}"/>
    <cellStyle name="40% - Accent2 2 3 2 4 4" xfId="4290" xr:uid="{00000000-0005-0000-0000-000064370000}"/>
    <cellStyle name="40% - Accent2 2 3 2 4 4 2" xfId="8754" xr:uid="{00000000-0005-0000-0000-000065370000}"/>
    <cellStyle name="40% - Accent2 2 3 2 4 4 2 2" xfId="18750" xr:uid="{00000000-0005-0000-0000-000066370000}"/>
    <cellStyle name="40% - Accent2 2 3 2 4 4 2 2 2" xfId="38150" xr:uid="{00000000-0005-0000-0000-000067370000}"/>
    <cellStyle name="40% - Accent2 2 3 2 4 4 2 3" xfId="28452" xr:uid="{00000000-0005-0000-0000-000068370000}"/>
    <cellStyle name="40% - Accent2 2 3 2 4 4 3" xfId="14295" xr:uid="{00000000-0005-0000-0000-000069370000}"/>
    <cellStyle name="40% - Accent2 2 3 2 4 4 3 2" xfId="33695" xr:uid="{00000000-0005-0000-0000-00006A370000}"/>
    <cellStyle name="40% - Accent2 2 3 2 4 4 4" xfId="23997" xr:uid="{00000000-0005-0000-0000-00006B370000}"/>
    <cellStyle name="40% - Accent2 2 3 2 4 5" xfId="5960" xr:uid="{00000000-0005-0000-0000-00006C370000}"/>
    <cellStyle name="40% - Accent2 2 3 2 4 5 2" xfId="10424" xr:uid="{00000000-0005-0000-0000-00006D370000}"/>
    <cellStyle name="40% - Accent2 2 3 2 4 5 2 2" xfId="20420" xr:uid="{00000000-0005-0000-0000-00006E370000}"/>
    <cellStyle name="40% - Accent2 2 3 2 4 5 2 2 2" xfId="39820" xr:uid="{00000000-0005-0000-0000-00006F370000}"/>
    <cellStyle name="40% - Accent2 2 3 2 4 5 2 3" xfId="30122" xr:uid="{00000000-0005-0000-0000-000070370000}"/>
    <cellStyle name="40% - Accent2 2 3 2 4 5 3" xfId="15965" xr:uid="{00000000-0005-0000-0000-000071370000}"/>
    <cellStyle name="40% - Accent2 2 3 2 4 5 3 2" xfId="35365" xr:uid="{00000000-0005-0000-0000-000072370000}"/>
    <cellStyle name="40% - Accent2 2 3 2 4 5 4" xfId="25667" xr:uid="{00000000-0005-0000-0000-000073370000}"/>
    <cellStyle name="40% - Accent2 2 3 2 4 6" xfId="6526" xr:uid="{00000000-0005-0000-0000-000074370000}"/>
    <cellStyle name="40% - Accent2 2 3 2 4 6 2" xfId="10981" xr:uid="{00000000-0005-0000-0000-000075370000}"/>
    <cellStyle name="40% - Accent2 2 3 2 4 6 2 2" xfId="20977" xr:uid="{00000000-0005-0000-0000-000076370000}"/>
    <cellStyle name="40% - Accent2 2 3 2 4 6 2 2 2" xfId="40377" xr:uid="{00000000-0005-0000-0000-000077370000}"/>
    <cellStyle name="40% - Accent2 2 3 2 4 6 2 3" xfId="30679" xr:uid="{00000000-0005-0000-0000-000078370000}"/>
    <cellStyle name="40% - Accent2 2 3 2 4 6 3" xfId="16522" xr:uid="{00000000-0005-0000-0000-000079370000}"/>
    <cellStyle name="40% - Accent2 2 3 2 4 6 3 2" xfId="35922" xr:uid="{00000000-0005-0000-0000-00007A370000}"/>
    <cellStyle name="40% - Accent2 2 3 2 4 6 4" xfId="26224" xr:uid="{00000000-0005-0000-0000-00007B370000}"/>
    <cellStyle name="40% - Accent2 2 3 2 4 7" xfId="7083" xr:uid="{00000000-0005-0000-0000-00007C370000}"/>
    <cellStyle name="40% - Accent2 2 3 2 4 7 2" xfId="17079" xr:uid="{00000000-0005-0000-0000-00007D370000}"/>
    <cellStyle name="40% - Accent2 2 3 2 4 7 2 2" xfId="36479" xr:uid="{00000000-0005-0000-0000-00007E370000}"/>
    <cellStyle name="40% - Accent2 2 3 2 4 7 3" xfId="26781" xr:uid="{00000000-0005-0000-0000-00007F370000}"/>
    <cellStyle name="40% - Accent2 2 3 2 4 8" xfId="12623" xr:uid="{00000000-0005-0000-0000-000080370000}"/>
    <cellStyle name="40% - Accent2 2 3 2 4 8 2" xfId="32024" xr:uid="{00000000-0005-0000-0000-000081370000}"/>
    <cellStyle name="40% - Accent2 2 3 2 4 9" xfId="22326" xr:uid="{00000000-0005-0000-0000-000082370000}"/>
    <cellStyle name="40% - Accent2 2 3 2 5" xfId="3129" xr:uid="{00000000-0005-0000-0000-000083370000}"/>
    <cellStyle name="40% - Accent2 2 3 2 5 2" xfId="5398" xr:uid="{00000000-0005-0000-0000-000084370000}"/>
    <cellStyle name="40% - Accent2 2 3 2 5 2 2" xfId="9862" xr:uid="{00000000-0005-0000-0000-000085370000}"/>
    <cellStyle name="40% - Accent2 2 3 2 5 2 2 2" xfId="19858" xr:uid="{00000000-0005-0000-0000-000086370000}"/>
    <cellStyle name="40% - Accent2 2 3 2 5 2 2 2 2" xfId="39258" xr:uid="{00000000-0005-0000-0000-000087370000}"/>
    <cellStyle name="40% - Accent2 2 3 2 5 2 2 3" xfId="29560" xr:uid="{00000000-0005-0000-0000-000088370000}"/>
    <cellStyle name="40% - Accent2 2 3 2 5 2 3" xfId="15403" xr:uid="{00000000-0005-0000-0000-000089370000}"/>
    <cellStyle name="40% - Accent2 2 3 2 5 2 3 2" xfId="34803" xr:uid="{00000000-0005-0000-0000-00008A370000}"/>
    <cellStyle name="40% - Accent2 2 3 2 5 2 4" xfId="25105" xr:uid="{00000000-0005-0000-0000-00008B370000}"/>
    <cellStyle name="40% - Accent2 2 3 2 5 3" xfId="7634" xr:uid="{00000000-0005-0000-0000-00008C370000}"/>
    <cellStyle name="40% - Accent2 2 3 2 5 3 2" xfId="17630" xr:uid="{00000000-0005-0000-0000-00008D370000}"/>
    <cellStyle name="40% - Accent2 2 3 2 5 3 2 2" xfId="37030" xr:uid="{00000000-0005-0000-0000-00008E370000}"/>
    <cellStyle name="40% - Accent2 2 3 2 5 3 3" xfId="27332" xr:uid="{00000000-0005-0000-0000-00008F370000}"/>
    <cellStyle name="40% - Accent2 2 3 2 5 4" xfId="13175" xr:uid="{00000000-0005-0000-0000-000090370000}"/>
    <cellStyle name="40% - Accent2 2 3 2 5 4 2" xfId="32575" xr:uid="{00000000-0005-0000-0000-000091370000}"/>
    <cellStyle name="40% - Accent2 2 3 2 5 5" xfId="22877" xr:uid="{00000000-0005-0000-0000-000092370000}"/>
    <cellStyle name="40% - Accent2 2 3 2 6" xfId="3712" xr:uid="{00000000-0005-0000-0000-000093370000}"/>
    <cellStyle name="40% - Accent2 2 3 2 6 2" xfId="4842" xr:uid="{00000000-0005-0000-0000-000094370000}"/>
    <cellStyle name="40% - Accent2 2 3 2 6 2 2" xfId="9306" xr:uid="{00000000-0005-0000-0000-000095370000}"/>
    <cellStyle name="40% - Accent2 2 3 2 6 2 2 2" xfId="19302" xr:uid="{00000000-0005-0000-0000-000096370000}"/>
    <cellStyle name="40% - Accent2 2 3 2 6 2 2 2 2" xfId="38702" xr:uid="{00000000-0005-0000-0000-000097370000}"/>
    <cellStyle name="40% - Accent2 2 3 2 6 2 2 3" xfId="29004" xr:uid="{00000000-0005-0000-0000-000098370000}"/>
    <cellStyle name="40% - Accent2 2 3 2 6 2 3" xfId="14847" xr:uid="{00000000-0005-0000-0000-000099370000}"/>
    <cellStyle name="40% - Accent2 2 3 2 6 2 3 2" xfId="34247" xr:uid="{00000000-0005-0000-0000-00009A370000}"/>
    <cellStyle name="40% - Accent2 2 3 2 6 2 4" xfId="24549" xr:uid="{00000000-0005-0000-0000-00009B370000}"/>
    <cellStyle name="40% - Accent2 2 3 2 6 3" xfId="8191" xr:uid="{00000000-0005-0000-0000-00009C370000}"/>
    <cellStyle name="40% - Accent2 2 3 2 6 3 2" xfId="18187" xr:uid="{00000000-0005-0000-0000-00009D370000}"/>
    <cellStyle name="40% - Accent2 2 3 2 6 3 2 2" xfId="37587" xr:uid="{00000000-0005-0000-0000-00009E370000}"/>
    <cellStyle name="40% - Accent2 2 3 2 6 3 3" xfId="27889" xr:uid="{00000000-0005-0000-0000-00009F370000}"/>
    <cellStyle name="40% - Accent2 2 3 2 6 4" xfId="13732" xr:uid="{00000000-0005-0000-0000-0000A0370000}"/>
    <cellStyle name="40% - Accent2 2 3 2 6 4 2" xfId="33132" xr:uid="{00000000-0005-0000-0000-0000A1370000}"/>
    <cellStyle name="40% - Accent2 2 3 2 6 5" xfId="23434" xr:uid="{00000000-0005-0000-0000-0000A2370000}"/>
    <cellStyle name="40% - Accent2 2 3 2 7" xfId="4285" xr:uid="{00000000-0005-0000-0000-0000A3370000}"/>
    <cellStyle name="40% - Accent2 2 3 2 7 2" xfId="8749" xr:uid="{00000000-0005-0000-0000-0000A4370000}"/>
    <cellStyle name="40% - Accent2 2 3 2 7 2 2" xfId="18745" xr:uid="{00000000-0005-0000-0000-0000A5370000}"/>
    <cellStyle name="40% - Accent2 2 3 2 7 2 2 2" xfId="38145" xr:uid="{00000000-0005-0000-0000-0000A6370000}"/>
    <cellStyle name="40% - Accent2 2 3 2 7 2 3" xfId="28447" xr:uid="{00000000-0005-0000-0000-0000A7370000}"/>
    <cellStyle name="40% - Accent2 2 3 2 7 3" xfId="14290" xr:uid="{00000000-0005-0000-0000-0000A8370000}"/>
    <cellStyle name="40% - Accent2 2 3 2 7 3 2" xfId="33690" xr:uid="{00000000-0005-0000-0000-0000A9370000}"/>
    <cellStyle name="40% - Accent2 2 3 2 7 4" xfId="23992" xr:uid="{00000000-0005-0000-0000-0000AA370000}"/>
    <cellStyle name="40% - Accent2 2 3 2 8" xfId="5955" xr:uid="{00000000-0005-0000-0000-0000AB370000}"/>
    <cellStyle name="40% - Accent2 2 3 2 8 2" xfId="10419" xr:uid="{00000000-0005-0000-0000-0000AC370000}"/>
    <cellStyle name="40% - Accent2 2 3 2 8 2 2" xfId="20415" xr:uid="{00000000-0005-0000-0000-0000AD370000}"/>
    <cellStyle name="40% - Accent2 2 3 2 8 2 2 2" xfId="39815" xr:uid="{00000000-0005-0000-0000-0000AE370000}"/>
    <cellStyle name="40% - Accent2 2 3 2 8 2 3" xfId="30117" xr:uid="{00000000-0005-0000-0000-0000AF370000}"/>
    <cellStyle name="40% - Accent2 2 3 2 8 3" xfId="15960" xr:uid="{00000000-0005-0000-0000-0000B0370000}"/>
    <cellStyle name="40% - Accent2 2 3 2 8 3 2" xfId="35360" xr:uid="{00000000-0005-0000-0000-0000B1370000}"/>
    <cellStyle name="40% - Accent2 2 3 2 8 4" xfId="25662" xr:uid="{00000000-0005-0000-0000-0000B2370000}"/>
    <cellStyle name="40% - Accent2 2 3 2 9" xfId="6521" xr:uid="{00000000-0005-0000-0000-0000B3370000}"/>
    <cellStyle name="40% - Accent2 2 3 2 9 2" xfId="10976" xr:uid="{00000000-0005-0000-0000-0000B4370000}"/>
    <cellStyle name="40% - Accent2 2 3 2 9 2 2" xfId="20972" xr:uid="{00000000-0005-0000-0000-0000B5370000}"/>
    <cellStyle name="40% - Accent2 2 3 2 9 2 2 2" xfId="40372" xr:uid="{00000000-0005-0000-0000-0000B6370000}"/>
    <cellStyle name="40% - Accent2 2 3 2 9 2 3" xfId="30674" xr:uid="{00000000-0005-0000-0000-0000B7370000}"/>
    <cellStyle name="40% - Accent2 2 3 2 9 3" xfId="16517" xr:uid="{00000000-0005-0000-0000-0000B8370000}"/>
    <cellStyle name="40% - Accent2 2 3 2 9 3 2" xfId="35917" xr:uid="{00000000-0005-0000-0000-0000B9370000}"/>
    <cellStyle name="40% - Accent2 2 3 2 9 4" xfId="26219" xr:uid="{00000000-0005-0000-0000-0000BA370000}"/>
    <cellStyle name="40% - Accent2 2 3 3" xfId="2146" xr:uid="{00000000-0005-0000-0000-0000BB370000}"/>
    <cellStyle name="40% - Accent2 2 3 3 10" xfId="12624" xr:uid="{00000000-0005-0000-0000-0000BC370000}"/>
    <cellStyle name="40% - Accent2 2 3 3 10 2" xfId="32025" xr:uid="{00000000-0005-0000-0000-0000BD370000}"/>
    <cellStyle name="40% - Accent2 2 3 3 11" xfId="22327" xr:uid="{00000000-0005-0000-0000-0000BE370000}"/>
    <cellStyle name="40% - Accent2 2 3 3 2" xfId="2147" xr:uid="{00000000-0005-0000-0000-0000BF370000}"/>
    <cellStyle name="40% - Accent2 2 3 3 2 2" xfId="3136" xr:uid="{00000000-0005-0000-0000-0000C0370000}"/>
    <cellStyle name="40% - Accent2 2 3 3 2 2 2" xfId="5405" xr:uid="{00000000-0005-0000-0000-0000C1370000}"/>
    <cellStyle name="40% - Accent2 2 3 3 2 2 2 2" xfId="9869" xr:uid="{00000000-0005-0000-0000-0000C2370000}"/>
    <cellStyle name="40% - Accent2 2 3 3 2 2 2 2 2" xfId="19865" xr:uid="{00000000-0005-0000-0000-0000C3370000}"/>
    <cellStyle name="40% - Accent2 2 3 3 2 2 2 2 2 2" xfId="39265" xr:uid="{00000000-0005-0000-0000-0000C4370000}"/>
    <cellStyle name="40% - Accent2 2 3 3 2 2 2 2 3" xfId="29567" xr:uid="{00000000-0005-0000-0000-0000C5370000}"/>
    <cellStyle name="40% - Accent2 2 3 3 2 2 2 3" xfId="15410" xr:uid="{00000000-0005-0000-0000-0000C6370000}"/>
    <cellStyle name="40% - Accent2 2 3 3 2 2 2 3 2" xfId="34810" xr:uid="{00000000-0005-0000-0000-0000C7370000}"/>
    <cellStyle name="40% - Accent2 2 3 3 2 2 2 4" xfId="25112" xr:uid="{00000000-0005-0000-0000-0000C8370000}"/>
    <cellStyle name="40% - Accent2 2 3 3 2 2 3" xfId="7641" xr:uid="{00000000-0005-0000-0000-0000C9370000}"/>
    <cellStyle name="40% - Accent2 2 3 3 2 2 3 2" xfId="17637" xr:uid="{00000000-0005-0000-0000-0000CA370000}"/>
    <cellStyle name="40% - Accent2 2 3 3 2 2 3 2 2" xfId="37037" xr:uid="{00000000-0005-0000-0000-0000CB370000}"/>
    <cellStyle name="40% - Accent2 2 3 3 2 2 3 3" xfId="27339" xr:uid="{00000000-0005-0000-0000-0000CC370000}"/>
    <cellStyle name="40% - Accent2 2 3 3 2 2 4" xfId="13182" xr:uid="{00000000-0005-0000-0000-0000CD370000}"/>
    <cellStyle name="40% - Accent2 2 3 3 2 2 4 2" xfId="32582" xr:uid="{00000000-0005-0000-0000-0000CE370000}"/>
    <cellStyle name="40% - Accent2 2 3 3 2 2 5" xfId="22884" xr:uid="{00000000-0005-0000-0000-0000CF370000}"/>
    <cellStyle name="40% - Accent2 2 3 3 2 3" xfId="3719" xr:uid="{00000000-0005-0000-0000-0000D0370000}"/>
    <cellStyle name="40% - Accent2 2 3 3 2 3 2" xfId="4849" xr:uid="{00000000-0005-0000-0000-0000D1370000}"/>
    <cellStyle name="40% - Accent2 2 3 3 2 3 2 2" xfId="9313" xr:uid="{00000000-0005-0000-0000-0000D2370000}"/>
    <cellStyle name="40% - Accent2 2 3 3 2 3 2 2 2" xfId="19309" xr:uid="{00000000-0005-0000-0000-0000D3370000}"/>
    <cellStyle name="40% - Accent2 2 3 3 2 3 2 2 2 2" xfId="38709" xr:uid="{00000000-0005-0000-0000-0000D4370000}"/>
    <cellStyle name="40% - Accent2 2 3 3 2 3 2 2 3" xfId="29011" xr:uid="{00000000-0005-0000-0000-0000D5370000}"/>
    <cellStyle name="40% - Accent2 2 3 3 2 3 2 3" xfId="14854" xr:uid="{00000000-0005-0000-0000-0000D6370000}"/>
    <cellStyle name="40% - Accent2 2 3 3 2 3 2 3 2" xfId="34254" xr:uid="{00000000-0005-0000-0000-0000D7370000}"/>
    <cellStyle name="40% - Accent2 2 3 3 2 3 2 4" xfId="24556" xr:uid="{00000000-0005-0000-0000-0000D8370000}"/>
    <cellStyle name="40% - Accent2 2 3 3 2 3 3" xfId="8198" xr:uid="{00000000-0005-0000-0000-0000D9370000}"/>
    <cellStyle name="40% - Accent2 2 3 3 2 3 3 2" xfId="18194" xr:uid="{00000000-0005-0000-0000-0000DA370000}"/>
    <cellStyle name="40% - Accent2 2 3 3 2 3 3 2 2" xfId="37594" xr:uid="{00000000-0005-0000-0000-0000DB370000}"/>
    <cellStyle name="40% - Accent2 2 3 3 2 3 3 3" xfId="27896" xr:uid="{00000000-0005-0000-0000-0000DC370000}"/>
    <cellStyle name="40% - Accent2 2 3 3 2 3 4" xfId="13739" xr:uid="{00000000-0005-0000-0000-0000DD370000}"/>
    <cellStyle name="40% - Accent2 2 3 3 2 3 4 2" xfId="33139" xr:uid="{00000000-0005-0000-0000-0000DE370000}"/>
    <cellStyle name="40% - Accent2 2 3 3 2 3 5" xfId="23441" xr:uid="{00000000-0005-0000-0000-0000DF370000}"/>
    <cellStyle name="40% - Accent2 2 3 3 2 4" xfId="4292" xr:uid="{00000000-0005-0000-0000-0000E0370000}"/>
    <cellStyle name="40% - Accent2 2 3 3 2 4 2" xfId="8756" xr:uid="{00000000-0005-0000-0000-0000E1370000}"/>
    <cellStyle name="40% - Accent2 2 3 3 2 4 2 2" xfId="18752" xr:uid="{00000000-0005-0000-0000-0000E2370000}"/>
    <cellStyle name="40% - Accent2 2 3 3 2 4 2 2 2" xfId="38152" xr:uid="{00000000-0005-0000-0000-0000E3370000}"/>
    <cellStyle name="40% - Accent2 2 3 3 2 4 2 3" xfId="28454" xr:uid="{00000000-0005-0000-0000-0000E4370000}"/>
    <cellStyle name="40% - Accent2 2 3 3 2 4 3" xfId="14297" xr:uid="{00000000-0005-0000-0000-0000E5370000}"/>
    <cellStyle name="40% - Accent2 2 3 3 2 4 3 2" xfId="33697" xr:uid="{00000000-0005-0000-0000-0000E6370000}"/>
    <cellStyle name="40% - Accent2 2 3 3 2 4 4" xfId="23999" xr:uid="{00000000-0005-0000-0000-0000E7370000}"/>
    <cellStyle name="40% - Accent2 2 3 3 2 5" xfId="5962" xr:uid="{00000000-0005-0000-0000-0000E8370000}"/>
    <cellStyle name="40% - Accent2 2 3 3 2 5 2" xfId="10426" xr:uid="{00000000-0005-0000-0000-0000E9370000}"/>
    <cellStyle name="40% - Accent2 2 3 3 2 5 2 2" xfId="20422" xr:uid="{00000000-0005-0000-0000-0000EA370000}"/>
    <cellStyle name="40% - Accent2 2 3 3 2 5 2 2 2" xfId="39822" xr:uid="{00000000-0005-0000-0000-0000EB370000}"/>
    <cellStyle name="40% - Accent2 2 3 3 2 5 2 3" xfId="30124" xr:uid="{00000000-0005-0000-0000-0000EC370000}"/>
    <cellStyle name="40% - Accent2 2 3 3 2 5 3" xfId="15967" xr:uid="{00000000-0005-0000-0000-0000ED370000}"/>
    <cellStyle name="40% - Accent2 2 3 3 2 5 3 2" xfId="35367" xr:uid="{00000000-0005-0000-0000-0000EE370000}"/>
    <cellStyle name="40% - Accent2 2 3 3 2 5 4" xfId="25669" xr:uid="{00000000-0005-0000-0000-0000EF370000}"/>
    <cellStyle name="40% - Accent2 2 3 3 2 6" xfId="6528" xr:uid="{00000000-0005-0000-0000-0000F0370000}"/>
    <cellStyle name="40% - Accent2 2 3 3 2 6 2" xfId="10983" xr:uid="{00000000-0005-0000-0000-0000F1370000}"/>
    <cellStyle name="40% - Accent2 2 3 3 2 6 2 2" xfId="20979" xr:uid="{00000000-0005-0000-0000-0000F2370000}"/>
    <cellStyle name="40% - Accent2 2 3 3 2 6 2 2 2" xfId="40379" xr:uid="{00000000-0005-0000-0000-0000F3370000}"/>
    <cellStyle name="40% - Accent2 2 3 3 2 6 2 3" xfId="30681" xr:uid="{00000000-0005-0000-0000-0000F4370000}"/>
    <cellStyle name="40% - Accent2 2 3 3 2 6 3" xfId="16524" xr:uid="{00000000-0005-0000-0000-0000F5370000}"/>
    <cellStyle name="40% - Accent2 2 3 3 2 6 3 2" xfId="35924" xr:uid="{00000000-0005-0000-0000-0000F6370000}"/>
    <cellStyle name="40% - Accent2 2 3 3 2 6 4" xfId="26226" xr:uid="{00000000-0005-0000-0000-0000F7370000}"/>
    <cellStyle name="40% - Accent2 2 3 3 2 7" xfId="7085" xr:uid="{00000000-0005-0000-0000-0000F8370000}"/>
    <cellStyle name="40% - Accent2 2 3 3 2 7 2" xfId="17081" xr:uid="{00000000-0005-0000-0000-0000F9370000}"/>
    <cellStyle name="40% - Accent2 2 3 3 2 7 2 2" xfId="36481" xr:uid="{00000000-0005-0000-0000-0000FA370000}"/>
    <cellStyle name="40% - Accent2 2 3 3 2 7 3" xfId="26783" xr:uid="{00000000-0005-0000-0000-0000FB370000}"/>
    <cellStyle name="40% - Accent2 2 3 3 2 8" xfId="12625" xr:uid="{00000000-0005-0000-0000-0000FC370000}"/>
    <cellStyle name="40% - Accent2 2 3 3 2 8 2" xfId="32026" xr:uid="{00000000-0005-0000-0000-0000FD370000}"/>
    <cellStyle name="40% - Accent2 2 3 3 2 9" xfId="22328" xr:uid="{00000000-0005-0000-0000-0000FE370000}"/>
    <cellStyle name="40% - Accent2 2 3 3 3" xfId="2148" xr:uid="{00000000-0005-0000-0000-0000FF370000}"/>
    <cellStyle name="40% - Accent2 2 3 3 3 2" xfId="3137" xr:uid="{00000000-0005-0000-0000-000000380000}"/>
    <cellStyle name="40% - Accent2 2 3 3 3 2 2" xfId="5406" xr:uid="{00000000-0005-0000-0000-000001380000}"/>
    <cellStyle name="40% - Accent2 2 3 3 3 2 2 2" xfId="9870" xr:uid="{00000000-0005-0000-0000-000002380000}"/>
    <cellStyle name="40% - Accent2 2 3 3 3 2 2 2 2" xfId="19866" xr:uid="{00000000-0005-0000-0000-000003380000}"/>
    <cellStyle name="40% - Accent2 2 3 3 3 2 2 2 2 2" xfId="39266" xr:uid="{00000000-0005-0000-0000-000004380000}"/>
    <cellStyle name="40% - Accent2 2 3 3 3 2 2 2 3" xfId="29568" xr:uid="{00000000-0005-0000-0000-000005380000}"/>
    <cellStyle name="40% - Accent2 2 3 3 3 2 2 3" xfId="15411" xr:uid="{00000000-0005-0000-0000-000006380000}"/>
    <cellStyle name="40% - Accent2 2 3 3 3 2 2 3 2" xfId="34811" xr:uid="{00000000-0005-0000-0000-000007380000}"/>
    <cellStyle name="40% - Accent2 2 3 3 3 2 2 4" xfId="25113" xr:uid="{00000000-0005-0000-0000-000008380000}"/>
    <cellStyle name="40% - Accent2 2 3 3 3 2 3" xfId="7642" xr:uid="{00000000-0005-0000-0000-000009380000}"/>
    <cellStyle name="40% - Accent2 2 3 3 3 2 3 2" xfId="17638" xr:uid="{00000000-0005-0000-0000-00000A380000}"/>
    <cellStyle name="40% - Accent2 2 3 3 3 2 3 2 2" xfId="37038" xr:uid="{00000000-0005-0000-0000-00000B380000}"/>
    <cellStyle name="40% - Accent2 2 3 3 3 2 3 3" xfId="27340" xr:uid="{00000000-0005-0000-0000-00000C380000}"/>
    <cellStyle name="40% - Accent2 2 3 3 3 2 4" xfId="13183" xr:uid="{00000000-0005-0000-0000-00000D380000}"/>
    <cellStyle name="40% - Accent2 2 3 3 3 2 4 2" xfId="32583" xr:uid="{00000000-0005-0000-0000-00000E380000}"/>
    <cellStyle name="40% - Accent2 2 3 3 3 2 5" xfId="22885" xr:uid="{00000000-0005-0000-0000-00000F380000}"/>
    <cellStyle name="40% - Accent2 2 3 3 3 3" xfId="3720" xr:uid="{00000000-0005-0000-0000-000010380000}"/>
    <cellStyle name="40% - Accent2 2 3 3 3 3 2" xfId="4850" xr:uid="{00000000-0005-0000-0000-000011380000}"/>
    <cellStyle name="40% - Accent2 2 3 3 3 3 2 2" xfId="9314" xr:uid="{00000000-0005-0000-0000-000012380000}"/>
    <cellStyle name="40% - Accent2 2 3 3 3 3 2 2 2" xfId="19310" xr:uid="{00000000-0005-0000-0000-000013380000}"/>
    <cellStyle name="40% - Accent2 2 3 3 3 3 2 2 2 2" xfId="38710" xr:uid="{00000000-0005-0000-0000-000014380000}"/>
    <cellStyle name="40% - Accent2 2 3 3 3 3 2 2 3" xfId="29012" xr:uid="{00000000-0005-0000-0000-000015380000}"/>
    <cellStyle name="40% - Accent2 2 3 3 3 3 2 3" xfId="14855" xr:uid="{00000000-0005-0000-0000-000016380000}"/>
    <cellStyle name="40% - Accent2 2 3 3 3 3 2 3 2" xfId="34255" xr:uid="{00000000-0005-0000-0000-000017380000}"/>
    <cellStyle name="40% - Accent2 2 3 3 3 3 2 4" xfId="24557" xr:uid="{00000000-0005-0000-0000-000018380000}"/>
    <cellStyle name="40% - Accent2 2 3 3 3 3 3" xfId="8199" xr:uid="{00000000-0005-0000-0000-000019380000}"/>
    <cellStyle name="40% - Accent2 2 3 3 3 3 3 2" xfId="18195" xr:uid="{00000000-0005-0000-0000-00001A380000}"/>
    <cellStyle name="40% - Accent2 2 3 3 3 3 3 2 2" xfId="37595" xr:uid="{00000000-0005-0000-0000-00001B380000}"/>
    <cellStyle name="40% - Accent2 2 3 3 3 3 3 3" xfId="27897" xr:uid="{00000000-0005-0000-0000-00001C380000}"/>
    <cellStyle name="40% - Accent2 2 3 3 3 3 4" xfId="13740" xr:uid="{00000000-0005-0000-0000-00001D380000}"/>
    <cellStyle name="40% - Accent2 2 3 3 3 3 4 2" xfId="33140" xr:uid="{00000000-0005-0000-0000-00001E380000}"/>
    <cellStyle name="40% - Accent2 2 3 3 3 3 5" xfId="23442" xr:uid="{00000000-0005-0000-0000-00001F380000}"/>
    <cellStyle name="40% - Accent2 2 3 3 3 4" xfId="4293" xr:uid="{00000000-0005-0000-0000-000020380000}"/>
    <cellStyle name="40% - Accent2 2 3 3 3 4 2" xfId="8757" xr:uid="{00000000-0005-0000-0000-000021380000}"/>
    <cellStyle name="40% - Accent2 2 3 3 3 4 2 2" xfId="18753" xr:uid="{00000000-0005-0000-0000-000022380000}"/>
    <cellStyle name="40% - Accent2 2 3 3 3 4 2 2 2" xfId="38153" xr:uid="{00000000-0005-0000-0000-000023380000}"/>
    <cellStyle name="40% - Accent2 2 3 3 3 4 2 3" xfId="28455" xr:uid="{00000000-0005-0000-0000-000024380000}"/>
    <cellStyle name="40% - Accent2 2 3 3 3 4 3" xfId="14298" xr:uid="{00000000-0005-0000-0000-000025380000}"/>
    <cellStyle name="40% - Accent2 2 3 3 3 4 3 2" xfId="33698" xr:uid="{00000000-0005-0000-0000-000026380000}"/>
    <cellStyle name="40% - Accent2 2 3 3 3 4 4" xfId="24000" xr:uid="{00000000-0005-0000-0000-000027380000}"/>
    <cellStyle name="40% - Accent2 2 3 3 3 5" xfId="5963" xr:uid="{00000000-0005-0000-0000-000028380000}"/>
    <cellStyle name="40% - Accent2 2 3 3 3 5 2" xfId="10427" xr:uid="{00000000-0005-0000-0000-000029380000}"/>
    <cellStyle name="40% - Accent2 2 3 3 3 5 2 2" xfId="20423" xr:uid="{00000000-0005-0000-0000-00002A380000}"/>
    <cellStyle name="40% - Accent2 2 3 3 3 5 2 2 2" xfId="39823" xr:uid="{00000000-0005-0000-0000-00002B380000}"/>
    <cellStyle name="40% - Accent2 2 3 3 3 5 2 3" xfId="30125" xr:uid="{00000000-0005-0000-0000-00002C380000}"/>
    <cellStyle name="40% - Accent2 2 3 3 3 5 3" xfId="15968" xr:uid="{00000000-0005-0000-0000-00002D380000}"/>
    <cellStyle name="40% - Accent2 2 3 3 3 5 3 2" xfId="35368" xr:uid="{00000000-0005-0000-0000-00002E380000}"/>
    <cellStyle name="40% - Accent2 2 3 3 3 5 4" xfId="25670" xr:uid="{00000000-0005-0000-0000-00002F380000}"/>
    <cellStyle name="40% - Accent2 2 3 3 3 6" xfId="6529" xr:uid="{00000000-0005-0000-0000-000030380000}"/>
    <cellStyle name="40% - Accent2 2 3 3 3 6 2" xfId="10984" xr:uid="{00000000-0005-0000-0000-000031380000}"/>
    <cellStyle name="40% - Accent2 2 3 3 3 6 2 2" xfId="20980" xr:uid="{00000000-0005-0000-0000-000032380000}"/>
    <cellStyle name="40% - Accent2 2 3 3 3 6 2 2 2" xfId="40380" xr:uid="{00000000-0005-0000-0000-000033380000}"/>
    <cellStyle name="40% - Accent2 2 3 3 3 6 2 3" xfId="30682" xr:uid="{00000000-0005-0000-0000-000034380000}"/>
    <cellStyle name="40% - Accent2 2 3 3 3 6 3" xfId="16525" xr:uid="{00000000-0005-0000-0000-000035380000}"/>
    <cellStyle name="40% - Accent2 2 3 3 3 6 3 2" xfId="35925" xr:uid="{00000000-0005-0000-0000-000036380000}"/>
    <cellStyle name="40% - Accent2 2 3 3 3 6 4" xfId="26227" xr:uid="{00000000-0005-0000-0000-000037380000}"/>
    <cellStyle name="40% - Accent2 2 3 3 3 7" xfId="7086" xr:uid="{00000000-0005-0000-0000-000038380000}"/>
    <cellStyle name="40% - Accent2 2 3 3 3 7 2" xfId="17082" xr:uid="{00000000-0005-0000-0000-000039380000}"/>
    <cellStyle name="40% - Accent2 2 3 3 3 7 2 2" xfId="36482" xr:uid="{00000000-0005-0000-0000-00003A380000}"/>
    <cellStyle name="40% - Accent2 2 3 3 3 7 3" xfId="26784" xr:uid="{00000000-0005-0000-0000-00003B380000}"/>
    <cellStyle name="40% - Accent2 2 3 3 3 8" xfId="12626" xr:uid="{00000000-0005-0000-0000-00003C380000}"/>
    <cellStyle name="40% - Accent2 2 3 3 3 8 2" xfId="32027" xr:uid="{00000000-0005-0000-0000-00003D380000}"/>
    <cellStyle name="40% - Accent2 2 3 3 3 9" xfId="22329" xr:uid="{00000000-0005-0000-0000-00003E380000}"/>
    <cellStyle name="40% - Accent2 2 3 3 4" xfId="3135" xr:uid="{00000000-0005-0000-0000-00003F380000}"/>
    <cellStyle name="40% - Accent2 2 3 3 4 2" xfId="5404" xr:uid="{00000000-0005-0000-0000-000040380000}"/>
    <cellStyle name="40% - Accent2 2 3 3 4 2 2" xfId="9868" xr:uid="{00000000-0005-0000-0000-000041380000}"/>
    <cellStyle name="40% - Accent2 2 3 3 4 2 2 2" xfId="19864" xr:uid="{00000000-0005-0000-0000-000042380000}"/>
    <cellStyle name="40% - Accent2 2 3 3 4 2 2 2 2" xfId="39264" xr:uid="{00000000-0005-0000-0000-000043380000}"/>
    <cellStyle name="40% - Accent2 2 3 3 4 2 2 3" xfId="29566" xr:uid="{00000000-0005-0000-0000-000044380000}"/>
    <cellStyle name="40% - Accent2 2 3 3 4 2 3" xfId="15409" xr:uid="{00000000-0005-0000-0000-000045380000}"/>
    <cellStyle name="40% - Accent2 2 3 3 4 2 3 2" xfId="34809" xr:uid="{00000000-0005-0000-0000-000046380000}"/>
    <cellStyle name="40% - Accent2 2 3 3 4 2 4" xfId="25111" xr:uid="{00000000-0005-0000-0000-000047380000}"/>
    <cellStyle name="40% - Accent2 2 3 3 4 3" xfId="7640" xr:uid="{00000000-0005-0000-0000-000048380000}"/>
    <cellStyle name="40% - Accent2 2 3 3 4 3 2" xfId="17636" xr:uid="{00000000-0005-0000-0000-000049380000}"/>
    <cellStyle name="40% - Accent2 2 3 3 4 3 2 2" xfId="37036" xr:uid="{00000000-0005-0000-0000-00004A380000}"/>
    <cellStyle name="40% - Accent2 2 3 3 4 3 3" xfId="27338" xr:uid="{00000000-0005-0000-0000-00004B380000}"/>
    <cellStyle name="40% - Accent2 2 3 3 4 4" xfId="13181" xr:uid="{00000000-0005-0000-0000-00004C380000}"/>
    <cellStyle name="40% - Accent2 2 3 3 4 4 2" xfId="32581" xr:uid="{00000000-0005-0000-0000-00004D380000}"/>
    <cellStyle name="40% - Accent2 2 3 3 4 5" xfId="22883" xr:uid="{00000000-0005-0000-0000-00004E380000}"/>
    <cellStyle name="40% - Accent2 2 3 3 5" xfId="3718" xr:uid="{00000000-0005-0000-0000-00004F380000}"/>
    <cellStyle name="40% - Accent2 2 3 3 5 2" xfId="4848" xr:uid="{00000000-0005-0000-0000-000050380000}"/>
    <cellStyle name="40% - Accent2 2 3 3 5 2 2" xfId="9312" xr:uid="{00000000-0005-0000-0000-000051380000}"/>
    <cellStyle name="40% - Accent2 2 3 3 5 2 2 2" xfId="19308" xr:uid="{00000000-0005-0000-0000-000052380000}"/>
    <cellStyle name="40% - Accent2 2 3 3 5 2 2 2 2" xfId="38708" xr:uid="{00000000-0005-0000-0000-000053380000}"/>
    <cellStyle name="40% - Accent2 2 3 3 5 2 2 3" xfId="29010" xr:uid="{00000000-0005-0000-0000-000054380000}"/>
    <cellStyle name="40% - Accent2 2 3 3 5 2 3" xfId="14853" xr:uid="{00000000-0005-0000-0000-000055380000}"/>
    <cellStyle name="40% - Accent2 2 3 3 5 2 3 2" xfId="34253" xr:uid="{00000000-0005-0000-0000-000056380000}"/>
    <cellStyle name="40% - Accent2 2 3 3 5 2 4" xfId="24555" xr:uid="{00000000-0005-0000-0000-000057380000}"/>
    <cellStyle name="40% - Accent2 2 3 3 5 3" xfId="8197" xr:uid="{00000000-0005-0000-0000-000058380000}"/>
    <cellStyle name="40% - Accent2 2 3 3 5 3 2" xfId="18193" xr:uid="{00000000-0005-0000-0000-000059380000}"/>
    <cellStyle name="40% - Accent2 2 3 3 5 3 2 2" xfId="37593" xr:uid="{00000000-0005-0000-0000-00005A380000}"/>
    <cellStyle name="40% - Accent2 2 3 3 5 3 3" xfId="27895" xr:uid="{00000000-0005-0000-0000-00005B380000}"/>
    <cellStyle name="40% - Accent2 2 3 3 5 4" xfId="13738" xr:uid="{00000000-0005-0000-0000-00005C380000}"/>
    <cellStyle name="40% - Accent2 2 3 3 5 4 2" xfId="33138" xr:uid="{00000000-0005-0000-0000-00005D380000}"/>
    <cellStyle name="40% - Accent2 2 3 3 5 5" xfId="23440" xr:uid="{00000000-0005-0000-0000-00005E380000}"/>
    <cellStyle name="40% - Accent2 2 3 3 6" xfId="4291" xr:uid="{00000000-0005-0000-0000-00005F380000}"/>
    <cellStyle name="40% - Accent2 2 3 3 6 2" xfId="8755" xr:uid="{00000000-0005-0000-0000-000060380000}"/>
    <cellStyle name="40% - Accent2 2 3 3 6 2 2" xfId="18751" xr:uid="{00000000-0005-0000-0000-000061380000}"/>
    <cellStyle name="40% - Accent2 2 3 3 6 2 2 2" xfId="38151" xr:uid="{00000000-0005-0000-0000-000062380000}"/>
    <cellStyle name="40% - Accent2 2 3 3 6 2 3" xfId="28453" xr:uid="{00000000-0005-0000-0000-000063380000}"/>
    <cellStyle name="40% - Accent2 2 3 3 6 3" xfId="14296" xr:uid="{00000000-0005-0000-0000-000064380000}"/>
    <cellStyle name="40% - Accent2 2 3 3 6 3 2" xfId="33696" xr:uid="{00000000-0005-0000-0000-000065380000}"/>
    <cellStyle name="40% - Accent2 2 3 3 6 4" xfId="23998" xr:uid="{00000000-0005-0000-0000-000066380000}"/>
    <cellStyle name="40% - Accent2 2 3 3 7" xfId="5961" xr:uid="{00000000-0005-0000-0000-000067380000}"/>
    <cellStyle name="40% - Accent2 2 3 3 7 2" xfId="10425" xr:uid="{00000000-0005-0000-0000-000068380000}"/>
    <cellStyle name="40% - Accent2 2 3 3 7 2 2" xfId="20421" xr:uid="{00000000-0005-0000-0000-000069380000}"/>
    <cellStyle name="40% - Accent2 2 3 3 7 2 2 2" xfId="39821" xr:uid="{00000000-0005-0000-0000-00006A380000}"/>
    <cellStyle name="40% - Accent2 2 3 3 7 2 3" xfId="30123" xr:uid="{00000000-0005-0000-0000-00006B380000}"/>
    <cellStyle name="40% - Accent2 2 3 3 7 3" xfId="15966" xr:uid="{00000000-0005-0000-0000-00006C380000}"/>
    <cellStyle name="40% - Accent2 2 3 3 7 3 2" xfId="35366" xr:uid="{00000000-0005-0000-0000-00006D380000}"/>
    <cellStyle name="40% - Accent2 2 3 3 7 4" xfId="25668" xr:uid="{00000000-0005-0000-0000-00006E380000}"/>
    <cellStyle name="40% - Accent2 2 3 3 8" xfId="6527" xr:uid="{00000000-0005-0000-0000-00006F380000}"/>
    <cellStyle name="40% - Accent2 2 3 3 8 2" xfId="10982" xr:uid="{00000000-0005-0000-0000-000070380000}"/>
    <cellStyle name="40% - Accent2 2 3 3 8 2 2" xfId="20978" xr:uid="{00000000-0005-0000-0000-000071380000}"/>
    <cellStyle name="40% - Accent2 2 3 3 8 2 2 2" xfId="40378" xr:uid="{00000000-0005-0000-0000-000072380000}"/>
    <cellStyle name="40% - Accent2 2 3 3 8 2 3" xfId="30680" xr:uid="{00000000-0005-0000-0000-000073380000}"/>
    <cellStyle name="40% - Accent2 2 3 3 8 3" xfId="16523" xr:uid="{00000000-0005-0000-0000-000074380000}"/>
    <cellStyle name="40% - Accent2 2 3 3 8 3 2" xfId="35923" xr:uid="{00000000-0005-0000-0000-000075380000}"/>
    <cellStyle name="40% - Accent2 2 3 3 8 4" xfId="26225" xr:uid="{00000000-0005-0000-0000-000076380000}"/>
    <cellStyle name="40% - Accent2 2 3 3 9" xfId="7084" xr:uid="{00000000-0005-0000-0000-000077380000}"/>
    <cellStyle name="40% - Accent2 2 3 3 9 2" xfId="17080" xr:uid="{00000000-0005-0000-0000-000078380000}"/>
    <cellStyle name="40% - Accent2 2 3 3 9 2 2" xfId="36480" xr:uid="{00000000-0005-0000-0000-000079380000}"/>
    <cellStyle name="40% - Accent2 2 3 3 9 3" xfId="26782" xr:uid="{00000000-0005-0000-0000-00007A380000}"/>
    <cellStyle name="40% - Accent2 2 3 4" xfId="2149" xr:uid="{00000000-0005-0000-0000-00007B380000}"/>
    <cellStyle name="40% - Accent2 2 3 4 2" xfId="3138" xr:uid="{00000000-0005-0000-0000-00007C380000}"/>
    <cellStyle name="40% - Accent2 2 3 4 2 2" xfId="5407" xr:uid="{00000000-0005-0000-0000-00007D380000}"/>
    <cellStyle name="40% - Accent2 2 3 4 2 2 2" xfId="9871" xr:uid="{00000000-0005-0000-0000-00007E380000}"/>
    <cellStyle name="40% - Accent2 2 3 4 2 2 2 2" xfId="19867" xr:uid="{00000000-0005-0000-0000-00007F380000}"/>
    <cellStyle name="40% - Accent2 2 3 4 2 2 2 2 2" xfId="39267" xr:uid="{00000000-0005-0000-0000-000080380000}"/>
    <cellStyle name="40% - Accent2 2 3 4 2 2 2 3" xfId="29569" xr:uid="{00000000-0005-0000-0000-000081380000}"/>
    <cellStyle name="40% - Accent2 2 3 4 2 2 3" xfId="15412" xr:uid="{00000000-0005-0000-0000-000082380000}"/>
    <cellStyle name="40% - Accent2 2 3 4 2 2 3 2" xfId="34812" xr:uid="{00000000-0005-0000-0000-000083380000}"/>
    <cellStyle name="40% - Accent2 2 3 4 2 2 4" xfId="25114" xr:uid="{00000000-0005-0000-0000-000084380000}"/>
    <cellStyle name="40% - Accent2 2 3 4 2 3" xfId="7643" xr:uid="{00000000-0005-0000-0000-000085380000}"/>
    <cellStyle name="40% - Accent2 2 3 4 2 3 2" xfId="17639" xr:uid="{00000000-0005-0000-0000-000086380000}"/>
    <cellStyle name="40% - Accent2 2 3 4 2 3 2 2" xfId="37039" xr:uid="{00000000-0005-0000-0000-000087380000}"/>
    <cellStyle name="40% - Accent2 2 3 4 2 3 3" xfId="27341" xr:uid="{00000000-0005-0000-0000-000088380000}"/>
    <cellStyle name="40% - Accent2 2 3 4 2 4" xfId="13184" xr:uid="{00000000-0005-0000-0000-000089380000}"/>
    <cellStyle name="40% - Accent2 2 3 4 2 4 2" xfId="32584" xr:uid="{00000000-0005-0000-0000-00008A380000}"/>
    <cellStyle name="40% - Accent2 2 3 4 2 5" xfId="22886" xr:uid="{00000000-0005-0000-0000-00008B380000}"/>
    <cellStyle name="40% - Accent2 2 3 4 3" xfId="3721" xr:uid="{00000000-0005-0000-0000-00008C380000}"/>
    <cellStyle name="40% - Accent2 2 3 4 3 2" xfId="4851" xr:uid="{00000000-0005-0000-0000-00008D380000}"/>
    <cellStyle name="40% - Accent2 2 3 4 3 2 2" xfId="9315" xr:uid="{00000000-0005-0000-0000-00008E380000}"/>
    <cellStyle name="40% - Accent2 2 3 4 3 2 2 2" xfId="19311" xr:uid="{00000000-0005-0000-0000-00008F380000}"/>
    <cellStyle name="40% - Accent2 2 3 4 3 2 2 2 2" xfId="38711" xr:uid="{00000000-0005-0000-0000-000090380000}"/>
    <cellStyle name="40% - Accent2 2 3 4 3 2 2 3" xfId="29013" xr:uid="{00000000-0005-0000-0000-000091380000}"/>
    <cellStyle name="40% - Accent2 2 3 4 3 2 3" xfId="14856" xr:uid="{00000000-0005-0000-0000-000092380000}"/>
    <cellStyle name="40% - Accent2 2 3 4 3 2 3 2" xfId="34256" xr:uid="{00000000-0005-0000-0000-000093380000}"/>
    <cellStyle name="40% - Accent2 2 3 4 3 2 4" xfId="24558" xr:uid="{00000000-0005-0000-0000-000094380000}"/>
    <cellStyle name="40% - Accent2 2 3 4 3 3" xfId="8200" xr:uid="{00000000-0005-0000-0000-000095380000}"/>
    <cellStyle name="40% - Accent2 2 3 4 3 3 2" xfId="18196" xr:uid="{00000000-0005-0000-0000-000096380000}"/>
    <cellStyle name="40% - Accent2 2 3 4 3 3 2 2" xfId="37596" xr:uid="{00000000-0005-0000-0000-000097380000}"/>
    <cellStyle name="40% - Accent2 2 3 4 3 3 3" xfId="27898" xr:uid="{00000000-0005-0000-0000-000098380000}"/>
    <cellStyle name="40% - Accent2 2 3 4 3 4" xfId="13741" xr:uid="{00000000-0005-0000-0000-000099380000}"/>
    <cellStyle name="40% - Accent2 2 3 4 3 4 2" xfId="33141" xr:uid="{00000000-0005-0000-0000-00009A380000}"/>
    <cellStyle name="40% - Accent2 2 3 4 3 5" xfId="23443" xr:uid="{00000000-0005-0000-0000-00009B380000}"/>
    <cellStyle name="40% - Accent2 2 3 4 4" xfId="4294" xr:uid="{00000000-0005-0000-0000-00009C380000}"/>
    <cellStyle name="40% - Accent2 2 3 4 4 2" xfId="8758" xr:uid="{00000000-0005-0000-0000-00009D380000}"/>
    <cellStyle name="40% - Accent2 2 3 4 4 2 2" xfId="18754" xr:uid="{00000000-0005-0000-0000-00009E380000}"/>
    <cellStyle name="40% - Accent2 2 3 4 4 2 2 2" xfId="38154" xr:uid="{00000000-0005-0000-0000-00009F380000}"/>
    <cellStyle name="40% - Accent2 2 3 4 4 2 3" xfId="28456" xr:uid="{00000000-0005-0000-0000-0000A0380000}"/>
    <cellStyle name="40% - Accent2 2 3 4 4 3" xfId="14299" xr:uid="{00000000-0005-0000-0000-0000A1380000}"/>
    <cellStyle name="40% - Accent2 2 3 4 4 3 2" xfId="33699" xr:uid="{00000000-0005-0000-0000-0000A2380000}"/>
    <cellStyle name="40% - Accent2 2 3 4 4 4" xfId="24001" xr:uid="{00000000-0005-0000-0000-0000A3380000}"/>
    <cellStyle name="40% - Accent2 2 3 4 5" xfId="5964" xr:uid="{00000000-0005-0000-0000-0000A4380000}"/>
    <cellStyle name="40% - Accent2 2 3 4 5 2" xfId="10428" xr:uid="{00000000-0005-0000-0000-0000A5380000}"/>
    <cellStyle name="40% - Accent2 2 3 4 5 2 2" xfId="20424" xr:uid="{00000000-0005-0000-0000-0000A6380000}"/>
    <cellStyle name="40% - Accent2 2 3 4 5 2 2 2" xfId="39824" xr:uid="{00000000-0005-0000-0000-0000A7380000}"/>
    <cellStyle name="40% - Accent2 2 3 4 5 2 3" xfId="30126" xr:uid="{00000000-0005-0000-0000-0000A8380000}"/>
    <cellStyle name="40% - Accent2 2 3 4 5 3" xfId="15969" xr:uid="{00000000-0005-0000-0000-0000A9380000}"/>
    <cellStyle name="40% - Accent2 2 3 4 5 3 2" xfId="35369" xr:uid="{00000000-0005-0000-0000-0000AA380000}"/>
    <cellStyle name="40% - Accent2 2 3 4 5 4" xfId="25671" xr:uid="{00000000-0005-0000-0000-0000AB380000}"/>
    <cellStyle name="40% - Accent2 2 3 4 6" xfId="6530" xr:uid="{00000000-0005-0000-0000-0000AC380000}"/>
    <cellStyle name="40% - Accent2 2 3 4 6 2" xfId="10985" xr:uid="{00000000-0005-0000-0000-0000AD380000}"/>
    <cellStyle name="40% - Accent2 2 3 4 6 2 2" xfId="20981" xr:uid="{00000000-0005-0000-0000-0000AE380000}"/>
    <cellStyle name="40% - Accent2 2 3 4 6 2 2 2" xfId="40381" xr:uid="{00000000-0005-0000-0000-0000AF380000}"/>
    <cellStyle name="40% - Accent2 2 3 4 6 2 3" xfId="30683" xr:uid="{00000000-0005-0000-0000-0000B0380000}"/>
    <cellStyle name="40% - Accent2 2 3 4 6 3" xfId="16526" xr:uid="{00000000-0005-0000-0000-0000B1380000}"/>
    <cellStyle name="40% - Accent2 2 3 4 6 3 2" xfId="35926" xr:uid="{00000000-0005-0000-0000-0000B2380000}"/>
    <cellStyle name="40% - Accent2 2 3 4 6 4" xfId="26228" xr:uid="{00000000-0005-0000-0000-0000B3380000}"/>
    <cellStyle name="40% - Accent2 2 3 4 7" xfId="7087" xr:uid="{00000000-0005-0000-0000-0000B4380000}"/>
    <cellStyle name="40% - Accent2 2 3 4 7 2" xfId="17083" xr:uid="{00000000-0005-0000-0000-0000B5380000}"/>
    <cellStyle name="40% - Accent2 2 3 4 7 2 2" xfId="36483" xr:uid="{00000000-0005-0000-0000-0000B6380000}"/>
    <cellStyle name="40% - Accent2 2 3 4 7 3" xfId="26785" xr:uid="{00000000-0005-0000-0000-0000B7380000}"/>
    <cellStyle name="40% - Accent2 2 3 4 8" xfId="12627" xr:uid="{00000000-0005-0000-0000-0000B8380000}"/>
    <cellStyle name="40% - Accent2 2 3 4 8 2" xfId="32028" xr:uid="{00000000-0005-0000-0000-0000B9380000}"/>
    <cellStyle name="40% - Accent2 2 3 4 9" xfId="22330" xr:uid="{00000000-0005-0000-0000-0000BA380000}"/>
    <cellStyle name="40% - Accent2 2 3 5" xfId="2150" xr:uid="{00000000-0005-0000-0000-0000BB380000}"/>
    <cellStyle name="40% - Accent2 2 3 5 2" xfId="3139" xr:uid="{00000000-0005-0000-0000-0000BC380000}"/>
    <cellStyle name="40% - Accent2 2 3 5 2 2" xfId="5408" xr:uid="{00000000-0005-0000-0000-0000BD380000}"/>
    <cellStyle name="40% - Accent2 2 3 5 2 2 2" xfId="9872" xr:uid="{00000000-0005-0000-0000-0000BE380000}"/>
    <cellStyle name="40% - Accent2 2 3 5 2 2 2 2" xfId="19868" xr:uid="{00000000-0005-0000-0000-0000BF380000}"/>
    <cellStyle name="40% - Accent2 2 3 5 2 2 2 2 2" xfId="39268" xr:uid="{00000000-0005-0000-0000-0000C0380000}"/>
    <cellStyle name="40% - Accent2 2 3 5 2 2 2 3" xfId="29570" xr:uid="{00000000-0005-0000-0000-0000C1380000}"/>
    <cellStyle name="40% - Accent2 2 3 5 2 2 3" xfId="15413" xr:uid="{00000000-0005-0000-0000-0000C2380000}"/>
    <cellStyle name="40% - Accent2 2 3 5 2 2 3 2" xfId="34813" xr:uid="{00000000-0005-0000-0000-0000C3380000}"/>
    <cellStyle name="40% - Accent2 2 3 5 2 2 4" xfId="25115" xr:uid="{00000000-0005-0000-0000-0000C4380000}"/>
    <cellStyle name="40% - Accent2 2 3 5 2 3" xfId="7644" xr:uid="{00000000-0005-0000-0000-0000C5380000}"/>
    <cellStyle name="40% - Accent2 2 3 5 2 3 2" xfId="17640" xr:uid="{00000000-0005-0000-0000-0000C6380000}"/>
    <cellStyle name="40% - Accent2 2 3 5 2 3 2 2" xfId="37040" xr:uid="{00000000-0005-0000-0000-0000C7380000}"/>
    <cellStyle name="40% - Accent2 2 3 5 2 3 3" xfId="27342" xr:uid="{00000000-0005-0000-0000-0000C8380000}"/>
    <cellStyle name="40% - Accent2 2 3 5 2 4" xfId="13185" xr:uid="{00000000-0005-0000-0000-0000C9380000}"/>
    <cellStyle name="40% - Accent2 2 3 5 2 4 2" xfId="32585" xr:uid="{00000000-0005-0000-0000-0000CA380000}"/>
    <cellStyle name="40% - Accent2 2 3 5 2 5" xfId="22887" xr:uid="{00000000-0005-0000-0000-0000CB380000}"/>
    <cellStyle name="40% - Accent2 2 3 5 3" xfId="3722" xr:uid="{00000000-0005-0000-0000-0000CC380000}"/>
    <cellStyle name="40% - Accent2 2 3 5 3 2" xfId="4852" xr:uid="{00000000-0005-0000-0000-0000CD380000}"/>
    <cellStyle name="40% - Accent2 2 3 5 3 2 2" xfId="9316" xr:uid="{00000000-0005-0000-0000-0000CE380000}"/>
    <cellStyle name="40% - Accent2 2 3 5 3 2 2 2" xfId="19312" xr:uid="{00000000-0005-0000-0000-0000CF380000}"/>
    <cellStyle name="40% - Accent2 2 3 5 3 2 2 2 2" xfId="38712" xr:uid="{00000000-0005-0000-0000-0000D0380000}"/>
    <cellStyle name="40% - Accent2 2 3 5 3 2 2 3" xfId="29014" xr:uid="{00000000-0005-0000-0000-0000D1380000}"/>
    <cellStyle name="40% - Accent2 2 3 5 3 2 3" xfId="14857" xr:uid="{00000000-0005-0000-0000-0000D2380000}"/>
    <cellStyle name="40% - Accent2 2 3 5 3 2 3 2" xfId="34257" xr:uid="{00000000-0005-0000-0000-0000D3380000}"/>
    <cellStyle name="40% - Accent2 2 3 5 3 2 4" xfId="24559" xr:uid="{00000000-0005-0000-0000-0000D4380000}"/>
    <cellStyle name="40% - Accent2 2 3 5 3 3" xfId="8201" xr:uid="{00000000-0005-0000-0000-0000D5380000}"/>
    <cellStyle name="40% - Accent2 2 3 5 3 3 2" xfId="18197" xr:uid="{00000000-0005-0000-0000-0000D6380000}"/>
    <cellStyle name="40% - Accent2 2 3 5 3 3 2 2" xfId="37597" xr:uid="{00000000-0005-0000-0000-0000D7380000}"/>
    <cellStyle name="40% - Accent2 2 3 5 3 3 3" xfId="27899" xr:uid="{00000000-0005-0000-0000-0000D8380000}"/>
    <cellStyle name="40% - Accent2 2 3 5 3 4" xfId="13742" xr:uid="{00000000-0005-0000-0000-0000D9380000}"/>
    <cellStyle name="40% - Accent2 2 3 5 3 4 2" xfId="33142" xr:uid="{00000000-0005-0000-0000-0000DA380000}"/>
    <cellStyle name="40% - Accent2 2 3 5 3 5" xfId="23444" xr:uid="{00000000-0005-0000-0000-0000DB380000}"/>
    <cellStyle name="40% - Accent2 2 3 5 4" xfId="4295" xr:uid="{00000000-0005-0000-0000-0000DC380000}"/>
    <cellStyle name="40% - Accent2 2 3 5 4 2" xfId="8759" xr:uid="{00000000-0005-0000-0000-0000DD380000}"/>
    <cellStyle name="40% - Accent2 2 3 5 4 2 2" xfId="18755" xr:uid="{00000000-0005-0000-0000-0000DE380000}"/>
    <cellStyle name="40% - Accent2 2 3 5 4 2 2 2" xfId="38155" xr:uid="{00000000-0005-0000-0000-0000DF380000}"/>
    <cellStyle name="40% - Accent2 2 3 5 4 2 3" xfId="28457" xr:uid="{00000000-0005-0000-0000-0000E0380000}"/>
    <cellStyle name="40% - Accent2 2 3 5 4 3" xfId="14300" xr:uid="{00000000-0005-0000-0000-0000E1380000}"/>
    <cellStyle name="40% - Accent2 2 3 5 4 3 2" xfId="33700" xr:uid="{00000000-0005-0000-0000-0000E2380000}"/>
    <cellStyle name="40% - Accent2 2 3 5 4 4" xfId="24002" xr:uid="{00000000-0005-0000-0000-0000E3380000}"/>
    <cellStyle name="40% - Accent2 2 3 5 5" xfId="5965" xr:uid="{00000000-0005-0000-0000-0000E4380000}"/>
    <cellStyle name="40% - Accent2 2 3 5 5 2" xfId="10429" xr:uid="{00000000-0005-0000-0000-0000E5380000}"/>
    <cellStyle name="40% - Accent2 2 3 5 5 2 2" xfId="20425" xr:uid="{00000000-0005-0000-0000-0000E6380000}"/>
    <cellStyle name="40% - Accent2 2 3 5 5 2 2 2" xfId="39825" xr:uid="{00000000-0005-0000-0000-0000E7380000}"/>
    <cellStyle name="40% - Accent2 2 3 5 5 2 3" xfId="30127" xr:uid="{00000000-0005-0000-0000-0000E8380000}"/>
    <cellStyle name="40% - Accent2 2 3 5 5 3" xfId="15970" xr:uid="{00000000-0005-0000-0000-0000E9380000}"/>
    <cellStyle name="40% - Accent2 2 3 5 5 3 2" xfId="35370" xr:uid="{00000000-0005-0000-0000-0000EA380000}"/>
    <cellStyle name="40% - Accent2 2 3 5 5 4" xfId="25672" xr:uid="{00000000-0005-0000-0000-0000EB380000}"/>
    <cellStyle name="40% - Accent2 2 3 5 6" xfId="6531" xr:uid="{00000000-0005-0000-0000-0000EC380000}"/>
    <cellStyle name="40% - Accent2 2 3 5 6 2" xfId="10986" xr:uid="{00000000-0005-0000-0000-0000ED380000}"/>
    <cellStyle name="40% - Accent2 2 3 5 6 2 2" xfId="20982" xr:uid="{00000000-0005-0000-0000-0000EE380000}"/>
    <cellStyle name="40% - Accent2 2 3 5 6 2 2 2" xfId="40382" xr:uid="{00000000-0005-0000-0000-0000EF380000}"/>
    <cellStyle name="40% - Accent2 2 3 5 6 2 3" xfId="30684" xr:uid="{00000000-0005-0000-0000-0000F0380000}"/>
    <cellStyle name="40% - Accent2 2 3 5 6 3" xfId="16527" xr:uid="{00000000-0005-0000-0000-0000F1380000}"/>
    <cellStyle name="40% - Accent2 2 3 5 6 3 2" xfId="35927" xr:uid="{00000000-0005-0000-0000-0000F2380000}"/>
    <cellStyle name="40% - Accent2 2 3 5 6 4" xfId="26229" xr:uid="{00000000-0005-0000-0000-0000F3380000}"/>
    <cellStyle name="40% - Accent2 2 3 5 7" xfId="7088" xr:uid="{00000000-0005-0000-0000-0000F4380000}"/>
    <cellStyle name="40% - Accent2 2 3 5 7 2" xfId="17084" xr:uid="{00000000-0005-0000-0000-0000F5380000}"/>
    <cellStyle name="40% - Accent2 2 3 5 7 2 2" xfId="36484" xr:uid="{00000000-0005-0000-0000-0000F6380000}"/>
    <cellStyle name="40% - Accent2 2 3 5 7 3" xfId="26786" xr:uid="{00000000-0005-0000-0000-0000F7380000}"/>
    <cellStyle name="40% - Accent2 2 3 5 8" xfId="12628" xr:uid="{00000000-0005-0000-0000-0000F8380000}"/>
    <cellStyle name="40% - Accent2 2 3 5 8 2" xfId="32029" xr:uid="{00000000-0005-0000-0000-0000F9380000}"/>
    <cellStyle name="40% - Accent2 2 3 5 9" xfId="22331" xr:uid="{00000000-0005-0000-0000-0000FA380000}"/>
    <cellStyle name="40% - Accent2 2 3 6" xfId="11967" xr:uid="{00000000-0005-0000-0000-0000FB380000}"/>
    <cellStyle name="40% - Accent2 2 3 6 2" xfId="21671" xr:uid="{00000000-0005-0000-0000-0000FC380000}"/>
    <cellStyle name="40% - Accent2 2 3 6 2 2" xfId="41071" xr:uid="{00000000-0005-0000-0000-0000FD380000}"/>
    <cellStyle name="40% - Accent2 2 3 6 3" xfId="31373" xr:uid="{00000000-0005-0000-0000-0000FE380000}"/>
    <cellStyle name="40% - Accent2 2 3 7" xfId="1226" xr:uid="{00000000-0005-0000-0000-0000FF380000}"/>
    <cellStyle name="40% - Accent2 2 3 8" xfId="12323" xr:uid="{00000000-0005-0000-0000-000000390000}"/>
    <cellStyle name="40% - Accent2 2 3 8 2" xfId="31726" xr:uid="{00000000-0005-0000-0000-000001390000}"/>
    <cellStyle name="40% - Accent2 2 3 9" xfId="22028" xr:uid="{00000000-0005-0000-0000-000002390000}"/>
    <cellStyle name="40% - Accent2 2 4" xfId="1228" xr:uid="{00000000-0005-0000-0000-000003390000}"/>
    <cellStyle name="40% - Accent2 2 4 2" xfId="2151" xr:uid="{00000000-0005-0000-0000-000004390000}"/>
    <cellStyle name="40% - Accent2 2 4 2 10" xfId="12629" xr:uid="{00000000-0005-0000-0000-000005390000}"/>
    <cellStyle name="40% - Accent2 2 4 2 10 2" xfId="32030" xr:uid="{00000000-0005-0000-0000-000006390000}"/>
    <cellStyle name="40% - Accent2 2 4 2 11" xfId="22332" xr:uid="{00000000-0005-0000-0000-000007390000}"/>
    <cellStyle name="40% - Accent2 2 4 2 2" xfId="2152" xr:uid="{00000000-0005-0000-0000-000008390000}"/>
    <cellStyle name="40% - Accent2 2 4 2 2 2" xfId="3141" xr:uid="{00000000-0005-0000-0000-000009390000}"/>
    <cellStyle name="40% - Accent2 2 4 2 2 2 2" xfId="5410" xr:uid="{00000000-0005-0000-0000-00000A390000}"/>
    <cellStyle name="40% - Accent2 2 4 2 2 2 2 2" xfId="9874" xr:uid="{00000000-0005-0000-0000-00000B390000}"/>
    <cellStyle name="40% - Accent2 2 4 2 2 2 2 2 2" xfId="19870" xr:uid="{00000000-0005-0000-0000-00000C390000}"/>
    <cellStyle name="40% - Accent2 2 4 2 2 2 2 2 2 2" xfId="39270" xr:uid="{00000000-0005-0000-0000-00000D390000}"/>
    <cellStyle name="40% - Accent2 2 4 2 2 2 2 2 3" xfId="29572" xr:uid="{00000000-0005-0000-0000-00000E390000}"/>
    <cellStyle name="40% - Accent2 2 4 2 2 2 2 3" xfId="15415" xr:uid="{00000000-0005-0000-0000-00000F390000}"/>
    <cellStyle name="40% - Accent2 2 4 2 2 2 2 3 2" xfId="34815" xr:uid="{00000000-0005-0000-0000-000010390000}"/>
    <cellStyle name="40% - Accent2 2 4 2 2 2 2 4" xfId="25117" xr:uid="{00000000-0005-0000-0000-000011390000}"/>
    <cellStyle name="40% - Accent2 2 4 2 2 2 3" xfId="7646" xr:uid="{00000000-0005-0000-0000-000012390000}"/>
    <cellStyle name="40% - Accent2 2 4 2 2 2 3 2" xfId="17642" xr:uid="{00000000-0005-0000-0000-000013390000}"/>
    <cellStyle name="40% - Accent2 2 4 2 2 2 3 2 2" xfId="37042" xr:uid="{00000000-0005-0000-0000-000014390000}"/>
    <cellStyle name="40% - Accent2 2 4 2 2 2 3 3" xfId="27344" xr:uid="{00000000-0005-0000-0000-000015390000}"/>
    <cellStyle name="40% - Accent2 2 4 2 2 2 4" xfId="13187" xr:uid="{00000000-0005-0000-0000-000016390000}"/>
    <cellStyle name="40% - Accent2 2 4 2 2 2 4 2" xfId="32587" xr:uid="{00000000-0005-0000-0000-000017390000}"/>
    <cellStyle name="40% - Accent2 2 4 2 2 2 5" xfId="22889" xr:uid="{00000000-0005-0000-0000-000018390000}"/>
    <cellStyle name="40% - Accent2 2 4 2 2 3" xfId="3724" xr:uid="{00000000-0005-0000-0000-000019390000}"/>
    <cellStyle name="40% - Accent2 2 4 2 2 3 2" xfId="4854" xr:uid="{00000000-0005-0000-0000-00001A390000}"/>
    <cellStyle name="40% - Accent2 2 4 2 2 3 2 2" xfId="9318" xr:uid="{00000000-0005-0000-0000-00001B390000}"/>
    <cellStyle name="40% - Accent2 2 4 2 2 3 2 2 2" xfId="19314" xr:uid="{00000000-0005-0000-0000-00001C390000}"/>
    <cellStyle name="40% - Accent2 2 4 2 2 3 2 2 2 2" xfId="38714" xr:uid="{00000000-0005-0000-0000-00001D390000}"/>
    <cellStyle name="40% - Accent2 2 4 2 2 3 2 2 3" xfId="29016" xr:uid="{00000000-0005-0000-0000-00001E390000}"/>
    <cellStyle name="40% - Accent2 2 4 2 2 3 2 3" xfId="14859" xr:uid="{00000000-0005-0000-0000-00001F390000}"/>
    <cellStyle name="40% - Accent2 2 4 2 2 3 2 3 2" xfId="34259" xr:uid="{00000000-0005-0000-0000-000020390000}"/>
    <cellStyle name="40% - Accent2 2 4 2 2 3 2 4" xfId="24561" xr:uid="{00000000-0005-0000-0000-000021390000}"/>
    <cellStyle name="40% - Accent2 2 4 2 2 3 3" xfId="8203" xr:uid="{00000000-0005-0000-0000-000022390000}"/>
    <cellStyle name="40% - Accent2 2 4 2 2 3 3 2" xfId="18199" xr:uid="{00000000-0005-0000-0000-000023390000}"/>
    <cellStyle name="40% - Accent2 2 4 2 2 3 3 2 2" xfId="37599" xr:uid="{00000000-0005-0000-0000-000024390000}"/>
    <cellStyle name="40% - Accent2 2 4 2 2 3 3 3" xfId="27901" xr:uid="{00000000-0005-0000-0000-000025390000}"/>
    <cellStyle name="40% - Accent2 2 4 2 2 3 4" xfId="13744" xr:uid="{00000000-0005-0000-0000-000026390000}"/>
    <cellStyle name="40% - Accent2 2 4 2 2 3 4 2" xfId="33144" xr:uid="{00000000-0005-0000-0000-000027390000}"/>
    <cellStyle name="40% - Accent2 2 4 2 2 3 5" xfId="23446" xr:uid="{00000000-0005-0000-0000-000028390000}"/>
    <cellStyle name="40% - Accent2 2 4 2 2 4" xfId="4297" xr:uid="{00000000-0005-0000-0000-000029390000}"/>
    <cellStyle name="40% - Accent2 2 4 2 2 4 2" xfId="8761" xr:uid="{00000000-0005-0000-0000-00002A390000}"/>
    <cellStyle name="40% - Accent2 2 4 2 2 4 2 2" xfId="18757" xr:uid="{00000000-0005-0000-0000-00002B390000}"/>
    <cellStyle name="40% - Accent2 2 4 2 2 4 2 2 2" xfId="38157" xr:uid="{00000000-0005-0000-0000-00002C390000}"/>
    <cellStyle name="40% - Accent2 2 4 2 2 4 2 3" xfId="28459" xr:uid="{00000000-0005-0000-0000-00002D390000}"/>
    <cellStyle name="40% - Accent2 2 4 2 2 4 3" xfId="14302" xr:uid="{00000000-0005-0000-0000-00002E390000}"/>
    <cellStyle name="40% - Accent2 2 4 2 2 4 3 2" xfId="33702" xr:uid="{00000000-0005-0000-0000-00002F390000}"/>
    <cellStyle name="40% - Accent2 2 4 2 2 4 4" xfId="24004" xr:uid="{00000000-0005-0000-0000-000030390000}"/>
    <cellStyle name="40% - Accent2 2 4 2 2 5" xfId="5967" xr:uid="{00000000-0005-0000-0000-000031390000}"/>
    <cellStyle name="40% - Accent2 2 4 2 2 5 2" xfId="10431" xr:uid="{00000000-0005-0000-0000-000032390000}"/>
    <cellStyle name="40% - Accent2 2 4 2 2 5 2 2" xfId="20427" xr:uid="{00000000-0005-0000-0000-000033390000}"/>
    <cellStyle name="40% - Accent2 2 4 2 2 5 2 2 2" xfId="39827" xr:uid="{00000000-0005-0000-0000-000034390000}"/>
    <cellStyle name="40% - Accent2 2 4 2 2 5 2 3" xfId="30129" xr:uid="{00000000-0005-0000-0000-000035390000}"/>
    <cellStyle name="40% - Accent2 2 4 2 2 5 3" xfId="15972" xr:uid="{00000000-0005-0000-0000-000036390000}"/>
    <cellStyle name="40% - Accent2 2 4 2 2 5 3 2" xfId="35372" xr:uid="{00000000-0005-0000-0000-000037390000}"/>
    <cellStyle name="40% - Accent2 2 4 2 2 5 4" xfId="25674" xr:uid="{00000000-0005-0000-0000-000038390000}"/>
    <cellStyle name="40% - Accent2 2 4 2 2 6" xfId="6533" xr:uid="{00000000-0005-0000-0000-000039390000}"/>
    <cellStyle name="40% - Accent2 2 4 2 2 6 2" xfId="10988" xr:uid="{00000000-0005-0000-0000-00003A390000}"/>
    <cellStyle name="40% - Accent2 2 4 2 2 6 2 2" xfId="20984" xr:uid="{00000000-0005-0000-0000-00003B390000}"/>
    <cellStyle name="40% - Accent2 2 4 2 2 6 2 2 2" xfId="40384" xr:uid="{00000000-0005-0000-0000-00003C390000}"/>
    <cellStyle name="40% - Accent2 2 4 2 2 6 2 3" xfId="30686" xr:uid="{00000000-0005-0000-0000-00003D390000}"/>
    <cellStyle name="40% - Accent2 2 4 2 2 6 3" xfId="16529" xr:uid="{00000000-0005-0000-0000-00003E390000}"/>
    <cellStyle name="40% - Accent2 2 4 2 2 6 3 2" xfId="35929" xr:uid="{00000000-0005-0000-0000-00003F390000}"/>
    <cellStyle name="40% - Accent2 2 4 2 2 6 4" xfId="26231" xr:uid="{00000000-0005-0000-0000-000040390000}"/>
    <cellStyle name="40% - Accent2 2 4 2 2 7" xfId="7090" xr:uid="{00000000-0005-0000-0000-000041390000}"/>
    <cellStyle name="40% - Accent2 2 4 2 2 7 2" xfId="17086" xr:uid="{00000000-0005-0000-0000-000042390000}"/>
    <cellStyle name="40% - Accent2 2 4 2 2 7 2 2" xfId="36486" xr:uid="{00000000-0005-0000-0000-000043390000}"/>
    <cellStyle name="40% - Accent2 2 4 2 2 7 3" xfId="26788" xr:uid="{00000000-0005-0000-0000-000044390000}"/>
    <cellStyle name="40% - Accent2 2 4 2 2 8" xfId="12630" xr:uid="{00000000-0005-0000-0000-000045390000}"/>
    <cellStyle name="40% - Accent2 2 4 2 2 8 2" xfId="32031" xr:uid="{00000000-0005-0000-0000-000046390000}"/>
    <cellStyle name="40% - Accent2 2 4 2 2 9" xfId="22333" xr:uid="{00000000-0005-0000-0000-000047390000}"/>
    <cellStyle name="40% - Accent2 2 4 2 3" xfId="2153" xr:uid="{00000000-0005-0000-0000-000048390000}"/>
    <cellStyle name="40% - Accent2 2 4 2 3 2" xfId="3142" xr:uid="{00000000-0005-0000-0000-000049390000}"/>
    <cellStyle name="40% - Accent2 2 4 2 3 2 2" xfId="5411" xr:uid="{00000000-0005-0000-0000-00004A390000}"/>
    <cellStyle name="40% - Accent2 2 4 2 3 2 2 2" xfId="9875" xr:uid="{00000000-0005-0000-0000-00004B390000}"/>
    <cellStyle name="40% - Accent2 2 4 2 3 2 2 2 2" xfId="19871" xr:uid="{00000000-0005-0000-0000-00004C390000}"/>
    <cellStyle name="40% - Accent2 2 4 2 3 2 2 2 2 2" xfId="39271" xr:uid="{00000000-0005-0000-0000-00004D390000}"/>
    <cellStyle name="40% - Accent2 2 4 2 3 2 2 2 3" xfId="29573" xr:uid="{00000000-0005-0000-0000-00004E390000}"/>
    <cellStyle name="40% - Accent2 2 4 2 3 2 2 3" xfId="15416" xr:uid="{00000000-0005-0000-0000-00004F390000}"/>
    <cellStyle name="40% - Accent2 2 4 2 3 2 2 3 2" xfId="34816" xr:uid="{00000000-0005-0000-0000-000050390000}"/>
    <cellStyle name="40% - Accent2 2 4 2 3 2 2 4" xfId="25118" xr:uid="{00000000-0005-0000-0000-000051390000}"/>
    <cellStyle name="40% - Accent2 2 4 2 3 2 3" xfId="7647" xr:uid="{00000000-0005-0000-0000-000052390000}"/>
    <cellStyle name="40% - Accent2 2 4 2 3 2 3 2" xfId="17643" xr:uid="{00000000-0005-0000-0000-000053390000}"/>
    <cellStyle name="40% - Accent2 2 4 2 3 2 3 2 2" xfId="37043" xr:uid="{00000000-0005-0000-0000-000054390000}"/>
    <cellStyle name="40% - Accent2 2 4 2 3 2 3 3" xfId="27345" xr:uid="{00000000-0005-0000-0000-000055390000}"/>
    <cellStyle name="40% - Accent2 2 4 2 3 2 4" xfId="13188" xr:uid="{00000000-0005-0000-0000-000056390000}"/>
    <cellStyle name="40% - Accent2 2 4 2 3 2 4 2" xfId="32588" xr:uid="{00000000-0005-0000-0000-000057390000}"/>
    <cellStyle name="40% - Accent2 2 4 2 3 2 5" xfId="22890" xr:uid="{00000000-0005-0000-0000-000058390000}"/>
    <cellStyle name="40% - Accent2 2 4 2 3 3" xfId="3725" xr:uid="{00000000-0005-0000-0000-000059390000}"/>
    <cellStyle name="40% - Accent2 2 4 2 3 3 2" xfId="4855" xr:uid="{00000000-0005-0000-0000-00005A390000}"/>
    <cellStyle name="40% - Accent2 2 4 2 3 3 2 2" xfId="9319" xr:uid="{00000000-0005-0000-0000-00005B390000}"/>
    <cellStyle name="40% - Accent2 2 4 2 3 3 2 2 2" xfId="19315" xr:uid="{00000000-0005-0000-0000-00005C390000}"/>
    <cellStyle name="40% - Accent2 2 4 2 3 3 2 2 2 2" xfId="38715" xr:uid="{00000000-0005-0000-0000-00005D390000}"/>
    <cellStyle name="40% - Accent2 2 4 2 3 3 2 2 3" xfId="29017" xr:uid="{00000000-0005-0000-0000-00005E390000}"/>
    <cellStyle name="40% - Accent2 2 4 2 3 3 2 3" xfId="14860" xr:uid="{00000000-0005-0000-0000-00005F390000}"/>
    <cellStyle name="40% - Accent2 2 4 2 3 3 2 3 2" xfId="34260" xr:uid="{00000000-0005-0000-0000-000060390000}"/>
    <cellStyle name="40% - Accent2 2 4 2 3 3 2 4" xfId="24562" xr:uid="{00000000-0005-0000-0000-000061390000}"/>
    <cellStyle name="40% - Accent2 2 4 2 3 3 3" xfId="8204" xr:uid="{00000000-0005-0000-0000-000062390000}"/>
    <cellStyle name="40% - Accent2 2 4 2 3 3 3 2" xfId="18200" xr:uid="{00000000-0005-0000-0000-000063390000}"/>
    <cellStyle name="40% - Accent2 2 4 2 3 3 3 2 2" xfId="37600" xr:uid="{00000000-0005-0000-0000-000064390000}"/>
    <cellStyle name="40% - Accent2 2 4 2 3 3 3 3" xfId="27902" xr:uid="{00000000-0005-0000-0000-000065390000}"/>
    <cellStyle name="40% - Accent2 2 4 2 3 3 4" xfId="13745" xr:uid="{00000000-0005-0000-0000-000066390000}"/>
    <cellStyle name="40% - Accent2 2 4 2 3 3 4 2" xfId="33145" xr:uid="{00000000-0005-0000-0000-000067390000}"/>
    <cellStyle name="40% - Accent2 2 4 2 3 3 5" xfId="23447" xr:uid="{00000000-0005-0000-0000-000068390000}"/>
    <cellStyle name="40% - Accent2 2 4 2 3 4" xfId="4298" xr:uid="{00000000-0005-0000-0000-000069390000}"/>
    <cellStyle name="40% - Accent2 2 4 2 3 4 2" xfId="8762" xr:uid="{00000000-0005-0000-0000-00006A390000}"/>
    <cellStyle name="40% - Accent2 2 4 2 3 4 2 2" xfId="18758" xr:uid="{00000000-0005-0000-0000-00006B390000}"/>
    <cellStyle name="40% - Accent2 2 4 2 3 4 2 2 2" xfId="38158" xr:uid="{00000000-0005-0000-0000-00006C390000}"/>
    <cellStyle name="40% - Accent2 2 4 2 3 4 2 3" xfId="28460" xr:uid="{00000000-0005-0000-0000-00006D390000}"/>
    <cellStyle name="40% - Accent2 2 4 2 3 4 3" xfId="14303" xr:uid="{00000000-0005-0000-0000-00006E390000}"/>
    <cellStyle name="40% - Accent2 2 4 2 3 4 3 2" xfId="33703" xr:uid="{00000000-0005-0000-0000-00006F390000}"/>
    <cellStyle name="40% - Accent2 2 4 2 3 4 4" xfId="24005" xr:uid="{00000000-0005-0000-0000-000070390000}"/>
    <cellStyle name="40% - Accent2 2 4 2 3 5" xfId="5968" xr:uid="{00000000-0005-0000-0000-000071390000}"/>
    <cellStyle name="40% - Accent2 2 4 2 3 5 2" xfId="10432" xr:uid="{00000000-0005-0000-0000-000072390000}"/>
    <cellStyle name="40% - Accent2 2 4 2 3 5 2 2" xfId="20428" xr:uid="{00000000-0005-0000-0000-000073390000}"/>
    <cellStyle name="40% - Accent2 2 4 2 3 5 2 2 2" xfId="39828" xr:uid="{00000000-0005-0000-0000-000074390000}"/>
    <cellStyle name="40% - Accent2 2 4 2 3 5 2 3" xfId="30130" xr:uid="{00000000-0005-0000-0000-000075390000}"/>
    <cellStyle name="40% - Accent2 2 4 2 3 5 3" xfId="15973" xr:uid="{00000000-0005-0000-0000-000076390000}"/>
    <cellStyle name="40% - Accent2 2 4 2 3 5 3 2" xfId="35373" xr:uid="{00000000-0005-0000-0000-000077390000}"/>
    <cellStyle name="40% - Accent2 2 4 2 3 5 4" xfId="25675" xr:uid="{00000000-0005-0000-0000-000078390000}"/>
    <cellStyle name="40% - Accent2 2 4 2 3 6" xfId="6534" xr:uid="{00000000-0005-0000-0000-000079390000}"/>
    <cellStyle name="40% - Accent2 2 4 2 3 6 2" xfId="10989" xr:uid="{00000000-0005-0000-0000-00007A390000}"/>
    <cellStyle name="40% - Accent2 2 4 2 3 6 2 2" xfId="20985" xr:uid="{00000000-0005-0000-0000-00007B390000}"/>
    <cellStyle name="40% - Accent2 2 4 2 3 6 2 2 2" xfId="40385" xr:uid="{00000000-0005-0000-0000-00007C390000}"/>
    <cellStyle name="40% - Accent2 2 4 2 3 6 2 3" xfId="30687" xr:uid="{00000000-0005-0000-0000-00007D390000}"/>
    <cellStyle name="40% - Accent2 2 4 2 3 6 3" xfId="16530" xr:uid="{00000000-0005-0000-0000-00007E390000}"/>
    <cellStyle name="40% - Accent2 2 4 2 3 6 3 2" xfId="35930" xr:uid="{00000000-0005-0000-0000-00007F390000}"/>
    <cellStyle name="40% - Accent2 2 4 2 3 6 4" xfId="26232" xr:uid="{00000000-0005-0000-0000-000080390000}"/>
    <cellStyle name="40% - Accent2 2 4 2 3 7" xfId="7091" xr:uid="{00000000-0005-0000-0000-000081390000}"/>
    <cellStyle name="40% - Accent2 2 4 2 3 7 2" xfId="17087" xr:uid="{00000000-0005-0000-0000-000082390000}"/>
    <cellStyle name="40% - Accent2 2 4 2 3 7 2 2" xfId="36487" xr:uid="{00000000-0005-0000-0000-000083390000}"/>
    <cellStyle name="40% - Accent2 2 4 2 3 7 3" xfId="26789" xr:uid="{00000000-0005-0000-0000-000084390000}"/>
    <cellStyle name="40% - Accent2 2 4 2 3 8" xfId="12631" xr:uid="{00000000-0005-0000-0000-000085390000}"/>
    <cellStyle name="40% - Accent2 2 4 2 3 8 2" xfId="32032" xr:uid="{00000000-0005-0000-0000-000086390000}"/>
    <cellStyle name="40% - Accent2 2 4 2 3 9" xfId="22334" xr:uid="{00000000-0005-0000-0000-000087390000}"/>
    <cellStyle name="40% - Accent2 2 4 2 4" xfId="3140" xr:uid="{00000000-0005-0000-0000-000088390000}"/>
    <cellStyle name="40% - Accent2 2 4 2 4 2" xfId="5409" xr:uid="{00000000-0005-0000-0000-000089390000}"/>
    <cellStyle name="40% - Accent2 2 4 2 4 2 2" xfId="9873" xr:uid="{00000000-0005-0000-0000-00008A390000}"/>
    <cellStyle name="40% - Accent2 2 4 2 4 2 2 2" xfId="19869" xr:uid="{00000000-0005-0000-0000-00008B390000}"/>
    <cellStyle name="40% - Accent2 2 4 2 4 2 2 2 2" xfId="39269" xr:uid="{00000000-0005-0000-0000-00008C390000}"/>
    <cellStyle name="40% - Accent2 2 4 2 4 2 2 3" xfId="29571" xr:uid="{00000000-0005-0000-0000-00008D390000}"/>
    <cellStyle name="40% - Accent2 2 4 2 4 2 3" xfId="15414" xr:uid="{00000000-0005-0000-0000-00008E390000}"/>
    <cellStyle name="40% - Accent2 2 4 2 4 2 3 2" xfId="34814" xr:uid="{00000000-0005-0000-0000-00008F390000}"/>
    <cellStyle name="40% - Accent2 2 4 2 4 2 4" xfId="25116" xr:uid="{00000000-0005-0000-0000-000090390000}"/>
    <cellStyle name="40% - Accent2 2 4 2 4 3" xfId="7645" xr:uid="{00000000-0005-0000-0000-000091390000}"/>
    <cellStyle name="40% - Accent2 2 4 2 4 3 2" xfId="17641" xr:uid="{00000000-0005-0000-0000-000092390000}"/>
    <cellStyle name="40% - Accent2 2 4 2 4 3 2 2" xfId="37041" xr:uid="{00000000-0005-0000-0000-000093390000}"/>
    <cellStyle name="40% - Accent2 2 4 2 4 3 3" xfId="27343" xr:uid="{00000000-0005-0000-0000-000094390000}"/>
    <cellStyle name="40% - Accent2 2 4 2 4 4" xfId="13186" xr:uid="{00000000-0005-0000-0000-000095390000}"/>
    <cellStyle name="40% - Accent2 2 4 2 4 4 2" xfId="32586" xr:uid="{00000000-0005-0000-0000-000096390000}"/>
    <cellStyle name="40% - Accent2 2 4 2 4 5" xfId="22888" xr:uid="{00000000-0005-0000-0000-000097390000}"/>
    <cellStyle name="40% - Accent2 2 4 2 5" xfId="3723" xr:uid="{00000000-0005-0000-0000-000098390000}"/>
    <cellStyle name="40% - Accent2 2 4 2 5 2" xfId="4853" xr:uid="{00000000-0005-0000-0000-000099390000}"/>
    <cellStyle name="40% - Accent2 2 4 2 5 2 2" xfId="9317" xr:uid="{00000000-0005-0000-0000-00009A390000}"/>
    <cellStyle name="40% - Accent2 2 4 2 5 2 2 2" xfId="19313" xr:uid="{00000000-0005-0000-0000-00009B390000}"/>
    <cellStyle name="40% - Accent2 2 4 2 5 2 2 2 2" xfId="38713" xr:uid="{00000000-0005-0000-0000-00009C390000}"/>
    <cellStyle name="40% - Accent2 2 4 2 5 2 2 3" xfId="29015" xr:uid="{00000000-0005-0000-0000-00009D390000}"/>
    <cellStyle name="40% - Accent2 2 4 2 5 2 3" xfId="14858" xr:uid="{00000000-0005-0000-0000-00009E390000}"/>
    <cellStyle name="40% - Accent2 2 4 2 5 2 3 2" xfId="34258" xr:uid="{00000000-0005-0000-0000-00009F390000}"/>
    <cellStyle name="40% - Accent2 2 4 2 5 2 4" xfId="24560" xr:uid="{00000000-0005-0000-0000-0000A0390000}"/>
    <cellStyle name="40% - Accent2 2 4 2 5 3" xfId="8202" xr:uid="{00000000-0005-0000-0000-0000A1390000}"/>
    <cellStyle name="40% - Accent2 2 4 2 5 3 2" xfId="18198" xr:uid="{00000000-0005-0000-0000-0000A2390000}"/>
    <cellStyle name="40% - Accent2 2 4 2 5 3 2 2" xfId="37598" xr:uid="{00000000-0005-0000-0000-0000A3390000}"/>
    <cellStyle name="40% - Accent2 2 4 2 5 3 3" xfId="27900" xr:uid="{00000000-0005-0000-0000-0000A4390000}"/>
    <cellStyle name="40% - Accent2 2 4 2 5 4" xfId="13743" xr:uid="{00000000-0005-0000-0000-0000A5390000}"/>
    <cellStyle name="40% - Accent2 2 4 2 5 4 2" xfId="33143" xr:uid="{00000000-0005-0000-0000-0000A6390000}"/>
    <cellStyle name="40% - Accent2 2 4 2 5 5" xfId="23445" xr:uid="{00000000-0005-0000-0000-0000A7390000}"/>
    <cellStyle name="40% - Accent2 2 4 2 6" xfId="4296" xr:uid="{00000000-0005-0000-0000-0000A8390000}"/>
    <cellStyle name="40% - Accent2 2 4 2 6 2" xfId="8760" xr:uid="{00000000-0005-0000-0000-0000A9390000}"/>
    <cellStyle name="40% - Accent2 2 4 2 6 2 2" xfId="18756" xr:uid="{00000000-0005-0000-0000-0000AA390000}"/>
    <cellStyle name="40% - Accent2 2 4 2 6 2 2 2" xfId="38156" xr:uid="{00000000-0005-0000-0000-0000AB390000}"/>
    <cellStyle name="40% - Accent2 2 4 2 6 2 3" xfId="28458" xr:uid="{00000000-0005-0000-0000-0000AC390000}"/>
    <cellStyle name="40% - Accent2 2 4 2 6 3" xfId="14301" xr:uid="{00000000-0005-0000-0000-0000AD390000}"/>
    <cellStyle name="40% - Accent2 2 4 2 6 3 2" xfId="33701" xr:uid="{00000000-0005-0000-0000-0000AE390000}"/>
    <cellStyle name="40% - Accent2 2 4 2 6 4" xfId="24003" xr:uid="{00000000-0005-0000-0000-0000AF390000}"/>
    <cellStyle name="40% - Accent2 2 4 2 7" xfId="5966" xr:uid="{00000000-0005-0000-0000-0000B0390000}"/>
    <cellStyle name="40% - Accent2 2 4 2 7 2" xfId="10430" xr:uid="{00000000-0005-0000-0000-0000B1390000}"/>
    <cellStyle name="40% - Accent2 2 4 2 7 2 2" xfId="20426" xr:uid="{00000000-0005-0000-0000-0000B2390000}"/>
    <cellStyle name="40% - Accent2 2 4 2 7 2 2 2" xfId="39826" xr:uid="{00000000-0005-0000-0000-0000B3390000}"/>
    <cellStyle name="40% - Accent2 2 4 2 7 2 3" xfId="30128" xr:uid="{00000000-0005-0000-0000-0000B4390000}"/>
    <cellStyle name="40% - Accent2 2 4 2 7 3" xfId="15971" xr:uid="{00000000-0005-0000-0000-0000B5390000}"/>
    <cellStyle name="40% - Accent2 2 4 2 7 3 2" xfId="35371" xr:uid="{00000000-0005-0000-0000-0000B6390000}"/>
    <cellStyle name="40% - Accent2 2 4 2 7 4" xfId="25673" xr:uid="{00000000-0005-0000-0000-0000B7390000}"/>
    <cellStyle name="40% - Accent2 2 4 2 8" xfId="6532" xr:uid="{00000000-0005-0000-0000-0000B8390000}"/>
    <cellStyle name="40% - Accent2 2 4 2 8 2" xfId="10987" xr:uid="{00000000-0005-0000-0000-0000B9390000}"/>
    <cellStyle name="40% - Accent2 2 4 2 8 2 2" xfId="20983" xr:uid="{00000000-0005-0000-0000-0000BA390000}"/>
    <cellStyle name="40% - Accent2 2 4 2 8 2 2 2" xfId="40383" xr:uid="{00000000-0005-0000-0000-0000BB390000}"/>
    <cellStyle name="40% - Accent2 2 4 2 8 2 3" xfId="30685" xr:uid="{00000000-0005-0000-0000-0000BC390000}"/>
    <cellStyle name="40% - Accent2 2 4 2 8 3" xfId="16528" xr:uid="{00000000-0005-0000-0000-0000BD390000}"/>
    <cellStyle name="40% - Accent2 2 4 2 8 3 2" xfId="35928" xr:uid="{00000000-0005-0000-0000-0000BE390000}"/>
    <cellStyle name="40% - Accent2 2 4 2 8 4" xfId="26230" xr:uid="{00000000-0005-0000-0000-0000BF390000}"/>
    <cellStyle name="40% - Accent2 2 4 2 9" xfId="7089" xr:uid="{00000000-0005-0000-0000-0000C0390000}"/>
    <cellStyle name="40% - Accent2 2 4 2 9 2" xfId="17085" xr:uid="{00000000-0005-0000-0000-0000C1390000}"/>
    <cellStyle name="40% - Accent2 2 4 2 9 2 2" xfId="36485" xr:uid="{00000000-0005-0000-0000-0000C2390000}"/>
    <cellStyle name="40% - Accent2 2 4 2 9 3" xfId="26787" xr:uid="{00000000-0005-0000-0000-0000C3390000}"/>
    <cellStyle name="40% - Accent2 2 4 3" xfId="2154" xr:uid="{00000000-0005-0000-0000-0000C4390000}"/>
    <cellStyle name="40% - Accent2 2 4 3 10" xfId="12632" xr:uid="{00000000-0005-0000-0000-0000C5390000}"/>
    <cellStyle name="40% - Accent2 2 4 3 10 2" xfId="32033" xr:uid="{00000000-0005-0000-0000-0000C6390000}"/>
    <cellStyle name="40% - Accent2 2 4 3 11" xfId="22335" xr:uid="{00000000-0005-0000-0000-0000C7390000}"/>
    <cellStyle name="40% - Accent2 2 4 3 2" xfId="2155" xr:uid="{00000000-0005-0000-0000-0000C8390000}"/>
    <cellStyle name="40% - Accent2 2 4 3 2 2" xfId="3144" xr:uid="{00000000-0005-0000-0000-0000C9390000}"/>
    <cellStyle name="40% - Accent2 2 4 3 2 2 2" xfId="5413" xr:uid="{00000000-0005-0000-0000-0000CA390000}"/>
    <cellStyle name="40% - Accent2 2 4 3 2 2 2 2" xfId="9877" xr:uid="{00000000-0005-0000-0000-0000CB390000}"/>
    <cellStyle name="40% - Accent2 2 4 3 2 2 2 2 2" xfId="19873" xr:uid="{00000000-0005-0000-0000-0000CC390000}"/>
    <cellStyle name="40% - Accent2 2 4 3 2 2 2 2 2 2" xfId="39273" xr:uid="{00000000-0005-0000-0000-0000CD390000}"/>
    <cellStyle name="40% - Accent2 2 4 3 2 2 2 2 3" xfId="29575" xr:uid="{00000000-0005-0000-0000-0000CE390000}"/>
    <cellStyle name="40% - Accent2 2 4 3 2 2 2 3" xfId="15418" xr:uid="{00000000-0005-0000-0000-0000CF390000}"/>
    <cellStyle name="40% - Accent2 2 4 3 2 2 2 3 2" xfId="34818" xr:uid="{00000000-0005-0000-0000-0000D0390000}"/>
    <cellStyle name="40% - Accent2 2 4 3 2 2 2 4" xfId="25120" xr:uid="{00000000-0005-0000-0000-0000D1390000}"/>
    <cellStyle name="40% - Accent2 2 4 3 2 2 3" xfId="7649" xr:uid="{00000000-0005-0000-0000-0000D2390000}"/>
    <cellStyle name="40% - Accent2 2 4 3 2 2 3 2" xfId="17645" xr:uid="{00000000-0005-0000-0000-0000D3390000}"/>
    <cellStyle name="40% - Accent2 2 4 3 2 2 3 2 2" xfId="37045" xr:uid="{00000000-0005-0000-0000-0000D4390000}"/>
    <cellStyle name="40% - Accent2 2 4 3 2 2 3 3" xfId="27347" xr:uid="{00000000-0005-0000-0000-0000D5390000}"/>
    <cellStyle name="40% - Accent2 2 4 3 2 2 4" xfId="13190" xr:uid="{00000000-0005-0000-0000-0000D6390000}"/>
    <cellStyle name="40% - Accent2 2 4 3 2 2 4 2" xfId="32590" xr:uid="{00000000-0005-0000-0000-0000D7390000}"/>
    <cellStyle name="40% - Accent2 2 4 3 2 2 5" xfId="22892" xr:uid="{00000000-0005-0000-0000-0000D8390000}"/>
    <cellStyle name="40% - Accent2 2 4 3 2 3" xfId="3727" xr:uid="{00000000-0005-0000-0000-0000D9390000}"/>
    <cellStyle name="40% - Accent2 2 4 3 2 3 2" xfId="4857" xr:uid="{00000000-0005-0000-0000-0000DA390000}"/>
    <cellStyle name="40% - Accent2 2 4 3 2 3 2 2" xfId="9321" xr:uid="{00000000-0005-0000-0000-0000DB390000}"/>
    <cellStyle name="40% - Accent2 2 4 3 2 3 2 2 2" xfId="19317" xr:uid="{00000000-0005-0000-0000-0000DC390000}"/>
    <cellStyle name="40% - Accent2 2 4 3 2 3 2 2 2 2" xfId="38717" xr:uid="{00000000-0005-0000-0000-0000DD390000}"/>
    <cellStyle name="40% - Accent2 2 4 3 2 3 2 2 3" xfId="29019" xr:uid="{00000000-0005-0000-0000-0000DE390000}"/>
    <cellStyle name="40% - Accent2 2 4 3 2 3 2 3" xfId="14862" xr:uid="{00000000-0005-0000-0000-0000DF390000}"/>
    <cellStyle name="40% - Accent2 2 4 3 2 3 2 3 2" xfId="34262" xr:uid="{00000000-0005-0000-0000-0000E0390000}"/>
    <cellStyle name="40% - Accent2 2 4 3 2 3 2 4" xfId="24564" xr:uid="{00000000-0005-0000-0000-0000E1390000}"/>
    <cellStyle name="40% - Accent2 2 4 3 2 3 3" xfId="8206" xr:uid="{00000000-0005-0000-0000-0000E2390000}"/>
    <cellStyle name="40% - Accent2 2 4 3 2 3 3 2" xfId="18202" xr:uid="{00000000-0005-0000-0000-0000E3390000}"/>
    <cellStyle name="40% - Accent2 2 4 3 2 3 3 2 2" xfId="37602" xr:uid="{00000000-0005-0000-0000-0000E4390000}"/>
    <cellStyle name="40% - Accent2 2 4 3 2 3 3 3" xfId="27904" xr:uid="{00000000-0005-0000-0000-0000E5390000}"/>
    <cellStyle name="40% - Accent2 2 4 3 2 3 4" xfId="13747" xr:uid="{00000000-0005-0000-0000-0000E6390000}"/>
    <cellStyle name="40% - Accent2 2 4 3 2 3 4 2" xfId="33147" xr:uid="{00000000-0005-0000-0000-0000E7390000}"/>
    <cellStyle name="40% - Accent2 2 4 3 2 3 5" xfId="23449" xr:uid="{00000000-0005-0000-0000-0000E8390000}"/>
    <cellStyle name="40% - Accent2 2 4 3 2 4" xfId="4300" xr:uid="{00000000-0005-0000-0000-0000E9390000}"/>
    <cellStyle name="40% - Accent2 2 4 3 2 4 2" xfId="8764" xr:uid="{00000000-0005-0000-0000-0000EA390000}"/>
    <cellStyle name="40% - Accent2 2 4 3 2 4 2 2" xfId="18760" xr:uid="{00000000-0005-0000-0000-0000EB390000}"/>
    <cellStyle name="40% - Accent2 2 4 3 2 4 2 2 2" xfId="38160" xr:uid="{00000000-0005-0000-0000-0000EC390000}"/>
    <cellStyle name="40% - Accent2 2 4 3 2 4 2 3" xfId="28462" xr:uid="{00000000-0005-0000-0000-0000ED390000}"/>
    <cellStyle name="40% - Accent2 2 4 3 2 4 3" xfId="14305" xr:uid="{00000000-0005-0000-0000-0000EE390000}"/>
    <cellStyle name="40% - Accent2 2 4 3 2 4 3 2" xfId="33705" xr:uid="{00000000-0005-0000-0000-0000EF390000}"/>
    <cellStyle name="40% - Accent2 2 4 3 2 4 4" xfId="24007" xr:uid="{00000000-0005-0000-0000-0000F0390000}"/>
    <cellStyle name="40% - Accent2 2 4 3 2 5" xfId="5970" xr:uid="{00000000-0005-0000-0000-0000F1390000}"/>
    <cellStyle name="40% - Accent2 2 4 3 2 5 2" xfId="10434" xr:uid="{00000000-0005-0000-0000-0000F2390000}"/>
    <cellStyle name="40% - Accent2 2 4 3 2 5 2 2" xfId="20430" xr:uid="{00000000-0005-0000-0000-0000F3390000}"/>
    <cellStyle name="40% - Accent2 2 4 3 2 5 2 2 2" xfId="39830" xr:uid="{00000000-0005-0000-0000-0000F4390000}"/>
    <cellStyle name="40% - Accent2 2 4 3 2 5 2 3" xfId="30132" xr:uid="{00000000-0005-0000-0000-0000F5390000}"/>
    <cellStyle name="40% - Accent2 2 4 3 2 5 3" xfId="15975" xr:uid="{00000000-0005-0000-0000-0000F6390000}"/>
    <cellStyle name="40% - Accent2 2 4 3 2 5 3 2" xfId="35375" xr:uid="{00000000-0005-0000-0000-0000F7390000}"/>
    <cellStyle name="40% - Accent2 2 4 3 2 5 4" xfId="25677" xr:uid="{00000000-0005-0000-0000-0000F8390000}"/>
    <cellStyle name="40% - Accent2 2 4 3 2 6" xfId="6536" xr:uid="{00000000-0005-0000-0000-0000F9390000}"/>
    <cellStyle name="40% - Accent2 2 4 3 2 6 2" xfId="10991" xr:uid="{00000000-0005-0000-0000-0000FA390000}"/>
    <cellStyle name="40% - Accent2 2 4 3 2 6 2 2" xfId="20987" xr:uid="{00000000-0005-0000-0000-0000FB390000}"/>
    <cellStyle name="40% - Accent2 2 4 3 2 6 2 2 2" xfId="40387" xr:uid="{00000000-0005-0000-0000-0000FC390000}"/>
    <cellStyle name="40% - Accent2 2 4 3 2 6 2 3" xfId="30689" xr:uid="{00000000-0005-0000-0000-0000FD390000}"/>
    <cellStyle name="40% - Accent2 2 4 3 2 6 3" xfId="16532" xr:uid="{00000000-0005-0000-0000-0000FE390000}"/>
    <cellStyle name="40% - Accent2 2 4 3 2 6 3 2" xfId="35932" xr:uid="{00000000-0005-0000-0000-0000FF390000}"/>
    <cellStyle name="40% - Accent2 2 4 3 2 6 4" xfId="26234" xr:uid="{00000000-0005-0000-0000-0000003A0000}"/>
    <cellStyle name="40% - Accent2 2 4 3 2 7" xfId="7093" xr:uid="{00000000-0005-0000-0000-0000013A0000}"/>
    <cellStyle name="40% - Accent2 2 4 3 2 7 2" xfId="17089" xr:uid="{00000000-0005-0000-0000-0000023A0000}"/>
    <cellStyle name="40% - Accent2 2 4 3 2 7 2 2" xfId="36489" xr:uid="{00000000-0005-0000-0000-0000033A0000}"/>
    <cellStyle name="40% - Accent2 2 4 3 2 7 3" xfId="26791" xr:uid="{00000000-0005-0000-0000-0000043A0000}"/>
    <cellStyle name="40% - Accent2 2 4 3 2 8" xfId="12633" xr:uid="{00000000-0005-0000-0000-0000053A0000}"/>
    <cellStyle name="40% - Accent2 2 4 3 2 8 2" xfId="32034" xr:uid="{00000000-0005-0000-0000-0000063A0000}"/>
    <cellStyle name="40% - Accent2 2 4 3 2 9" xfId="22336" xr:uid="{00000000-0005-0000-0000-0000073A0000}"/>
    <cellStyle name="40% - Accent2 2 4 3 3" xfId="2156" xr:uid="{00000000-0005-0000-0000-0000083A0000}"/>
    <cellStyle name="40% - Accent2 2 4 3 3 2" xfId="3145" xr:uid="{00000000-0005-0000-0000-0000093A0000}"/>
    <cellStyle name="40% - Accent2 2 4 3 3 2 2" xfId="5414" xr:uid="{00000000-0005-0000-0000-00000A3A0000}"/>
    <cellStyle name="40% - Accent2 2 4 3 3 2 2 2" xfId="9878" xr:uid="{00000000-0005-0000-0000-00000B3A0000}"/>
    <cellStyle name="40% - Accent2 2 4 3 3 2 2 2 2" xfId="19874" xr:uid="{00000000-0005-0000-0000-00000C3A0000}"/>
    <cellStyle name="40% - Accent2 2 4 3 3 2 2 2 2 2" xfId="39274" xr:uid="{00000000-0005-0000-0000-00000D3A0000}"/>
    <cellStyle name="40% - Accent2 2 4 3 3 2 2 2 3" xfId="29576" xr:uid="{00000000-0005-0000-0000-00000E3A0000}"/>
    <cellStyle name="40% - Accent2 2 4 3 3 2 2 3" xfId="15419" xr:uid="{00000000-0005-0000-0000-00000F3A0000}"/>
    <cellStyle name="40% - Accent2 2 4 3 3 2 2 3 2" xfId="34819" xr:uid="{00000000-0005-0000-0000-0000103A0000}"/>
    <cellStyle name="40% - Accent2 2 4 3 3 2 2 4" xfId="25121" xr:uid="{00000000-0005-0000-0000-0000113A0000}"/>
    <cellStyle name="40% - Accent2 2 4 3 3 2 3" xfId="7650" xr:uid="{00000000-0005-0000-0000-0000123A0000}"/>
    <cellStyle name="40% - Accent2 2 4 3 3 2 3 2" xfId="17646" xr:uid="{00000000-0005-0000-0000-0000133A0000}"/>
    <cellStyle name="40% - Accent2 2 4 3 3 2 3 2 2" xfId="37046" xr:uid="{00000000-0005-0000-0000-0000143A0000}"/>
    <cellStyle name="40% - Accent2 2 4 3 3 2 3 3" xfId="27348" xr:uid="{00000000-0005-0000-0000-0000153A0000}"/>
    <cellStyle name="40% - Accent2 2 4 3 3 2 4" xfId="13191" xr:uid="{00000000-0005-0000-0000-0000163A0000}"/>
    <cellStyle name="40% - Accent2 2 4 3 3 2 4 2" xfId="32591" xr:uid="{00000000-0005-0000-0000-0000173A0000}"/>
    <cellStyle name="40% - Accent2 2 4 3 3 2 5" xfId="22893" xr:uid="{00000000-0005-0000-0000-0000183A0000}"/>
    <cellStyle name="40% - Accent2 2 4 3 3 3" xfId="3728" xr:uid="{00000000-0005-0000-0000-0000193A0000}"/>
    <cellStyle name="40% - Accent2 2 4 3 3 3 2" xfId="4858" xr:uid="{00000000-0005-0000-0000-00001A3A0000}"/>
    <cellStyle name="40% - Accent2 2 4 3 3 3 2 2" xfId="9322" xr:uid="{00000000-0005-0000-0000-00001B3A0000}"/>
    <cellStyle name="40% - Accent2 2 4 3 3 3 2 2 2" xfId="19318" xr:uid="{00000000-0005-0000-0000-00001C3A0000}"/>
    <cellStyle name="40% - Accent2 2 4 3 3 3 2 2 2 2" xfId="38718" xr:uid="{00000000-0005-0000-0000-00001D3A0000}"/>
    <cellStyle name="40% - Accent2 2 4 3 3 3 2 2 3" xfId="29020" xr:uid="{00000000-0005-0000-0000-00001E3A0000}"/>
    <cellStyle name="40% - Accent2 2 4 3 3 3 2 3" xfId="14863" xr:uid="{00000000-0005-0000-0000-00001F3A0000}"/>
    <cellStyle name="40% - Accent2 2 4 3 3 3 2 3 2" xfId="34263" xr:uid="{00000000-0005-0000-0000-0000203A0000}"/>
    <cellStyle name="40% - Accent2 2 4 3 3 3 2 4" xfId="24565" xr:uid="{00000000-0005-0000-0000-0000213A0000}"/>
    <cellStyle name="40% - Accent2 2 4 3 3 3 3" xfId="8207" xr:uid="{00000000-0005-0000-0000-0000223A0000}"/>
    <cellStyle name="40% - Accent2 2 4 3 3 3 3 2" xfId="18203" xr:uid="{00000000-0005-0000-0000-0000233A0000}"/>
    <cellStyle name="40% - Accent2 2 4 3 3 3 3 2 2" xfId="37603" xr:uid="{00000000-0005-0000-0000-0000243A0000}"/>
    <cellStyle name="40% - Accent2 2 4 3 3 3 3 3" xfId="27905" xr:uid="{00000000-0005-0000-0000-0000253A0000}"/>
    <cellStyle name="40% - Accent2 2 4 3 3 3 4" xfId="13748" xr:uid="{00000000-0005-0000-0000-0000263A0000}"/>
    <cellStyle name="40% - Accent2 2 4 3 3 3 4 2" xfId="33148" xr:uid="{00000000-0005-0000-0000-0000273A0000}"/>
    <cellStyle name="40% - Accent2 2 4 3 3 3 5" xfId="23450" xr:uid="{00000000-0005-0000-0000-0000283A0000}"/>
    <cellStyle name="40% - Accent2 2 4 3 3 4" xfId="4301" xr:uid="{00000000-0005-0000-0000-0000293A0000}"/>
    <cellStyle name="40% - Accent2 2 4 3 3 4 2" xfId="8765" xr:uid="{00000000-0005-0000-0000-00002A3A0000}"/>
    <cellStyle name="40% - Accent2 2 4 3 3 4 2 2" xfId="18761" xr:uid="{00000000-0005-0000-0000-00002B3A0000}"/>
    <cellStyle name="40% - Accent2 2 4 3 3 4 2 2 2" xfId="38161" xr:uid="{00000000-0005-0000-0000-00002C3A0000}"/>
    <cellStyle name="40% - Accent2 2 4 3 3 4 2 3" xfId="28463" xr:uid="{00000000-0005-0000-0000-00002D3A0000}"/>
    <cellStyle name="40% - Accent2 2 4 3 3 4 3" xfId="14306" xr:uid="{00000000-0005-0000-0000-00002E3A0000}"/>
    <cellStyle name="40% - Accent2 2 4 3 3 4 3 2" xfId="33706" xr:uid="{00000000-0005-0000-0000-00002F3A0000}"/>
    <cellStyle name="40% - Accent2 2 4 3 3 4 4" xfId="24008" xr:uid="{00000000-0005-0000-0000-0000303A0000}"/>
    <cellStyle name="40% - Accent2 2 4 3 3 5" xfId="5971" xr:uid="{00000000-0005-0000-0000-0000313A0000}"/>
    <cellStyle name="40% - Accent2 2 4 3 3 5 2" xfId="10435" xr:uid="{00000000-0005-0000-0000-0000323A0000}"/>
    <cellStyle name="40% - Accent2 2 4 3 3 5 2 2" xfId="20431" xr:uid="{00000000-0005-0000-0000-0000333A0000}"/>
    <cellStyle name="40% - Accent2 2 4 3 3 5 2 2 2" xfId="39831" xr:uid="{00000000-0005-0000-0000-0000343A0000}"/>
    <cellStyle name="40% - Accent2 2 4 3 3 5 2 3" xfId="30133" xr:uid="{00000000-0005-0000-0000-0000353A0000}"/>
    <cellStyle name="40% - Accent2 2 4 3 3 5 3" xfId="15976" xr:uid="{00000000-0005-0000-0000-0000363A0000}"/>
    <cellStyle name="40% - Accent2 2 4 3 3 5 3 2" xfId="35376" xr:uid="{00000000-0005-0000-0000-0000373A0000}"/>
    <cellStyle name="40% - Accent2 2 4 3 3 5 4" xfId="25678" xr:uid="{00000000-0005-0000-0000-0000383A0000}"/>
    <cellStyle name="40% - Accent2 2 4 3 3 6" xfId="6537" xr:uid="{00000000-0005-0000-0000-0000393A0000}"/>
    <cellStyle name="40% - Accent2 2 4 3 3 6 2" xfId="10992" xr:uid="{00000000-0005-0000-0000-00003A3A0000}"/>
    <cellStyle name="40% - Accent2 2 4 3 3 6 2 2" xfId="20988" xr:uid="{00000000-0005-0000-0000-00003B3A0000}"/>
    <cellStyle name="40% - Accent2 2 4 3 3 6 2 2 2" xfId="40388" xr:uid="{00000000-0005-0000-0000-00003C3A0000}"/>
    <cellStyle name="40% - Accent2 2 4 3 3 6 2 3" xfId="30690" xr:uid="{00000000-0005-0000-0000-00003D3A0000}"/>
    <cellStyle name="40% - Accent2 2 4 3 3 6 3" xfId="16533" xr:uid="{00000000-0005-0000-0000-00003E3A0000}"/>
    <cellStyle name="40% - Accent2 2 4 3 3 6 3 2" xfId="35933" xr:uid="{00000000-0005-0000-0000-00003F3A0000}"/>
    <cellStyle name="40% - Accent2 2 4 3 3 6 4" xfId="26235" xr:uid="{00000000-0005-0000-0000-0000403A0000}"/>
    <cellStyle name="40% - Accent2 2 4 3 3 7" xfId="7094" xr:uid="{00000000-0005-0000-0000-0000413A0000}"/>
    <cellStyle name="40% - Accent2 2 4 3 3 7 2" xfId="17090" xr:uid="{00000000-0005-0000-0000-0000423A0000}"/>
    <cellStyle name="40% - Accent2 2 4 3 3 7 2 2" xfId="36490" xr:uid="{00000000-0005-0000-0000-0000433A0000}"/>
    <cellStyle name="40% - Accent2 2 4 3 3 7 3" xfId="26792" xr:uid="{00000000-0005-0000-0000-0000443A0000}"/>
    <cellStyle name="40% - Accent2 2 4 3 3 8" xfId="12634" xr:uid="{00000000-0005-0000-0000-0000453A0000}"/>
    <cellStyle name="40% - Accent2 2 4 3 3 8 2" xfId="32035" xr:uid="{00000000-0005-0000-0000-0000463A0000}"/>
    <cellStyle name="40% - Accent2 2 4 3 3 9" xfId="22337" xr:uid="{00000000-0005-0000-0000-0000473A0000}"/>
    <cellStyle name="40% - Accent2 2 4 3 4" xfId="3143" xr:uid="{00000000-0005-0000-0000-0000483A0000}"/>
    <cellStyle name="40% - Accent2 2 4 3 4 2" xfId="5412" xr:uid="{00000000-0005-0000-0000-0000493A0000}"/>
    <cellStyle name="40% - Accent2 2 4 3 4 2 2" xfId="9876" xr:uid="{00000000-0005-0000-0000-00004A3A0000}"/>
    <cellStyle name="40% - Accent2 2 4 3 4 2 2 2" xfId="19872" xr:uid="{00000000-0005-0000-0000-00004B3A0000}"/>
    <cellStyle name="40% - Accent2 2 4 3 4 2 2 2 2" xfId="39272" xr:uid="{00000000-0005-0000-0000-00004C3A0000}"/>
    <cellStyle name="40% - Accent2 2 4 3 4 2 2 3" xfId="29574" xr:uid="{00000000-0005-0000-0000-00004D3A0000}"/>
    <cellStyle name="40% - Accent2 2 4 3 4 2 3" xfId="15417" xr:uid="{00000000-0005-0000-0000-00004E3A0000}"/>
    <cellStyle name="40% - Accent2 2 4 3 4 2 3 2" xfId="34817" xr:uid="{00000000-0005-0000-0000-00004F3A0000}"/>
    <cellStyle name="40% - Accent2 2 4 3 4 2 4" xfId="25119" xr:uid="{00000000-0005-0000-0000-0000503A0000}"/>
    <cellStyle name="40% - Accent2 2 4 3 4 3" xfId="7648" xr:uid="{00000000-0005-0000-0000-0000513A0000}"/>
    <cellStyle name="40% - Accent2 2 4 3 4 3 2" xfId="17644" xr:uid="{00000000-0005-0000-0000-0000523A0000}"/>
    <cellStyle name="40% - Accent2 2 4 3 4 3 2 2" xfId="37044" xr:uid="{00000000-0005-0000-0000-0000533A0000}"/>
    <cellStyle name="40% - Accent2 2 4 3 4 3 3" xfId="27346" xr:uid="{00000000-0005-0000-0000-0000543A0000}"/>
    <cellStyle name="40% - Accent2 2 4 3 4 4" xfId="13189" xr:uid="{00000000-0005-0000-0000-0000553A0000}"/>
    <cellStyle name="40% - Accent2 2 4 3 4 4 2" xfId="32589" xr:uid="{00000000-0005-0000-0000-0000563A0000}"/>
    <cellStyle name="40% - Accent2 2 4 3 4 5" xfId="22891" xr:uid="{00000000-0005-0000-0000-0000573A0000}"/>
    <cellStyle name="40% - Accent2 2 4 3 5" xfId="3726" xr:uid="{00000000-0005-0000-0000-0000583A0000}"/>
    <cellStyle name="40% - Accent2 2 4 3 5 2" xfId="4856" xr:uid="{00000000-0005-0000-0000-0000593A0000}"/>
    <cellStyle name="40% - Accent2 2 4 3 5 2 2" xfId="9320" xr:uid="{00000000-0005-0000-0000-00005A3A0000}"/>
    <cellStyle name="40% - Accent2 2 4 3 5 2 2 2" xfId="19316" xr:uid="{00000000-0005-0000-0000-00005B3A0000}"/>
    <cellStyle name="40% - Accent2 2 4 3 5 2 2 2 2" xfId="38716" xr:uid="{00000000-0005-0000-0000-00005C3A0000}"/>
    <cellStyle name="40% - Accent2 2 4 3 5 2 2 3" xfId="29018" xr:uid="{00000000-0005-0000-0000-00005D3A0000}"/>
    <cellStyle name="40% - Accent2 2 4 3 5 2 3" xfId="14861" xr:uid="{00000000-0005-0000-0000-00005E3A0000}"/>
    <cellStyle name="40% - Accent2 2 4 3 5 2 3 2" xfId="34261" xr:uid="{00000000-0005-0000-0000-00005F3A0000}"/>
    <cellStyle name="40% - Accent2 2 4 3 5 2 4" xfId="24563" xr:uid="{00000000-0005-0000-0000-0000603A0000}"/>
    <cellStyle name="40% - Accent2 2 4 3 5 3" xfId="8205" xr:uid="{00000000-0005-0000-0000-0000613A0000}"/>
    <cellStyle name="40% - Accent2 2 4 3 5 3 2" xfId="18201" xr:uid="{00000000-0005-0000-0000-0000623A0000}"/>
    <cellStyle name="40% - Accent2 2 4 3 5 3 2 2" xfId="37601" xr:uid="{00000000-0005-0000-0000-0000633A0000}"/>
    <cellStyle name="40% - Accent2 2 4 3 5 3 3" xfId="27903" xr:uid="{00000000-0005-0000-0000-0000643A0000}"/>
    <cellStyle name="40% - Accent2 2 4 3 5 4" xfId="13746" xr:uid="{00000000-0005-0000-0000-0000653A0000}"/>
    <cellStyle name="40% - Accent2 2 4 3 5 4 2" xfId="33146" xr:uid="{00000000-0005-0000-0000-0000663A0000}"/>
    <cellStyle name="40% - Accent2 2 4 3 5 5" xfId="23448" xr:uid="{00000000-0005-0000-0000-0000673A0000}"/>
    <cellStyle name="40% - Accent2 2 4 3 6" xfId="4299" xr:uid="{00000000-0005-0000-0000-0000683A0000}"/>
    <cellStyle name="40% - Accent2 2 4 3 6 2" xfId="8763" xr:uid="{00000000-0005-0000-0000-0000693A0000}"/>
    <cellStyle name="40% - Accent2 2 4 3 6 2 2" xfId="18759" xr:uid="{00000000-0005-0000-0000-00006A3A0000}"/>
    <cellStyle name="40% - Accent2 2 4 3 6 2 2 2" xfId="38159" xr:uid="{00000000-0005-0000-0000-00006B3A0000}"/>
    <cellStyle name="40% - Accent2 2 4 3 6 2 3" xfId="28461" xr:uid="{00000000-0005-0000-0000-00006C3A0000}"/>
    <cellStyle name="40% - Accent2 2 4 3 6 3" xfId="14304" xr:uid="{00000000-0005-0000-0000-00006D3A0000}"/>
    <cellStyle name="40% - Accent2 2 4 3 6 3 2" xfId="33704" xr:uid="{00000000-0005-0000-0000-00006E3A0000}"/>
    <cellStyle name="40% - Accent2 2 4 3 6 4" xfId="24006" xr:uid="{00000000-0005-0000-0000-00006F3A0000}"/>
    <cellStyle name="40% - Accent2 2 4 3 7" xfId="5969" xr:uid="{00000000-0005-0000-0000-0000703A0000}"/>
    <cellStyle name="40% - Accent2 2 4 3 7 2" xfId="10433" xr:uid="{00000000-0005-0000-0000-0000713A0000}"/>
    <cellStyle name="40% - Accent2 2 4 3 7 2 2" xfId="20429" xr:uid="{00000000-0005-0000-0000-0000723A0000}"/>
    <cellStyle name="40% - Accent2 2 4 3 7 2 2 2" xfId="39829" xr:uid="{00000000-0005-0000-0000-0000733A0000}"/>
    <cellStyle name="40% - Accent2 2 4 3 7 2 3" xfId="30131" xr:uid="{00000000-0005-0000-0000-0000743A0000}"/>
    <cellStyle name="40% - Accent2 2 4 3 7 3" xfId="15974" xr:uid="{00000000-0005-0000-0000-0000753A0000}"/>
    <cellStyle name="40% - Accent2 2 4 3 7 3 2" xfId="35374" xr:uid="{00000000-0005-0000-0000-0000763A0000}"/>
    <cellStyle name="40% - Accent2 2 4 3 7 4" xfId="25676" xr:uid="{00000000-0005-0000-0000-0000773A0000}"/>
    <cellStyle name="40% - Accent2 2 4 3 8" xfId="6535" xr:uid="{00000000-0005-0000-0000-0000783A0000}"/>
    <cellStyle name="40% - Accent2 2 4 3 8 2" xfId="10990" xr:uid="{00000000-0005-0000-0000-0000793A0000}"/>
    <cellStyle name="40% - Accent2 2 4 3 8 2 2" xfId="20986" xr:uid="{00000000-0005-0000-0000-00007A3A0000}"/>
    <cellStyle name="40% - Accent2 2 4 3 8 2 2 2" xfId="40386" xr:uid="{00000000-0005-0000-0000-00007B3A0000}"/>
    <cellStyle name="40% - Accent2 2 4 3 8 2 3" xfId="30688" xr:uid="{00000000-0005-0000-0000-00007C3A0000}"/>
    <cellStyle name="40% - Accent2 2 4 3 8 3" xfId="16531" xr:uid="{00000000-0005-0000-0000-00007D3A0000}"/>
    <cellStyle name="40% - Accent2 2 4 3 8 3 2" xfId="35931" xr:uid="{00000000-0005-0000-0000-00007E3A0000}"/>
    <cellStyle name="40% - Accent2 2 4 3 8 4" xfId="26233" xr:uid="{00000000-0005-0000-0000-00007F3A0000}"/>
    <cellStyle name="40% - Accent2 2 4 3 9" xfId="7092" xr:uid="{00000000-0005-0000-0000-0000803A0000}"/>
    <cellStyle name="40% - Accent2 2 4 3 9 2" xfId="17088" xr:uid="{00000000-0005-0000-0000-0000813A0000}"/>
    <cellStyle name="40% - Accent2 2 4 3 9 2 2" xfId="36488" xr:uid="{00000000-0005-0000-0000-0000823A0000}"/>
    <cellStyle name="40% - Accent2 2 4 3 9 3" xfId="26790" xr:uid="{00000000-0005-0000-0000-0000833A0000}"/>
    <cellStyle name="40% - Accent2 2 4 4" xfId="2157" xr:uid="{00000000-0005-0000-0000-0000843A0000}"/>
    <cellStyle name="40% - Accent2 2 4 4 2" xfId="3146" xr:uid="{00000000-0005-0000-0000-0000853A0000}"/>
    <cellStyle name="40% - Accent2 2 4 4 2 2" xfId="5415" xr:uid="{00000000-0005-0000-0000-0000863A0000}"/>
    <cellStyle name="40% - Accent2 2 4 4 2 2 2" xfId="9879" xr:uid="{00000000-0005-0000-0000-0000873A0000}"/>
    <cellStyle name="40% - Accent2 2 4 4 2 2 2 2" xfId="19875" xr:uid="{00000000-0005-0000-0000-0000883A0000}"/>
    <cellStyle name="40% - Accent2 2 4 4 2 2 2 2 2" xfId="39275" xr:uid="{00000000-0005-0000-0000-0000893A0000}"/>
    <cellStyle name="40% - Accent2 2 4 4 2 2 2 3" xfId="29577" xr:uid="{00000000-0005-0000-0000-00008A3A0000}"/>
    <cellStyle name="40% - Accent2 2 4 4 2 2 3" xfId="15420" xr:uid="{00000000-0005-0000-0000-00008B3A0000}"/>
    <cellStyle name="40% - Accent2 2 4 4 2 2 3 2" xfId="34820" xr:uid="{00000000-0005-0000-0000-00008C3A0000}"/>
    <cellStyle name="40% - Accent2 2 4 4 2 2 4" xfId="25122" xr:uid="{00000000-0005-0000-0000-00008D3A0000}"/>
    <cellStyle name="40% - Accent2 2 4 4 2 3" xfId="7651" xr:uid="{00000000-0005-0000-0000-00008E3A0000}"/>
    <cellStyle name="40% - Accent2 2 4 4 2 3 2" xfId="17647" xr:uid="{00000000-0005-0000-0000-00008F3A0000}"/>
    <cellStyle name="40% - Accent2 2 4 4 2 3 2 2" xfId="37047" xr:uid="{00000000-0005-0000-0000-0000903A0000}"/>
    <cellStyle name="40% - Accent2 2 4 4 2 3 3" xfId="27349" xr:uid="{00000000-0005-0000-0000-0000913A0000}"/>
    <cellStyle name="40% - Accent2 2 4 4 2 4" xfId="13192" xr:uid="{00000000-0005-0000-0000-0000923A0000}"/>
    <cellStyle name="40% - Accent2 2 4 4 2 4 2" xfId="32592" xr:uid="{00000000-0005-0000-0000-0000933A0000}"/>
    <cellStyle name="40% - Accent2 2 4 4 2 5" xfId="22894" xr:uid="{00000000-0005-0000-0000-0000943A0000}"/>
    <cellStyle name="40% - Accent2 2 4 4 3" xfId="3729" xr:uid="{00000000-0005-0000-0000-0000953A0000}"/>
    <cellStyle name="40% - Accent2 2 4 4 3 2" xfId="4859" xr:uid="{00000000-0005-0000-0000-0000963A0000}"/>
    <cellStyle name="40% - Accent2 2 4 4 3 2 2" xfId="9323" xr:uid="{00000000-0005-0000-0000-0000973A0000}"/>
    <cellStyle name="40% - Accent2 2 4 4 3 2 2 2" xfId="19319" xr:uid="{00000000-0005-0000-0000-0000983A0000}"/>
    <cellStyle name="40% - Accent2 2 4 4 3 2 2 2 2" xfId="38719" xr:uid="{00000000-0005-0000-0000-0000993A0000}"/>
    <cellStyle name="40% - Accent2 2 4 4 3 2 2 3" xfId="29021" xr:uid="{00000000-0005-0000-0000-00009A3A0000}"/>
    <cellStyle name="40% - Accent2 2 4 4 3 2 3" xfId="14864" xr:uid="{00000000-0005-0000-0000-00009B3A0000}"/>
    <cellStyle name="40% - Accent2 2 4 4 3 2 3 2" xfId="34264" xr:uid="{00000000-0005-0000-0000-00009C3A0000}"/>
    <cellStyle name="40% - Accent2 2 4 4 3 2 4" xfId="24566" xr:uid="{00000000-0005-0000-0000-00009D3A0000}"/>
    <cellStyle name="40% - Accent2 2 4 4 3 3" xfId="8208" xr:uid="{00000000-0005-0000-0000-00009E3A0000}"/>
    <cellStyle name="40% - Accent2 2 4 4 3 3 2" xfId="18204" xr:uid="{00000000-0005-0000-0000-00009F3A0000}"/>
    <cellStyle name="40% - Accent2 2 4 4 3 3 2 2" xfId="37604" xr:uid="{00000000-0005-0000-0000-0000A03A0000}"/>
    <cellStyle name="40% - Accent2 2 4 4 3 3 3" xfId="27906" xr:uid="{00000000-0005-0000-0000-0000A13A0000}"/>
    <cellStyle name="40% - Accent2 2 4 4 3 4" xfId="13749" xr:uid="{00000000-0005-0000-0000-0000A23A0000}"/>
    <cellStyle name="40% - Accent2 2 4 4 3 4 2" xfId="33149" xr:uid="{00000000-0005-0000-0000-0000A33A0000}"/>
    <cellStyle name="40% - Accent2 2 4 4 3 5" xfId="23451" xr:uid="{00000000-0005-0000-0000-0000A43A0000}"/>
    <cellStyle name="40% - Accent2 2 4 4 4" xfId="4302" xr:uid="{00000000-0005-0000-0000-0000A53A0000}"/>
    <cellStyle name="40% - Accent2 2 4 4 4 2" xfId="8766" xr:uid="{00000000-0005-0000-0000-0000A63A0000}"/>
    <cellStyle name="40% - Accent2 2 4 4 4 2 2" xfId="18762" xr:uid="{00000000-0005-0000-0000-0000A73A0000}"/>
    <cellStyle name="40% - Accent2 2 4 4 4 2 2 2" xfId="38162" xr:uid="{00000000-0005-0000-0000-0000A83A0000}"/>
    <cellStyle name="40% - Accent2 2 4 4 4 2 3" xfId="28464" xr:uid="{00000000-0005-0000-0000-0000A93A0000}"/>
    <cellStyle name="40% - Accent2 2 4 4 4 3" xfId="14307" xr:uid="{00000000-0005-0000-0000-0000AA3A0000}"/>
    <cellStyle name="40% - Accent2 2 4 4 4 3 2" xfId="33707" xr:uid="{00000000-0005-0000-0000-0000AB3A0000}"/>
    <cellStyle name="40% - Accent2 2 4 4 4 4" xfId="24009" xr:uid="{00000000-0005-0000-0000-0000AC3A0000}"/>
    <cellStyle name="40% - Accent2 2 4 4 5" xfId="5972" xr:uid="{00000000-0005-0000-0000-0000AD3A0000}"/>
    <cellStyle name="40% - Accent2 2 4 4 5 2" xfId="10436" xr:uid="{00000000-0005-0000-0000-0000AE3A0000}"/>
    <cellStyle name="40% - Accent2 2 4 4 5 2 2" xfId="20432" xr:uid="{00000000-0005-0000-0000-0000AF3A0000}"/>
    <cellStyle name="40% - Accent2 2 4 4 5 2 2 2" xfId="39832" xr:uid="{00000000-0005-0000-0000-0000B03A0000}"/>
    <cellStyle name="40% - Accent2 2 4 4 5 2 3" xfId="30134" xr:uid="{00000000-0005-0000-0000-0000B13A0000}"/>
    <cellStyle name="40% - Accent2 2 4 4 5 3" xfId="15977" xr:uid="{00000000-0005-0000-0000-0000B23A0000}"/>
    <cellStyle name="40% - Accent2 2 4 4 5 3 2" xfId="35377" xr:uid="{00000000-0005-0000-0000-0000B33A0000}"/>
    <cellStyle name="40% - Accent2 2 4 4 5 4" xfId="25679" xr:uid="{00000000-0005-0000-0000-0000B43A0000}"/>
    <cellStyle name="40% - Accent2 2 4 4 6" xfId="6538" xr:uid="{00000000-0005-0000-0000-0000B53A0000}"/>
    <cellStyle name="40% - Accent2 2 4 4 6 2" xfId="10993" xr:uid="{00000000-0005-0000-0000-0000B63A0000}"/>
    <cellStyle name="40% - Accent2 2 4 4 6 2 2" xfId="20989" xr:uid="{00000000-0005-0000-0000-0000B73A0000}"/>
    <cellStyle name="40% - Accent2 2 4 4 6 2 2 2" xfId="40389" xr:uid="{00000000-0005-0000-0000-0000B83A0000}"/>
    <cellStyle name="40% - Accent2 2 4 4 6 2 3" xfId="30691" xr:uid="{00000000-0005-0000-0000-0000B93A0000}"/>
    <cellStyle name="40% - Accent2 2 4 4 6 3" xfId="16534" xr:uid="{00000000-0005-0000-0000-0000BA3A0000}"/>
    <cellStyle name="40% - Accent2 2 4 4 6 3 2" xfId="35934" xr:uid="{00000000-0005-0000-0000-0000BB3A0000}"/>
    <cellStyle name="40% - Accent2 2 4 4 6 4" xfId="26236" xr:uid="{00000000-0005-0000-0000-0000BC3A0000}"/>
    <cellStyle name="40% - Accent2 2 4 4 7" xfId="7095" xr:uid="{00000000-0005-0000-0000-0000BD3A0000}"/>
    <cellStyle name="40% - Accent2 2 4 4 7 2" xfId="17091" xr:uid="{00000000-0005-0000-0000-0000BE3A0000}"/>
    <cellStyle name="40% - Accent2 2 4 4 7 2 2" xfId="36491" xr:uid="{00000000-0005-0000-0000-0000BF3A0000}"/>
    <cellStyle name="40% - Accent2 2 4 4 7 3" xfId="26793" xr:uid="{00000000-0005-0000-0000-0000C03A0000}"/>
    <cellStyle name="40% - Accent2 2 4 4 8" xfId="12635" xr:uid="{00000000-0005-0000-0000-0000C13A0000}"/>
    <cellStyle name="40% - Accent2 2 4 4 8 2" xfId="32036" xr:uid="{00000000-0005-0000-0000-0000C23A0000}"/>
    <cellStyle name="40% - Accent2 2 4 4 9" xfId="22338" xr:uid="{00000000-0005-0000-0000-0000C33A0000}"/>
    <cellStyle name="40% - Accent2 2 4 5" xfId="2158" xr:uid="{00000000-0005-0000-0000-0000C43A0000}"/>
    <cellStyle name="40% - Accent2 2 4 5 2" xfId="3147" xr:uid="{00000000-0005-0000-0000-0000C53A0000}"/>
    <cellStyle name="40% - Accent2 2 4 5 2 2" xfId="5416" xr:uid="{00000000-0005-0000-0000-0000C63A0000}"/>
    <cellStyle name="40% - Accent2 2 4 5 2 2 2" xfId="9880" xr:uid="{00000000-0005-0000-0000-0000C73A0000}"/>
    <cellStyle name="40% - Accent2 2 4 5 2 2 2 2" xfId="19876" xr:uid="{00000000-0005-0000-0000-0000C83A0000}"/>
    <cellStyle name="40% - Accent2 2 4 5 2 2 2 2 2" xfId="39276" xr:uid="{00000000-0005-0000-0000-0000C93A0000}"/>
    <cellStyle name="40% - Accent2 2 4 5 2 2 2 3" xfId="29578" xr:uid="{00000000-0005-0000-0000-0000CA3A0000}"/>
    <cellStyle name="40% - Accent2 2 4 5 2 2 3" xfId="15421" xr:uid="{00000000-0005-0000-0000-0000CB3A0000}"/>
    <cellStyle name="40% - Accent2 2 4 5 2 2 3 2" xfId="34821" xr:uid="{00000000-0005-0000-0000-0000CC3A0000}"/>
    <cellStyle name="40% - Accent2 2 4 5 2 2 4" xfId="25123" xr:uid="{00000000-0005-0000-0000-0000CD3A0000}"/>
    <cellStyle name="40% - Accent2 2 4 5 2 3" xfId="7652" xr:uid="{00000000-0005-0000-0000-0000CE3A0000}"/>
    <cellStyle name="40% - Accent2 2 4 5 2 3 2" xfId="17648" xr:uid="{00000000-0005-0000-0000-0000CF3A0000}"/>
    <cellStyle name="40% - Accent2 2 4 5 2 3 2 2" xfId="37048" xr:uid="{00000000-0005-0000-0000-0000D03A0000}"/>
    <cellStyle name="40% - Accent2 2 4 5 2 3 3" xfId="27350" xr:uid="{00000000-0005-0000-0000-0000D13A0000}"/>
    <cellStyle name="40% - Accent2 2 4 5 2 4" xfId="13193" xr:uid="{00000000-0005-0000-0000-0000D23A0000}"/>
    <cellStyle name="40% - Accent2 2 4 5 2 4 2" xfId="32593" xr:uid="{00000000-0005-0000-0000-0000D33A0000}"/>
    <cellStyle name="40% - Accent2 2 4 5 2 5" xfId="22895" xr:uid="{00000000-0005-0000-0000-0000D43A0000}"/>
    <cellStyle name="40% - Accent2 2 4 5 3" xfId="3730" xr:uid="{00000000-0005-0000-0000-0000D53A0000}"/>
    <cellStyle name="40% - Accent2 2 4 5 3 2" xfId="4860" xr:uid="{00000000-0005-0000-0000-0000D63A0000}"/>
    <cellStyle name="40% - Accent2 2 4 5 3 2 2" xfId="9324" xr:uid="{00000000-0005-0000-0000-0000D73A0000}"/>
    <cellStyle name="40% - Accent2 2 4 5 3 2 2 2" xfId="19320" xr:uid="{00000000-0005-0000-0000-0000D83A0000}"/>
    <cellStyle name="40% - Accent2 2 4 5 3 2 2 2 2" xfId="38720" xr:uid="{00000000-0005-0000-0000-0000D93A0000}"/>
    <cellStyle name="40% - Accent2 2 4 5 3 2 2 3" xfId="29022" xr:uid="{00000000-0005-0000-0000-0000DA3A0000}"/>
    <cellStyle name="40% - Accent2 2 4 5 3 2 3" xfId="14865" xr:uid="{00000000-0005-0000-0000-0000DB3A0000}"/>
    <cellStyle name="40% - Accent2 2 4 5 3 2 3 2" xfId="34265" xr:uid="{00000000-0005-0000-0000-0000DC3A0000}"/>
    <cellStyle name="40% - Accent2 2 4 5 3 2 4" xfId="24567" xr:uid="{00000000-0005-0000-0000-0000DD3A0000}"/>
    <cellStyle name="40% - Accent2 2 4 5 3 3" xfId="8209" xr:uid="{00000000-0005-0000-0000-0000DE3A0000}"/>
    <cellStyle name="40% - Accent2 2 4 5 3 3 2" xfId="18205" xr:uid="{00000000-0005-0000-0000-0000DF3A0000}"/>
    <cellStyle name="40% - Accent2 2 4 5 3 3 2 2" xfId="37605" xr:uid="{00000000-0005-0000-0000-0000E03A0000}"/>
    <cellStyle name="40% - Accent2 2 4 5 3 3 3" xfId="27907" xr:uid="{00000000-0005-0000-0000-0000E13A0000}"/>
    <cellStyle name="40% - Accent2 2 4 5 3 4" xfId="13750" xr:uid="{00000000-0005-0000-0000-0000E23A0000}"/>
    <cellStyle name="40% - Accent2 2 4 5 3 4 2" xfId="33150" xr:uid="{00000000-0005-0000-0000-0000E33A0000}"/>
    <cellStyle name="40% - Accent2 2 4 5 3 5" xfId="23452" xr:uid="{00000000-0005-0000-0000-0000E43A0000}"/>
    <cellStyle name="40% - Accent2 2 4 5 4" xfId="4303" xr:uid="{00000000-0005-0000-0000-0000E53A0000}"/>
    <cellStyle name="40% - Accent2 2 4 5 4 2" xfId="8767" xr:uid="{00000000-0005-0000-0000-0000E63A0000}"/>
    <cellStyle name="40% - Accent2 2 4 5 4 2 2" xfId="18763" xr:uid="{00000000-0005-0000-0000-0000E73A0000}"/>
    <cellStyle name="40% - Accent2 2 4 5 4 2 2 2" xfId="38163" xr:uid="{00000000-0005-0000-0000-0000E83A0000}"/>
    <cellStyle name="40% - Accent2 2 4 5 4 2 3" xfId="28465" xr:uid="{00000000-0005-0000-0000-0000E93A0000}"/>
    <cellStyle name="40% - Accent2 2 4 5 4 3" xfId="14308" xr:uid="{00000000-0005-0000-0000-0000EA3A0000}"/>
    <cellStyle name="40% - Accent2 2 4 5 4 3 2" xfId="33708" xr:uid="{00000000-0005-0000-0000-0000EB3A0000}"/>
    <cellStyle name="40% - Accent2 2 4 5 4 4" xfId="24010" xr:uid="{00000000-0005-0000-0000-0000EC3A0000}"/>
    <cellStyle name="40% - Accent2 2 4 5 5" xfId="5973" xr:uid="{00000000-0005-0000-0000-0000ED3A0000}"/>
    <cellStyle name="40% - Accent2 2 4 5 5 2" xfId="10437" xr:uid="{00000000-0005-0000-0000-0000EE3A0000}"/>
    <cellStyle name="40% - Accent2 2 4 5 5 2 2" xfId="20433" xr:uid="{00000000-0005-0000-0000-0000EF3A0000}"/>
    <cellStyle name="40% - Accent2 2 4 5 5 2 2 2" xfId="39833" xr:uid="{00000000-0005-0000-0000-0000F03A0000}"/>
    <cellStyle name="40% - Accent2 2 4 5 5 2 3" xfId="30135" xr:uid="{00000000-0005-0000-0000-0000F13A0000}"/>
    <cellStyle name="40% - Accent2 2 4 5 5 3" xfId="15978" xr:uid="{00000000-0005-0000-0000-0000F23A0000}"/>
    <cellStyle name="40% - Accent2 2 4 5 5 3 2" xfId="35378" xr:uid="{00000000-0005-0000-0000-0000F33A0000}"/>
    <cellStyle name="40% - Accent2 2 4 5 5 4" xfId="25680" xr:uid="{00000000-0005-0000-0000-0000F43A0000}"/>
    <cellStyle name="40% - Accent2 2 4 5 6" xfId="6539" xr:uid="{00000000-0005-0000-0000-0000F53A0000}"/>
    <cellStyle name="40% - Accent2 2 4 5 6 2" xfId="10994" xr:uid="{00000000-0005-0000-0000-0000F63A0000}"/>
    <cellStyle name="40% - Accent2 2 4 5 6 2 2" xfId="20990" xr:uid="{00000000-0005-0000-0000-0000F73A0000}"/>
    <cellStyle name="40% - Accent2 2 4 5 6 2 2 2" xfId="40390" xr:uid="{00000000-0005-0000-0000-0000F83A0000}"/>
    <cellStyle name="40% - Accent2 2 4 5 6 2 3" xfId="30692" xr:uid="{00000000-0005-0000-0000-0000F93A0000}"/>
    <cellStyle name="40% - Accent2 2 4 5 6 3" xfId="16535" xr:uid="{00000000-0005-0000-0000-0000FA3A0000}"/>
    <cellStyle name="40% - Accent2 2 4 5 6 3 2" xfId="35935" xr:uid="{00000000-0005-0000-0000-0000FB3A0000}"/>
    <cellStyle name="40% - Accent2 2 4 5 6 4" xfId="26237" xr:uid="{00000000-0005-0000-0000-0000FC3A0000}"/>
    <cellStyle name="40% - Accent2 2 4 5 7" xfId="7096" xr:uid="{00000000-0005-0000-0000-0000FD3A0000}"/>
    <cellStyle name="40% - Accent2 2 4 5 7 2" xfId="17092" xr:uid="{00000000-0005-0000-0000-0000FE3A0000}"/>
    <cellStyle name="40% - Accent2 2 4 5 7 2 2" xfId="36492" xr:uid="{00000000-0005-0000-0000-0000FF3A0000}"/>
    <cellStyle name="40% - Accent2 2 4 5 7 3" xfId="26794" xr:uid="{00000000-0005-0000-0000-0000003B0000}"/>
    <cellStyle name="40% - Accent2 2 4 5 8" xfId="12636" xr:uid="{00000000-0005-0000-0000-0000013B0000}"/>
    <cellStyle name="40% - Accent2 2 4 5 8 2" xfId="32037" xr:uid="{00000000-0005-0000-0000-0000023B0000}"/>
    <cellStyle name="40% - Accent2 2 4 5 9" xfId="22339" xr:uid="{00000000-0005-0000-0000-0000033B0000}"/>
    <cellStyle name="40% - Accent2 2 5" xfId="1229" xr:uid="{00000000-0005-0000-0000-0000043B0000}"/>
    <cellStyle name="40% - Accent2 2 5 2" xfId="2159" xr:uid="{00000000-0005-0000-0000-0000053B0000}"/>
    <cellStyle name="40% - Accent2 2 5 2 10" xfId="12637" xr:uid="{00000000-0005-0000-0000-0000063B0000}"/>
    <cellStyle name="40% - Accent2 2 5 2 10 2" xfId="32038" xr:uid="{00000000-0005-0000-0000-0000073B0000}"/>
    <cellStyle name="40% - Accent2 2 5 2 11" xfId="22340" xr:uid="{00000000-0005-0000-0000-0000083B0000}"/>
    <cellStyle name="40% - Accent2 2 5 2 2" xfId="2160" xr:uid="{00000000-0005-0000-0000-0000093B0000}"/>
    <cellStyle name="40% - Accent2 2 5 2 2 2" xfId="3149" xr:uid="{00000000-0005-0000-0000-00000A3B0000}"/>
    <cellStyle name="40% - Accent2 2 5 2 2 2 2" xfId="5418" xr:uid="{00000000-0005-0000-0000-00000B3B0000}"/>
    <cellStyle name="40% - Accent2 2 5 2 2 2 2 2" xfId="9882" xr:uid="{00000000-0005-0000-0000-00000C3B0000}"/>
    <cellStyle name="40% - Accent2 2 5 2 2 2 2 2 2" xfId="19878" xr:uid="{00000000-0005-0000-0000-00000D3B0000}"/>
    <cellStyle name="40% - Accent2 2 5 2 2 2 2 2 2 2" xfId="39278" xr:uid="{00000000-0005-0000-0000-00000E3B0000}"/>
    <cellStyle name="40% - Accent2 2 5 2 2 2 2 2 3" xfId="29580" xr:uid="{00000000-0005-0000-0000-00000F3B0000}"/>
    <cellStyle name="40% - Accent2 2 5 2 2 2 2 3" xfId="15423" xr:uid="{00000000-0005-0000-0000-0000103B0000}"/>
    <cellStyle name="40% - Accent2 2 5 2 2 2 2 3 2" xfId="34823" xr:uid="{00000000-0005-0000-0000-0000113B0000}"/>
    <cellStyle name="40% - Accent2 2 5 2 2 2 2 4" xfId="25125" xr:uid="{00000000-0005-0000-0000-0000123B0000}"/>
    <cellStyle name="40% - Accent2 2 5 2 2 2 3" xfId="7654" xr:uid="{00000000-0005-0000-0000-0000133B0000}"/>
    <cellStyle name="40% - Accent2 2 5 2 2 2 3 2" xfId="17650" xr:uid="{00000000-0005-0000-0000-0000143B0000}"/>
    <cellStyle name="40% - Accent2 2 5 2 2 2 3 2 2" xfId="37050" xr:uid="{00000000-0005-0000-0000-0000153B0000}"/>
    <cellStyle name="40% - Accent2 2 5 2 2 2 3 3" xfId="27352" xr:uid="{00000000-0005-0000-0000-0000163B0000}"/>
    <cellStyle name="40% - Accent2 2 5 2 2 2 4" xfId="13195" xr:uid="{00000000-0005-0000-0000-0000173B0000}"/>
    <cellStyle name="40% - Accent2 2 5 2 2 2 4 2" xfId="32595" xr:uid="{00000000-0005-0000-0000-0000183B0000}"/>
    <cellStyle name="40% - Accent2 2 5 2 2 2 5" xfId="22897" xr:uid="{00000000-0005-0000-0000-0000193B0000}"/>
    <cellStyle name="40% - Accent2 2 5 2 2 3" xfId="3732" xr:uid="{00000000-0005-0000-0000-00001A3B0000}"/>
    <cellStyle name="40% - Accent2 2 5 2 2 3 2" xfId="4862" xr:uid="{00000000-0005-0000-0000-00001B3B0000}"/>
    <cellStyle name="40% - Accent2 2 5 2 2 3 2 2" xfId="9326" xr:uid="{00000000-0005-0000-0000-00001C3B0000}"/>
    <cellStyle name="40% - Accent2 2 5 2 2 3 2 2 2" xfId="19322" xr:uid="{00000000-0005-0000-0000-00001D3B0000}"/>
    <cellStyle name="40% - Accent2 2 5 2 2 3 2 2 2 2" xfId="38722" xr:uid="{00000000-0005-0000-0000-00001E3B0000}"/>
    <cellStyle name="40% - Accent2 2 5 2 2 3 2 2 3" xfId="29024" xr:uid="{00000000-0005-0000-0000-00001F3B0000}"/>
    <cellStyle name="40% - Accent2 2 5 2 2 3 2 3" xfId="14867" xr:uid="{00000000-0005-0000-0000-0000203B0000}"/>
    <cellStyle name="40% - Accent2 2 5 2 2 3 2 3 2" xfId="34267" xr:uid="{00000000-0005-0000-0000-0000213B0000}"/>
    <cellStyle name="40% - Accent2 2 5 2 2 3 2 4" xfId="24569" xr:uid="{00000000-0005-0000-0000-0000223B0000}"/>
    <cellStyle name="40% - Accent2 2 5 2 2 3 3" xfId="8211" xr:uid="{00000000-0005-0000-0000-0000233B0000}"/>
    <cellStyle name="40% - Accent2 2 5 2 2 3 3 2" xfId="18207" xr:uid="{00000000-0005-0000-0000-0000243B0000}"/>
    <cellStyle name="40% - Accent2 2 5 2 2 3 3 2 2" xfId="37607" xr:uid="{00000000-0005-0000-0000-0000253B0000}"/>
    <cellStyle name="40% - Accent2 2 5 2 2 3 3 3" xfId="27909" xr:uid="{00000000-0005-0000-0000-0000263B0000}"/>
    <cellStyle name="40% - Accent2 2 5 2 2 3 4" xfId="13752" xr:uid="{00000000-0005-0000-0000-0000273B0000}"/>
    <cellStyle name="40% - Accent2 2 5 2 2 3 4 2" xfId="33152" xr:uid="{00000000-0005-0000-0000-0000283B0000}"/>
    <cellStyle name="40% - Accent2 2 5 2 2 3 5" xfId="23454" xr:uid="{00000000-0005-0000-0000-0000293B0000}"/>
    <cellStyle name="40% - Accent2 2 5 2 2 4" xfId="4305" xr:uid="{00000000-0005-0000-0000-00002A3B0000}"/>
    <cellStyle name="40% - Accent2 2 5 2 2 4 2" xfId="8769" xr:uid="{00000000-0005-0000-0000-00002B3B0000}"/>
    <cellStyle name="40% - Accent2 2 5 2 2 4 2 2" xfId="18765" xr:uid="{00000000-0005-0000-0000-00002C3B0000}"/>
    <cellStyle name="40% - Accent2 2 5 2 2 4 2 2 2" xfId="38165" xr:uid="{00000000-0005-0000-0000-00002D3B0000}"/>
    <cellStyle name="40% - Accent2 2 5 2 2 4 2 3" xfId="28467" xr:uid="{00000000-0005-0000-0000-00002E3B0000}"/>
    <cellStyle name="40% - Accent2 2 5 2 2 4 3" xfId="14310" xr:uid="{00000000-0005-0000-0000-00002F3B0000}"/>
    <cellStyle name="40% - Accent2 2 5 2 2 4 3 2" xfId="33710" xr:uid="{00000000-0005-0000-0000-0000303B0000}"/>
    <cellStyle name="40% - Accent2 2 5 2 2 4 4" xfId="24012" xr:uid="{00000000-0005-0000-0000-0000313B0000}"/>
    <cellStyle name="40% - Accent2 2 5 2 2 5" xfId="5975" xr:uid="{00000000-0005-0000-0000-0000323B0000}"/>
    <cellStyle name="40% - Accent2 2 5 2 2 5 2" xfId="10439" xr:uid="{00000000-0005-0000-0000-0000333B0000}"/>
    <cellStyle name="40% - Accent2 2 5 2 2 5 2 2" xfId="20435" xr:uid="{00000000-0005-0000-0000-0000343B0000}"/>
    <cellStyle name="40% - Accent2 2 5 2 2 5 2 2 2" xfId="39835" xr:uid="{00000000-0005-0000-0000-0000353B0000}"/>
    <cellStyle name="40% - Accent2 2 5 2 2 5 2 3" xfId="30137" xr:uid="{00000000-0005-0000-0000-0000363B0000}"/>
    <cellStyle name="40% - Accent2 2 5 2 2 5 3" xfId="15980" xr:uid="{00000000-0005-0000-0000-0000373B0000}"/>
    <cellStyle name="40% - Accent2 2 5 2 2 5 3 2" xfId="35380" xr:uid="{00000000-0005-0000-0000-0000383B0000}"/>
    <cellStyle name="40% - Accent2 2 5 2 2 5 4" xfId="25682" xr:uid="{00000000-0005-0000-0000-0000393B0000}"/>
    <cellStyle name="40% - Accent2 2 5 2 2 6" xfId="6541" xr:uid="{00000000-0005-0000-0000-00003A3B0000}"/>
    <cellStyle name="40% - Accent2 2 5 2 2 6 2" xfId="10996" xr:uid="{00000000-0005-0000-0000-00003B3B0000}"/>
    <cellStyle name="40% - Accent2 2 5 2 2 6 2 2" xfId="20992" xr:uid="{00000000-0005-0000-0000-00003C3B0000}"/>
    <cellStyle name="40% - Accent2 2 5 2 2 6 2 2 2" xfId="40392" xr:uid="{00000000-0005-0000-0000-00003D3B0000}"/>
    <cellStyle name="40% - Accent2 2 5 2 2 6 2 3" xfId="30694" xr:uid="{00000000-0005-0000-0000-00003E3B0000}"/>
    <cellStyle name="40% - Accent2 2 5 2 2 6 3" xfId="16537" xr:uid="{00000000-0005-0000-0000-00003F3B0000}"/>
    <cellStyle name="40% - Accent2 2 5 2 2 6 3 2" xfId="35937" xr:uid="{00000000-0005-0000-0000-0000403B0000}"/>
    <cellStyle name="40% - Accent2 2 5 2 2 6 4" xfId="26239" xr:uid="{00000000-0005-0000-0000-0000413B0000}"/>
    <cellStyle name="40% - Accent2 2 5 2 2 7" xfId="7098" xr:uid="{00000000-0005-0000-0000-0000423B0000}"/>
    <cellStyle name="40% - Accent2 2 5 2 2 7 2" xfId="17094" xr:uid="{00000000-0005-0000-0000-0000433B0000}"/>
    <cellStyle name="40% - Accent2 2 5 2 2 7 2 2" xfId="36494" xr:uid="{00000000-0005-0000-0000-0000443B0000}"/>
    <cellStyle name="40% - Accent2 2 5 2 2 7 3" xfId="26796" xr:uid="{00000000-0005-0000-0000-0000453B0000}"/>
    <cellStyle name="40% - Accent2 2 5 2 2 8" xfId="12638" xr:uid="{00000000-0005-0000-0000-0000463B0000}"/>
    <cellStyle name="40% - Accent2 2 5 2 2 8 2" xfId="32039" xr:uid="{00000000-0005-0000-0000-0000473B0000}"/>
    <cellStyle name="40% - Accent2 2 5 2 2 9" xfId="22341" xr:uid="{00000000-0005-0000-0000-0000483B0000}"/>
    <cellStyle name="40% - Accent2 2 5 2 3" xfId="2161" xr:uid="{00000000-0005-0000-0000-0000493B0000}"/>
    <cellStyle name="40% - Accent2 2 5 2 3 2" xfId="3150" xr:uid="{00000000-0005-0000-0000-00004A3B0000}"/>
    <cellStyle name="40% - Accent2 2 5 2 3 2 2" xfId="5419" xr:uid="{00000000-0005-0000-0000-00004B3B0000}"/>
    <cellStyle name="40% - Accent2 2 5 2 3 2 2 2" xfId="9883" xr:uid="{00000000-0005-0000-0000-00004C3B0000}"/>
    <cellStyle name="40% - Accent2 2 5 2 3 2 2 2 2" xfId="19879" xr:uid="{00000000-0005-0000-0000-00004D3B0000}"/>
    <cellStyle name="40% - Accent2 2 5 2 3 2 2 2 2 2" xfId="39279" xr:uid="{00000000-0005-0000-0000-00004E3B0000}"/>
    <cellStyle name="40% - Accent2 2 5 2 3 2 2 2 3" xfId="29581" xr:uid="{00000000-0005-0000-0000-00004F3B0000}"/>
    <cellStyle name="40% - Accent2 2 5 2 3 2 2 3" xfId="15424" xr:uid="{00000000-0005-0000-0000-0000503B0000}"/>
    <cellStyle name="40% - Accent2 2 5 2 3 2 2 3 2" xfId="34824" xr:uid="{00000000-0005-0000-0000-0000513B0000}"/>
    <cellStyle name="40% - Accent2 2 5 2 3 2 2 4" xfId="25126" xr:uid="{00000000-0005-0000-0000-0000523B0000}"/>
    <cellStyle name="40% - Accent2 2 5 2 3 2 3" xfId="7655" xr:uid="{00000000-0005-0000-0000-0000533B0000}"/>
    <cellStyle name="40% - Accent2 2 5 2 3 2 3 2" xfId="17651" xr:uid="{00000000-0005-0000-0000-0000543B0000}"/>
    <cellStyle name="40% - Accent2 2 5 2 3 2 3 2 2" xfId="37051" xr:uid="{00000000-0005-0000-0000-0000553B0000}"/>
    <cellStyle name="40% - Accent2 2 5 2 3 2 3 3" xfId="27353" xr:uid="{00000000-0005-0000-0000-0000563B0000}"/>
    <cellStyle name="40% - Accent2 2 5 2 3 2 4" xfId="13196" xr:uid="{00000000-0005-0000-0000-0000573B0000}"/>
    <cellStyle name="40% - Accent2 2 5 2 3 2 4 2" xfId="32596" xr:uid="{00000000-0005-0000-0000-0000583B0000}"/>
    <cellStyle name="40% - Accent2 2 5 2 3 2 5" xfId="22898" xr:uid="{00000000-0005-0000-0000-0000593B0000}"/>
    <cellStyle name="40% - Accent2 2 5 2 3 3" xfId="3733" xr:uid="{00000000-0005-0000-0000-00005A3B0000}"/>
    <cellStyle name="40% - Accent2 2 5 2 3 3 2" xfId="4863" xr:uid="{00000000-0005-0000-0000-00005B3B0000}"/>
    <cellStyle name="40% - Accent2 2 5 2 3 3 2 2" xfId="9327" xr:uid="{00000000-0005-0000-0000-00005C3B0000}"/>
    <cellStyle name="40% - Accent2 2 5 2 3 3 2 2 2" xfId="19323" xr:uid="{00000000-0005-0000-0000-00005D3B0000}"/>
    <cellStyle name="40% - Accent2 2 5 2 3 3 2 2 2 2" xfId="38723" xr:uid="{00000000-0005-0000-0000-00005E3B0000}"/>
    <cellStyle name="40% - Accent2 2 5 2 3 3 2 2 3" xfId="29025" xr:uid="{00000000-0005-0000-0000-00005F3B0000}"/>
    <cellStyle name="40% - Accent2 2 5 2 3 3 2 3" xfId="14868" xr:uid="{00000000-0005-0000-0000-0000603B0000}"/>
    <cellStyle name="40% - Accent2 2 5 2 3 3 2 3 2" xfId="34268" xr:uid="{00000000-0005-0000-0000-0000613B0000}"/>
    <cellStyle name="40% - Accent2 2 5 2 3 3 2 4" xfId="24570" xr:uid="{00000000-0005-0000-0000-0000623B0000}"/>
    <cellStyle name="40% - Accent2 2 5 2 3 3 3" xfId="8212" xr:uid="{00000000-0005-0000-0000-0000633B0000}"/>
    <cellStyle name="40% - Accent2 2 5 2 3 3 3 2" xfId="18208" xr:uid="{00000000-0005-0000-0000-0000643B0000}"/>
    <cellStyle name="40% - Accent2 2 5 2 3 3 3 2 2" xfId="37608" xr:uid="{00000000-0005-0000-0000-0000653B0000}"/>
    <cellStyle name="40% - Accent2 2 5 2 3 3 3 3" xfId="27910" xr:uid="{00000000-0005-0000-0000-0000663B0000}"/>
    <cellStyle name="40% - Accent2 2 5 2 3 3 4" xfId="13753" xr:uid="{00000000-0005-0000-0000-0000673B0000}"/>
    <cellStyle name="40% - Accent2 2 5 2 3 3 4 2" xfId="33153" xr:uid="{00000000-0005-0000-0000-0000683B0000}"/>
    <cellStyle name="40% - Accent2 2 5 2 3 3 5" xfId="23455" xr:uid="{00000000-0005-0000-0000-0000693B0000}"/>
    <cellStyle name="40% - Accent2 2 5 2 3 4" xfId="4306" xr:uid="{00000000-0005-0000-0000-00006A3B0000}"/>
    <cellStyle name="40% - Accent2 2 5 2 3 4 2" xfId="8770" xr:uid="{00000000-0005-0000-0000-00006B3B0000}"/>
    <cellStyle name="40% - Accent2 2 5 2 3 4 2 2" xfId="18766" xr:uid="{00000000-0005-0000-0000-00006C3B0000}"/>
    <cellStyle name="40% - Accent2 2 5 2 3 4 2 2 2" xfId="38166" xr:uid="{00000000-0005-0000-0000-00006D3B0000}"/>
    <cellStyle name="40% - Accent2 2 5 2 3 4 2 3" xfId="28468" xr:uid="{00000000-0005-0000-0000-00006E3B0000}"/>
    <cellStyle name="40% - Accent2 2 5 2 3 4 3" xfId="14311" xr:uid="{00000000-0005-0000-0000-00006F3B0000}"/>
    <cellStyle name="40% - Accent2 2 5 2 3 4 3 2" xfId="33711" xr:uid="{00000000-0005-0000-0000-0000703B0000}"/>
    <cellStyle name="40% - Accent2 2 5 2 3 4 4" xfId="24013" xr:uid="{00000000-0005-0000-0000-0000713B0000}"/>
    <cellStyle name="40% - Accent2 2 5 2 3 5" xfId="5976" xr:uid="{00000000-0005-0000-0000-0000723B0000}"/>
    <cellStyle name="40% - Accent2 2 5 2 3 5 2" xfId="10440" xr:uid="{00000000-0005-0000-0000-0000733B0000}"/>
    <cellStyle name="40% - Accent2 2 5 2 3 5 2 2" xfId="20436" xr:uid="{00000000-0005-0000-0000-0000743B0000}"/>
    <cellStyle name="40% - Accent2 2 5 2 3 5 2 2 2" xfId="39836" xr:uid="{00000000-0005-0000-0000-0000753B0000}"/>
    <cellStyle name="40% - Accent2 2 5 2 3 5 2 3" xfId="30138" xr:uid="{00000000-0005-0000-0000-0000763B0000}"/>
    <cellStyle name="40% - Accent2 2 5 2 3 5 3" xfId="15981" xr:uid="{00000000-0005-0000-0000-0000773B0000}"/>
    <cellStyle name="40% - Accent2 2 5 2 3 5 3 2" xfId="35381" xr:uid="{00000000-0005-0000-0000-0000783B0000}"/>
    <cellStyle name="40% - Accent2 2 5 2 3 5 4" xfId="25683" xr:uid="{00000000-0005-0000-0000-0000793B0000}"/>
    <cellStyle name="40% - Accent2 2 5 2 3 6" xfId="6542" xr:uid="{00000000-0005-0000-0000-00007A3B0000}"/>
    <cellStyle name="40% - Accent2 2 5 2 3 6 2" xfId="10997" xr:uid="{00000000-0005-0000-0000-00007B3B0000}"/>
    <cellStyle name="40% - Accent2 2 5 2 3 6 2 2" xfId="20993" xr:uid="{00000000-0005-0000-0000-00007C3B0000}"/>
    <cellStyle name="40% - Accent2 2 5 2 3 6 2 2 2" xfId="40393" xr:uid="{00000000-0005-0000-0000-00007D3B0000}"/>
    <cellStyle name="40% - Accent2 2 5 2 3 6 2 3" xfId="30695" xr:uid="{00000000-0005-0000-0000-00007E3B0000}"/>
    <cellStyle name="40% - Accent2 2 5 2 3 6 3" xfId="16538" xr:uid="{00000000-0005-0000-0000-00007F3B0000}"/>
    <cellStyle name="40% - Accent2 2 5 2 3 6 3 2" xfId="35938" xr:uid="{00000000-0005-0000-0000-0000803B0000}"/>
    <cellStyle name="40% - Accent2 2 5 2 3 6 4" xfId="26240" xr:uid="{00000000-0005-0000-0000-0000813B0000}"/>
    <cellStyle name="40% - Accent2 2 5 2 3 7" xfId="7099" xr:uid="{00000000-0005-0000-0000-0000823B0000}"/>
    <cellStyle name="40% - Accent2 2 5 2 3 7 2" xfId="17095" xr:uid="{00000000-0005-0000-0000-0000833B0000}"/>
    <cellStyle name="40% - Accent2 2 5 2 3 7 2 2" xfId="36495" xr:uid="{00000000-0005-0000-0000-0000843B0000}"/>
    <cellStyle name="40% - Accent2 2 5 2 3 7 3" xfId="26797" xr:uid="{00000000-0005-0000-0000-0000853B0000}"/>
    <cellStyle name="40% - Accent2 2 5 2 3 8" xfId="12639" xr:uid="{00000000-0005-0000-0000-0000863B0000}"/>
    <cellStyle name="40% - Accent2 2 5 2 3 8 2" xfId="32040" xr:uid="{00000000-0005-0000-0000-0000873B0000}"/>
    <cellStyle name="40% - Accent2 2 5 2 3 9" xfId="22342" xr:uid="{00000000-0005-0000-0000-0000883B0000}"/>
    <cellStyle name="40% - Accent2 2 5 2 4" xfId="3148" xr:uid="{00000000-0005-0000-0000-0000893B0000}"/>
    <cellStyle name="40% - Accent2 2 5 2 4 2" xfId="5417" xr:uid="{00000000-0005-0000-0000-00008A3B0000}"/>
    <cellStyle name="40% - Accent2 2 5 2 4 2 2" xfId="9881" xr:uid="{00000000-0005-0000-0000-00008B3B0000}"/>
    <cellStyle name="40% - Accent2 2 5 2 4 2 2 2" xfId="19877" xr:uid="{00000000-0005-0000-0000-00008C3B0000}"/>
    <cellStyle name="40% - Accent2 2 5 2 4 2 2 2 2" xfId="39277" xr:uid="{00000000-0005-0000-0000-00008D3B0000}"/>
    <cellStyle name="40% - Accent2 2 5 2 4 2 2 3" xfId="29579" xr:uid="{00000000-0005-0000-0000-00008E3B0000}"/>
    <cellStyle name="40% - Accent2 2 5 2 4 2 3" xfId="15422" xr:uid="{00000000-0005-0000-0000-00008F3B0000}"/>
    <cellStyle name="40% - Accent2 2 5 2 4 2 3 2" xfId="34822" xr:uid="{00000000-0005-0000-0000-0000903B0000}"/>
    <cellStyle name="40% - Accent2 2 5 2 4 2 4" xfId="25124" xr:uid="{00000000-0005-0000-0000-0000913B0000}"/>
    <cellStyle name="40% - Accent2 2 5 2 4 3" xfId="7653" xr:uid="{00000000-0005-0000-0000-0000923B0000}"/>
    <cellStyle name="40% - Accent2 2 5 2 4 3 2" xfId="17649" xr:uid="{00000000-0005-0000-0000-0000933B0000}"/>
    <cellStyle name="40% - Accent2 2 5 2 4 3 2 2" xfId="37049" xr:uid="{00000000-0005-0000-0000-0000943B0000}"/>
    <cellStyle name="40% - Accent2 2 5 2 4 3 3" xfId="27351" xr:uid="{00000000-0005-0000-0000-0000953B0000}"/>
    <cellStyle name="40% - Accent2 2 5 2 4 4" xfId="13194" xr:uid="{00000000-0005-0000-0000-0000963B0000}"/>
    <cellStyle name="40% - Accent2 2 5 2 4 4 2" xfId="32594" xr:uid="{00000000-0005-0000-0000-0000973B0000}"/>
    <cellStyle name="40% - Accent2 2 5 2 4 5" xfId="22896" xr:uid="{00000000-0005-0000-0000-0000983B0000}"/>
    <cellStyle name="40% - Accent2 2 5 2 5" xfId="3731" xr:uid="{00000000-0005-0000-0000-0000993B0000}"/>
    <cellStyle name="40% - Accent2 2 5 2 5 2" xfId="4861" xr:uid="{00000000-0005-0000-0000-00009A3B0000}"/>
    <cellStyle name="40% - Accent2 2 5 2 5 2 2" xfId="9325" xr:uid="{00000000-0005-0000-0000-00009B3B0000}"/>
    <cellStyle name="40% - Accent2 2 5 2 5 2 2 2" xfId="19321" xr:uid="{00000000-0005-0000-0000-00009C3B0000}"/>
    <cellStyle name="40% - Accent2 2 5 2 5 2 2 2 2" xfId="38721" xr:uid="{00000000-0005-0000-0000-00009D3B0000}"/>
    <cellStyle name="40% - Accent2 2 5 2 5 2 2 3" xfId="29023" xr:uid="{00000000-0005-0000-0000-00009E3B0000}"/>
    <cellStyle name="40% - Accent2 2 5 2 5 2 3" xfId="14866" xr:uid="{00000000-0005-0000-0000-00009F3B0000}"/>
    <cellStyle name="40% - Accent2 2 5 2 5 2 3 2" xfId="34266" xr:uid="{00000000-0005-0000-0000-0000A03B0000}"/>
    <cellStyle name="40% - Accent2 2 5 2 5 2 4" xfId="24568" xr:uid="{00000000-0005-0000-0000-0000A13B0000}"/>
    <cellStyle name="40% - Accent2 2 5 2 5 3" xfId="8210" xr:uid="{00000000-0005-0000-0000-0000A23B0000}"/>
    <cellStyle name="40% - Accent2 2 5 2 5 3 2" xfId="18206" xr:uid="{00000000-0005-0000-0000-0000A33B0000}"/>
    <cellStyle name="40% - Accent2 2 5 2 5 3 2 2" xfId="37606" xr:uid="{00000000-0005-0000-0000-0000A43B0000}"/>
    <cellStyle name="40% - Accent2 2 5 2 5 3 3" xfId="27908" xr:uid="{00000000-0005-0000-0000-0000A53B0000}"/>
    <cellStyle name="40% - Accent2 2 5 2 5 4" xfId="13751" xr:uid="{00000000-0005-0000-0000-0000A63B0000}"/>
    <cellStyle name="40% - Accent2 2 5 2 5 4 2" xfId="33151" xr:uid="{00000000-0005-0000-0000-0000A73B0000}"/>
    <cellStyle name="40% - Accent2 2 5 2 5 5" xfId="23453" xr:uid="{00000000-0005-0000-0000-0000A83B0000}"/>
    <cellStyle name="40% - Accent2 2 5 2 6" xfId="4304" xr:uid="{00000000-0005-0000-0000-0000A93B0000}"/>
    <cellStyle name="40% - Accent2 2 5 2 6 2" xfId="8768" xr:uid="{00000000-0005-0000-0000-0000AA3B0000}"/>
    <cellStyle name="40% - Accent2 2 5 2 6 2 2" xfId="18764" xr:uid="{00000000-0005-0000-0000-0000AB3B0000}"/>
    <cellStyle name="40% - Accent2 2 5 2 6 2 2 2" xfId="38164" xr:uid="{00000000-0005-0000-0000-0000AC3B0000}"/>
    <cellStyle name="40% - Accent2 2 5 2 6 2 3" xfId="28466" xr:uid="{00000000-0005-0000-0000-0000AD3B0000}"/>
    <cellStyle name="40% - Accent2 2 5 2 6 3" xfId="14309" xr:uid="{00000000-0005-0000-0000-0000AE3B0000}"/>
    <cellStyle name="40% - Accent2 2 5 2 6 3 2" xfId="33709" xr:uid="{00000000-0005-0000-0000-0000AF3B0000}"/>
    <cellStyle name="40% - Accent2 2 5 2 6 4" xfId="24011" xr:uid="{00000000-0005-0000-0000-0000B03B0000}"/>
    <cellStyle name="40% - Accent2 2 5 2 7" xfId="5974" xr:uid="{00000000-0005-0000-0000-0000B13B0000}"/>
    <cellStyle name="40% - Accent2 2 5 2 7 2" xfId="10438" xr:uid="{00000000-0005-0000-0000-0000B23B0000}"/>
    <cellStyle name="40% - Accent2 2 5 2 7 2 2" xfId="20434" xr:uid="{00000000-0005-0000-0000-0000B33B0000}"/>
    <cellStyle name="40% - Accent2 2 5 2 7 2 2 2" xfId="39834" xr:uid="{00000000-0005-0000-0000-0000B43B0000}"/>
    <cellStyle name="40% - Accent2 2 5 2 7 2 3" xfId="30136" xr:uid="{00000000-0005-0000-0000-0000B53B0000}"/>
    <cellStyle name="40% - Accent2 2 5 2 7 3" xfId="15979" xr:uid="{00000000-0005-0000-0000-0000B63B0000}"/>
    <cellStyle name="40% - Accent2 2 5 2 7 3 2" xfId="35379" xr:uid="{00000000-0005-0000-0000-0000B73B0000}"/>
    <cellStyle name="40% - Accent2 2 5 2 7 4" xfId="25681" xr:uid="{00000000-0005-0000-0000-0000B83B0000}"/>
    <cellStyle name="40% - Accent2 2 5 2 8" xfId="6540" xr:uid="{00000000-0005-0000-0000-0000B93B0000}"/>
    <cellStyle name="40% - Accent2 2 5 2 8 2" xfId="10995" xr:uid="{00000000-0005-0000-0000-0000BA3B0000}"/>
    <cellStyle name="40% - Accent2 2 5 2 8 2 2" xfId="20991" xr:uid="{00000000-0005-0000-0000-0000BB3B0000}"/>
    <cellStyle name="40% - Accent2 2 5 2 8 2 2 2" xfId="40391" xr:uid="{00000000-0005-0000-0000-0000BC3B0000}"/>
    <cellStyle name="40% - Accent2 2 5 2 8 2 3" xfId="30693" xr:uid="{00000000-0005-0000-0000-0000BD3B0000}"/>
    <cellStyle name="40% - Accent2 2 5 2 8 3" xfId="16536" xr:uid="{00000000-0005-0000-0000-0000BE3B0000}"/>
    <cellStyle name="40% - Accent2 2 5 2 8 3 2" xfId="35936" xr:uid="{00000000-0005-0000-0000-0000BF3B0000}"/>
    <cellStyle name="40% - Accent2 2 5 2 8 4" xfId="26238" xr:uid="{00000000-0005-0000-0000-0000C03B0000}"/>
    <cellStyle name="40% - Accent2 2 5 2 9" xfId="7097" xr:uid="{00000000-0005-0000-0000-0000C13B0000}"/>
    <cellStyle name="40% - Accent2 2 5 2 9 2" xfId="17093" xr:uid="{00000000-0005-0000-0000-0000C23B0000}"/>
    <cellStyle name="40% - Accent2 2 5 2 9 2 2" xfId="36493" xr:uid="{00000000-0005-0000-0000-0000C33B0000}"/>
    <cellStyle name="40% - Accent2 2 5 2 9 3" xfId="26795" xr:uid="{00000000-0005-0000-0000-0000C43B0000}"/>
    <cellStyle name="40% - Accent2 2 5 3" xfId="2162" xr:uid="{00000000-0005-0000-0000-0000C53B0000}"/>
    <cellStyle name="40% - Accent2 2 5 3 2" xfId="3151" xr:uid="{00000000-0005-0000-0000-0000C63B0000}"/>
    <cellStyle name="40% - Accent2 2 5 3 2 2" xfId="5420" xr:uid="{00000000-0005-0000-0000-0000C73B0000}"/>
    <cellStyle name="40% - Accent2 2 5 3 2 2 2" xfId="9884" xr:uid="{00000000-0005-0000-0000-0000C83B0000}"/>
    <cellStyle name="40% - Accent2 2 5 3 2 2 2 2" xfId="19880" xr:uid="{00000000-0005-0000-0000-0000C93B0000}"/>
    <cellStyle name="40% - Accent2 2 5 3 2 2 2 2 2" xfId="39280" xr:uid="{00000000-0005-0000-0000-0000CA3B0000}"/>
    <cellStyle name="40% - Accent2 2 5 3 2 2 2 3" xfId="29582" xr:uid="{00000000-0005-0000-0000-0000CB3B0000}"/>
    <cellStyle name="40% - Accent2 2 5 3 2 2 3" xfId="15425" xr:uid="{00000000-0005-0000-0000-0000CC3B0000}"/>
    <cellStyle name="40% - Accent2 2 5 3 2 2 3 2" xfId="34825" xr:uid="{00000000-0005-0000-0000-0000CD3B0000}"/>
    <cellStyle name="40% - Accent2 2 5 3 2 2 4" xfId="25127" xr:uid="{00000000-0005-0000-0000-0000CE3B0000}"/>
    <cellStyle name="40% - Accent2 2 5 3 2 3" xfId="7656" xr:uid="{00000000-0005-0000-0000-0000CF3B0000}"/>
    <cellStyle name="40% - Accent2 2 5 3 2 3 2" xfId="17652" xr:uid="{00000000-0005-0000-0000-0000D03B0000}"/>
    <cellStyle name="40% - Accent2 2 5 3 2 3 2 2" xfId="37052" xr:uid="{00000000-0005-0000-0000-0000D13B0000}"/>
    <cellStyle name="40% - Accent2 2 5 3 2 3 3" xfId="27354" xr:uid="{00000000-0005-0000-0000-0000D23B0000}"/>
    <cellStyle name="40% - Accent2 2 5 3 2 4" xfId="13197" xr:uid="{00000000-0005-0000-0000-0000D33B0000}"/>
    <cellStyle name="40% - Accent2 2 5 3 2 4 2" xfId="32597" xr:uid="{00000000-0005-0000-0000-0000D43B0000}"/>
    <cellStyle name="40% - Accent2 2 5 3 2 5" xfId="22899" xr:uid="{00000000-0005-0000-0000-0000D53B0000}"/>
    <cellStyle name="40% - Accent2 2 5 3 3" xfId="3734" xr:uid="{00000000-0005-0000-0000-0000D63B0000}"/>
    <cellStyle name="40% - Accent2 2 5 3 3 2" xfId="4864" xr:uid="{00000000-0005-0000-0000-0000D73B0000}"/>
    <cellStyle name="40% - Accent2 2 5 3 3 2 2" xfId="9328" xr:uid="{00000000-0005-0000-0000-0000D83B0000}"/>
    <cellStyle name="40% - Accent2 2 5 3 3 2 2 2" xfId="19324" xr:uid="{00000000-0005-0000-0000-0000D93B0000}"/>
    <cellStyle name="40% - Accent2 2 5 3 3 2 2 2 2" xfId="38724" xr:uid="{00000000-0005-0000-0000-0000DA3B0000}"/>
    <cellStyle name="40% - Accent2 2 5 3 3 2 2 3" xfId="29026" xr:uid="{00000000-0005-0000-0000-0000DB3B0000}"/>
    <cellStyle name="40% - Accent2 2 5 3 3 2 3" xfId="14869" xr:uid="{00000000-0005-0000-0000-0000DC3B0000}"/>
    <cellStyle name="40% - Accent2 2 5 3 3 2 3 2" xfId="34269" xr:uid="{00000000-0005-0000-0000-0000DD3B0000}"/>
    <cellStyle name="40% - Accent2 2 5 3 3 2 4" xfId="24571" xr:uid="{00000000-0005-0000-0000-0000DE3B0000}"/>
    <cellStyle name="40% - Accent2 2 5 3 3 3" xfId="8213" xr:uid="{00000000-0005-0000-0000-0000DF3B0000}"/>
    <cellStyle name="40% - Accent2 2 5 3 3 3 2" xfId="18209" xr:uid="{00000000-0005-0000-0000-0000E03B0000}"/>
    <cellStyle name="40% - Accent2 2 5 3 3 3 2 2" xfId="37609" xr:uid="{00000000-0005-0000-0000-0000E13B0000}"/>
    <cellStyle name="40% - Accent2 2 5 3 3 3 3" xfId="27911" xr:uid="{00000000-0005-0000-0000-0000E23B0000}"/>
    <cellStyle name="40% - Accent2 2 5 3 3 4" xfId="13754" xr:uid="{00000000-0005-0000-0000-0000E33B0000}"/>
    <cellStyle name="40% - Accent2 2 5 3 3 4 2" xfId="33154" xr:uid="{00000000-0005-0000-0000-0000E43B0000}"/>
    <cellStyle name="40% - Accent2 2 5 3 3 5" xfId="23456" xr:uid="{00000000-0005-0000-0000-0000E53B0000}"/>
    <cellStyle name="40% - Accent2 2 5 3 4" xfId="4307" xr:uid="{00000000-0005-0000-0000-0000E63B0000}"/>
    <cellStyle name="40% - Accent2 2 5 3 4 2" xfId="8771" xr:uid="{00000000-0005-0000-0000-0000E73B0000}"/>
    <cellStyle name="40% - Accent2 2 5 3 4 2 2" xfId="18767" xr:uid="{00000000-0005-0000-0000-0000E83B0000}"/>
    <cellStyle name="40% - Accent2 2 5 3 4 2 2 2" xfId="38167" xr:uid="{00000000-0005-0000-0000-0000E93B0000}"/>
    <cellStyle name="40% - Accent2 2 5 3 4 2 3" xfId="28469" xr:uid="{00000000-0005-0000-0000-0000EA3B0000}"/>
    <cellStyle name="40% - Accent2 2 5 3 4 3" xfId="14312" xr:uid="{00000000-0005-0000-0000-0000EB3B0000}"/>
    <cellStyle name="40% - Accent2 2 5 3 4 3 2" xfId="33712" xr:uid="{00000000-0005-0000-0000-0000EC3B0000}"/>
    <cellStyle name="40% - Accent2 2 5 3 4 4" xfId="24014" xr:uid="{00000000-0005-0000-0000-0000ED3B0000}"/>
    <cellStyle name="40% - Accent2 2 5 3 5" xfId="5977" xr:uid="{00000000-0005-0000-0000-0000EE3B0000}"/>
    <cellStyle name="40% - Accent2 2 5 3 5 2" xfId="10441" xr:uid="{00000000-0005-0000-0000-0000EF3B0000}"/>
    <cellStyle name="40% - Accent2 2 5 3 5 2 2" xfId="20437" xr:uid="{00000000-0005-0000-0000-0000F03B0000}"/>
    <cellStyle name="40% - Accent2 2 5 3 5 2 2 2" xfId="39837" xr:uid="{00000000-0005-0000-0000-0000F13B0000}"/>
    <cellStyle name="40% - Accent2 2 5 3 5 2 3" xfId="30139" xr:uid="{00000000-0005-0000-0000-0000F23B0000}"/>
    <cellStyle name="40% - Accent2 2 5 3 5 3" xfId="15982" xr:uid="{00000000-0005-0000-0000-0000F33B0000}"/>
    <cellStyle name="40% - Accent2 2 5 3 5 3 2" xfId="35382" xr:uid="{00000000-0005-0000-0000-0000F43B0000}"/>
    <cellStyle name="40% - Accent2 2 5 3 5 4" xfId="25684" xr:uid="{00000000-0005-0000-0000-0000F53B0000}"/>
    <cellStyle name="40% - Accent2 2 5 3 6" xfId="6543" xr:uid="{00000000-0005-0000-0000-0000F63B0000}"/>
    <cellStyle name="40% - Accent2 2 5 3 6 2" xfId="10998" xr:uid="{00000000-0005-0000-0000-0000F73B0000}"/>
    <cellStyle name="40% - Accent2 2 5 3 6 2 2" xfId="20994" xr:uid="{00000000-0005-0000-0000-0000F83B0000}"/>
    <cellStyle name="40% - Accent2 2 5 3 6 2 2 2" xfId="40394" xr:uid="{00000000-0005-0000-0000-0000F93B0000}"/>
    <cellStyle name="40% - Accent2 2 5 3 6 2 3" xfId="30696" xr:uid="{00000000-0005-0000-0000-0000FA3B0000}"/>
    <cellStyle name="40% - Accent2 2 5 3 6 3" xfId="16539" xr:uid="{00000000-0005-0000-0000-0000FB3B0000}"/>
    <cellStyle name="40% - Accent2 2 5 3 6 3 2" xfId="35939" xr:uid="{00000000-0005-0000-0000-0000FC3B0000}"/>
    <cellStyle name="40% - Accent2 2 5 3 6 4" xfId="26241" xr:uid="{00000000-0005-0000-0000-0000FD3B0000}"/>
    <cellStyle name="40% - Accent2 2 5 3 7" xfId="7100" xr:uid="{00000000-0005-0000-0000-0000FE3B0000}"/>
    <cellStyle name="40% - Accent2 2 5 3 7 2" xfId="17096" xr:uid="{00000000-0005-0000-0000-0000FF3B0000}"/>
    <cellStyle name="40% - Accent2 2 5 3 7 2 2" xfId="36496" xr:uid="{00000000-0005-0000-0000-0000003C0000}"/>
    <cellStyle name="40% - Accent2 2 5 3 7 3" xfId="26798" xr:uid="{00000000-0005-0000-0000-0000013C0000}"/>
    <cellStyle name="40% - Accent2 2 5 3 8" xfId="12640" xr:uid="{00000000-0005-0000-0000-0000023C0000}"/>
    <cellStyle name="40% - Accent2 2 5 3 8 2" xfId="32041" xr:uid="{00000000-0005-0000-0000-0000033C0000}"/>
    <cellStyle name="40% - Accent2 2 5 3 9" xfId="22343" xr:uid="{00000000-0005-0000-0000-0000043C0000}"/>
    <cellStyle name="40% - Accent2 2 5 4" xfId="2163" xr:uid="{00000000-0005-0000-0000-0000053C0000}"/>
    <cellStyle name="40% - Accent2 2 5 4 2" xfId="3152" xr:uid="{00000000-0005-0000-0000-0000063C0000}"/>
    <cellStyle name="40% - Accent2 2 5 4 2 2" xfId="5421" xr:uid="{00000000-0005-0000-0000-0000073C0000}"/>
    <cellStyle name="40% - Accent2 2 5 4 2 2 2" xfId="9885" xr:uid="{00000000-0005-0000-0000-0000083C0000}"/>
    <cellStyle name="40% - Accent2 2 5 4 2 2 2 2" xfId="19881" xr:uid="{00000000-0005-0000-0000-0000093C0000}"/>
    <cellStyle name="40% - Accent2 2 5 4 2 2 2 2 2" xfId="39281" xr:uid="{00000000-0005-0000-0000-00000A3C0000}"/>
    <cellStyle name="40% - Accent2 2 5 4 2 2 2 3" xfId="29583" xr:uid="{00000000-0005-0000-0000-00000B3C0000}"/>
    <cellStyle name="40% - Accent2 2 5 4 2 2 3" xfId="15426" xr:uid="{00000000-0005-0000-0000-00000C3C0000}"/>
    <cellStyle name="40% - Accent2 2 5 4 2 2 3 2" xfId="34826" xr:uid="{00000000-0005-0000-0000-00000D3C0000}"/>
    <cellStyle name="40% - Accent2 2 5 4 2 2 4" xfId="25128" xr:uid="{00000000-0005-0000-0000-00000E3C0000}"/>
    <cellStyle name="40% - Accent2 2 5 4 2 3" xfId="7657" xr:uid="{00000000-0005-0000-0000-00000F3C0000}"/>
    <cellStyle name="40% - Accent2 2 5 4 2 3 2" xfId="17653" xr:uid="{00000000-0005-0000-0000-0000103C0000}"/>
    <cellStyle name="40% - Accent2 2 5 4 2 3 2 2" xfId="37053" xr:uid="{00000000-0005-0000-0000-0000113C0000}"/>
    <cellStyle name="40% - Accent2 2 5 4 2 3 3" xfId="27355" xr:uid="{00000000-0005-0000-0000-0000123C0000}"/>
    <cellStyle name="40% - Accent2 2 5 4 2 4" xfId="13198" xr:uid="{00000000-0005-0000-0000-0000133C0000}"/>
    <cellStyle name="40% - Accent2 2 5 4 2 4 2" xfId="32598" xr:uid="{00000000-0005-0000-0000-0000143C0000}"/>
    <cellStyle name="40% - Accent2 2 5 4 2 5" xfId="22900" xr:uid="{00000000-0005-0000-0000-0000153C0000}"/>
    <cellStyle name="40% - Accent2 2 5 4 3" xfId="3735" xr:uid="{00000000-0005-0000-0000-0000163C0000}"/>
    <cellStyle name="40% - Accent2 2 5 4 3 2" xfId="4865" xr:uid="{00000000-0005-0000-0000-0000173C0000}"/>
    <cellStyle name="40% - Accent2 2 5 4 3 2 2" xfId="9329" xr:uid="{00000000-0005-0000-0000-0000183C0000}"/>
    <cellStyle name="40% - Accent2 2 5 4 3 2 2 2" xfId="19325" xr:uid="{00000000-0005-0000-0000-0000193C0000}"/>
    <cellStyle name="40% - Accent2 2 5 4 3 2 2 2 2" xfId="38725" xr:uid="{00000000-0005-0000-0000-00001A3C0000}"/>
    <cellStyle name="40% - Accent2 2 5 4 3 2 2 3" xfId="29027" xr:uid="{00000000-0005-0000-0000-00001B3C0000}"/>
    <cellStyle name="40% - Accent2 2 5 4 3 2 3" xfId="14870" xr:uid="{00000000-0005-0000-0000-00001C3C0000}"/>
    <cellStyle name="40% - Accent2 2 5 4 3 2 3 2" xfId="34270" xr:uid="{00000000-0005-0000-0000-00001D3C0000}"/>
    <cellStyle name="40% - Accent2 2 5 4 3 2 4" xfId="24572" xr:uid="{00000000-0005-0000-0000-00001E3C0000}"/>
    <cellStyle name="40% - Accent2 2 5 4 3 3" xfId="8214" xr:uid="{00000000-0005-0000-0000-00001F3C0000}"/>
    <cellStyle name="40% - Accent2 2 5 4 3 3 2" xfId="18210" xr:uid="{00000000-0005-0000-0000-0000203C0000}"/>
    <cellStyle name="40% - Accent2 2 5 4 3 3 2 2" xfId="37610" xr:uid="{00000000-0005-0000-0000-0000213C0000}"/>
    <cellStyle name="40% - Accent2 2 5 4 3 3 3" xfId="27912" xr:uid="{00000000-0005-0000-0000-0000223C0000}"/>
    <cellStyle name="40% - Accent2 2 5 4 3 4" xfId="13755" xr:uid="{00000000-0005-0000-0000-0000233C0000}"/>
    <cellStyle name="40% - Accent2 2 5 4 3 4 2" xfId="33155" xr:uid="{00000000-0005-0000-0000-0000243C0000}"/>
    <cellStyle name="40% - Accent2 2 5 4 3 5" xfId="23457" xr:uid="{00000000-0005-0000-0000-0000253C0000}"/>
    <cellStyle name="40% - Accent2 2 5 4 4" xfId="4308" xr:uid="{00000000-0005-0000-0000-0000263C0000}"/>
    <cellStyle name="40% - Accent2 2 5 4 4 2" xfId="8772" xr:uid="{00000000-0005-0000-0000-0000273C0000}"/>
    <cellStyle name="40% - Accent2 2 5 4 4 2 2" xfId="18768" xr:uid="{00000000-0005-0000-0000-0000283C0000}"/>
    <cellStyle name="40% - Accent2 2 5 4 4 2 2 2" xfId="38168" xr:uid="{00000000-0005-0000-0000-0000293C0000}"/>
    <cellStyle name="40% - Accent2 2 5 4 4 2 3" xfId="28470" xr:uid="{00000000-0005-0000-0000-00002A3C0000}"/>
    <cellStyle name="40% - Accent2 2 5 4 4 3" xfId="14313" xr:uid="{00000000-0005-0000-0000-00002B3C0000}"/>
    <cellStyle name="40% - Accent2 2 5 4 4 3 2" xfId="33713" xr:uid="{00000000-0005-0000-0000-00002C3C0000}"/>
    <cellStyle name="40% - Accent2 2 5 4 4 4" xfId="24015" xr:uid="{00000000-0005-0000-0000-00002D3C0000}"/>
    <cellStyle name="40% - Accent2 2 5 4 5" xfId="5978" xr:uid="{00000000-0005-0000-0000-00002E3C0000}"/>
    <cellStyle name="40% - Accent2 2 5 4 5 2" xfId="10442" xr:uid="{00000000-0005-0000-0000-00002F3C0000}"/>
    <cellStyle name="40% - Accent2 2 5 4 5 2 2" xfId="20438" xr:uid="{00000000-0005-0000-0000-0000303C0000}"/>
    <cellStyle name="40% - Accent2 2 5 4 5 2 2 2" xfId="39838" xr:uid="{00000000-0005-0000-0000-0000313C0000}"/>
    <cellStyle name="40% - Accent2 2 5 4 5 2 3" xfId="30140" xr:uid="{00000000-0005-0000-0000-0000323C0000}"/>
    <cellStyle name="40% - Accent2 2 5 4 5 3" xfId="15983" xr:uid="{00000000-0005-0000-0000-0000333C0000}"/>
    <cellStyle name="40% - Accent2 2 5 4 5 3 2" xfId="35383" xr:uid="{00000000-0005-0000-0000-0000343C0000}"/>
    <cellStyle name="40% - Accent2 2 5 4 5 4" xfId="25685" xr:uid="{00000000-0005-0000-0000-0000353C0000}"/>
    <cellStyle name="40% - Accent2 2 5 4 6" xfId="6544" xr:uid="{00000000-0005-0000-0000-0000363C0000}"/>
    <cellStyle name="40% - Accent2 2 5 4 6 2" xfId="10999" xr:uid="{00000000-0005-0000-0000-0000373C0000}"/>
    <cellStyle name="40% - Accent2 2 5 4 6 2 2" xfId="20995" xr:uid="{00000000-0005-0000-0000-0000383C0000}"/>
    <cellStyle name="40% - Accent2 2 5 4 6 2 2 2" xfId="40395" xr:uid="{00000000-0005-0000-0000-0000393C0000}"/>
    <cellStyle name="40% - Accent2 2 5 4 6 2 3" xfId="30697" xr:uid="{00000000-0005-0000-0000-00003A3C0000}"/>
    <cellStyle name="40% - Accent2 2 5 4 6 3" xfId="16540" xr:uid="{00000000-0005-0000-0000-00003B3C0000}"/>
    <cellStyle name="40% - Accent2 2 5 4 6 3 2" xfId="35940" xr:uid="{00000000-0005-0000-0000-00003C3C0000}"/>
    <cellStyle name="40% - Accent2 2 5 4 6 4" xfId="26242" xr:uid="{00000000-0005-0000-0000-00003D3C0000}"/>
    <cellStyle name="40% - Accent2 2 5 4 7" xfId="7101" xr:uid="{00000000-0005-0000-0000-00003E3C0000}"/>
    <cellStyle name="40% - Accent2 2 5 4 7 2" xfId="17097" xr:uid="{00000000-0005-0000-0000-00003F3C0000}"/>
    <cellStyle name="40% - Accent2 2 5 4 7 2 2" xfId="36497" xr:uid="{00000000-0005-0000-0000-0000403C0000}"/>
    <cellStyle name="40% - Accent2 2 5 4 7 3" xfId="26799" xr:uid="{00000000-0005-0000-0000-0000413C0000}"/>
    <cellStyle name="40% - Accent2 2 5 4 8" xfId="12641" xr:uid="{00000000-0005-0000-0000-0000423C0000}"/>
    <cellStyle name="40% - Accent2 2 5 4 8 2" xfId="32042" xr:uid="{00000000-0005-0000-0000-0000433C0000}"/>
    <cellStyle name="40% - Accent2 2 5 4 9" xfId="22344" xr:uid="{00000000-0005-0000-0000-0000443C0000}"/>
    <cellStyle name="40% - Accent2 2 6" xfId="1231" xr:uid="{00000000-0005-0000-0000-0000453C0000}"/>
    <cellStyle name="40% - Accent2 2 6 2" xfId="2164" xr:uid="{00000000-0005-0000-0000-0000463C0000}"/>
    <cellStyle name="40% - Accent2 2 6 2 2" xfId="3153" xr:uid="{00000000-0005-0000-0000-0000473C0000}"/>
    <cellStyle name="40% - Accent2 2 6 2 2 2" xfId="5422" xr:uid="{00000000-0005-0000-0000-0000483C0000}"/>
    <cellStyle name="40% - Accent2 2 6 2 2 2 2" xfId="9886" xr:uid="{00000000-0005-0000-0000-0000493C0000}"/>
    <cellStyle name="40% - Accent2 2 6 2 2 2 2 2" xfId="19882" xr:uid="{00000000-0005-0000-0000-00004A3C0000}"/>
    <cellStyle name="40% - Accent2 2 6 2 2 2 2 2 2" xfId="39282" xr:uid="{00000000-0005-0000-0000-00004B3C0000}"/>
    <cellStyle name="40% - Accent2 2 6 2 2 2 2 3" xfId="29584" xr:uid="{00000000-0005-0000-0000-00004C3C0000}"/>
    <cellStyle name="40% - Accent2 2 6 2 2 2 3" xfId="15427" xr:uid="{00000000-0005-0000-0000-00004D3C0000}"/>
    <cellStyle name="40% - Accent2 2 6 2 2 2 3 2" xfId="34827" xr:uid="{00000000-0005-0000-0000-00004E3C0000}"/>
    <cellStyle name="40% - Accent2 2 6 2 2 2 4" xfId="25129" xr:uid="{00000000-0005-0000-0000-00004F3C0000}"/>
    <cellStyle name="40% - Accent2 2 6 2 2 3" xfId="7658" xr:uid="{00000000-0005-0000-0000-0000503C0000}"/>
    <cellStyle name="40% - Accent2 2 6 2 2 3 2" xfId="17654" xr:uid="{00000000-0005-0000-0000-0000513C0000}"/>
    <cellStyle name="40% - Accent2 2 6 2 2 3 2 2" xfId="37054" xr:uid="{00000000-0005-0000-0000-0000523C0000}"/>
    <cellStyle name="40% - Accent2 2 6 2 2 3 3" xfId="27356" xr:uid="{00000000-0005-0000-0000-0000533C0000}"/>
    <cellStyle name="40% - Accent2 2 6 2 2 4" xfId="13199" xr:uid="{00000000-0005-0000-0000-0000543C0000}"/>
    <cellStyle name="40% - Accent2 2 6 2 2 4 2" xfId="32599" xr:uid="{00000000-0005-0000-0000-0000553C0000}"/>
    <cellStyle name="40% - Accent2 2 6 2 2 5" xfId="22901" xr:uid="{00000000-0005-0000-0000-0000563C0000}"/>
    <cellStyle name="40% - Accent2 2 6 2 3" xfId="3736" xr:uid="{00000000-0005-0000-0000-0000573C0000}"/>
    <cellStyle name="40% - Accent2 2 6 2 3 2" xfId="4866" xr:uid="{00000000-0005-0000-0000-0000583C0000}"/>
    <cellStyle name="40% - Accent2 2 6 2 3 2 2" xfId="9330" xr:uid="{00000000-0005-0000-0000-0000593C0000}"/>
    <cellStyle name="40% - Accent2 2 6 2 3 2 2 2" xfId="19326" xr:uid="{00000000-0005-0000-0000-00005A3C0000}"/>
    <cellStyle name="40% - Accent2 2 6 2 3 2 2 2 2" xfId="38726" xr:uid="{00000000-0005-0000-0000-00005B3C0000}"/>
    <cellStyle name="40% - Accent2 2 6 2 3 2 2 3" xfId="29028" xr:uid="{00000000-0005-0000-0000-00005C3C0000}"/>
    <cellStyle name="40% - Accent2 2 6 2 3 2 3" xfId="14871" xr:uid="{00000000-0005-0000-0000-00005D3C0000}"/>
    <cellStyle name="40% - Accent2 2 6 2 3 2 3 2" xfId="34271" xr:uid="{00000000-0005-0000-0000-00005E3C0000}"/>
    <cellStyle name="40% - Accent2 2 6 2 3 2 4" xfId="24573" xr:uid="{00000000-0005-0000-0000-00005F3C0000}"/>
    <cellStyle name="40% - Accent2 2 6 2 3 3" xfId="8215" xr:uid="{00000000-0005-0000-0000-0000603C0000}"/>
    <cellStyle name="40% - Accent2 2 6 2 3 3 2" xfId="18211" xr:uid="{00000000-0005-0000-0000-0000613C0000}"/>
    <cellStyle name="40% - Accent2 2 6 2 3 3 2 2" xfId="37611" xr:uid="{00000000-0005-0000-0000-0000623C0000}"/>
    <cellStyle name="40% - Accent2 2 6 2 3 3 3" xfId="27913" xr:uid="{00000000-0005-0000-0000-0000633C0000}"/>
    <cellStyle name="40% - Accent2 2 6 2 3 4" xfId="13756" xr:uid="{00000000-0005-0000-0000-0000643C0000}"/>
    <cellStyle name="40% - Accent2 2 6 2 3 4 2" xfId="33156" xr:uid="{00000000-0005-0000-0000-0000653C0000}"/>
    <cellStyle name="40% - Accent2 2 6 2 3 5" xfId="23458" xr:uid="{00000000-0005-0000-0000-0000663C0000}"/>
    <cellStyle name="40% - Accent2 2 6 2 4" xfId="4309" xr:uid="{00000000-0005-0000-0000-0000673C0000}"/>
    <cellStyle name="40% - Accent2 2 6 2 4 2" xfId="8773" xr:uid="{00000000-0005-0000-0000-0000683C0000}"/>
    <cellStyle name="40% - Accent2 2 6 2 4 2 2" xfId="18769" xr:uid="{00000000-0005-0000-0000-0000693C0000}"/>
    <cellStyle name="40% - Accent2 2 6 2 4 2 2 2" xfId="38169" xr:uid="{00000000-0005-0000-0000-00006A3C0000}"/>
    <cellStyle name="40% - Accent2 2 6 2 4 2 3" xfId="28471" xr:uid="{00000000-0005-0000-0000-00006B3C0000}"/>
    <cellStyle name="40% - Accent2 2 6 2 4 3" xfId="14314" xr:uid="{00000000-0005-0000-0000-00006C3C0000}"/>
    <cellStyle name="40% - Accent2 2 6 2 4 3 2" xfId="33714" xr:uid="{00000000-0005-0000-0000-00006D3C0000}"/>
    <cellStyle name="40% - Accent2 2 6 2 4 4" xfId="24016" xr:uid="{00000000-0005-0000-0000-00006E3C0000}"/>
    <cellStyle name="40% - Accent2 2 6 2 5" xfId="5979" xr:uid="{00000000-0005-0000-0000-00006F3C0000}"/>
    <cellStyle name="40% - Accent2 2 6 2 5 2" xfId="10443" xr:uid="{00000000-0005-0000-0000-0000703C0000}"/>
    <cellStyle name="40% - Accent2 2 6 2 5 2 2" xfId="20439" xr:uid="{00000000-0005-0000-0000-0000713C0000}"/>
    <cellStyle name="40% - Accent2 2 6 2 5 2 2 2" xfId="39839" xr:uid="{00000000-0005-0000-0000-0000723C0000}"/>
    <cellStyle name="40% - Accent2 2 6 2 5 2 3" xfId="30141" xr:uid="{00000000-0005-0000-0000-0000733C0000}"/>
    <cellStyle name="40% - Accent2 2 6 2 5 3" xfId="15984" xr:uid="{00000000-0005-0000-0000-0000743C0000}"/>
    <cellStyle name="40% - Accent2 2 6 2 5 3 2" xfId="35384" xr:uid="{00000000-0005-0000-0000-0000753C0000}"/>
    <cellStyle name="40% - Accent2 2 6 2 5 4" xfId="25686" xr:uid="{00000000-0005-0000-0000-0000763C0000}"/>
    <cellStyle name="40% - Accent2 2 6 2 6" xfId="6545" xr:uid="{00000000-0005-0000-0000-0000773C0000}"/>
    <cellStyle name="40% - Accent2 2 6 2 6 2" xfId="11000" xr:uid="{00000000-0005-0000-0000-0000783C0000}"/>
    <cellStyle name="40% - Accent2 2 6 2 6 2 2" xfId="20996" xr:uid="{00000000-0005-0000-0000-0000793C0000}"/>
    <cellStyle name="40% - Accent2 2 6 2 6 2 2 2" xfId="40396" xr:uid="{00000000-0005-0000-0000-00007A3C0000}"/>
    <cellStyle name="40% - Accent2 2 6 2 6 2 3" xfId="30698" xr:uid="{00000000-0005-0000-0000-00007B3C0000}"/>
    <cellStyle name="40% - Accent2 2 6 2 6 3" xfId="16541" xr:uid="{00000000-0005-0000-0000-00007C3C0000}"/>
    <cellStyle name="40% - Accent2 2 6 2 6 3 2" xfId="35941" xr:uid="{00000000-0005-0000-0000-00007D3C0000}"/>
    <cellStyle name="40% - Accent2 2 6 2 6 4" xfId="26243" xr:uid="{00000000-0005-0000-0000-00007E3C0000}"/>
    <cellStyle name="40% - Accent2 2 6 2 7" xfId="7102" xr:uid="{00000000-0005-0000-0000-00007F3C0000}"/>
    <cellStyle name="40% - Accent2 2 6 2 7 2" xfId="17098" xr:uid="{00000000-0005-0000-0000-0000803C0000}"/>
    <cellStyle name="40% - Accent2 2 6 2 7 2 2" xfId="36498" xr:uid="{00000000-0005-0000-0000-0000813C0000}"/>
    <cellStyle name="40% - Accent2 2 6 2 7 3" xfId="26800" xr:uid="{00000000-0005-0000-0000-0000823C0000}"/>
    <cellStyle name="40% - Accent2 2 6 2 8" xfId="12642" xr:uid="{00000000-0005-0000-0000-0000833C0000}"/>
    <cellStyle name="40% - Accent2 2 6 2 8 2" xfId="32043" xr:uid="{00000000-0005-0000-0000-0000843C0000}"/>
    <cellStyle name="40% - Accent2 2 6 2 9" xfId="22345" xr:uid="{00000000-0005-0000-0000-0000853C0000}"/>
    <cellStyle name="40% - Accent2 2 6 3" xfId="2165" xr:uid="{00000000-0005-0000-0000-0000863C0000}"/>
    <cellStyle name="40% - Accent2 2 6 3 2" xfId="3154" xr:uid="{00000000-0005-0000-0000-0000873C0000}"/>
    <cellStyle name="40% - Accent2 2 6 3 2 2" xfId="5423" xr:uid="{00000000-0005-0000-0000-0000883C0000}"/>
    <cellStyle name="40% - Accent2 2 6 3 2 2 2" xfId="9887" xr:uid="{00000000-0005-0000-0000-0000893C0000}"/>
    <cellStyle name="40% - Accent2 2 6 3 2 2 2 2" xfId="19883" xr:uid="{00000000-0005-0000-0000-00008A3C0000}"/>
    <cellStyle name="40% - Accent2 2 6 3 2 2 2 2 2" xfId="39283" xr:uid="{00000000-0005-0000-0000-00008B3C0000}"/>
    <cellStyle name="40% - Accent2 2 6 3 2 2 2 3" xfId="29585" xr:uid="{00000000-0005-0000-0000-00008C3C0000}"/>
    <cellStyle name="40% - Accent2 2 6 3 2 2 3" xfId="15428" xr:uid="{00000000-0005-0000-0000-00008D3C0000}"/>
    <cellStyle name="40% - Accent2 2 6 3 2 2 3 2" xfId="34828" xr:uid="{00000000-0005-0000-0000-00008E3C0000}"/>
    <cellStyle name="40% - Accent2 2 6 3 2 2 4" xfId="25130" xr:uid="{00000000-0005-0000-0000-00008F3C0000}"/>
    <cellStyle name="40% - Accent2 2 6 3 2 3" xfId="7659" xr:uid="{00000000-0005-0000-0000-0000903C0000}"/>
    <cellStyle name="40% - Accent2 2 6 3 2 3 2" xfId="17655" xr:uid="{00000000-0005-0000-0000-0000913C0000}"/>
    <cellStyle name="40% - Accent2 2 6 3 2 3 2 2" xfId="37055" xr:uid="{00000000-0005-0000-0000-0000923C0000}"/>
    <cellStyle name="40% - Accent2 2 6 3 2 3 3" xfId="27357" xr:uid="{00000000-0005-0000-0000-0000933C0000}"/>
    <cellStyle name="40% - Accent2 2 6 3 2 4" xfId="13200" xr:uid="{00000000-0005-0000-0000-0000943C0000}"/>
    <cellStyle name="40% - Accent2 2 6 3 2 4 2" xfId="32600" xr:uid="{00000000-0005-0000-0000-0000953C0000}"/>
    <cellStyle name="40% - Accent2 2 6 3 2 5" xfId="22902" xr:uid="{00000000-0005-0000-0000-0000963C0000}"/>
    <cellStyle name="40% - Accent2 2 6 3 3" xfId="3737" xr:uid="{00000000-0005-0000-0000-0000973C0000}"/>
    <cellStyle name="40% - Accent2 2 6 3 3 2" xfId="4867" xr:uid="{00000000-0005-0000-0000-0000983C0000}"/>
    <cellStyle name="40% - Accent2 2 6 3 3 2 2" xfId="9331" xr:uid="{00000000-0005-0000-0000-0000993C0000}"/>
    <cellStyle name="40% - Accent2 2 6 3 3 2 2 2" xfId="19327" xr:uid="{00000000-0005-0000-0000-00009A3C0000}"/>
    <cellStyle name="40% - Accent2 2 6 3 3 2 2 2 2" xfId="38727" xr:uid="{00000000-0005-0000-0000-00009B3C0000}"/>
    <cellStyle name="40% - Accent2 2 6 3 3 2 2 3" xfId="29029" xr:uid="{00000000-0005-0000-0000-00009C3C0000}"/>
    <cellStyle name="40% - Accent2 2 6 3 3 2 3" xfId="14872" xr:uid="{00000000-0005-0000-0000-00009D3C0000}"/>
    <cellStyle name="40% - Accent2 2 6 3 3 2 3 2" xfId="34272" xr:uid="{00000000-0005-0000-0000-00009E3C0000}"/>
    <cellStyle name="40% - Accent2 2 6 3 3 2 4" xfId="24574" xr:uid="{00000000-0005-0000-0000-00009F3C0000}"/>
    <cellStyle name="40% - Accent2 2 6 3 3 3" xfId="8216" xr:uid="{00000000-0005-0000-0000-0000A03C0000}"/>
    <cellStyle name="40% - Accent2 2 6 3 3 3 2" xfId="18212" xr:uid="{00000000-0005-0000-0000-0000A13C0000}"/>
    <cellStyle name="40% - Accent2 2 6 3 3 3 2 2" xfId="37612" xr:uid="{00000000-0005-0000-0000-0000A23C0000}"/>
    <cellStyle name="40% - Accent2 2 6 3 3 3 3" xfId="27914" xr:uid="{00000000-0005-0000-0000-0000A33C0000}"/>
    <cellStyle name="40% - Accent2 2 6 3 3 4" xfId="13757" xr:uid="{00000000-0005-0000-0000-0000A43C0000}"/>
    <cellStyle name="40% - Accent2 2 6 3 3 4 2" xfId="33157" xr:uid="{00000000-0005-0000-0000-0000A53C0000}"/>
    <cellStyle name="40% - Accent2 2 6 3 3 5" xfId="23459" xr:uid="{00000000-0005-0000-0000-0000A63C0000}"/>
    <cellStyle name="40% - Accent2 2 6 3 4" xfId="4310" xr:uid="{00000000-0005-0000-0000-0000A73C0000}"/>
    <cellStyle name="40% - Accent2 2 6 3 4 2" xfId="8774" xr:uid="{00000000-0005-0000-0000-0000A83C0000}"/>
    <cellStyle name="40% - Accent2 2 6 3 4 2 2" xfId="18770" xr:uid="{00000000-0005-0000-0000-0000A93C0000}"/>
    <cellStyle name="40% - Accent2 2 6 3 4 2 2 2" xfId="38170" xr:uid="{00000000-0005-0000-0000-0000AA3C0000}"/>
    <cellStyle name="40% - Accent2 2 6 3 4 2 3" xfId="28472" xr:uid="{00000000-0005-0000-0000-0000AB3C0000}"/>
    <cellStyle name="40% - Accent2 2 6 3 4 3" xfId="14315" xr:uid="{00000000-0005-0000-0000-0000AC3C0000}"/>
    <cellStyle name="40% - Accent2 2 6 3 4 3 2" xfId="33715" xr:uid="{00000000-0005-0000-0000-0000AD3C0000}"/>
    <cellStyle name="40% - Accent2 2 6 3 4 4" xfId="24017" xr:uid="{00000000-0005-0000-0000-0000AE3C0000}"/>
    <cellStyle name="40% - Accent2 2 6 3 5" xfId="5980" xr:uid="{00000000-0005-0000-0000-0000AF3C0000}"/>
    <cellStyle name="40% - Accent2 2 6 3 5 2" xfId="10444" xr:uid="{00000000-0005-0000-0000-0000B03C0000}"/>
    <cellStyle name="40% - Accent2 2 6 3 5 2 2" xfId="20440" xr:uid="{00000000-0005-0000-0000-0000B13C0000}"/>
    <cellStyle name="40% - Accent2 2 6 3 5 2 2 2" xfId="39840" xr:uid="{00000000-0005-0000-0000-0000B23C0000}"/>
    <cellStyle name="40% - Accent2 2 6 3 5 2 3" xfId="30142" xr:uid="{00000000-0005-0000-0000-0000B33C0000}"/>
    <cellStyle name="40% - Accent2 2 6 3 5 3" xfId="15985" xr:uid="{00000000-0005-0000-0000-0000B43C0000}"/>
    <cellStyle name="40% - Accent2 2 6 3 5 3 2" xfId="35385" xr:uid="{00000000-0005-0000-0000-0000B53C0000}"/>
    <cellStyle name="40% - Accent2 2 6 3 5 4" xfId="25687" xr:uid="{00000000-0005-0000-0000-0000B63C0000}"/>
    <cellStyle name="40% - Accent2 2 6 3 6" xfId="6546" xr:uid="{00000000-0005-0000-0000-0000B73C0000}"/>
    <cellStyle name="40% - Accent2 2 6 3 6 2" xfId="11001" xr:uid="{00000000-0005-0000-0000-0000B83C0000}"/>
    <cellStyle name="40% - Accent2 2 6 3 6 2 2" xfId="20997" xr:uid="{00000000-0005-0000-0000-0000B93C0000}"/>
    <cellStyle name="40% - Accent2 2 6 3 6 2 2 2" xfId="40397" xr:uid="{00000000-0005-0000-0000-0000BA3C0000}"/>
    <cellStyle name="40% - Accent2 2 6 3 6 2 3" xfId="30699" xr:uid="{00000000-0005-0000-0000-0000BB3C0000}"/>
    <cellStyle name="40% - Accent2 2 6 3 6 3" xfId="16542" xr:uid="{00000000-0005-0000-0000-0000BC3C0000}"/>
    <cellStyle name="40% - Accent2 2 6 3 6 3 2" xfId="35942" xr:uid="{00000000-0005-0000-0000-0000BD3C0000}"/>
    <cellStyle name="40% - Accent2 2 6 3 6 4" xfId="26244" xr:uid="{00000000-0005-0000-0000-0000BE3C0000}"/>
    <cellStyle name="40% - Accent2 2 6 3 7" xfId="7103" xr:uid="{00000000-0005-0000-0000-0000BF3C0000}"/>
    <cellStyle name="40% - Accent2 2 6 3 7 2" xfId="17099" xr:uid="{00000000-0005-0000-0000-0000C03C0000}"/>
    <cellStyle name="40% - Accent2 2 6 3 7 2 2" xfId="36499" xr:uid="{00000000-0005-0000-0000-0000C13C0000}"/>
    <cellStyle name="40% - Accent2 2 6 3 7 3" xfId="26801" xr:uid="{00000000-0005-0000-0000-0000C23C0000}"/>
    <cellStyle name="40% - Accent2 2 6 3 8" xfId="12643" xr:uid="{00000000-0005-0000-0000-0000C33C0000}"/>
    <cellStyle name="40% - Accent2 2 6 3 8 2" xfId="32044" xr:uid="{00000000-0005-0000-0000-0000C43C0000}"/>
    <cellStyle name="40% - Accent2 2 6 3 9" xfId="22346" xr:uid="{00000000-0005-0000-0000-0000C53C0000}"/>
    <cellStyle name="40% - Accent2 2 7" xfId="1726" xr:uid="{00000000-0005-0000-0000-0000C63C0000}"/>
    <cellStyle name="40% - Accent2 2 7 2" xfId="2896" xr:uid="{00000000-0005-0000-0000-0000C73C0000}"/>
    <cellStyle name="40% - Accent2 2 7 2 2" xfId="5165" xr:uid="{00000000-0005-0000-0000-0000C83C0000}"/>
    <cellStyle name="40% - Accent2 2 7 2 2 2" xfId="9629" xr:uid="{00000000-0005-0000-0000-0000C93C0000}"/>
    <cellStyle name="40% - Accent2 2 7 2 2 2 2" xfId="19625" xr:uid="{00000000-0005-0000-0000-0000CA3C0000}"/>
    <cellStyle name="40% - Accent2 2 7 2 2 2 2 2" xfId="39025" xr:uid="{00000000-0005-0000-0000-0000CB3C0000}"/>
    <cellStyle name="40% - Accent2 2 7 2 2 2 3" xfId="29327" xr:uid="{00000000-0005-0000-0000-0000CC3C0000}"/>
    <cellStyle name="40% - Accent2 2 7 2 2 3" xfId="15170" xr:uid="{00000000-0005-0000-0000-0000CD3C0000}"/>
    <cellStyle name="40% - Accent2 2 7 2 2 3 2" xfId="34570" xr:uid="{00000000-0005-0000-0000-0000CE3C0000}"/>
    <cellStyle name="40% - Accent2 2 7 2 2 4" xfId="24872" xr:uid="{00000000-0005-0000-0000-0000CF3C0000}"/>
    <cellStyle name="40% - Accent2 2 7 2 3" xfId="7401" xr:uid="{00000000-0005-0000-0000-0000D03C0000}"/>
    <cellStyle name="40% - Accent2 2 7 2 3 2" xfId="17397" xr:uid="{00000000-0005-0000-0000-0000D13C0000}"/>
    <cellStyle name="40% - Accent2 2 7 2 3 2 2" xfId="36797" xr:uid="{00000000-0005-0000-0000-0000D23C0000}"/>
    <cellStyle name="40% - Accent2 2 7 2 3 3" xfId="27099" xr:uid="{00000000-0005-0000-0000-0000D33C0000}"/>
    <cellStyle name="40% - Accent2 2 7 2 4" xfId="12942" xr:uid="{00000000-0005-0000-0000-0000D43C0000}"/>
    <cellStyle name="40% - Accent2 2 7 2 4 2" xfId="32342" xr:uid="{00000000-0005-0000-0000-0000D53C0000}"/>
    <cellStyle name="40% - Accent2 2 7 2 5" xfId="22644" xr:uid="{00000000-0005-0000-0000-0000D63C0000}"/>
    <cellStyle name="40% - Accent2 2 7 3" xfId="3479" xr:uid="{00000000-0005-0000-0000-0000D73C0000}"/>
    <cellStyle name="40% - Accent2 2 7 3 2" xfId="4609" xr:uid="{00000000-0005-0000-0000-0000D83C0000}"/>
    <cellStyle name="40% - Accent2 2 7 3 2 2" xfId="9073" xr:uid="{00000000-0005-0000-0000-0000D93C0000}"/>
    <cellStyle name="40% - Accent2 2 7 3 2 2 2" xfId="19069" xr:uid="{00000000-0005-0000-0000-0000DA3C0000}"/>
    <cellStyle name="40% - Accent2 2 7 3 2 2 2 2" xfId="38469" xr:uid="{00000000-0005-0000-0000-0000DB3C0000}"/>
    <cellStyle name="40% - Accent2 2 7 3 2 2 3" xfId="28771" xr:uid="{00000000-0005-0000-0000-0000DC3C0000}"/>
    <cellStyle name="40% - Accent2 2 7 3 2 3" xfId="14614" xr:uid="{00000000-0005-0000-0000-0000DD3C0000}"/>
    <cellStyle name="40% - Accent2 2 7 3 2 3 2" xfId="34014" xr:uid="{00000000-0005-0000-0000-0000DE3C0000}"/>
    <cellStyle name="40% - Accent2 2 7 3 2 4" xfId="24316" xr:uid="{00000000-0005-0000-0000-0000DF3C0000}"/>
    <cellStyle name="40% - Accent2 2 7 3 3" xfId="7958" xr:uid="{00000000-0005-0000-0000-0000E03C0000}"/>
    <cellStyle name="40% - Accent2 2 7 3 3 2" xfId="17954" xr:uid="{00000000-0005-0000-0000-0000E13C0000}"/>
    <cellStyle name="40% - Accent2 2 7 3 3 2 2" xfId="37354" xr:uid="{00000000-0005-0000-0000-0000E23C0000}"/>
    <cellStyle name="40% - Accent2 2 7 3 3 3" xfId="27656" xr:uid="{00000000-0005-0000-0000-0000E33C0000}"/>
    <cellStyle name="40% - Accent2 2 7 3 4" xfId="13499" xr:uid="{00000000-0005-0000-0000-0000E43C0000}"/>
    <cellStyle name="40% - Accent2 2 7 3 4 2" xfId="32899" xr:uid="{00000000-0005-0000-0000-0000E53C0000}"/>
    <cellStyle name="40% - Accent2 2 7 3 5" xfId="23201" xr:uid="{00000000-0005-0000-0000-0000E63C0000}"/>
    <cellStyle name="40% - Accent2 2 7 4" xfId="4052" xr:uid="{00000000-0005-0000-0000-0000E73C0000}"/>
    <cellStyle name="40% - Accent2 2 7 4 2" xfId="8516" xr:uid="{00000000-0005-0000-0000-0000E83C0000}"/>
    <cellStyle name="40% - Accent2 2 7 4 2 2" xfId="18512" xr:uid="{00000000-0005-0000-0000-0000E93C0000}"/>
    <cellStyle name="40% - Accent2 2 7 4 2 2 2" xfId="37912" xr:uid="{00000000-0005-0000-0000-0000EA3C0000}"/>
    <cellStyle name="40% - Accent2 2 7 4 2 3" xfId="28214" xr:uid="{00000000-0005-0000-0000-0000EB3C0000}"/>
    <cellStyle name="40% - Accent2 2 7 4 3" xfId="14057" xr:uid="{00000000-0005-0000-0000-0000EC3C0000}"/>
    <cellStyle name="40% - Accent2 2 7 4 3 2" xfId="33457" xr:uid="{00000000-0005-0000-0000-0000ED3C0000}"/>
    <cellStyle name="40% - Accent2 2 7 4 4" xfId="23759" xr:uid="{00000000-0005-0000-0000-0000EE3C0000}"/>
    <cellStyle name="40% - Accent2 2 7 5" xfId="5722" xr:uid="{00000000-0005-0000-0000-0000EF3C0000}"/>
    <cellStyle name="40% - Accent2 2 7 5 2" xfId="10186" xr:uid="{00000000-0005-0000-0000-0000F03C0000}"/>
    <cellStyle name="40% - Accent2 2 7 5 2 2" xfId="20182" xr:uid="{00000000-0005-0000-0000-0000F13C0000}"/>
    <cellStyle name="40% - Accent2 2 7 5 2 2 2" xfId="39582" xr:uid="{00000000-0005-0000-0000-0000F23C0000}"/>
    <cellStyle name="40% - Accent2 2 7 5 2 3" xfId="29884" xr:uid="{00000000-0005-0000-0000-0000F33C0000}"/>
    <cellStyle name="40% - Accent2 2 7 5 3" xfId="15727" xr:uid="{00000000-0005-0000-0000-0000F43C0000}"/>
    <cellStyle name="40% - Accent2 2 7 5 3 2" xfId="35127" xr:uid="{00000000-0005-0000-0000-0000F53C0000}"/>
    <cellStyle name="40% - Accent2 2 7 5 4" xfId="25429" xr:uid="{00000000-0005-0000-0000-0000F63C0000}"/>
    <cellStyle name="40% - Accent2 2 7 6" xfId="6288" xr:uid="{00000000-0005-0000-0000-0000F73C0000}"/>
    <cellStyle name="40% - Accent2 2 7 6 2" xfId="10743" xr:uid="{00000000-0005-0000-0000-0000F83C0000}"/>
    <cellStyle name="40% - Accent2 2 7 6 2 2" xfId="20739" xr:uid="{00000000-0005-0000-0000-0000F93C0000}"/>
    <cellStyle name="40% - Accent2 2 7 6 2 2 2" xfId="40139" xr:uid="{00000000-0005-0000-0000-0000FA3C0000}"/>
    <cellStyle name="40% - Accent2 2 7 6 2 3" xfId="30441" xr:uid="{00000000-0005-0000-0000-0000FB3C0000}"/>
    <cellStyle name="40% - Accent2 2 7 6 3" xfId="16284" xr:uid="{00000000-0005-0000-0000-0000FC3C0000}"/>
    <cellStyle name="40% - Accent2 2 7 6 3 2" xfId="35684" xr:uid="{00000000-0005-0000-0000-0000FD3C0000}"/>
    <cellStyle name="40% - Accent2 2 7 6 4" xfId="25986" xr:uid="{00000000-0005-0000-0000-0000FE3C0000}"/>
    <cellStyle name="40% - Accent2 2 7 7" xfId="6845" xr:uid="{00000000-0005-0000-0000-0000FF3C0000}"/>
    <cellStyle name="40% - Accent2 2 7 7 2" xfId="16841" xr:uid="{00000000-0005-0000-0000-0000003D0000}"/>
    <cellStyle name="40% - Accent2 2 7 7 2 2" xfId="36241" xr:uid="{00000000-0005-0000-0000-0000013D0000}"/>
    <cellStyle name="40% - Accent2 2 7 7 3" xfId="26543" xr:uid="{00000000-0005-0000-0000-0000023D0000}"/>
    <cellStyle name="40% - Accent2 2 7 8" xfId="12385" xr:uid="{00000000-0005-0000-0000-0000033D0000}"/>
    <cellStyle name="40% - Accent2 2 7 8 2" xfId="31786" xr:uid="{00000000-0005-0000-0000-0000043D0000}"/>
    <cellStyle name="40% - Accent2 2 7 9" xfId="22088" xr:uid="{00000000-0005-0000-0000-0000053D0000}"/>
    <cellStyle name="40% - Accent2 2 8" xfId="1838" xr:uid="{00000000-0005-0000-0000-0000063D0000}"/>
    <cellStyle name="40% - Accent2 2 8 2" xfId="2914" xr:uid="{00000000-0005-0000-0000-0000073D0000}"/>
    <cellStyle name="40% - Accent2 2 8 2 2" xfId="5183" xr:uid="{00000000-0005-0000-0000-0000083D0000}"/>
    <cellStyle name="40% - Accent2 2 8 2 2 2" xfId="9647" xr:uid="{00000000-0005-0000-0000-0000093D0000}"/>
    <cellStyle name="40% - Accent2 2 8 2 2 2 2" xfId="19643" xr:uid="{00000000-0005-0000-0000-00000A3D0000}"/>
    <cellStyle name="40% - Accent2 2 8 2 2 2 2 2" xfId="39043" xr:uid="{00000000-0005-0000-0000-00000B3D0000}"/>
    <cellStyle name="40% - Accent2 2 8 2 2 2 3" xfId="29345" xr:uid="{00000000-0005-0000-0000-00000C3D0000}"/>
    <cellStyle name="40% - Accent2 2 8 2 2 3" xfId="15188" xr:uid="{00000000-0005-0000-0000-00000D3D0000}"/>
    <cellStyle name="40% - Accent2 2 8 2 2 3 2" xfId="34588" xr:uid="{00000000-0005-0000-0000-00000E3D0000}"/>
    <cellStyle name="40% - Accent2 2 8 2 2 4" xfId="24890" xr:uid="{00000000-0005-0000-0000-00000F3D0000}"/>
    <cellStyle name="40% - Accent2 2 8 2 3" xfId="7419" xr:uid="{00000000-0005-0000-0000-0000103D0000}"/>
    <cellStyle name="40% - Accent2 2 8 2 3 2" xfId="17415" xr:uid="{00000000-0005-0000-0000-0000113D0000}"/>
    <cellStyle name="40% - Accent2 2 8 2 3 2 2" xfId="36815" xr:uid="{00000000-0005-0000-0000-0000123D0000}"/>
    <cellStyle name="40% - Accent2 2 8 2 3 3" xfId="27117" xr:uid="{00000000-0005-0000-0000-0000133D0000}"/>
    <cellStyle name="40% - Accent2 2 8 2 4" xfId="12960" xr:uid="{00000000-0005-0000-0000-0000143D0000}"/>
    <cellStyle name="40% - Accent2 2 8 2 4 2" xfId="32360" xr:uid="{00000000-0005-0000-0000-0000153D0000}"/>
    <cellStyle name="40% - Accent2 2 8 2 5" xfId="22662" xr:uid="{00000000-0005-0000-0000-0000163D0000}"/>
    <cellStyle name="40% - Accent2 2 8 3" xfId="3497" xr:uid="{00000000-0005-0000-0000-0000173D0000}"/>
    <cellStyle name="40% - Accent2 2 8 3 2" xfId="4627" xr:uid="{00000000-0005-0000-0000-0000183D0000}"/>
    <cellStyle name="40% - Accent2 2 8 3 2 2" xfId="9091" xr:uid="{00000000-0005-0000-0000-0000193D0000}"/>
    <cellStyle name="40% - Accent2 2 8 3 2 2 2" xfId="19087" xr:uid="{00000000-0005-0000-0000-00001A3D0000}"/>
    <cellStyle name="40% - Accent2 2 8 3 2 2 2 2" xfId="38487" xr:uid="{00000000-0005-0000-0000-00001B3D0000}"/>
    <cellStyle name="40% - Accent2 2 8 3 2 2 3" xfId="28789" xr:uid="{00000000-0005-0000-0000-00001C3D0000}"/>
    <cellStyle name="40% - Accent2 2 8 3 2 3" xfId="14632" xr:uid="{00000000-0005-0000-0000-00001D3D0000}"/>
    <cellStyle name="40% - Accent2 2 8 3 2 3 2" xfId="34032" xr:uid="{00000000-0005-0000-0000-00001E3D0000}"/>
    <cellStyle name="40% - Accent2 2 8 3 2 4" xfId="24334" xr:uid="{00000000-0005-0000-0000-00001F3D0000}"/>
    <cellStyle name="40% - Accent2 2 8 3 3" xfId="7976" xr:uid="{00000000-0005-0000-0000-0000203D0000}"/>
    <cellStyle name="40% - Accent2 2 8 3 3 2" xfId="17972" xr:uid="{00000000-0005-0000-0000-0000213D0000}"/>
    <cellStyle name="40% - Accent2 2 8 3 3 2 2" xfId="37372" xr:uid="{00000000-0005-0000-0000-0000223D0000}"/>
    <cellStyle name="40% - Accent2 2 8 3 3 3" xfId="27674" xr:uid="{00000000-0005-0000-0000-0000233D0000}"/>
    <cellStyle name="40% - Accent2 2 8 3 4" xfId="13517" xr:uid="{00000000-0005-0000-0000-0000243D0000}"/>
    <cellStyle name="40% - Accent2 2 8 3 4 2" xfId="32917" xr:uid="{00000000-0005-0000-0000-0000253D0000}"/>
    <cellStyle name="40% - Accent2 2 8 3 5" xfId="23219" xr:uid="{00000000-0005-0000-0000-0000263D0000}"/>
    <cellStyle name="40% - Accent2 2 8 4" xfId="4070" xr:uid="{00000000-0005-0000-0000-0000273D0000}"/>
    <cellStyle name="40% - Accent2 2 8 4 2" xfId="8534" xr:uid="{00000000-0005-0000-0000-0000283D0000}"/>
    <cellStyle name="40% - Accent2 2 8 4 2 2" xfId="18530" xr:uid="{00000000-0005-0000-0000-0000293D0000}"/>
    <cellStyle name="40% - Accent2 2 8 4 2 2 2" xfId="37930" xr:uid="{00000000-0005-0000-0000-00002A3D0000}"/>
    <cellStyle name="40% - Accent2 2 8 4 2 3" xfId="28232" xr:uid="{00000000-0005-0000-0000-00002B3D0000}"/>
    <cellStyle name="40% - Accent2 2 8 4 3" xfId="14075" xr:uid="{00000000-0005-0000-0000-00002C3D0000}"/>
    <cellStyle name="40% - Accent2 2 8 4 3 2" xfId="33475" xr:uid="{00000000-0005-0000-0000-00002D3D0000}"/>
    <cellStyle name="40% - Accent2 2 8 4 4" xfId="23777" xr:uid="{00000000-0005-0000-0000-00002E3D0000}"/>
    <cellStyle name="40% - Accent2 2 8 5" xfId="5740" xr:uid="{00000000-0005-0000-0000-00002F3D0000}"/>
    <cellStyle name="40% - Accent2 2 8 5 2" xfId="10204" xr:uid="{00000000-0005-0000-0000-0000303D0000}"/>
    <cellStyle name="40% - Accent2 2 8 5 2 2" xfId="20200" xr:uid="{00000000-0005-0000-0000-0000313D0000}"/>
    <cellStyle name="40% - Accent2 2 8 5 2 2 2" xfId="39600" xr:uid="{00000000-0005-0000-0000-0000323D0000}"/>
    <cellStyle name="40% - Accent2 2 8 5 2 3" xfId="29902" xr:uid="{00000000-0005-0000-0000-0000333D0000}"/>
    <cellStyle name="40% - Accent2 2 8 5 3" xfId="15745" xr:uid="{00000000-0005-0000-0000-0000343D0000}"/>
    <cellStyle name="40% - Accent2 2 8 5 3 2" xfId="35145" xr:uid="{00000000-0005-0000-0000-0000353D0000}"/>
    <cellStyle name="40% - Accent2 2 8 5 4" xfId="25447" xr:uid="{00000000-0005-0000-0000-0000363D0000}"/>
    <cellStyle name="40% - Accent2 2 8 6" xfId="6306" xr:uid="{00000000-0005-0000-0000-0000373D0000}"/>
    <cellStyle name="40% - Accent2 2 8 6 2" xfId="10761" xr:uid="{00000000-0005-0000-0000-0000383D0000}"/>
    <cellStyle name="40% - Accent2 2 8 6 2 2" xfId="20757" xr:uid="{00000000-0005-0000-0000-0000393D0000}"/>
    <cellStyle name="40% - Accent2 2 8 6 2 2 2" xfId="40157" xr:uid="{00000000-0005-0000-0000-00003A3D0000}"/>
    <cellStyle name="40% - Accent2 2 8 6 2 3" xfId="30459" xr:uid="{00000000-0005-0000-0000-00003B3D0000}"/>
    <cellStyle name="40% - Accent2 2 8 6 3" xfId="16302" xr:uid="{00000000-0005-0000-0000-00003C3D0000}"/>
    <cellStyle name="40% - Accent2 2 8 6 3 2" xfId="35702" xr:uid="{00000000-0005-0000-0000-00003D3D0000}"/>
    <cellStyle name="40% - Accent2 2 8 6 4" xfId="26004" xr:uid="{00000000-0005-0000-0000-00003E3D0000}"/>
    <cellStyle name="40% - Accent2 2 8 7" xfId="6863" xr:uid="{00000000-0005-0000-0000-00003F3D0000}"/>
    <cellStyle name="40% - Accent2 2 8 7 2" xfId="16859" xr:uid="{00000000-0005-0000-0000-0000403D0000}"/>
    <cellStyle name="40% - Accent2 2 8 7 2 2" xfId="36259" xr:uid="{00000000-0005-0000-0000-0000413D0000}"/>
    <cellStyle name="40% - Accent2 2 8 7 3" xfId="26561" xr:uid="{00000000-0005-0000-0000-0000423D0000}"/>
    <cellStyle name="40% - Accent2 2 8 8" xfId="12403" xr:uid="{00000000-0005-0000-0000-0000433D0000}"/>
    <cellStyle name="40% - Accent2 2 8 8 2" xfId="31804" xr:uid="{00000000-0005-0000-0000-0000443D0000}"/>
    <cellStyle name="40% - Accent2 2 8 9" xfId="22106" xr:uid="{00000000-0005-0000-0000-0000453D0000}"/>
    <cellStyle name="40% - Accent2 2 9" xfId="2166" xr:uid="{00000000-0005-0000-0000-0000463D0000}"/>
    <cellStyle name="40% - Accent2 20" xfId="1082" xr:uid="{00000000-0005-0000-0000-0000473D0000}"/>
    <cellStyle name="40% - Accent2 20 2" xfId="11953" xr:uid="{00000000-0005-0000-0000-0000483D0000}"/>
    <cellStyle name="40% - Accent2 20 2 2" xfId="21657" xr:uid="{00000000-0005-0000-0000-0000493D0000}"/>
    <cellStyle name="40% - Accent2 20 2 2 2" xfId="41057" xr:uid="{00000000-0005-0000-0000-00004A3D0000}"/>
    <cellStyle name="40% - Accent2 20 2 3" xfId="31359" xr:uid="{00000000-0005-0000-0000-00004B3D0000}"/>
    <cellStyle name="40% - Accent2 20 3" xfId="12309" xr:uid="{00000000-0005-0000-0000-00004C3D0000}"/>
    <cellStyle name="40% - Accent2 20 3 2" xfId="31712" xr:uid="{00000000-0005-0000-0000-00004D3D0000}"/>
    <cellStyle name="40% - Accent2 20 4" xfId="22014" xr:uid="{00000000-0005-0000-0000-00004E3D0000}"/>
    <cellStyle name="40% - Accent2 21" xfId="11836" xr:uid="{00000000-0005-0000-0000-00004F3D0000}"/>
    <cellStyle name="40% - Accent2 21 2" xfId="21540" xr:uid="{00000000-0005-0000-0000-0000503D0000}"/>
    <cellStyle name="40% - Accent2 21 2 2" xfId="40940" xr:uid="{00000000-0005-0000-0000-0000513D0000}"/>
    <cellStyle name="40% - Accent2 21 3" xfId="31242" xr:uid="{00000000-0005-0000-0000-0000523D0000}"/>
    <cellStyle name="40% - Accent2 22" xfId="12192" xr:uid="{00000000-0005-0000-0000-0000533D0000}"/>
    <cellStyle name="40% - Accent2 22 2" xfId="31595" xr:uid="{00000000-0005-0000-0000-0000543D0000}"/>
    <cellStyle name="40% - Accent2 23" xfId="21897" xr:uid="{00000000-0005-0000-0000-0000553D0000}"/>
    <cellStyle name="40% - Accent2 3" xfId="106" xr:uid="{00000000-0005-0000-0000-0000563D0000}"/>
    <cellStyle name="40% - Accent2 3 2" xfId="2167" xr:uid="{00000000-0005-0000-0000-0000573D0000}"/>
    <cellStyle name="40% - Accent2 3 3" xfId="2611" xr:uid="{00000000-0005-0000-0000-0000583D0000}"/>
    <cellStyle name="40% - Accent2 3 4" xfId="11399" xr:uid="{00000000-0005-0000-0000-0000593D0000}"/>
    <cellStyle name="40% - Accent2 3 5" xfId="1233" xr:uid="{00000000-0005-0000-0000-00005A3D0000}"/>
    <cellStyle name="40% - Accent2 4" xfId="107" xr:uid="{00000000-0005-0000-0000-00005B3D0000}"/>
    <cellStyle name="40% - Accent2 4 2" xfId="2777" xr:uid="{00000000-0005-0000-0000-00005C3D0000}"/>
    <cellStyle name="40% - Accent2 4 3" xfId="11400" xr:uid="{00000000-0005-0000-0000-00005D3D0000}"/>
    <cellStyle name="40% - Accent2 4 4" xfId="1235" xr:uid="{00000000-0005-0000-0000-00005E3D0000}"/>
    <cellStyle name="40% - Accent2 5" xfId="108" xr:uid="{00000000-0005-0000-0000-00005F3D0000}"/>
    <cellStyle name="40% - Accent2 5 2" xfId="11401" xr:uid="{00000000-0005-0000-0000-0000603D0000}"/>
    <cellStyle name="40% - Accent2 5 3" xfId="1669" xr:uid="{00000000-0005-0000-0000-0000613D0000}"/>
    <cellStyle name="40% - Accent2 6" xfId="109" xr:uid="{00000000-0005-0000-0000-0000623D0000}"/>
    <cellStyle name="40% - Accent2 6 2" xfId="11402" xr:uid="{00000000-0005-0000-0000-0000633D0000}"/>
    <cellStyle name="40% - Accent2 6 3" xfId="1837" xr:uid="{00000000-0005-0000-0000-0000643D0000}"/>
    <cellStyle name="40% - Accent2 7" xfId="110" xr:uid="{00000000-0005-0000-0000-0000653D0000}"/>
    <cellStyle name="40% - Accent2 8" xfId="111" xr:uid="{00000000-0005-0000-0000-0000663D0000}"/>
    <cellStyle name="40% - Accent2 9" xfId="112" xr:uid="{00000000-0005-0000-0000-0000673D0000}"/>
    <cellStyle name="40% - Accent3" xfId="950" builtinId="39" customBuiltin="1"/>
    <cellStyle name="40% - Accent3 10" xfId="113" xr:uid="{00000000-0005-0000-0000-0000693D0000}"/>
    <cellStyle name="40% - Accent3 11" xfId="114" xr:uid="{00000000-0005-0000-0000-00006A3D0000}"/>
    <cellStyle name="40% - Accent3 12" xfId="115" xr:uid="{00000000-0005-0000-0000-00006B3D0000}"/>
    <cellStyle name="40% - Accent3 13" xfId="116" xr:uid="{00000000-0005-0000-0000-00006C3D0000}"/>
    <cellStyle name="40% - Accent3 14" xfId="117" xr:uid="{00000000-0005-0000-0000-00006D3D0000}"/>
    <cellStyle name="40% - Accent3 15" xfId="118" xr:uid="{00000000-0005-0000-0000-00006E3D0000}"/>
    <cellStyle name="40% - Accent3 16" xfId="678" xr:uid="{00000000-0005-0000-0000-00006F3D0000}"/>
    <cellStyle name="40% - Accent3 17" xfId="994" xr:uid="{00000000-0005-0000-0000-0000703D0000}"/>
    <cellStyle name="40% - Accent3 17 2" xfId="11865" xr:uid="{00000000-0005-0000-0000-0000713D0000}"/>
    <cellStyle name="40% - Accent3 17 2 2" xfId="21569" xr:uid="{00000000-0005-0000-0000-0000723D0000}"/>
    <cellStyle name="40% - Accent3 17 2 2 2" xfId="40969" xr:uid="{00000000-0005-0000-0000-0000733D0000}"/>
    <cellStyle name="40% - Accent3 17 2 3" xfId="31271" xr:uid="{00000000-0005-0000-0000-0000743D0000}"/>
    <cellStyle name="40% - Accent3 17 3" xfId="12221" xr:uid="{00000000-0005-0000-0000-0000753D0000}"/>
    <cellStyle name="40% - Accent3 17 3 2" xfId="31624" xr:uid="{00000000-0005-0000-0000-0000763D0000}"/>
    <cellStyle name="40% - Accent3 17 4" xfId="21926" xr:uid="{00000000-0005-0000-0000-0000773D0000}"/>
    <cellStyle name="40% - Accent3 18" xfId="1022" xr:uid="{00000000-0005-0000-0000-0000783D0000}"/>
    <cellStyle name="40% - Accent3 18 2" xfId="11893" xr:uid="{00000000-0005-0000-0000-0000793D0000}"/>
    <cellStyle name="40% - Accent3 18 2 2" xfId="21597" xr:uid="{00000000-0005-0000-0000-00007A3D0000}"/>
    <cellStyle name="40% - Accent3 18 2 2 2" xfId="40997" xr:uid="{00000000-0005-0000-0000-00007B3D0000}"/>
    <cellStyle name="40% - Accent3 18 2 3" xfId="31299" xr:uid="{00000000-0005-0000-0000-00007C3D0000}"/>
    <cellStyle name="40% - Accent3 18 3" xfId="12249" xr:uid="{00000000-0005-0000-0000-00007D3D0000}"/>
    <cellStyle name="40% - Accent3 18 3 2" xfId="31652" xr:uid="{00000000-0005-0000-0000-00007E3D0000}"/>
    <cellStyle name="40% - Accent3 18 4" xfId="21954" xr:uid="{00000000-0005-0000-0000-00007F3D0000}"/>
    <cellStyle name="40% - Accent3 19" xfId="1069" xr:uid="{00000000-0005-0000-0000-0000803D0000}"/>
    <cellStyle name="40% - Accent3 19 2" xfId="11940" xr:uid="{00000000-0005-0000-0000-0000813D0000}"/>
    <cellStyle name="40% - Accent3 19 2 2" xfId="21644" xr:uid="{00000000-0005-0000-0000-0000823D0000}"/>
    <cellStyle name="40% - Accent3 19 2 2 2" xfId="41044" xr:uid="{00000000-0005-0000-0000-0000833D0000}"/>
    <cellStyle name="40% - Accent3 19 2 3" xfId="31346" xr:uid="{00000000-0005-0000-0000-0000843D0000}"/>
    <cellStyle name="40% - Accent3 19 3" xfId="12296" xr:uid="{00000000-0005-0000-0000-0000853D0000}"/>
    <cellStyle name="40% - Accent3 19 3 2" xfId="31699" xr:uid="{00000000-0005-0000-0000-0000863D0000}"/>
    <cellStyle name="40% - Accent3 19 4" xfId="22001" xr:uid="{00000000-0005-0000-0000-0000873D0000}"/>
    <cellStyle name="40% - Accent3 2" xfId="119" xr:uid="{00000000-0005-0000-0000-0000883D0000}"/>
    <cellStyle name="40% - Accent3 2 10" xfId="2168" xr:uid="{00000000-0005-0000-0000-0000893D0000}"/>
    <cellStyle name="40% - Accent3 2 10 2" xfId="3155" xr:uid="{00000000-0005-0000-0000-00008A3D0000}"/>
    <cellStyle name="40% - Accent3 2 10 2 2" xfId="5424" xr:uid="{00000000-0005-0000-0000-00008B3D0000}"/>
    <cellStyle name="40% - Accent3 2 10 2 2 2" xfId="9888" xr:uid="{00000000-0005-0000-0000-00008C3D0000}"/>
    <cellStyle name="40% - Accent3 2 10 2 2 2 2" xfId="19884" xr:uid="{00000000-0005-0000-0000-00008D3D0000}"/>
    <cellStyle name="40% - Accent3 2 10 2 2 2 2 2" xfId="39284" xr:uid="{00000000-0005-0000-0000-00008E3D0000}"/>
    <cellStyle name="40% - Accent3 2 10 2 2 2 3" xfId="29586" xr:uid="{00000000-0005-0000-0000-00008F3D0000}"/>
    <cellStyle name="40% - Accent3 2 10 2 2 3" xfId="15429" xr:uid="{00000000-0005-0000-0000-0000903D0000}"/>
    <cellStyle name="40% - Accent3 2 10 2 2 3 2" xfId="34829" xr:uid="{00000000-0005-0000-0000-0000913D0000}"/>
    <cellStyle name="40% - Accent3 2 10 2 2 4" xfId="25131" xr:uid="{00000000-0005-0000-0000-0000923D0000}"/>
    <cellStyle name="40% - Accent3 2 10 2 3" xfId="7660" xr:uid="{00000000-0005-0000-0000-0000933D0000}"/>
    <cellStyle name="40% - Accent3 2 10 2 3 2" xfId="17656" xr:uid="{00000000-0005-0000-0000-0000943D0000}"/>
    <cellStyle name="40% - Accent3 2 10 2 3 2 2" xfId="37056" xr:uid="{00000000-0005-0000-0000-0000953D0000}"/>
    <cellStyle name="40% - Accent3 2 10 2 3 3" xfId="27358" xr:uid="{00000000-0005-0000-0000-0000963D0000}"/>
    <cellStyle name="40% - Accent3 2 10 2 4" xfId="13201" xr:uid="{00000000-0005-0000-0000-0000973D0000}"/>
    <cellStyle name="40% - Accent3 2 10 2 4 2" xfId="32601" xr:uid="{00000000-0005-0000-0000-0000983D0000}"/>
    <cellStyle name="40% - Accent3 2 10 2 5" xfId="22903" xr:uid="{00000000-0005-0000-0000-0000993D0000}"/>
    <cellStyle name="40% - Accent3 2 10 3" xfId="3738" xr:uid="{00000000-0005-0000-0000-00009A3D0000}"/>
    <cellStyle name="40% - Accent3 2 10 3 2" xfId="4868" xr:uid="{00000000-0005-0000-0000-00009B3D0000}"/>
    <cellStyle name="40% - Accent3 2 10 3 2 2" xfId="9332" xr:uid="{00000000-0005-0000-0000-00009C3D0000}"/>
    <cellStyle name="40% - Accent3 2 10 3 2 2 2" xfId="19328" xr:uid="{00000000-0005-0000-0000-00009D3D0000}"/>
    <cellStyle name="40% - Accent3 2 10 3 2 2 2 2" xfId="38728" xr:uid="{00000000-0005-0000-0000-00009E3D0000}"/>
    <cellStyle name="40% - Accent3 2 10 3 2 2 3" xfId="29030" xr:uid="{00000000-0005-0000-0000-00009F3D0000}"/>
    <cellStyle name="40% - Accent3 2 10 3 2 3" xfId="14873" xr:uid="{00000000-0005-0000-0000-0000A03D0000}"/>
    <cellStyle name="40% - Accent3 2 10 3 2 3 2" xfId="34273" xr:uid="{00000000-0005-0000-0000-0000A13D0000}"/>
    <cellStyle name="40% - Accent3 2 10 3 2 4" xfId="24575" xr:uid="{00000000-0005-0000-0000-0000A23D0000}"/>
    <cellStyle name="40% - Accent3 2 10 3 3" xfId="8217" xr:uid="{00000000-0005-0000-0000-0000A33D0000}"/>
    <cellStyle name="40% - Accent3 2 10 3 3 2" xfId="18213" xr:uid="{00000000-0005-0000-0000-0000A43D0000}"/>
    <cellStyle name="40% - Accent3 2 10 3 3 2 2" xfId="37613" xr:uid="{00000000-0005-0000-0000-0000A53D0000}"/>
    <cellStyle name="40% - Accent3 2 10 3 3 3" xfId="27915" xr:uid="{00000000-0005-0000-0000-0000A63D0000}"/>
    <cellStyle name="40% - Accent3 2 10 3 4" xfId="13758" xr:uid="{00000000-0005-0000-0000-0000A73D0000}"/>
    <cellStyle name="40% - Accent3 2 10 3 4 2" xfId="33158" xr:uid="{00000000-0005-0000-0000-0000A83D0000}"/>
    <cellStyle name="40% - Accent3 2 10 3 5" xfId="23460" xr:uid="{00000000-0005-0000-0000-0000A93D0000}"/>
    <cellStyle name="40% - Accent3 2 10 4" xfId="4311" xr:uid="{00000000-0005-0000-0000-0000AA3D0000}"/>
    <cellStyle name="40% - Accent3 2 10 4 2" xfId="8775" xr:uid="{00000000-0005-0000-0000-0000AB3D0000}"/>
    <cellStyle name="40% - Accent3 2 10 4 2 2" xfId="18771" xr:uid="{00000000-0005-0000-0000-0000AC3D0000}"/>
    <cellStyle name="40% - Accent3 2 10 4 2 2 2" xfId="38171" xr:uid="{00000000-0005-0000-0000-0000AD3D0000}"/>
    <cellStyle name="40% - Accent3 2 10 4 2 3" xfId="28473" xr:uid="{00000000-0005-0000-0000-0000AE3D0000}"/>
    <cellStyle name="40% - Accent3 2 10 4 3" xfId="14316" xr:uid="{00000000-0005-0000-0000-0000AF3D0000}"/>
    <cellStyle name="40% - Accent3 2 10 4 3 2" xfId="33716" xr:uid="{00000000-0005-0000-0000-0000B03D0000}"/>
    <cellStyle name="40% - Accent3 2 10 4 4" xfId="24018" xr:uid="{00000000-0005-0000-0000-0000B13D0000}"/>
    <cellStyle name="40% - Accent3 2 10 5" xfId="5981" xr:uid="{00000000-0005-0000-0000-0000B23D0000}"/>
    <cellStyle name="40% - Accent3 2 10 5 2" xfId="10445" xr:uid="{00000000-0005-0000-0000-0000B33D0000}"/>
    <cellStyle name="40% - Accent3 2 10 5 2 2" xfId="20441" xr:uid="{00000000-0005-0000-0000-0000B43D0000}"/>
    <cellStyle name="40% - Accent3 2 10 5 2 2 2" xfId="39841" xr:uid="{00000000-0005-0000-0000-0000B53D0000}"/>
    <cellStyle name="40% - Accent3 2 10 5 2 3" xfId="30143" xr:uid="{00000000-0005-0000-0000-0000B63D0000}"/>
    <cellStyle name="40% - Accent3 2 10 5 3" xfId="15986" xr:uid="{00000000-0005-0000-0000-0000B73D0000}"/>
    <cellStyle name="40% - Accent3 2 10 5 3 2" xfId="35386" xr:uid="{00000000-0005-0000-0000-0000B83D0000}"/>
    <cellStyle name="40% - Accent3 2 10 5 4" xfId="25688" xr:uid="{00000000-0005-0000-0000-0000B93D0000}"/>
    <cellStyle name="40% - Accent3 2 10 6" xfId="6547" xr:uid="{00000000-0005-0000-0000-0000BA3D0000}"/>
    <cellStyle name="40% - Accent3 2 10 6 2" xfId="11002" xr:uid="{00000000-0005-0000-0000-0000BB3D0000}"/>
    <cellStyle name="40% - Accent3 2 10 6 2 2" xfId="20998" xr:uid="{00000000-0005-0000-0000-0000BC3D0000}"/>
    <cellStyle name="40% - Accent3 2 10 6 2 2 2" xfId="40398" xr:uid="{00000000-0005-0000-0000-0000BD3D0000}"/>
    <cellStyle name="40% - Accent3 2 10 6 2 3" xfId="30700" xr:uid="{00000000-0005-0000-0000-0000BE3D0000}"/>
    <cellStyle name="40% - Accent3 2 10 6 3" xfId="16543" xr:uid="{00000000-0005-0000-0000-0000BF3D0000}"/>
    <cellStyle name="40% - Accent3 2 10 6 3 2" xfId="35943" xr:uid="{00000000-0005-0000-0000-0000C03D0000}"/>
    <cellStyle name="40% - Accent3 2 10 6 4" xfId="26245" xr:uid="{00000000-0005-0000-0000-0000C13D0000}"/>
    <cellStyle name="40% - Accent3 2 10 7" xfId="7104" xr:uid="{00000000-0005-0000-0000-0000C23D0000}"/>
    <cellStyle name="40% - Accent3 2 10 7 2" xfId="17100" xr:uid="{00000000-0005-0000-0000-0000C33D0000}"/>
    <cellStyle name="40% - Accent3 2 10 7 2 2" xfId="36500" xr:uid="{00000000-0005-0000-0000-0000C43D0000}"/>
    <cellStyle name="40% - Accent3 2 10 7 3" xfId="26802" xr:uid="{00000000-0005-0000-0000-0000C53D0000}"/>
    <cellStyle name="40% - Accent3 2 10 8" xfId="12644" xr:uid="{00000000-0005-0000-0000-0000C63D0000}"/>
    <cellStyle name="40% - Accent3 2 10 8 2" xfId="32045" xr:uid="{00000000-0005-0000-0000-0000C73D0000}"/>
    <cellStyle name="40% - Accent3 2 10 9" xfId="22347" xr:uid="{00000000-0005-0000-0000-0000C83D0000}"/>
    <cellStyle name="40% - Accent3 2 11" xfId="2581" xr:uid="{00000000-0005-0000-0000-0000C93D0000}"/>
    <cellStyle name="40% - Accent3 2 12" xfId="11309" xr:uid="{00000000-0005-0000-0000-0000CA3D0000}"/>
    <cellStyle name="40% - Accent3 2 12 2" xfId="21294" xr:uid="{00000000-0005-0000-0000-0000CB3D0000}"/>
    <cellStyle name="40% - Accent3 2 12 2 2" xfId="40694" xr:uid="{00000000-0005-0000-0000-0000CC3D0000}"/>
    <cellStyle name="40% - Accent3 2 12 3" xfId="30996" xr:uid="{00000000-0005-0000-0000-0000CD3D0000}"/>
    <cellStyle name="40% - Accent3 2 13" xfId="11338" xr:uid="{00000000-0005-0000-0000-0000CE3D0000}"/>
    <cellStyle name="40% - Accent3 2 13 2" xfId="21320" xr:uid="{00000000-0005-0000-0000-0000CF3D0000}"/>
    <cellStyle name="40% - Accent3 2 13 2 2" xfId="40720" xr:uid="{00000000-0005-0000-0000-0000D03D0000}"/>
    <cellStyle name="40% - Accent3 2 13 3" xfId="31022" xr:uid="{00000000-0005-0000-0000-0000D13D0000}"/>
    <cellStyle name="40% - Accent3 2 14" xfId="1239" xr:uid="{00000000-0005-0000-0000-0000D23D0000}"/>
    <cellStyle name="40% - Accent3 2 15" xfId="1134" xr:uid="{00000000-0005-0000-0000-0000D33D0000}"/>
    <cellStyle name="40% - Accent3 2 15 2" xfId="12353" xr:uid="{00000000-0005-0000-0000-0000D43D0000}"/>
    <cellStyle name="40% - Accent3 2 15 2 2" xfId="31755" xr:uid="{00000000-0005-0000-0000-0000D53D0000}"/>
    <cellStyle name="40% - Accent3 2 15 3" xfId="22057" xr:uid="{00000000-0005-0000-0000-0000D63D0000}"/>
    <cellStyle name="40% - Accent3 2 2" xfId="726" xr:uid="{00000000-0005-0000-0000-0000D73D0000}"/>
    <cellStyle name="40% - Accent3 2 2 2" xfId="1752" xr:uid="{00000000-0005-0000-0000-0000D83D0000}"/>
    <cellStyle name="40% - Accent3 2 2 3" xfId="1241" xr:uid="{00000000-0005-0000-0000-0000D93D0000}"/>
    <cellStyle name="40% - Accent3 2 2 4" xfId="11683" xr:uid="{00000000-0005-0000-0000-0000DA3D0000}"/>
    <cellStyle name="40% - Accent3 2 2 4 2" xfId="21403" xr:uid="{00000000-0005-0000-0000-0000DB3D0000}"/>
    <cellStyle name="40% - Accent3 2 2 4 2 2" xfId="40803" xr:uid="{00000000-0005-0000-0000-0000DC3D0000}"/>
    <cellStyle name="40% - Accent3 2 2 4 3" xfId="31105" xr:uid="{00000000-0005-0000-0000-0000DD3D0000}"/>
    <cellStyle name="40% - Accent3 2 2 5" xfId="1175" xr:uid="{00000000-0005-0000-0000-0000DE3D0000}"/>
    <cellStyle name="40% - Accent3 2 2 6" xfId="12055" xr:uid="{00000000-0005-0000-0000-0000DF3D0000}"/>
    <cellStyle name="40% - Accent3 2 2 6 2" xfId="31458" xr:uid="{00000000-0005-0000-0000-0000E03D0000}"/>
    <cellStyle name="40% - Accent3 2 2 7" xfId="21760" xr:uid="{00000000-0005-0000-0000-0000E13D0000}"/>
    <cellStyle name="40% - Accent3 2 3" xfId="1104" xr:uid="{00000000-0005-0000-0000-0000E23D0000}"/>
    <cellStyle name="40% - Accent3 2 3 2" xfId="2169" xr:uid="{00000000-0005-0000-0000-0000E33D0000}"/>
    <cellStyle name="40% - Accent3 2 3 2 10" xfId="7105" xr:uid="{00000000-0005-0000-0000-0000E43D0000}"/>
    <cellStyle name="40% - Accent3 2 3 2 10 2" xfId="17101" xr:uid="{00000000-0005-0000-0000-0000E53D0000}"/>
    <cellStyle name="40% - Accent3 2 3 2 10 2 2" xfId="36501" xr:uid="{00000000-0005-0000-0000-0000E63D0000}"/>
    <cellStyle name="40% - Accent3 2 3 2 10 3" xfId="26803" xr:uid="{00000000-0005-0000-0000-0000E73D0000}"/>
    <cellStyle name="40% - Accent3 2 3 2 11" xfId="12645" xr:uid="{00000000-0005-0000-0000-0000E83D0000}"/>
    <cellStyle name="40% - Accent3 2 3 2 11 2" xfId="32046" xr:uid="{00000000-0005-0000-0000-0000E93D0000}"/>
    <cellStyle name="40% - Accent3 2 3 2 12" xfId="22348" xr:uid="{00000000-0005-0000-0000-0000EA3D0000}"/>
    <cellStyle name="40% - Accent3 2 3 2 2" xfId="2170" xr:uid="{00000000-0005-0000-0000-0000EB3D0000}"/>
    <cellStyle name="40% - Accent3 2 3 2 2 10" xfId="12646" xr:uid="{00000000-0005-0000-0000-0000EC3D0000}"/>
    <cellStyle name="40% - Accent3 2 3 2 2 10 2" xfId="32047" xr:uid="{00000000-0005-0000-0000-0000ED3D0000}"/>
    <cellStyle name="40% - Accent3 2 3 2 2 11" xfId="22349" xr:uid="{00000000-0005-0000-0000-0000EE3D0000}"/>
    <cellStyle name="40% - Accent3 2 3 2 2 2" xfId="2171" xr:uid="{00000000-0005-0000-0000-0000EF3D0000}"/>
    <cellStyle name="40% - Accent3 2 3 2 2 2 2" xfId="3158" xr:uid="{00000000-0005-0000-0000-0000F03D0000}"/>
    <cellStyle name="40% - Accent3 2 3 2 2 2 2 2" xfId="5427" xr:uid="{00000000-0005-0000-0000-0000F13D0000}"/>
    <cellStyle name="40% - Accent3 2 3 2 2 2 2 2 2" xfId="9891" xr:uid="{00000000-0005-0000-0000-0000F23D0000}"/>
    <cellStyle name="40% - Accent3 2 3 2 2 2 2 2 2 2" xfId="19887" xr:uid="{00000000-0005-0000-0000-0000F33D0000}"/>
    <cellStyle name="40% - Accent3 2 3 2 2 2 2 2 2 2 2" xfId="39287" xr:uid="{00000000-0005-0000-0000-0000F43D0000}"/>
    <cellStyle name="40% - Accent3 2 3 2 2 2 2 2 2 3" xfId="29589" xr:uid="{00000000-0005-0000-0000-0000F53D0000}"/>
    <cellStyle name="40% - Accent3 2 3 2 2 2 2 2 3" xfId="15432" xr:uid="{00000000-0005-0000-0000-0000F63D0000}"/>
    <cellStyle name="40% - Accent3 2 3 2 2 2 2 2 3 2" xfId="34832" xr:uid="{00000000-0005-0000-0000-0000F73D0000}"/>
    <cellStyle name="40% - Accent3 2 3 2 2 2 2 2 4" xfId="25134" xr:uid="{00000000-0005-0000-0000-0000F83D0000}"/>
    <cellStyle name="40% - Accent3 2 3 2 2 2 2 3" xfId="7663" xr:uid="{00000000-0005-0000-0000-0000F93D0000}"/>
    <cellStyle name="40% - Accent3 2 3 2 2 2 2 3 2" xfId="17659" xr:uid="{00000000-0005-0000-0000-0000FA3D0000}"/>
    <cellStyle name="40% - Accent3 2 3 2 2 2 2 3 2 2" xfId="37059" xr:uid="{00000000-0005-0000-0000-0000FB3D0000}"/>
    <cellStyle name="40% - Accent3 2 3 2 2 2 2 3 3" xfId="27361" xr:uid="{00000000-0005-0000-0000-0000FC3D0000}"/>
    <cellStyle name="40% - Accent3 2 3 2 2 2 2 4" xfId="13204" xr:uid="{00000000-0005-0000-0000-0000FD3D0000}"/>
    <cellStyle name="40% - Accent3 2 3 2 2 2 2 4 2" xfId="32604" xr:uid="{00000000-0005-0000-0000-0000FE3D0000}"/>
    <cellStyle name="40% - Accent3 2 3 2 2 2 2 5" xfId="22906" xr:uid="{00000000-0005-0000-0000-0000FF3D0000}"/>
    <cellStyle name="40% - Accent3 2 3 2 2 2 3" xfId="3741" xr:uid="{00000000-0005-0000-0000-0000003E0000}"/>
    <cellStyle name="40% - Accent3 2 3 2 2 2 3 2" xfId="4871" xr:uid="{00000000-0005-0000-0000-0000013E0000}"/>
    <cellStyle name="40% - Accent3 2 3 2 2 2 3 2 2" xfId="9335" xr:uid="{00000000-0005-0000-0000-0000023E0000}"/>
    <cellStyle name="40% - Accent3 2 3 2 2 2 3 2 2 2" xfId="19331" xr:uid="{00000000-0005-0000-0000-0000033E0000}"/>
    <cellStyle name="40% - Accent3 2 3 2 2 2 3 2 2 2 2" xfId="38731" xr:uid="{00000000-0005-0000-0000-0000043E0000}"/>
    <cellStyle name="40% - Accent3 2 3 2 2 2 3 2 2 3" xfId="29033" xr:uid="{00000000-0005-0000-0000-0000053E0000}"/>
    <cellStyle name="40% - Accent3 2 3 2 2 2 3 2 3" xfId="14876" xr:uid="{00000000-0005-0000-0000-0000063E0000}"/>
    <cellStyle name="40% - Accent3 2 3 2 2 2 3 2 3 2" xfId="34276" xr:uid="{00000000-0005-0000-0000-0000073E0000}"/>
    <cellStyle name="40% - Accent3 2 3 2 2 2 3 2 4" xfId="24578" xr:uid="{00000000-0005-0000-0000-0000083E0000}"/>
    <cellStyle name="40% - Accent3 2 3 2 2 2 3 3" xfId="8220" xr:uid="{00000000-0005-0000-0000-0000093E0000}"/>
    <cellStyle name="40% - Accent3 2 3 2 2 2 3 3 2" xfId="18216" xr:uid="{00000000-0005-0000-0000-00000A3E0000}"/>
    <cellStyle name="40% - Accent3 2 3 2 2 2 3 3 2 2" xfId="37616" xr:uid="{00000000-0005-0000-0000-00000B3E0000}"/>
    <cellStyle name="40% - Accent3 2 3 2 2 2 3 3 3" xfId="27918" xr:uid="{00000000-0005-0000-0000-00000C3E0000}"/>
    <cellStyle name="40% - Accent3 2 3 2 2 2 3 4" xfId="13761" xr:uid="{00000000-0005-0000-0000-00000D3E0000}"/>
    <cellStyle name="40% - Accent3 2 3 2 2 2 3 4 2" xfId="33161" xr:uid="{00000000-0005-0000-0000-00000E3E0000}"/>
    <cellStyle name="40% - Accent3 2 3 2 2 2 3 5" xfId="23463" xr:uid="{00000000-0005-0000-0000-00000F3E0000}"/>
    <cellStyle name="40% - Accent3 2 3 2 2 2 4" xfId="4314" xr:uid="{00000000-0005-0000-0000-0000103E0000}"/>
    <cellStyle name="40% - Accent3 2 3 2 2 2 4 2" xfId="8778" xr:uid="{00000000-0005-0000-0000-0000113E0000}"/>
    <cellStyle name="40% - Accent3 2 3 2 2 2 4 2 2" xfId="18774" xr:uid="{00000000-0005-0000-0000-0000123E0000}"/>
    <cellStyle name="40% - Accent3 2 3 2 2 2 4 2 2 2" xfId="38174" xr:uid="{00000000-0005-0000-0000-0000133E0000}"/>
    <cellStyle name="40% - Accent3 2 3 2 2 2 4 2 3" xfId="28476" xr:uid="{00000000-0005-0000-0000-0000143E0000}"/>
    <cellStyle name="40% - Accent3 2 3 2 2 2 4 3" xfId="14319" xr:uid="{00000000-0005-0000-0000-0000153E0000}"/>
    <cellStyle name="40% - Accent3 2 3 2 2 2 4 3 2" xfId="33719" xr:uid="{00000000-0005-0000-0000-0000163E0000}"/>
    <cellStyle name="40% - Accent3 2 3 2 2 2 4 4" xfId="24021" xr:uid="{00000000-0005-0000-0000-0000173E0000}"/>
    <cellStyle name="40% - Accent3 2 3 2 2 2 5" xfId="5984" xr:uid="{00000000-0005-0000-0000-0000183E0000}"/>
    <cellStyle name="40% - Accent3 2 3 2 2 2 5 2" xfId="10448" xr:uid="{00000000-0005-0000-0000-0000193E0000}"/>
    <cellStyle name="40% - Accent3 2 3 2 2 2 5 2 2" xfId="20444" xr:uid="{00000000-0005-0000-0000-00001A3E0000}"/>
    <cellStyle name="40% - Accent3 2 3 2 2 2 5 2 2 2" xfId="39844" xr:uid="{00000000-0005-0000-0000-00001B3E0000}"/>
    <cellStyle name="40% - Accent3 2 3 2 2 2 5 2 3" xfId="30146" xr:uid="{00000000-0005-0000-0000-00001C3E0000}"/>
    <cellStyle name="40% - Accent3 2 3 2 2 2 5 3" xfId="15989" xr:uid="{00000000-0005-0000-0000-00001D3E0000}"/>
    <cellStyle name="40% - Accent3 2 3 2 2 2 5 3 2" xfId="35389" xr:uid="{00000000-0005-0000-0000-00001E3E0000}"/>
    <cellStyle name="40% - Accent3 2 3 2 2 2 5 4" xfId="25691" xr:uid="{00000000-0005-0000-0000-00001F3E0000}"/>
    <cellStyle name="40% - Accent3 2 3 2 2 2 6" xfId="6550" xr:uid="{00000000-0005-0000-0000-0000203E0000}"/>
    <cellStyle name="40% - Accent3 2 3 2 2 2 6 2" xfId="11005" xr:uid="{00000000-0005-0000-0000-0000213E0000}"/>
    <cellStyle name="40% - Accent3 2 3 2 2 2 6 2 2" xfId="21001" xr:uid="{00000000-0005-0000-0000-0000223E0000}"/>
    <cellStyle name="40% - Accent3 2 3 2 2 2 6 2 2 2" xfId="40401" xr:uid="{00000000-0005-0000-0000-0000233E0000}"/>
    <cellStyle name="40% - Accent3 2 3 2 2 2 6 2 3" xfId="30703" xr:uid="{00000000-0005-0000-0000-0000243E0000}"/>
    <cellStyle name="40% - Accent3 2 3 2 2 2 6 3" xfId="16546" xr:uid="{00000000-0005-0000-0000-0000253E0000}"/>
    <cellStyle name="40% - Accent3 2 3 2 2 2 6 3 2" xfId="35946" xr:uid="{00000000-0005-0000-0000-0000263E0000}"/>
    <cellStyle name="40% - Accent3 2 3 2 2 2 6 4" xfId="26248" xr:uid="{00000000-0005-0000-0000-0000273E0000}"/>
    <cellStyle name="40% - Accent3 2 3 2 2 2 7" xfId="7107" xr:uid="{00000000-0005-0000-0000-0000283E0000}"/>
    <cellStyle name="40% - Accent3 2 3 2 2 2 7 2" xfId="17103" xr:uid="{00000000-0005-0000-0000-0000293E0000}"/>
    <cellStyle name="40% - Accent3 2 3 2 2 2 7 2 2" xfId="36503" xr:uid="{00000000-0005-0000-0000-00002A3E0000}"/>
    <cellStyle name="40% - Accent3 2 3 2 2 2 7 3" xfId="26805" xr:uid="{00000000-0005-0000-0000-00002B3E0000}"/>
    <cellStyle name="40% - Accent3 2 3 2 2 2 8" xfId="12647" xr:uid="{00000000-0005-0000-0000-00002C3E0000}"/>
    <cellStyle name="40% - Accent3 2 3 2 2 2 8 2" xfId="32048" xr:uid="{00000000-0005-0000-0000-00002D3E0000}"/>
    <cellStyle name="40% - Accent3 2 3 2 2 2 9" xfId="22350" xr:uid="{00000000-0005-0000-0000-00002E3E0000}"/>
    <cellStyle name="40% - Accent3 2 3 2 2 3" xfId="2172" xr:uid="{00000000-0005-0000-0000-00002F3E0000}"/>
    <cellStyle name="40% - Accent3 2 3 2 2 3 2" xfId="3159" xr:uid="{00000000-0005-0000-0000-0000303E0000}"/>
    <cellStyle name="40% - Accent3 2 3 2 2 3 2 2" xfId="5428" xr:uid="{00000000-0005-0000-0000-0000313E0000}"/>
    <cellStyle name="40% - Accent3 2 3 2 2 3 2 2 2" xfId="9892" xr:uid="{00000000-0005-0000-0000-0000323E0000}"/>
    <cellStyle name="40% - Accent3 2 3 2 2 3 2 2 2 2" xfId="19888" xr:uid="{00000000-0005-0000-0000-0000333E0000}"/>
    <cellStyle name="40% - Accent3 2 3 2 2 3 2 2 2 2 2" xfId="39288" xr:uid="{00000000-0005-0000-0000-0000343E0000}"/>
    <cellStyle name="40% - Accent3 2 3 2 2 3 2 2 2 3" xfId="29590" xr:uid="{00000000-0005-0000-0000-0000353E0000}"/>
    <cellStyle name="40% - Accent3 2 3 2 2 3 2 2 3" xfId="15433" xr:uid="{00000000-0005-0000-0000-0000363E0000}"/>
    <cellStyle name="40% - Accent3 2 3 2 2 3 2 2 3 2" xfId="34833" xr:uid="{00000000-0005-0000-0000-0000373E0000}"/>
    <cellStyle name="40% - Accent3 2 3 2 2 3 2 2 4" xfId="25135" xr:uid="{00000000-0005-0000-0000-0000383E0000}"/>
    <cellStyle name="40% - Accent3 2 3 2 2 3 2 3" xfId="7664" xr:uid="{00000000-0005-0000-0000-0000393E0000}"/>
    <cellStyle name="40% - Accent3 2 3 2 2 3 2 3 2" xfId="17660" xr:uid="{00000000-0005-0000-0000-00003A3E0000}"/>
    <cellStyle name="40% - Accent3 2 3 2 2 3 2 3 2 2" xfId="37060" xr:uid="{00000000-0005-0000-0000-00003B3E0000}"/>
    <cellStyle name="40% - Accent3 2 3 2 2 3 2 3 3" xfId="27362" xr:uid="{00000000-0005-0000-0000-00003C3E0000}"/>
    <cellStyle name="40% - Accent3 2 3 2 2 3 2 4" xfId="13205" xr:uid="{00000000-0005-0000-0000-00003D3E0000}"/>
    <cellStyle name="40% - Accent3 2 3 2 2 3 2 4 2" xfId="32605" xr:uid="{00000000-0005-0000-0000-00003E3E0000}"/>
    <cellStyle name="40% - Accent3 2 3 2 2 3 2 5" xfId="22907" xr:uid="{00000000-0005-0000-0000-00003F3E0000}"/>
    <cellStyle name="40% - Accent3 2 3 2 2 3 3" xfId="3742" xr:uid="{00000000-0005-0000-0000-0000403E0000}"/>
    <cellStyle name="40% - Accent3 2 3 2 2 3 3 2" xfId="4872" xr:uid="{00000000-0005-0000-0000-0000413E0000}"/>
    <cellStyle name="40% - Accent3 2 3 2 2 3 3 2 2" xfId="9336" xr:uid="{00000000-0005-0000-0000-0000423E0000}"/>
    <cellStyle name="40% - Accent3 2 3 2 2 3 3 2 2 2" xfId="19332" xr:uid="{00000000-0005-0000-0000-0000433E0000}"/>
    <cellStyle name="40% - Accent3 2 3 2 2 3 3 2 2 2 2" xfId="38732" xr:uid="{00000000-0005-0000-0000-0000443E0000}"/>
    <cellStyle name="40% - Accent3 2 3 2 2 3 3 2 2 3" xfId="29034" xr:uid="{00000000-0005-0000-0000-0000453E0000}"/>
    <cellStyle name="40% - Accent3 2 3 2 2 3 3 2 3" xfId="14877" xr:uid="{00000000-0005-0000-0000-0000463E0000}"/>
    <cellStyle name="40% - Accent3 2 3 2 2 3 3 2 3 2" xfId="34277" xr:uid="{00000000-0005-0000-0000-0000473E0000}"/>
    <cellStyle name="40% - Accent3 2 3 2 2 3 3 2 4" xfId="24579" xr:uid="{00000000-0005-0000-0000-0000483E0000}"/>
    <cellStyle name="40% - Accent3 2 3 2 2 3 3 3" xfId="8221" xr:uid="{00000000-0005-0000-0000-0000493E0000}"/>
    <cellStyle name="40% - Accent3 2 3 2 2 3 3 3 2" xfId="18217" xr:uid="{00000000-0005-0000-0000-00004A3E0000}"/>
    <cellStyle name="40% - Accent3 2 3 2 2 3 3 3 2 2" xfId="37617" xr:uid="{00000000-0005-0000-0000-00004B3E0000}"/>
    <cellStyle name="40% - Accent3 2 3 2 2 3 3 3 3" xfId="27919" xr:uid="{00000000-0005-0000-0000-00004C3E0000}"/>
    <cellStyle name="40% - Accent3 2 3 2 2 3 3 4" xfId="13762" xr:uid="{00000000-0005-0000-0000-00004D3E0000}"/>
    <cellStyle name="40% - Accent3 2 3 2 2 3 3 4 2" xfId="33162" xr:uid="{00000000-0005-0000-0000-00004E3E0000}"/>
    <cellStyle name="40% - Accent3 2 3 2 2 3 3 5" xfId="23464" xr:uid="{00000000-0005-0000-0000-00004F3E0000}"/>
    <cellStyle name="40% - Accent3 2 3 2 2 3 4" xfId="4315" xr:uid="{00000000-0005-0000-0000-0000503E0000}"/>
    <cellStyle name="40% - Accent3 2 3 2 2 3 4 2" xfId="8779" xr:uid="{00000000-0005-0000-0000-0000513E0000}"/>
    <cellStyle name="40% - Accent3 2 3 2 2 3 4 2 2" xfId="18775" xr:uid="{00000000-0005-0000-0000-0000523E0000}"/>
    <cellStyle name="40% - Accent3 2 3 2 2 3 4 2 2 2" xfId="38175" xr:uid="{00000000-0005-0000-0000-0000533E0000}"/>
    <cellStyle name="40% - Accent3 2 3 2 2 3 4 2 3" xfId="28477" xr:uid="{00000000-0005-0000-0000-0000543E0000}"/>
    <cellStyle name="40% - Accent3 2 3 2 2 3 4 3" xfId="14320" xr:uid="{00000000-0005-0000-0000-0000553E0000}"/>
    <cellStyle name="40% - Accent3 2 3 2 2 3 4 3 2" xfId="33720" xr:uid="{00000000-0005-0000-0000-0000563E0000}"/>
    <cellStyle name="40% - Accent3 2 3 2 2 3 4 4" xfId="24022" xr:uid="{00000000-0005-0000-0000-0000573E0000}"/>
    <cellStyle name="40% - Accent3 2 3 2 2 3 5" xfId="5985" xr:uid="{00000000-0005-0000-0000-0000583E0000}"/>
    <cellStyle name="40% - Accent3 2 3 2 2 3 5 2" xfId="10449" xr:uid="{00000000-0005-0000-0000-0000593E0000}"/>
    <cellStyle name="40% - Accent3 2 3 2 2 3 5 2 2" xfId="20445" xr:uid="{00000000-0005-0000-0000-00005A3E0000}"/>
    <cellStyle name="40% - Accent3 2 3 2 2 3 5 2 2 2" xfId="39845" xr:uid="{00000000-0005-0000-0000-00005B3E0000}"/>
    <cellStyle name="40% - Accent3 2 3 2 2 3 5 2 3" xfId="30147" xr:uid="{00000000-0005-0000-0000-00005C3E0000}"/>
    <cellStyle name="40% - Accent3 2 3 2 2 3 5 3" xfId="15990" xr:uid="{00000000-0005-0000-0000-00005D3E0000}"/>
    <cellStyle name="40% - Accent3 2 3 2 2 3 5 3 2" xfId="35390" xr:uid="{00000000-0005-0000-0000-00005E3E0000}"/>
    <cellStyle name="40% - Accent3 2 3 2 2 3 5 4" xfId="25692" xr:uid="{00000000-0005-0000-0000-00005F3E0000}"/>
    <cellStyle name="40% - Accent3 2 3 2 2 3 6" xfId="6551" xr:uid="{00000000-0005-0000-0000-0000603E0000}"/>
    <cellStyle name="40% - Accent3 2 3 2 2 3 6 2" xfId="11006" xr:uid="{00000000-0005-0000-0000-0000613E0000}"/>
    <cellStyle name="40% - Accent3 2 3 2 2 3 6 2 2" xfId="21002" xr:uid="{00000000-0005-0000-0000-0000623E0000}"/>
    <cellStyle name="40% - Accent3 2 3 2 2 3 6 2 2 2" xfId="40402" xr:uid="{00000000-0005-0000-0000-0000633E0000}"/>
    <cellStyle name="40% - Accent3 2 3 2 2 3 6 2 3" xfId="30704" xr:uid="{00000000-0005-0000-0000-0000643E0000}"/>
    <cellStyle name="40% - Accent3 2 3 2 2 3 6 3" xfId="16547" xr:uid="{00000000-0005-0000-0000-0000653E0000}"/>
    <cellStyle name="40% - Accent3 2 3 2 2 3 6 3 2" xfId="35947" xr:uid="{00000000-0005-0000-0000-0000663E0000}"/>
    <cellStyle name="40% - Accent3 2 3 2 2 3 6 4" xfId="26249" xr:uid="{00000000-0005-0000-0000-0000673E0000}"/>
    <cellStyle name="40% - Accent3 2 3 2 2 3 7" xfId="7108" xr:uid="{00000000-0005-0000-0000-0000683E0000}"/>
    <cellStyle name="40% - Accent3 2 3 2 2 3 7 2" xfId="17104" xr:uid="{00000000-0005-0000-0000-0000693E0000}"/>
    <cellStyle name="40% - Accent3 2 3 2 2 3 7 2 2" xfId="36504" xr:uid="{00000000-0005-0000-0000-00006A3E0000}"/>
    <cellStyle name="40% - Accent3 2 3 2 2 3 7 3" xfId="26806" xr:uid="{00000000-0005-0000-0000-00006B3E0000}"/>
    <cellStyle name="40% - Accent3 2 3 2 2 3 8" xfId="12648" xr:uid="{00000000-0005-0000-0000-00006C3E0000}"/>
    <cellStyle name="40% - Accent3 2 3 2 2 3 8 2" xfId="32049" xr:uid="{00000000-0005-0000-0000-00006D3E0000}"/>
    <cellStyle name="40% - Accent3 2 3 2 2 3 9" xfId="22351" xr:uid="{00000000-0005-0000-0000-00006E3E0000}"/>
    <cellStyle name="40% - Accent3 2 3 2 2 4" xfId="3157" xr:uid="{00000000-0005-0000-0000-00006F3E0000}"/>
    <cellStyle name="40% - Accent3 2 3 2 2 4 2" xfId="5426" xr:uid="{00000000-0005-0000-0000-0000703E0000}"/>
    <cellStyle name="40% - Accent3 2 3 2 2 4 2 2" xfId="9890" xr:uid="{00000000-0005-0000-0000-0000713E0000}"/>
    <cellStyle name="40% - Accent3 2 3 2 2 4 2 2 2" xfId="19886" xr:uid="{00000000-0005-0000-0000-0000723E0000}"/>
    <cellStyle name="40% - Accent3 2 3 2 2 4 2 2 2 2" xfId="39286" xr:uid="{00000000-0005-0000-0000-0000733E0000}"/>
    <cellStyle name="40% - Accent3 2 3 2 2 4 2 2 3" xfId="29588" xr:uid="{00000000-0005-0000-0000-0000743E0000}"/>
    <cellStyle name="40% - Accent3 2 3 2 2 4 2 3" xfId="15431" xr:uid="{00000000-0005-0000-0000-0000753E0000}"/>
    <cellStyle name="40% - Accent3 2 3 2 2 4 2 3 2" xfId="34831" xr:uid="{00000000-0005-0000-0000-0000763E0000}"/>
    <cellStyle name="40% - Accent3 2 3 2 2 4 2 4" xfId="25133" xr:uid="{00000000-0005-0000-0000-0000773E0000}"/>
    <cellStyle name="40% - Accent3 2 3 2 2 4 3" xfId="7662" xr:uid="{00000000-0005-0000-0000-0000783E0000}"/>
    <cellStyle name="40% - Accent3 2 3 2 2 4 3 2" xfId="17658" xr:uid="{00000000-0005-0000-0000-0000793E0000}"/>
    <cellStyle name="40% - Accent3 2 3 2 2 4 3 2 2" xfId="37058" xr:uid="{00000000-0005-0000-0000-00007A3E0000}"/>
    <cellStyle name="40% - Accent3 2 3 2 2 4 3 3" xfId="27360" xr:uid="{00000000-0005-0000-0000-00007B3E0000}"/>
    <cellStyle name="40% - Accent3 2 3 2 2 4 4" xfId="13203" xr:uid="{00000000-0005-0000-0000-00007C3E0000}"/>
    <cellStyle name="40% - Accent3 2 3 2 2 4 4 2" xfId="32603" xr:uid="{00000000-0005-0000-0000-00007D3E0000}"/>
    <cellStyle name="40% - Accent3 2 3 2 2 4 5" xfId="22905" xr:uid="{00000000-0005-0000-0000-00007E3E0000}"/>
    <cellStyle name="40% - Accent3 2 3 2 2 5" xfId="3740" xr:uid="{00000000-0005-0000-0000-00007F3E0000}"/>
    <cellStyle name="40% - Accent3 2 3 2 2 5 2" xfId="4870" xr:uid="{00000000-0005-0000-0000-0000803E0000}"/>
    <cellStyle name="40% - Accent3 2 3 2 2 5 2 2" xfId="9334" xr:uid="{00000000-0005-0000-0000-0000813E0000}"/>
    <cellStyle name="40% - Accent3 2 3 2 2 5 2 2 2" xfId="19330" xr:uid="{00000000-0005-0000-0000-0000823E0000}"/>
    <cellStyle name="40% - Accent3 2 3 2 2 5 2 2 2 2" xfId="38730" xr:uid="{00000000-0005-0000-0000-0000833E0000}"/>
    <cellStyle name="40% - Accent3 2 3 2 2 5 2 2 3" xfId="29032" xr:uid="{00000000-0005-0000-0000-0000843E0000}"/>
    <cellStyle name="40% - Accent3 2 3 2 2 5 2 3" xfId="14875" xr:uid="{00000000-0005-0000-0000-0000853E0000}"/>
    <cellStyle name="40% - Accent3 2 3 2 2 5 2 3 2" xfId="34275" xr:uid="{00000000-0005-0000-0000-0000863E0000}"/>
    <cellStyle name="40% - Accent3 2 3 2 2 5 2 4" xfId="24577" xr:uid="{00000000-0005-0000-0000-0000873E0000}"/>
    <cellStyle name="40% - Accent3 2 3 2 2 5 3" xfId="8219" xr:uid="{00000000-0005-0000-0000-0000883E0000}"/>
    <cellStyle name="40% - Accent3 2 3 2 2 5 3 2" xfId="18215" xr:uid="{00000000-0005-0000-0000-0000893E0000}"/>
    <cellStyle name="40% - Accent3 2 3 2 2 5 3 2 2" xfId="37615" xr:uid="{00000000-0005-0000-0000-00008A3E0000}"/>
    <cellStyle name="40% - Accent3 2 3 2 2 5 3 3" xfId="27917" xr:uid="{00000000-0005-0000-0000-00008B3E0000}"/>
    <cellStyle name="40% - Accent3 2 3 2 2 5 4" xfId="13760" xr:uid="{00000000-0005-0000-0000-00008C3E0000}"/>
    <cellStyle name="40% - Accent3 2 3 2 2 5 4 2" xfId="33160" xr:uid="{00000000-0005-0000-0000-00008D3E0000}"/>
    <cellStyle name="40% - Accent3 2 3 2 2 5 5" xfId="23462" xr:uid="{00000000-0005-0000-0000-00008E3E0000}"/>
    <cellStyle name="40% - Accent3 2 3 2 2 6" xfId="4313" xr:uid="{00000000-0005-0000-0000-00008F3E0000}"/>
    <cellStyle name="40% - Accent3 2 3 2 2 6 2" xfId="8777" xr:uid="{00000000-0005-0000-0000-0000903E0000}"/>
    <cellStyle name="40% - Accent3 2 3 2 2 6 2 2" xfId="18773" xr:uid="{00000000-0005-0000-0000-0000913E0000}"/>
    <cellStyle name="40% - Accent3 2 3 2 2 6 2 2 2" xfId="38173" xr:uid="{00000000-0005-0000-0000-0000923E0000}"/>
    <cellStyle name="40% - Accent3 2 3 2 2 6 2 3" xfId="28475" xr:uid="{00000000-0005-0000-0000-0000933E0000}"/>
    <cellStyle name="40% - Accent3 2 3 2 2 6 3" xfId="14318" xr:uid="{00000000-0005-0000-0000-0000943E0000}"/>
    <cellStyle name="40% - Accent3 2 3 2 2 6 3 2" xfId="33718" xr:uid="{00000000-0005-0000-0000-0000953E0000}"/>
    <cellStyle name="40% - Accent3 2 3 2 2 6 4" xfId="24020" xr:uid="{00000000-0005-0000-0000-0000963E0000}"/>
    <cellStyle name="40% - Accent3 2 3 2 2 7" xfId="5983" xr:uid="{00000000-0005-0000-0000-0000973E0000}"/>
    <cellStyle name="40% - Accent3 2 3 2 2 7 2" xfId="10447" xr:uid="{00000000-0005-0000-0000-0000983E0000}"/>
    <cellStyle name="40% - Accent3 2 3 2 2 7 2 2" xfId="20443" xr:uid="{00000000-0005-0000-0000-0000993E0000}"/>
    <cellStyle name="40% - Accent3 2 3 2 2 7 2 2 2" xfId="39843" xr:uid="{00000000-0005-0000-0000-00009A3E0000}"/>
    <cellStyle name="40% - Accent3 2 3 2 2 7 2 3" xfId="30145" xr:uid="{00000000-0005-0000-0000-00009B3E0000}"/>
    <cellStyle name="40% - Accent3 2 3 2 2 7 3" xfId="15988" xr:uid="{00000000-0005-0000-0000-00009C3E0000}"/>
    <cellStyle name="40% - Accent3 2 3 2 2 7 3 2" xfId="35388" xr:uid="{00000000-0005-0000-0000-00009D3E0000}"/>
    <cellStyle name="40% - Accent3 2 3 2 2 7 4" xfId="25690" xr:uid="{00000000-0005-0000-0000-00009E3E0000}"/>
    <cellStyle name="40% - Accent3 2 3 2 2 8" xfId="6549" xr:uid="{00000000-0005-0000-0000-00009F3E0000}"/>
    <cellStyle name="40% - Accent3 2 3 2 2 8 2" xfId="11004" xr:uid="{00000000-0005-0000-0000-0000A03E0000}"/>
    <cellStyle name="40% - Accent3 2 3 2 2 8 2 2" xfId="21000" xr:uid="{00000000-0005-0000-0000-0000A13E0000}"/>
    <cellStyle name="40% - Accent3 2 3 2 2 8 2 2 2" xfId="40400" xr:uid="{00000000-0005-0000-0000-0000A23E0000}"/>
    <cellStyle name="40% - Accent3 2 3 2 2 8 2 3" xfId="30702" xr:uid="{00000000-0005-0000-0000-0000A33E0000}"/>
    <cellStyle name="40% - Accent3 2 3 2 2 8 3" xfId="16545" xr:uid="{00000000-0005-0000-0000-0000A43E0000}"/>
    <cellStyle name="40% - Accent3 2 3 2 2 8 3 2" xfId="35945" xr:uid="{00000000-0005-0000-0000-0000A53E0000}"/>
    <cellStyle name="40% - Accent3 2 3 2 2 8 4" xfId="26247" xr:uid="{00000000-0005-0000-0000-0000A63E0000}"/>
    <cellStyle name="40% - Accent3 2 3 2 2 9" xfId="7106" xr:uid="{00000000-0005-0000-0000-0000A73E0000}"/>
    <cellStyle name="40% - Accent3 2 3 2 2 9 2" xfId="17102" xr:uid="{00000000-0005-0000-0000-0000A83E0000}"/>
    <cellStyle name="40% - Accent3 2 3 2 2 9 2 2" xfId="36502" xr:uid="{00000000-0005-0000-0000-0000A93E0000}"/>
    <cellStyle name="40% - Accent3 2 3 2 2 9 3" xfId="26804" xr:uid="{00000000-0005-0000-0000-0000AA3E0000}"/>
    <cellStyle name="40% - Accent3 2 3 2 3" xfId="2173" xr:uid="{00000000-0005-0000-0000-0000AB3E0000}"/>
    <cellStyle name="40% - Accent3 2 3 2 3 2" xfId="3160" xr:uid="{00000000-0005-0000-0000-0000AC3E0000}"/>
    <cellStyle name="40% - Accent3 2 3 2 3 2 2" xfId="5429" xr:uid="{00000000-0005-0000-0000-0000AD3E0000}"/>
    <cellStyle name="40% - Accent3 2 3 2 3 2 2 2" xfId="9893" xr:uid="{00000000-0005-0000-0000-0000AE3E0000}"/>
    <cellStyle name="40% - Accent3 2 3 2 3 2 2 2 2" xfId="19889" xr:uid="{00000000-0005-0000-0000-0000AF3E0000}"/>
    <cellStyle name="40% - Accent3 2 3 2 3 2 2 2 2 2" xfId="39289" xr:uid="{00000000-0005-0000-0000-0000B03E0000}"/>
    <cellStyle name="40% - Accent3 2 3 2 3 2 2 2 3" xfId="29591" xr:uid="{00000000-0005-0000-0000-0000B13E0000}"/>
    <cellStyle name="40% - Accent3 2 3 2 3 2 2 3" xfId="15434" xr:uid="{00000000-0005-0000-0000-0000B23E0000}"/>
    <cellStyle name="40% - Accent3 2 3 2 3 2 2 3 2" xfId="34834" xr:uid="{00000000-0005-0000-0000-0000B33E0000}"/>
    <cellStyle name="40% - Accent3 2 3 2 3 2 2 4" xfId="25136" xr:uid="{00000000-0005-0000-0000-0000B43E0000}"/>
    <cellStyle name="40% - Accent3 2 3 2 3 2 3" xfId="7665" xr:uid="{00000000-0005-0000-0000-0000B53E0000}"/>
    <cellStyle name="40% - Accent3 2 3 2 3 2 3 2" xfId="17661" xr:uid="{00000000-0005-0000-0000-0000B63E0000}"/>
    <cellStyle name="40% - Accent3 2 3 2 3 2 3 2 2" xfId="37061" xr:uid="{00000000-0005-0000-0000-0000B73E0000}"/>
    <cellStyle name="40% - Accent3 2 3 2 3 2 3 3" xfId="27363" xr:uid="{00000000-0005-0000-0000-0000B83E0000}"/>
    <cellStyle name="40% - Accent3 2 3 2 3 2 4" xfId="13206" xr:uid="{00000000-0005-0000-0000-0000B93E0000}"/>
    <cellStyle name="40% - Accent3 2 3 2 3 2 4 2" xfId="32606" xr:uid="{00000000-0005-0000-0000-0000BA3E0000}"/>
    <cellStyle name="40% - Accent3 2 3 2 3 2 5" xfId="22908" xr:uid="{00000000-0005-0000-0000-0000BB3E0000}"/>
    <cellStyle name="40% - Accent3 2 3 2 3 3" xfId="3743" xr:uid="{00000000-0005-0000-0000-0000BC3E0000}"/>
    <cellStyle name="40% - Accent3 2 3 2 3 3 2" xfId="4873" xr:uid="{00000000-0005-0000-0000-0000BD3E0000}"/>
    <cellStyle name="40% - Accent3 2 3 2 3 3 2 2" xfId="9337" xr:uid="{00000000-0005-0000-0000-0000BE3E0000}"/>
    <cellStyle name="40% - Accent3 2 3 2 3 3 2 2 2" xfId="19333" xr:uid="{00000000-0005-0000-0000-0000BF3E0000}"/>
    <cellStyle name="40% - Accent3 2 3 2 3 3 2 2 2 2" xfId="38733" xr:uid="{00000000-0005-0000-0000-0000C03E0000}"/>
    <cellStyle name="40% - Accent3 2 3 2 3 3 2 2 3" xfId="29035" xr:uid="{00000000-0005-0000-0000-0000C13E0000}"/>
    <cellStyle name="40% - Accent3 2 3 2 3 3 2 3" xfId="14878" xr:uid="{00000000-0005-0000-0000-0000C23E0000}"/>
    <cellStyle name="40% - Accent3 2 3 2 3 3 2 3 2" xfId="34278" xr:uid="{00000000-0005-0000-0000-0000C33E0000}"/>
    <cellStyle name="40% - Accent3 2 3 2 3 3 2 4" xfId="24580" xr:uid="{00000000-0005-0000-0000-0000C43E0000}"/>
    <cellStyle name="40% - Accent3 2 3 2 3 3 3" xfId="8222" xr:uid="{00000000-0005-0000-0000-0000C53E0000}"/>
    <cellStyle name="40% - Accent3 2 3 2 3 3 3 2" xfId="18218" xr:uid="{00000000-0005-0000-0000-0000C63E0000}"/>
    <cellStyle name="40% - Accent3 2 3 2 3 3 3 2 2" xfId="37618" xr:uid="{00000000-0005-0000-0000-0000C73E0000}"/>
    <cellStyle name="40% - Accent3 2 3 2 3 3 3 3" xfId="27920" xr:uid="{00000000-0005-0000-0000-0000C83E0000}"/>
    <cellStyle name="40% - Accent3 2 3 2 3 3 4" xfId="13763" xr:uid="{00000000-0005-0000-0000-0000C93E0000}"/>
    <cellStyle name="40% - Accent3 2 3 2 3 3 4 2" xfId="33163" xr:uid="{00000000-0005-0000-0000-0000CA3E0000}"/>
    <cellStyle name="40% - Accent3 2 3 2 3 3 5" xfId="23465" xr:uid="{00000000-0005-0000-0000-0000CB3E0000}"/>
    <cellStyle name="40% - Accent3 2 3 2 3 4" xfId="4316" xr:uid="{00000000-0005-0000-0000-0000CC3E0000}"/>
    <cellStyle name="40% - Accent3 2 3 2 3 4 2" xfId="8780" xr:uid="{00000000-0005-0000-0000-0000CD3E0000}"/>
    <cellStyle name="40% - Accent3 2 3 2 3 4 2 2" xfId="18776" xr:uid="{00000000-0005-0000-0000-0000CE3E0000}"/>
    <cellStyle name="40% - Accent3 2 3 2 3 4 2 2 2" xfId="38176" xr:uid="{00000000-0005-0000-0000-0000CF3E0000}"/>
    <cellStyle name="40% - Accent3 2 3 2 3 4 2 3" xfId="28478" xr:uid="{00000000-0005-0000-0000-0000D03E0000}"/>
    <cellStyle name="40% - Accent3 2 3 2 3 4 3" xfId="14321" xr:uid="{00000000-0005-0000-0000-0000D13E0000}"/>
    <cellStyle name="40% - Accent3 2 3 2 3 4 3 2" xfId="33721" xr:uid="{00000000-0005-0000-0000-0000D23E0000}"/>
    <cellStyle name="40% - Accent3 2 3 2 3 4 4" xfId="24023" xr:uid="{00000000-0005-0000-0000-0000D33E0000}"/>
    <cellStyle name="40% - Accent3 2 3 2 3 5" xfId="5986" xr:uid="{00000000-0005-0000-0000-0000D43E0000}"/>
    <cellStyle name="40% - Accent3 2 3 2 3 5 2" xfId="10450" xr:uid="{00000000-0005-0000-0000-0000D53E0000}"/>
    <cellStyle name="40% - Accent3 2 3 2 3 5 2 2" xfId="20446" xr:uid="{00000000-0005-0000-0000-0000D63E0000}"/>
    <cellStyle name="40% - Accent3 2 3 2 3 5 2 2 2" xfId="39846" xr:uid="{00000000-0005-0000-0000-0000D73E0000}"/>
    <cellStyle name="40% - Accent3 2 3 2 3 5 2 3" xfId="30148" xr:uid="{00000000-0005-0000-0000-0000D83E0000}"/>
    <cellStyle name="40% - Accent3 2 3 2 3 5 3" xfId="15991" xr:uid="{00000000-0005-0000-0000-0000D93E0000}"/>
    <cellStyle name="40% - Accent3 2 3 2 3 5 3 2" xfId="35391" xr:uid="{00000000-0005-0000-0000-0000DA3E0000}"/>
    <cellStyle name="40% - Accent3 2 3 2 3 5 4" xfId="25693" xr:uid="{00000000-0005-0000-0000-0000DB3E0000}"/>
    <cellStyle name="40% - Accent3 2 3 2 3 6" xfId="6552" xr:uid="{00000000-0005-0000-0000-0000DC3E0000}"/>
    <cellStyle name="40% - Accent3 2 3 2 3 6 2" xfId="11007" xr:uid="{00000000-0005-0000-0000-0000DD3E0000}"/>
    <cellStyle name="40% - Accent3 2 3 2 3 6 2 2" xfId="21003" xr:uid="{00000000-0005-0000-0000-0000DE3E0000}"/>
    <cellStyle name="40% - Accent3 2 3 2 3 6 2 2 2" xfId="40403" xr:uid="{00000000-0005-0000-0000-0000DF3E0000}"/>
    <cellStyle name="40% - Accent3 2 3 2 3 6 2 3" xfId="30705" xr:uid="{00000000-0005-0000-0000-0000E03E0000}"/>
    <cellStyle name="40% - Accent3 2 3 2 3 6 3" xfId="16548" xr:uid="{00000000-0005-0000-0000-0000E13E0000}"/>
    <cellStyle name="40% - Accent3 2 3 2 3 6 3 2" xfId="35948" xr:uid="{00000000-0005-0000-0000-0000E23E0000}"/>
    <cellStyle name="40% - Accent3 2 3 2 3 6 4" xfId="26250" xr:uid="{00000000-0005-0000-0000-0000E33E0000}"/>
    <cellStyle name="40% - Accent3 2 3 2 3 7" xfId="7109" xr:uid="{00000000-0005-0000-0000-0000E43E0000}"/>
    <cellStyle name="40% - Accent3 2 3 2 3 7 2" xfId="17105" xr:uid="{00000000-0005-0000-0000-0000E53E0000}"/>
    <cellStyle name="40% - Accent3 2 3 2 3 7 2 2" xfId="36505" xr:uid="{00000000-0005-0000-0000-0000E63E0000}"/>
    <cellStyle name="40% - Accent3 2 3 2 3 7 3" xfId="26807" xr:uid="{00000000-0005-0000-0000-0000E73E0000}"/>
    <cellStyle name="40% - Accent3 2 3 2 3 8" xfId="12649" xr:uid="{00000000-0005-0000-0000-0000E83E0000}"/>
    <cellStyle name="40% - Accent3 2 3 2 3 8 2" xfId="32050" xr:uid="{00000000-0005-0000-0000-0000E93E0000}"/>
    <cellStyle name="40% - Accent3 2 3 2 3 9" xfId="22352" xr:uid="{00000000-0005-0000-0000-0000EA3E0000}"/>
    <cellStyle name="40% - Accent3 2 3 2 4" xfId="2174" xr:uid="{00000000-0005-0000-0000-0000EB3E0000}"/>
    <cellStyle name="40% - Accent3 2 3 2 4 2" xfId="3161" xr:uid="{00000000-0005-0000-0000-0000EC3E0000}"/>
    <cellStyle name="40% - Accent3 2 3 2 4 2 2" xfId="5430" xr:uid="{00000000-0005-0000-0000-0000ED3E0000}"/>
    <cellStyle name="40% - Accent3 2 3 2 4 2 2 2" xfId="9894" xr:uid="{00000000-0005-0000-0000-0000EE3E0000}"/>
    <cellStyle name="40% - Accent3 2 3 2 4 2 2 2 2" xfId="19890" xr:uid="{00000000-0005-0000-0000-0000EF3E0000}"/>
    <cellStyle name="40% - Accent3 2 3 2 4 2 2 2 2 2" xfId="39290" xr:uid="{00000000-0005-0000-0000-0000F03E0000}"/>
    <cellStyle name="40% - Accent3 2 3 2 4 2 2 2 3" xfId="29592" xr:uid="{00000000-0005-0000-0000-0000F13E0000}"/>
    <cellStyle name="40% - Accent3 2 3 2 4 2 2 3" xfId="15435" xr:uid="{00000000-0005-0000-0000-0000F23E0000}"/>
    <cellStyle name="40% - Accent3 2 3 2 4 2 2 3 2" xfId="34835" xr:uid="{00000000-0005-0000-0000-0000F33E0000}"/>
    <cellStyle name="40% - Accent3 2 3 2 4 2 2 4" xfId="25137" xr:uid="{00000000-0005-0000-0000-0000F43E0000}"/>
    <cellStyle name="40% - Accent3 2 3 2 4 2 3" xfId="7666" xr:uid="{00000000-0005-0000-0000-0000F53E0000}"/>
    <cellStyle name="40% - Accent3 2 3 2 4 2 3 2" xfId="17662" xr:uid="{00000000-0005-0000-0000-0000F63E0000}"/>
    <cellStyle name="40% - Accent3 2 3 2 4 2 3 2 2" xfId="37062" xr:uid="{00000000-0005-0000-0000-0000F73E0000}"/>
    <cellStyle name="40% - Accent3 2 3 2 4 2 3 3" xfId="27364" xr:uid="{00000000-0005-0000-0000-0000F83E0000}"/>
    <cellStyle name="40% - Accent3 2 3 2 4 2 4" xfId="13207" xr:uid="{00000000-0005-0000-0000-0000F93E0000}"/>
    <cellStyle name="40% - Accent3 2 3 2 4 2 4 2" xfId="32607" xr:uid="{00000000-0005-0000-0000-0000FA3E0000}"/>
    <cellStyle name="40% - Accent3 2 3 2 4 2 5" xfId="22909" xr:uid="{00000000-0005-0000-0000-0000FB3E0000}"/>
    <cellStyle name="40% - Accent3 2 3 2 4 3" xfId="3744" xr:uid="{00000000-0005-0000-0000-0000FC3E0000}"/>
    <cellStyle name="40% - Accent3 2 3 2 4 3 2" xfId="4874" xr:uid="{00000000-0005-0000-0000-0000FD3E0000}"/>
    <cellStyle name="40% - Accent3 2 3 2 4 3 2 2" xfId="9338" xr:uid="{00000000-0005-0000-0000-0000FE3E0000}"/>
    <cellStyle name="40% - Accent3 2 3 2 4 3 2 2 2" xfId="19334" xr:uid="{00000000-0005-0000-0000-0000FF3E0000}"/>
    <cellStyle name="40% - Accent3 2 3 2 4 3 2 2 2 2" xfId="38734" xr:uid="{00000000-0005-0000-0000-0000003F0000}"/>
    <cellStyle name="40% - Accent3 2 3 2 4 3 2 2 3" xfId="29036" xr:uid="{00000000-0005-0000-0000-0000013F0000}"/>
    <cellStyle name="40% - Accent3 2 3 2 4 3 2 3" xfId="14879" xr:uid="{00000000-0005-0000-0000-0000023F0000}"/>
    <cellStyle name="40% - Accent3 2 3 2 4 3 2 3 2" xfId="34279" xr:uid="{00000000-0005-0000-0000-0000033F0000}"/>
    <cellStyle name="40% - Accent3 2 3 2 4 3 2 4" xfId="24581" xr:uid="{00000000-0005-0000-0000-0000043F0000}"/>
    <cellStyle name="40% - Accent3 2 3 2 4 3 3" xfId="8223" xr:uid="{00000000-0005-0000-0000-0000053F0000}"/>
    <cellStyle name="40% - Accent3 2 3 2 4 3 3 2" xfId="18219" xr:uid="{00000000-0005-0000-0000-0000063F0000}"/>
    <cellStyle name="40% - Accent3 2 3 2 4 3 3 2 2" xfId="37619" xr:uid="{00000000-0005-0000-0000-0000073F0000}"/>
    <cellStyle name="40% - Accent3 2 3 2 4 3 3 3" xfId="27921" xr:uid="{00000000-0005-0000-0000-0000083F0000}"/>
    <cellStyle name="40% - Accent3 2 3 2 4 3 4" xfId="13764" xr:uid="{00000000-0005-0000-0000-0000093F0000}"/>
    <cellStyle name="40% - Accent3 2 3 2 4 3 4 2" xfId="33164" xr:uid="{00000000-0005-0000-0000-00000A3F0000}"/>
    <cellStyle name="40% - Accent3 2 3 2 4 3 5" xfId="23466" xr:uid="{00000000-0005-0000-0000-00000B3F0000}"/>
    <cellStyle name="40% - Accent3 2 3 2 4 4" xfId="4317" xr:uid="{00000000-0005-0000-0000-00000C3F0000}"/>
    <cellStyle name="40% - Accent3 2 3 2 4 4 2" xfId="8781" xr:uid="{00000000-0005-0000-0000-00000D3F0000}"/>
    <cellStyle name="40% - Accent3 2 3 2 4 4 2 2" xfId="18777" xr:uid="{00000000-0005-0000-0000-00000E3F0000}"/>
    <cellStyle name="40% - Accent3 2 3 2 4 4 2 2 2" xfId="38177" xr:uid="{00000000-0005-0000-0000-00000F3F0000}"/>
    <cellStyle name="40% - Accent3 2 3 2 4 4 2 3" xfId="28479" xr:uid="{00000000-0005-0000-0000-0000103F0000}"/>
    <cellStyle name="40% - Accent3 2 3 2 4 4 3" xfId="14322" xr:uid="{00000000-0005-0000-0000-0000113F0000}"/>
    <cellStyle name="40% - Accent3 2 3 2 4 4 3 2" xfId="33722" xr:uid="{00000000-0005-0000-0000-0000123F0000}"/>
    <cellStyle name="40% - Accent3 2 3 2 4 4 4" xfId="24024" xr:uid="{00000000-0005-0000-0000-0000133F0000}"/>
    <cellStyle name="40% - Accent3 2 3 2 4 5" xfId="5987" xr:uid="{00000000-0005-0000-0000-0000143F0000}"/>
    <cellStyle name="40% - Accent3 2 3 2 4 5 2" xfId="10451" xr:uid="{00000000-0005-0000-0000-0000153F0000}"/>
    <cellStyle name="40% - Accent3 2 3 2 4 5 2 2" xfId="20447" xr:uid="{00000000-0005-0000-0000-0000163F0000}"/>
    <cellStyle name="40% - Accent3 2 3 2 4 5 2 2 2" xfId="39847" xr:uid="{00000000-0005-0000-0000-0000173F0000}"/>
    <cellStyle name="40% - Accent3 2 3 2 4 5 2 3" xfId="30149" xr:uid="{00000000-0005-0000-0000-0000183F0000}"/>
    <cellStyle name="40% - Accent3 2 3 2 4 5 3" xfId="15992" xr:uid="{00000000-0005-0000-0000-0000193F0000}"/>
    <cellStyle name="40% - Accent3 2 3 2 4 5 3 2" xfId="35392" xr:uid="{00000000-0005-0000-0000-00001A3F0000}"/>
    <cellStyle name="40% - Accent3 2 3 2 4 5 4" xfId="25694" xr:uid="{00000000-0005-0000-0000-00001B3F0000}"/>
    <cellStyle name="40% - Accent3 2 3 2 4 6" xfId="6553" xr:uid="{00000000-0005-0000-0000-00001C3F0000}"/>
    <cellStyle name="40% - Accent3 2 3 2 4 6 2" xfId="11008" xr:uid="{00000000-0005-0000-0000-00001D3F0000}"/>
    <cellStyle name="40% - Accent3 2 3 2 4 6 2 2" xfId="21004" xr:uid="{00000000-0005-0000-0000-00001E3F0000}"/>
    <cellStyle name="40% - Accent3 2 3 2 4 6 2 2 2" xfId="40404" xr:uid="{00000000-0005-0000-0000-00001F3F0000}"/>
    <cellStyle name="40% - Accent3 2 3 2 4 6 2 3" xfId="30706" xr:uid="{00000000-0005-0000-0000-0000203F0000}"/>
    <cellStyle name="40% - Accent3 2 3 2 4 6 3" xfId="16549" xr:uid="{00000000-0005-0000-0000-0000213F0000}"/>
    <cellStyle name="40% - Accent3 2 3 2 4 6 3 2" xfId="35949" xr:uid="{00000000-0005-0000-0000-0000223F0000}"/>
    <cellStyle name="40% - Accent3 2 3 2 4 6 4" xfId="26251" xr:uid="{00000000-0005-0000-0000-0000233F0000}"/>
    <cellStyle name="40% - Accent3 2 3 2 4 7" xfId="7110" xr:uid="{00000000-0005-0000-0000-0000243F0000}"/>
    <cellStyle name="40% - Accent3 2 3 2 4 7 2" xfId="17106" xr:uid="{00000000-0005-0000-0000-0000253F0000}"/>
    <cellStyle name="40% - Accent3 2 3 2 4 7 2 2" xfId="36506" xr:uid="{00000000-0005-0000-0000-0000263F0000}"/>
    <cellStyle name="40% - Accent3 2 3 2 4 7 3" xfId="26808" xr:uid="{00000000-0005-0000-0000-0000273F0000}"/>
    <cellStyle name="40% - Accent3 2 3 2 4 8" xfId="12650" xr:uid="{00000000-0005-0000-0000-0000283F0000}"/>
    <cellStyle name="40% - Accent3 2 3 2 4 8 2" xfId="32051" xr:uid="{00000000-0005-0000-0000-0000293F0000}"/>
    <cellStyle name="40% - Accent3 2 3 2 4 9" xfId="22353" xr:uid="{00000000-0005-0000-0000-00002A3F0000}"/>
    <cellStyle name="40% - Accent3 2 3 2 5" xfId="3156" xr:uid="{00000000-0005-0000-0000-00002B3F0000}"/>
    <cellStyle name="40% - Accent3 2 3 2 5 2" xfId="5425" xr:uid="{00000000-0005-0000-0000-00002C3F0000}"/>
    <cellStyle name="40% - Accent3 2 3 2 5 2 2" xfId="9889" xr:uid="{00000000-0005-0000-0000-00002D3F0000}"/>
    <cellStyle name="40% - Accent3 2 3 2 5 2 2 2" xfId="19885" xr:uid="{00000000-0005-0000-0000-00002E3F0000}"/>
    <cellStyle name="40% - Accent3 2 3 2 5 2 2 2 2" xfId="39285" xr:uid="{00000000-0005-0000-0000-00002F3F0000}"/>
    <cellStyle name="40% - Accent3 2 3 2 5 2 2 3" xfId="29587" xr:uid="{00000000-0005-0000-0000-0000303F0000}"/>
    <cellStyle name="40% - Accent3 2 3 2 5 2 3" xfId="15430" xr:uid="{00000000-0005-0000-0000-0000313F0000}"/>
    <cellStyle name="40% - Accent3 2 3 2 5 2 3 2" xfId="34830" xr:uid="{00000000-0005-0000-0000-0000323F0000}"/>
    <cellStyle name="40% - Accent3 2 3 2 5 2 4" xfId="25132" xr:uid="{00000000-0005-0000-0000-0000333F0000}"/>
    <cellStyle name="40% - Accent3 2 3 2 5 3" xfId="7661" xr:uid="{00000000-0005-0000-0000-0000343F0000}"/>
    <cellStyle name="40% - Accent3 2 3 2 5 3 2" xfId="17657" xr:uid="{00000000-0005-0000-0000-0000353F0000}"/>
    <cellStyle name="40% - Accent3 2 3 2 5 3 2 2" xfId="37057" xr:uid="{00000000-0005-0000-0000-0000363F0000}"/>
    <cellStyle name="40% - Accent3 2 3 2 5 3 3" xfId="27359" xr:uid="{00000000-0005-0000-0000-0000373F0000}"/>
    <cellStyle name="40% - Accent3 2 3 2 5 4" xfId="13202" xr:uid="{00000000-0005-0000-0000-0000383F0000}"/>
    <cellStyle name="40% - Accent3 2 3 2 5 4 2" xfId="32602" xr:uid="{00000000-0005-0000-0000-0000393F0000}"/>
    <cellStyle name="40% - Accent3 2 3 2 5 5" xfId="22904" xr:uid="{00000000-0005-0000-0000-00003A3F0000}"/>
    <cellStyle name="40% - Accent3 2 3 2 6" xfId="3739" xr:uid="{00000000-0005-0000-0000-00003B3F0000}"/>
    <cellStyle name="40% - Accent3 2 3 2 6 2" xfId="4869" xr:uid="{00000000-0005-0000-0000-00003C3F0000}"/>
    <cellStyle name="40% - Accent3 2 3 2 6 2 2" xfId="9333" xr:uid="{00000000-0005-0000-0000-00003D3F0000}"/>
    <cellStyle name="40% - Accent3 2 3 2 6 2 2 2" xfId="19329" xr:uid="{00000000-0005-0000-0000-00003E3F0000}"/>
    <cellStyle name="40% - Accent3 2 3 2 6 2 2 2 2" xfId="38729" xr:uid="{00000000-0005-0000-0000-00003F3F0000}"/>
    <cellStyle name="40% - Accent3 2 3 2 6 2 2 3" xfId="29031" xr:uid="{00000000-0005-0000-0000-0000403F0000}"/>
    <cellStyle name="40% - Accent3 2 3 2 6 2 3" xfId="14874" xr:uid="{00000000-0005-0000-0000-0000413F0000}"/>
    <cellStyle name="40% - Accent3 2 3 2 6 2 3 2" xfId="34274" xr:uid="{00000000-0005-0000-0000-0000423F0000}"/>
    <cellStyle name="40% - Accent3 2 3 2 6 2 4" xfId="24576" xr:uid="{00000000-0005-0000-0000-0000433F0000}"/>
    <cellStyle name="40% - Accent3 2 3 2 6 3" xfId="8218" xr:uid="{00000000-0005-0000-0000-0000443F0000}"/>
    <cellStyle name="40% - Accent3 2 3 2 6 3 2" xfId="18214" xr:uid="{00000000-0005-0000-0000-0000453F0000}"/>
    <cellStyle name="40% - Accent3 2 3 2 6 3 2 2" xfId="37614" xr:uid="{00000000-0005-0000-0000-0000463F0000}"/>
    <cellStyle name="40% - Accent3 2 3 2 6 3 3" xfId="27916" xr:uid="{00000000-0005-0000-0000-0000473F0000}"/>
    <cellStyle name="40% - Accent3 2 3 2 6 4" xfId="13759" xr:uid="{00000000-0005-0000-0000-0000483F0000}"/>
    <cellStyle name="40% - Accent3 2 3 2 6 4 2" xfId="33159" xr:uid="{00000000-0005-0000-0000-0000493F0000}"/>
    <cellStyle name="40% - Accent3 2 3 2 6 5" xfId="23461" xr:uid="{00000000-0005-0000-0000-00004A3F0000}"/>
    <cellStyle name="40% - Accent3 2 3 2 7" xfId="4312" xr:uid="{00000000-0005-0000-0000-00004B3F0000}"/>
    <cellStyle name="40% - Accent3 2 3 2 7 2" xfId="8776" xr:uid="{00000000-0005-0000-0000-00004C3F0000}"/>
    <cellStyle name="40% - Accent3 2 3 2 7 2 2" xfId="18772" xr:uid="{00000000-0005-0000-0000-00004D3F0000}"/>
    <cellStyle name="40% - Accent3 2 3 2 7 2 2 2" xfId="38172" xr:uid="{00000000-0005-0000-0000-00004E3F0000}"/>
    <cellStyle name="40% - Accent3 2 3 2 7 2 3" xfId="28474" xr:uid="{00000000-0005-0000-0000-00004F3F0000}"/>
    <cellStyle name="40% - Accent3 2 3 2 7 3" xfId="14317" xr:uid="{00000000-0005-0000-0000-0000503F0000}"/>
    <cellStyle name="40% - Accent3 2 3 2 7 3 2" xfId="33717" xr:uid="{00000000-0005-0000-0000-0000513F0000}"/>
    <cellStyle name="40% - Accent3 2 3 2 7 4" xfId="24019" xr:uid="{00000000-0005-0000-0000-0000523F0000}"/>
    <cellStyle name="40% - Accent3 2 3 2 8" xfId="5982" xr:uid="{00000000-0005-0000-0000-0000533F0000}"/>
    <cellStyle name="40% - Accent3 2 3 2 8 2" xfId="10446" xr:uid="{00000000-0005-0000-0000-0000543F0000}"/>
    <cellStyle name="40% - Accent3 2 3 2 8 2 2" xfId="20442" xr:uid="{00000000-0005-0000-0000-0000553F0000}"/>
    <cellStyle name="40% - Accent3 2 3 2 8 2 2 2" xfId="39842" xr:uid="{00000000-0005-0000-0000-0000563F0000}"/>
    <cellStyle name="40% - Accent3 2 3 2 8 2 3" xfId="30144" xr:uid="{00000000-0005-0000-0000-0000573F0000}"/>
    <cellStyle name="40% - Accent3 2 3 2 8 3" xfId="15987" xr:uid="{00000000-0005-0000-0000-0000583F0000}"/>
    <cellStyle name="40% - Accent3 2 3 2 8 3 2" xfId="35387" xr:uid="{00000000-0005-0000-0000-0000593F0000}"/>
    <cellStyle name="40% - Accent3 2 3 2 8 4" xfId="25689" xr:uid="{00000000-0005-0000-0000-00005A3F0000}"/>
    <cellStyle name="40% - Accent3 2 3 2 9" xfId="6548" xr:uid="{00000000-0005-0000-0000-00005B3F0000}"/>
    <cellStyle name="40% - Accent3 2 3 2 9 2" xfId="11003" xr:uid="{00000000-0005-0000-0000-00005C3F0000}"/>
    <cellStyle name="40% - Accent3 2 3 2 9 2 2" xfId="20999" xr:uid="{00000000-0005-0000-0000-00005D3F0000}"/>
    <cellStyle name="40% - Accent3 2 3 2 9 2 2 2" xfId="40399" xr:uid="{00000000-0005-0000-0000-00005E3F0000}"/>
    <cellStyle name="40% - Accent3 2 3 2 9 2 3" xfId="30701" xr:uid="{00000000-0005-0000-0000-00005F3F0000}"/>
    <cellStyle name="40% - Accent3 2 3 2 9 3" xfId="16544" xr:uid="{00000000-0005-0000-0000-0000603F0000}"/>
    <cellStyle name="40% - Accent3 2 3 2 9 3 2" xfId="35944" xr:uid="{00000000-0005-0000-0000-0000613F0000}"/>
    <cellStyle name="40% - Accent3 2 3 2 9 4" xfId="26246" xr:uid="{00000000-0005-0000-0000-0000623F0000}"/>
    <cellStyle name="40% - Accent3 2 3 3" xfId="2175" xr:uid="{00000000-0005-0000-0000-0000633F0000}"/>
    <cellStyle name="40% - Accent3 2 3 3 10" xfId="12651" xr:uid="{00000000-0005-0000-0000-0000643F0000}"/>
    <cellStyle name="40% - Accent3 2 3 3 10 2" xfId="32052" xr:uid="{00000000-0005-0000-0000-0000653F0000}"/>
    <cellStyle name="40% - Accent3 2 3 3 11" xfId="22354" xr:uid="{00000000-0005-0000-0000-0000663F0000}"/>
    <cellStyle name="40% - Accent3 2 3 3 2" xfId="2176" xr:uid="{00000000-0005-0000-0000-0000673F0000}"/>
    <cellStyle name="40% - Accent3 2 3 3 2 2" xfId="3163" xr:uid="{00000000-0005-0000-0000-0000683F0000}"/>
    <cellStyle name="40% - Accent3 2 3 3 2 2 2" xfId="5432" xr:uid="{00000000-0005-0000-0000-0000693F0000}"/>
    <cellStyle name="40% - Accent3 2 3 3 2 2 2 2" xfId="9896" xr:uid="{00000000-0005-0000-0000-00006A3F0000}"/>
    <cellStyle name="40% - Accent3 2 3 3 2 2 2 2 2" xfId="19892" xr:uid="{00000000-0005-0000-0000-00006B3F0000}"/>
    <cellStyle name="40% - Accent3 2 3 3 2 2 2 2 2 2" xfId="39292" xr:uid="{00000000-0005-0000-0000-00006C3F0000}"/>
    <cellStyle name="40% - Accent3 2 3 3 2 2 2 2 3" xfId="29594" xr:uid="{00000000-0005-0000-0000-00006D3F0000}"/>
    <cellStyle name="40% - Accent3 2 3 3 2 2 2 3" xfId="15437" xr:uid="{00000000-0005-0000-0000-00006E3F0000}"/>
    <cellStyle name="40% - Accent3 2 3 3 2 2 2 3 2" xfId="34837" xr:uid="{00000000-0005-0000-0000-00006F3F0000}"/>
    <cellStyle name="40% - Accent3 2 3 3 2 2 2 4" xfId="25139" xr:uid="{00000000-0005-0000-0000-0000703F0000}"/>
    <cellStyle name="40% - Accent3 2 3 3 2 2 3" xfId="7668" xr:uid="{00000000-0005-0000-0000-0000713F0000}"/>
    <cellStyle name="40% - Accent3 2 3 3 2 2 3 2" xfId="17664" xr:uid="{00000000-0005-0000-0000-0000723F0000}"/>
    <cellStyle name="40% - Accent3 2 3 3 2 2 3 2 2" xfId="37064" xr:uid="{00000000-0005-0000-0000-0000733F0000}"/>
    <cellStyle name="40% - Accent3 2 3 3 2 2 3 3" xfId="27366" xr:uid="{00000000-0005-0000-0000-0000743F0000}"/>
    <cellStyle name="40% - Accent3 2 3 3 2 2 4" xfId="13209" xr:uid="{00000000-0005-0000-0000-0000753F0000}"/>
    <cellStyle name="40% - Accent3 2 3 3 2 2 4 2" xfId="32609" xr:uid="{00000000-0005-0000-0000-0000763F0000}"/>
    <cellStyle name="40% - Accent3 2 3 3 2 2 5" xfId="22911" xr:uid="{00000000-0005-0000-0000-0000773F0000}"/>
    <cellStyle name="40% - Accent3 2 3 3 2 3" xfId="3746" xr:uid="{00000000-0005-0000-0000-0000783F0000}"/>
    <cellStyle name="40% - Accent3 2 3 3 2 3 2" xfId="4876" xr:uid="{00000000-0005-0000-0000-0000793F0000}"/>
    <cellStyle name="40% - Accent3 2 3 3 2 3 2 2" xfId="9340" xr:uid="{00000000-0005-0000-0000-00007A3F0000}"/>
    <cellStyle name="40% - Accent3 2 3 3 2 3 2 2 2" xfId="19336" xr:uid="{00000000-0005-0000-0000-00007B3F0000}"/>
    <cellStyle name="40% - Accent3 2 3 3 2 3 2 2 2 2" xfId="38736" xr:uid="{00000000-0005-0000-0000-00007C3F0000}"/>
    <cellStyle name="40% - Accent3 2 3 3 2 3 2 2 3" xfId="29038" xr:uid="{00000000-0005-0000-0000-00007D3F0000}"/>
    <cellStyle name="40% - Accent3 2 3 3 2 3 2 3" xfId="14881" xr:uid="{00000000-0005-0000-0000-00007E3F0000}"/>
    <cellStyle name="40% - Accent3 2 3 3 2 3 2 3 2" xfId="34281" xr:uid="{00000000-0005-0000-0000-00007F3F0000}"/>
    <cellStyle name="40% - Accent3 2 3 3 2 3 2 4" xfId="24583" xr:uid="{00000000-0005-0000-0000-0000803F0000}"/>
    <cellStyle name="40% - Accent3 2 3 3 2 3 3" xfId="8225" xr:uid="{00000000-0005-0000-0000-0000813F0000}"/>
    <cellStyle name="40% - Accent3 2 3 3 2 3 3 2" xfId="18221" xr:uid="{00000000-0005-0000-0000-0000823F0000}"/>
    <cellStyle name="40% - Accent3 2 3 3 2 3 3 2 2" xfId="37621" xr:uid="{00000000-0005-0000-0000-0000833F0000}"/>
    <cellStyle name="40% - Accent3 2 3 3 2 3 3 3" xfId="27923" xr:uid="{00000000-0005-0000-0000-0000843F0000}"/>
    <cellStyle name="40% - Accent3 2 3 3 2 3 4" xfId="13766" xr:uid="{00000000-0005-0000-0000-0000853F0000}"/>
    <cellStyle name="40% - Accent3 2 3 3 2 3 4 2" xfId="33166" xr:uid="{00000000-0005-0000-0000-0000863F0000}"/>
    <cellStyle name="40% - Accent3 2 3 3 2 3 5" xfId="23468" xr:uid="{00000000-0005-0000-0000-0000873F0000}"/>
    <cellStyle name="40% - Accent3 2 3 3 2 4" xfId="4319" xr:uid="{00000000-0005-0000-0000-0000883F0000}"/>
    <cellStyle name="40% - Accent3 2 3 3 2 4 2" xfId="8783" xr:uid="{00000000-0005-0000-0000-0000893F0000}"/>
    <cellStyle name="40% - Accent3 2 3 3 2 4 2 2" xfId="18779" xr:uid="{00000000-0005-0000-0000-00008A3F0000}"/>
    <cellStyle name="40% - Accent3 2 3 3 2 4 2 2 2" xfId="38179" xr:uid="{00000000-0005-0000-0000-00008B3F0000}"/>
    <cellStyle name="40% - Accent3 2 3 3 2 4 2 3" xfId="28481" xr:uid="{00000000-0005-0000-0000-00008C3F0000}"/>
    <cellStyle name="40% - Accent3 2 3 3 2 4 3" xfId="14324" xr:uid="{00000000-0005-0000-0000-00008D3F0000}"/>
    <cellStyle name="40% - Accent3 2 3 3 2 4 3 2" xfId="33724" xr:uid="{00000000-0005-0000-0000-00008E3F0000}"/>
    <cellStyle name="40% - Accent3 2 3 3 2 4 4" xfId="24026" xr:uid="{00000000-0005-0000-0000-00008F3F0000}"/>
    <cellStyle name="40% - Accent3 2 3 3 2 5" xfId="5989" xr:uid="{00000000-0005-0000-0000-0000903F0000}"/>
    <cellStyle name="40% - Accent3 2 3 3 2 5 2" xfId="10453" xr:uid="{00000000-0005-0000-0000-0000913F0000}"/>
    <cellStyle name="40% - Accent3 2 3 3 2 5 2 2" xfId="20449" xr:uid="{00000000-0005-0000-0000-0000923F0000}"/>
    <cellStyle name="40% - Accent3 2 3 3 2 5 2 2 2" xfId="39849" xr:uid="{00000000-0005-0000-0000-0000933F0000}"/>
    <cellStyle name="40% - Accent3 2 3 3 2 5 2 3" xfId="30151" xr:uid="{00000000-0005-0000-0000-0000943F0000}"/>
    <cellStyle name="40% - Accent3 2 3 3 2 5 3" xfId="15994" xr:uid="{00000000-0005-0000-0000-0000953F0000}"/>
    <cellStyle name="40% - Accent3 2 3 3 2 5 3 2" xfId="35394" xr:uid="{00000000-0005-0000-0000-0000963F0000}"/>
    <cellStyle name="40% - Accent3 2 3 3 2 5 4" xfId="25696" xr:uid="{00000000-0005-0000-0000-0000973F0000}"/>
    <cellStyle name="40% - Accent3 2 3 3 2 6" xfId="6555" xr:uid="{00000000-0005-0000-0000-0000983F0000}"/>
    <cellStyle name="40% - Accent3 2 3 3 2 6 2" xfId="11010" xr:uid="{00000000-0005-0000-0000-0000993F0000}"/>
    <cellStyle name="40% - Accent3 2 3 3 2 6 2 2" xfId="21006" xr:uid="{00000000-0005-0000-0000-00009A3F0000}"/>
    <cellStyle name="40% - Accent3 2 3 3 2 6 2 2 2" xfId="40406" xr:uid="{00000000-0005-0000-0000-00009B3F0000}"/>
    <cellStyle name="40% - Accent3 2 3 3 2 6 2 3" xfId="30708" xr:uid="{00000000-0005-0000-0000-00009C3F0000}"/>
    <cellStyle name="40% - Accent3 2 3 3 2 6 3" xfId="16551" xr:uid="{00000000-0005-0000-0000-00009D3F0000}"/>
    <cellStyle name="40% - Accent3 2 3 3 2 6 3 2" xfId="35951" xr:uid="{00000000-0005-0000-0000-00009E3F0000}"/>
    <cellStyle name="40% - Accent3 2 3 3 2 6 4" xfId="26253" xr:uid="{00000000-0005-0000-0000-00009F3F0000}"/>
    <cellStyle name="40% - Accent3 2 3 3 2 7" xfId="7112" xr:uid="{00000000-0005-0000-0000-0000A03F0000}"/>
    <cellStyle name="40% - Accent3 2 3 3 2 7 2" xfId="17108" xr:uid="{00000000-0005-0000-0000-0000A13F0000}"/>
    <cellStyle name="40% - Accent3 2 3 3 2 7 2 2" xfId="36508" xr:uid="{00000000-0005-0000-0000-0000A23F0000}"/>
    <cellStyle name="40% - Accent3 2 3 3 2 7 3" xfId="26810" xr:uid="{00000000-0005-0000-0000-0000A33F0000}"/>
    <cellStyle name="40% - Accent3 2 3 3 2 8" xfId="12652" xr:uid="{00000000-0005-0000-0000-0000A43F0000}"/>
    <cellStyle name="40% - Accent3 2 3 3 2 8 2" xfId="32053" xr:uid="{00000000-0005-0000-0000-0000A53F0000}"/>
    <cellStyle name="40% - Accent3 2 3 3 2 9" xfId="22355" xr:uid="{00000000-0005-0000-0000-0000A63F0000}"/>
    <cellStyle name="40% - Accent3 2 3 3 3" xfId="2177" xr:uid="{00000000-0005-0000-0000-0000A73F0000}"/>
    <cellStyle name="40% - Accent3 2 3 3 3 2" xfId="3164" xr:uid="{00000000-0005-0000-0000-0000A83F0000}"/>
    <cellStyle name="40% - Accent3 2 3 3 3 2 2" xfId="5433" xr:uid="{00000000-0005-0000-0000-0000A93F0000}"/>
    <cellStyle name="40% - Accent3 2 3 3 3 2 2 2" xfId="9897" xr:uid="{00000000-0005-0000-0000-0000AA3F0000}"/>
    <cellStyle name="40% - Accent3 2 3 3 3 2 2 2 2" xfId="19893" xr:uid="{00000000-0005-0000-0000-0000AB3F0000}"/>
    <cellStyle name="40% - Accent3 2 3 3 3 2 2 2 2 2" xfId="39293" xr:uid="{00000000-0005-0000-0000-0000AC3F0000}"/>
    <cellStyle name="40% - Accent3 2 3 3 3 2 2 2 3" xfId="29595" xr:uid="{00000000-0005-0000-0000-0000AD3F0000}"/>
    <cellStyle name="40% - Accent3 2 3 3 3 2 2 3" xfId="15438" xr:uid="{00000000-0005-0000-0000-0000AE3F0000}"/>
    <cellStyle name="40% - Accent3 2 3 3 3 2 2 3 2" xfId="34838" xr:uid="{00000000-0005-0000-0000-0000AF3F0000}"/>
    <cellStyle name="40% - Accent3 2 3 3 3 2 2 4" xfId="25140" xr:uid="{00000000-0005-0000-0000-0000B03F0000}"/>
    <cellStyle name="40% - Accent3 2 3 3 3 2 3" xfId="7669" xr:uid="{00000000-0005-0000-0000-0000B13F0000}"/>
    <cellStyle name="40% - Accent3 2 3 3 3 2 3 2" xfId="17665" xr:uid="{00000000-0005-0000-0000-0000B23F0000}"/>
    <cellStyle name="40% - Accent3 2 3 3 3 2 3 2 2" xfId="37065" xr:uid="{00000000-0005-0000-0000-0000B33F0000}"/>
    <cellStyle name="40% - Accent3 2 3 3 3 2 3 3" xfId="27367" xr:uid="{00000000-0005-0000-0000-0000B43F0000}"/>
    <cellStyle name="40% - Accent3 2 3 3 3 2 4" xfId="13210" xr:uid="{00000000-0005-0000-0000-0000B53F0000}"/>
    <cellStyle name="40% - Accent3 2 3 3 3 2 4 2" xfId="32610" xr:uid="{00000000-0005-0000-0000-0000B63F0000}"/>
    <cellStyle name="40% - Accent3 2 3 3 3 2 5" xfId="22912" xr:uid="{00000000-0005-0000-0000-0000B73F0000}"/>
    <cellStyle name="40% - Accent3 2 3 3 3 3" xfId="3747" xr:uid="{00000000-0005-0000-0000-0000B83F0000}"/>
    <cellStyle name="40% - Accent3 2 3 3 3 3 2" xfId="4877" xr:uid="{00000000-0005-0000-0000-0000B93F0000}"/>
    <cellStyle name="40% - Accent3 2 3 3 3 3 2 2" xfId="9341" xr:uid="{00000000-0005-0000-0000-0000BA3F0000}"/>
    <cellStyle name="40% - Accent3 2 3 3 3 3 2 2 2" xfId="19337" xr:uid="{00000000-0005-0000-0000-0000BB3F0000}"/>
    <cellStyle name="40% - Accent3 2 3 3 3 3 2 2 2 2" xfId="38737" xr:uid="{00000000-0005-0000-0000-0000BC3F0000}"/>
    <cellStyle name="40% - Accent3 2 3 3 3 3 2 2 3" xfId="29039" xr:uid="{00000000-0005-0000-0000-0000BD3F0000}"/>
    <cellStyle name="40% - Accent3 2 3 3 3 3 2 3" xfId="14882" xr:uid="{00000000-0005-0000-0000-0000BE3F0000}"/>
    <cellStyle name="40% - Accent3 2 3 3 3 3 2 3 2" xfId="34282" xr:uid="{00000000-0005-0000-0000-0000BF3F0000}"/>
    <cellStyle name="40% - Accent3 2 3 3 3 3 2 4" xfId="24584" xr:uid="{00000000-0005-0000-0000-0000C03F0000}"/>
    <cellStyle name="40% - Accent3 2 3 3 3 3 3" xfId="8226" xr:uid="{00000000-0005-0000-0000-0000C13F0000}"/>
    <cellStyle name="40% - Accent3 2 3 3 3 3 3 2" xfId="18222" xr:uid="{00000000-0005-0000-0000-0000C23F0000}"/>
    <cellStyle name="40% - Accent3 2 3 3 3 3 3 2 2" xfId="37622" xr:uid="{00000000-0005-0000-0000-0000C33F0000}"/>
    <cellStyle name="40% - Accent3 2 3 3 3 3 3 3" xfId="27924" xr:uid="{00000000-0005-0000-0000-0000C43F0000}"/>
    <cellStyle name="40% - Accent3 2 3 3 3 3 4" xfId="13767" xr:uid="{00000000-0005-0000-0000-0000C53F0000}"/>
    <cellStyle name="40% - Accent3 2 3 3 3 3 4 2" xfId="33167" xr:uid="{00000000-0005-0000-0000-0000C63F0000}"/>
    <cellStyle name="40% - Accent3 2 3 3 3 3 5" xfId="23469" xr:uid="{00000000-0005-0000-0000-0000C73F0000}"/>
    <cellStyle name="40% - Accent3 2 3 3 3 4" xfId="4320" xr:uid="{00000000-0005-0000-0000-0000C83F0000}"/>
    <cellStyle name="40% - Accent3 2 3 3 3 4 2" xfId="8784" xr:uid="{00000000-0005-0000-0000-0000C93F0000}"/>
    <cellStyle name="40% - Accent3 2 3 3 3 4 2 2" xfId="18780" xr:uid="{00000000-0005-0000-0000-0000CA3F0000}"/>
    <cellStyle name="40% - Accent3 2 3 3 3 4 2 2 2" xfId="38180" xr:uid="{00000000-0005-0000-0000-0000CB3F0000}"/>
    <cellStyle name="40% - Accent3 2 3 3 3 4 2 3" xfId="28482" xr:uid="{00000000-0005-0000-0000-0000CC3F0000}"/>
    <cellStyle name="40% - Accent3 2 3 3 3 4 3" xfId="14325" xr:uid="{00000000-0005-0000-0000-0000CD3F0000}"/>
    <cellStyle name="40% - Accent3 2 3 3 3 4 3 2" xfId="33725" xr:uid="{00000000-0005-0000-0000-0000CE3F0000}"/>
    <cellStyle name="40% - Accent3 2 3 3 3 4 4" xfId="24027" xr:uid="{00000000-0005-0000-0000-0000CF3F0000}"/>
    <cellStyle name="40% - Accent3 2 3 3 3 5" xfId="5990" xr:uid="{00000000-0005-0000-0000-0000D03F0000}"/>
    <cellStyle name="40% - Accent3 2 3 3 3 5 2" xfId="10454" xr:uid="{00000000-0005-0000-0000-0000D13F0000}"/>
    <cellStyle name="40% - Accent3 2 3 3 3 5 2 2" xfId="20450" xr:uid="{00000000-0005-0000-0000-0000D23F0000}"/>
    <cellStyle name="40% - Accent3 2 3 3 3 5 2 2 2" xfId="39850" xr:uid="{00000000-0005-0000-0000-0000D33F0000}"/>
    <cellStyle name="40% - Accent3 2 3 3 3 5 2 3" xfId="30152" xr:uid="{00000000-0005-0000-0000-0000D43F0000}"/>
    <cellStyle name="40% - Accent3 2 3 3 3 5 3" xfId="15995" xr:uid="{00000000-0005-0000-0000-0000D53F0000}"/>
    <cellStyle name="40% - Accent3 2 3 3 3 5 3 2" xfId="35395" xr:uid="{00000000-0005-0000-0000-0000D63F0000}"/>
    <cellStyle name="40% - Accent3 2 3 3 3 5 4" xfId="25697" xr:uid="{00000000-0005-0000-0000-0000D73F0000}"/>
    <cellStyle name="40% - Accent3 2 3 3 3 6" xfId="6556" xr:uid="{00000000-0005-0000-0000-0000D83F0000}"/>
    <cellStyle name="40% - Accent3 2 3 3 3 6 2" xfId="11011" xr:uid="{00000000-0005-0000-0000-0000D93F0000}"/>
    <cellStyle name="40% - Accent3 2 3 3 3 6 2 2" xfId="21007" xr:uid="{00000000-0005-0000-0000-0000DA3F0000}"/>
    <cellStyle name="40% - Accent3 2 3 3 3 6 2 2 2" xfId="40407" xr:uid="{00000000-0005-0000-0000-0000DB3F0000}"/>
    <cellStyle name="40% - Accent3 2 3 3 3 6 2 3" xfId="30709" xr:uid="{00000000-0005-0000-0000-0000DC3F0000}"/>
    <cellStyle name="40% - Accent3 2 3 3 3 6 3" xfId="16552" xr:uid="{00000000-0005-0000-0000-0000DD3F0000}"/>
    <cellStyle name="40% - Accent3 2 3 3 3 6 3 2" xfId="35952" xr:uid="{00000000-0005-0000-0000-0000DE3F0000}"/>
    <cellStyle name="40% - Accent3 2 3 3 3 6 4" xfId="26254" xr:uid="{00000000-0005-0000-0000-0000DF3F0000}"/>
    <cellStyle name="40% - Accent3 2 3 3 3 7" xfId="7113" xr:uid="{00000000-0005-0000-0000-0000E03F0000}"/>
    <cellStyle name="40% - Accent3 2 3 3 3 7 2" xfId="17109" xr:uid="{00000000-0005-0000-0000-0000E13F0000}"/>
    <cellStyle name="40% - Accent3 2 3 3 3 7 2 2" xfId="36509" xr:uid="{00000000-0005-0000-0000-0000E23F0000}"/>
    <cellStyle name="40% - Accent3 2 3 3 3 7 3" xfId="26811" xr:uid="{00000000-0005-0000-0000-0000E33F0000}"/>
    <cellStyle name="40% - Accent3 2 3 3 3 8" xfId="12653" xr:uid="{00000000-0005-0000-0000-0000E43F0000}"/>
    <cellStyle name="40% - Accent3 2 3 3 3 8 2" xfId="32054" xr:uid="{00000000-0005-0000-0000-0000E53F0000}"/>
    <cellStyle name="40% - Accent3 2 3 3 3 9" xfId="22356" xr:uid="{00000000-0005-0000-0000-0000E63F0000}"/>
    <cellStyle name="40% - Accent3 2 3 3 4" xfId="3162" xr:uid="{00000000-0005-0000-0000-0000E73F0000}"/>
    <cellStyle name="40% - Accent3 2 3 3 4 2" xfId="5431" xr:uid="{00000000-0005-0000-0000-0000E83F0000}"/>
    <cellStyle name="40% - Accent3 2 3 3 4 2 2" xfId="9895" xr:uid="{00000000-0005-0000-0000-0000E93F0000}"/>
    <cellStyle name="40% - Accent3 2 3 3 4 2 2 2" xfId="19891" xr:uid="{00000000-0005-0000-0000-0000EA3F0000}"/>
    <cellStyle name="40% - Accent3 2 3 3 4 2 2 2 2" xfId="39291" xr:uid="{00000000-0005-0000-0000-0000EB3F0000}"/>
    <cellStyle name="40% - Accent3 2 3 3 4 2 2 3" xfId="29593" xr:uid="{00000000-0005-0000-0000-0000EC3F0000}"/>
    <cellStyle name="40% - Accent3 2 3 3 4 2 3" xfId="15436" xr:uid="{00000000-0005-0000-0000-0000ED3F0000}"/>
    <cellStyle name="40% - Accent3 2 3 3 4 2 3 2" xfId="34836" xr:uid="{00000000-0005-0000-0000-0000EE3F0000}"/>
    <cellStyle name="40% - Accent3 2 3 3 4 2 4" xfId="25138" xr:uid="{00000000-0005-0000-0000-0000EF3F0000}"/>
    <cellStyle name="40% - Accent3 2 3 3 4 3" xfId="7667" xr:uid="{00000000-0005-0000-0000-0000F03F0000}"/>
    <cellStyle name="40% - Accent3 2 3 3 4 3 2" xfId="17663" xr:uid="{00000000-0005-0000-0000-0000F13F0000}"/>
    <cellStyle name="40% - Accent3 2 3 3 4 3 2 2" xfId="37063" xr:uid="{00000000-0005-0000-0000-0000F23F0000}"/>
    <cellStyle name="40% - Accent3 2 3 3 4 3 3" xfId="27365" xr:uid="{00000000-0005-0000-0000-0000F33F0000}"/>
    <cellStyle name="40% - Accent3 2 3 3 4 4" xfId="13208" xr:uid="{00000000-0005-0000-0000-0000F43F0000}"/>
    <cellStyle name="40% - Accent3 2 3 3 4 4 2" xfId="32608" xr:uid="{00000000-0005-0000-0000-0000F53F0000}"/>
    <cellStyle name="40% - Accent3 2 3 3 4 5" xfId="22910" xr:uid="{00000000-0005-0000-0000-0000F63F0000}"/>
    <cellStyle name="40% - Accent3 2 3 3 5" xfId="3745" xr:uid="{00000000-0005-0000-0000-0000F73F0000}"/>
    <cellStyle name="40% - Accent3 2 3 3 5 2" xfId="4875" xr:uid="{00000000-0005-0000-0000-0000F83F0000}"/>
    <cellStyle name="40% - Accent3 2 3 3 5 2 2" xfId="9339" xr:uid="{00000000-0005-0000-0000-0000F93F0000}"/>
    <cellStyle name="40% - Accent3 2 3 3 5 2 2 2" xfId="19335" xr:uid="{00000000-0005-0000-0000-0000FA3F0000}"/>
    <cellStyle name="40% - Accent3 2 3 3 5 2 2 2 2" xfId="38735" xr:uid="{00000000-0005-0000-0000-0000FB3F0000}"/>
    <cellStyle name="40% - Accent3 2 3 3 5 2 2 3" xfId="29037" xr:uid="{00000000-0005-0000-0000-0000FC3F0000}"/>
    <cellStyle name="40% - Accent3 2 3 3 5 2 3" xfId="14880" xr:uid="{00000000-0005-0000-0000-0000FD3F0000}"/>
    <cellStyle name="40% - Accent3 2 3 3 5 2 3 2" xfId="34280" xr:uid="{00000000-0005-0000-0000-0000FE3F0000}"/>
    <cellStyle name="40% - Accent3 2 3 3 5 2 4" xfId="24582" xr:uid="{00000000-0005-0000-0000-0000FF3F0000}"/>
    <cellStyle name="40% - Accent3 2 3 3 5 3" xfId="8224" xr:uid="{00000000-0005-0000-0000-000000400000}"/>
    <cellStyle name="40% - Accent3 2 3 3 5 3 2" xfId="18220" xr:uid="{00000000-0005-0000-0000-000001400000}"/>
    <cellStyle name="40% - Accent3 2 3 3 5 3 2 2" xfId="37620" xr:uid="{00000000-0005-0000-0000-000002400000}"/>
    <cellStyle name="40% - Accent3 2 3 3 5 3 3" xfId="27922" xr:uid="{00000000-0005-0000-0000-000003400000}"/>
    <cellStyle name="40% - Accent3 2 3 3 5 4" xfId="13765" xr:uid="{00000000-0005-0000-0000-000004400000}"/>
    <cellStyle name="40% - Accent3 2 3 3 5 4 2" xfId="33165" xr:uid="{00000000-0005-0000-0000-000005400000}"/>
    <cellStyle name="40% - Accent3 2 3 3 5 5" xfId="23467" xr:uid="{00000000-0005-0000-0000-000006400000}"/>
    <cellStyle name="40% - Accent3 2 3 3 6" xfId="4318" xr:uid="{00000000-0005-0000-0000-000007400000}"/>
    <cellStyle name="40% - Accent3 2 3 3 6 2" xfId="8782" xr:uid="{00000000-0005-0000-0000-000008400000}"/>
    <cellStyle name="40% - Accent3 2 3 3 6 2 2" xfId="18778" xr:uid="{00000000-0005-0000-0000-000009400000}"/>
    <cellStyle name="40% - Accent3 2 3 3 6 2 2 2" xfId="38178" xr:uid="{00000000-0005-0000-0000-00000A400000}"/>
    <cellStyle name="40% - Accent3 2 3 3 6 2 3" xfId="28480" xr:uid="{00000000-0005-0000-0000-00000B400000}"/>
    <cellStyle name="40% - Accent3 2 3 3 6 3" xfId="14323" xr:uid="{00000000-0005-0000-0000-00000C400000}"/>
    <cellStyle name="40% - Accent3 2 3 3 6 3 2" xfId="33723" xr:uid="{00000000-0005-0000-0000-00000D400000}"/>
    <cellStyle name="40% - Accent3 2 3 3 6 4" xfId="24025" xr:uid="{00000000-0005-0000-0000-00000E400000}"/>
    <cellStyle name="40% - Accent3 2 3 3 7" xfId="5988" xr:uid="{00000000-0005-0000-0000-00000F400000}"/>
    <cellStyle name="40% - Accent3 2 3 3 7 2" xfId="10452" xr:uid="{00000000-0005-0000-0000-000010400000}"/>
    <cellStyle name="40% - Accent3 2 3 3 7 2 2" xfId="20448" xr:uid="{00000000-0005-0000-0000-000011400000}"/>
    <cellStyle name="40% - Accent3 2 3 3 7 2 2 2" xfId="39848" xr:uid="{00000000-0005-0000-0000-000012400000}"/>
    <cellStyle name="40% - Accent3 2 3 3 7 2 3" xfId="30150" xr:uid="{00000000-0005-0000-0000-000013400000}"/>
    <cellStyle name="40% - Accent3 2 3 3 7 3" xfId="15993" xr:uid="{00000000-0005-0000-0000-000014400000}"/>
    <cellStyle name="40% - Accent3 2 3 3 7 3 2" xfId="35393" xr:uid="{00000000-0005-0000-0000-000015400000}"/>
    <cellStyle name="40% - Accent3 2 3 3 7 4" xfId="25695" xr:uid="{00000000-0005-0000-0000-000016400000}"/>
    <cellStyle name="40% - Accent3 2 3 3 8" xfId="6554" xr:uid="{00000000-0005-0000-0000-000017400000}"/>
    <cellStyle name="40% - Accent3 2 3 3 8 2" xfId="11009" xr:uid="{00000000-0005-0000-0000-000018400000}"/>
    <cellStyle name="40% - Accent3 2 3 3 8 2 2" xfId="21005" xr:uid="{00000000-0005-0000-0000-000019400000}"/>
    <cellStyle name="40% - Accent3 2 3 3 8 2 2 2" xfId="40405" xr:uid="{00000000-0005-0000-0000-00001A400000}"/>
    <cellStyle name="40% - Accent3 2 3 3 8 2 3" xfId="30707" xr:uid="{00000000-0005-0000-0000-00001B400000}"/>
    <cellStyle name="40% - Accent3 2 3 3 8 3" xfId="16550" xr:uid="{00000000-0005-0000-0000-00001C400000}"/>
    <cellStyle name="40% - Accent3 2 3 3 8 3 2" xfId="35950" xr:uid="{00000000-0005-0000-0000-00001D400000}"/>
    <cellStyle name="40% - Accent3 2 3 3 8 4" xfId="26252" xr:uid="{00000000-0005-0000-0000-00001E400000}"/>
    <cellStyle name="40% - Accent3 2 3 3 9" xfId="7111" xr:uid="{00000000-0005-0000-0000-00001F400000}"/>
    <cellStyle name="40% - Accent3 2 3 3 9 2" xfId="17107" xr:uid="{00000000-0005-0000-0000-000020400000}"/>
    <cellStyle name="40% - Accent3 2 3 3 9 2 2" xfId="36507" xr:uid="{00000000-0005-0000-0000-000021400000}"/>
    <cellStyle name="40% - Accent3 2 3 3 9 3" xfId="26809" xr:uid="{00000000-0005-0000-0000-000022400000}"/>
    <cellStyle name="40% - Accent3 2 3 4" xfId="2178" xr:uid="{00000000-0005-0000-0000-000023400000}"/>
    <cellStyle name="40% - Accent3 2 3 4 2" xfId="3165" xr:uid="{00000000-0005-0000-0000-000024400000}"/>
    <cellStyle name="40% - Accent3 2 3 4 2 2" xfId="5434" xr:uid="{00000000-0005-0000-0000-000025400000}"/>
    <cellStyle name="40% - Accent3 2 3 4 2 2 2" xfId="9898" xr:uid="{00000000-0005-0000-0000-000026400000}"/>
    <cellStyle name="40% - Accent3 2 3 4 2 2 2 2" xfId="19894" xr:uid="{00000000-0005-0000-0000-000027400000}"/>
    <cellStyle name="40% - Accent3 2 3 4 2 2 2 2 2" xfId="39294" xr:uid="{00000000-0005-0000-0000-000028400000}"/>
    <cellStyle name="40% - Accent3 2 3 4 2 2 2 3" xfId="29596" xr:uid="{00000000-0005-0000-0000-000029400000}"/>
    <cellStyle name="40% - Accent3 2 3 4 2 2 3" xfId="15439" xr:uid="{00000000-0005-0000-0000-00002A400000}"/>
    <cellStyle name="40% - Accent3 2 3 4 2 2 3 2" xfId="34839" xr:uid="{00000000-0005-0000-0000-00002B400000}"/>
    <cellStyle name="40% - Accent3 2 3 4 2 2 4" xfId="25141" xr:uid="{00000000-0005-0000-0000-00002C400000}"/>
    <cellStyle name="40% - Accent3 2 3 4 2 3" xfId="7670" xr:uid="{00000000-0005-0000-0000-00002D400000}"/>
    <cellStyle name="40% - Accent3 2 3 4 2 3 2" xfId="17666" xr:uid="{00000000-0005-0000-0000-00002E400000}"/>
    <cellStyle name="40% - Accent3 2 3 4 2 3 2 2" xfId="37066" xr:uid="{00000000-0005-0000-0000-00002F400000}"/>
    <cellStyle name="40% - Accent3 2 3 4 2 3 3" xfId="27368" xr:uid="{00000000-0005-0000-0000-000030400000}"/>
    <cellStyle name="40% - Accent3 2 3 4 2 4" xfId="13211" xr:uid="{00000000-0005-0000-0000-000031400000}"/>
    <cellStyle name="40% - Accent3 2 3 4 2 4 2" xfId="32611" xr:uid="{00000000-0005-0000-0000-000032400000}"/>
    <cellStyle name="40% - Accent3 2 3 4 2 5" xfId="22913" xr:uid="{00000000-0005-0000-0000-000033400000}"/>
    <cellStyle name="40% - Accent3 2 3 4 3" xfId="3748" xr:uid="{00000000-0005-0000-0000-000034400000}"/>
    <cellStyle name="40% - Accent3 2 3 4 3 2" xfId="4878" xr:uid="{00000000-0005-0000-0000-000035400000}"/>
    <cellStyle name="40% - Accent3 2 3 4 3 2 2" xfId="9342" xr:uid="{00000000-0005-0000-0000-000036400000}"/>
    <cellStyle name="40% - Accent3 2 3 4 3 2 2 2" xfId="19338" xr:uid="{00000000-0005-0000-0000-000037400000}"/>
    <cellStyle name="40% - Accent3 2 3 4 3 2 2 2 2" xfId="38738" xr:uid="{00000000-0005-0000-0000-000038400000}"/>
    <cellStyle name="40% - Accent3 2 3 4 3 2 2 3" xfId="29040" xr:uid="{00000000-0005-0000-0000-000039400000}"/>
    <cellStyle name="40% - Accent3 2 3 4 3 2 3" xfId="14883" xr:uid="{00000000-0005-0000-0000-00003A400000}"/>
    <cellStyle name="40% - Accent3 2 3 4 3 2 3 2" xfId="34283" xr:uid="{00000000-0005-0000-0000-00003B400000}"/>
    <cellStyle name="40% - Accent3 2 3 4 3 2 4" xfId="24585" xr:uid="{00000000-0005-0000-0000-00003C400000}"/>
    <cellStyle name="40% - Accent3 2 3 4 3 3" xfId="8227" xr:uid="{00000000-0005-0000-0000-00003D400000}"/>
    <cellStyle name="40% - Accent3 2 3 4 3 3 2" xfId="18223" xr:uid="{00000000-0005-0000-0000-00003E400000}"/>
    <cellStyle name="40% - Accent3 2 3 4 3 3 2 2" xfId="37623" xr:uid="{00000000-0005-0000-0000-00003F400000}"/>
    <cellStyle name="40% - Accent3 2 3 4 3 3 3" xfId="27925" xr:uid="{00000000-0005-0000-0000-000040400000}"/>
    <cellStyle name="40% - Accent3 2 3 4 3 4" xfId="13768" xr:uid="{00000000-0005-0000-0000-000041400000}"/>
    <cellStyle name="40% - Accent3 2 3 4 3 4 2" xfId="33168" xr:uid="{00000000-0005-0000-0000-000042400000}"/>
    <cellStyle name="40% - Accent3 2 3 4 3 5" xfId="23470" xr:uid="{00000000-0005-0000-0000-000043400000}"/>
    <cellStyle name="40% - Accent3 2 3 4 4" xfId="4321" xr:uid="{00000000-0005-0000-0000-000044400000}"/>
    <cellStyle name="40% - Accent3 2 3 4 4 2" xfId="8785" xr:uid="{00000000-0005-0000-0000-000045400000}"/>
    <cellStyle name="40% - Accent3 2 3 4 4 2 2" xfId="18781" xr:uid="{00000000-0005-0000-0000-000046400000}"/>
    <cellStyle name="40% - Accent3 2 3 4 4 2 2 2" xfId="38181" xr:uid="{00000000-0005-0000-0000-000047400000}"/>
    <cellStyle name="40% - Accent3 2 3 4 4 2 3" xfId="28483" xr:uid="{00000000-0005-0000-0000-000048400000}"/>
    <cellStyle name="40% - Accent3 2 3 4 4 3" xfId="14326" xr:uid="{00000000-0005-0000-0000-000049400000}"/>
    <cellStyle name="40% - Accent3 2 3 4 4 3 2" xfId="33726" xr:uid="{00000000-0005-0000-0000-00004A400000}"/>
    <cellStyle name="40% - Accent3 2 3 4 4 4" xfId="24028" xr:uid="{00000000-0005-0000-0000-00004B400000}"/>
    <cellStyle name="40% - Accent3 2 3 4 5" xfId="5991" xr:uid="{00000000-0005-0000-0000-00004C400000}"/>
    <cellStyle name="40% - Accent3 2 3 4 5 2" xfId="10455" xr:uid="{00000000-0005-0000-0000-00004D400000}"/>
    <cellStyle name="40% - Accent3 2 3 4 5 2 2" xfId="20451" xr:uid="{00000000-0005-0000-0000-00004E400000}"/>
    <cellStyle name="40% - Accent3 2 3 4 5 2 2 2" xfId="39851" xr:uid="{00000000-0005-0000-0000-00004F400000}"/>
    <cellStyle name="40% - Accent3 2 3 4 5 2 3" xfId="30153" xr:uid="{00000000-0005-0000-0000-000050400000}"/>
    <cellStyle name="40% - Accent3 2 3 4 5 3" xfId="15996" xr:uid="{00000000-0005-0000-0000-000051400000}"/>
    <cellStyle name="40% - Accent3 2 3 4 5 3 2" xfId="35396" xr:uid="{00000000-0005-0000-0000-000052400000}"/>
    <cellStyle name="40% - Accent3 2 3 4 5 4" xfId="25698" xr:uid="{00000000-0005-0000-0000-000053400000}"/>
    <cellStyle name="40% - Accent3 2 3 4 6" xfId="6557" xr:uid="{00000000-0005-0000-0000-000054400000}"/>
    <cellStyle name="40% - Accent3 2 3 4 6 2" xfId="11012" xr:uid="{00000000-0005-0000-0000-000055400000}"/>
    <cellStyle name="40% - Accent3 2 3 4 6 2 2" xfId="21008" xr:uid="{00000000-0005-0000-0000-000056400000}"/>
    <cellStyle name="40% - Accent3 2 3 4 6 2 2 2" xfId="40408" xr:uid="{00000000-0005-0000-0000-000057400000}"/>
    <cellStyle name="40% - Accent3 2 3 4 6 2 3" xfId="30710" xr:uid="{00000000-0005-0000-0000-000058400000}"/>
    <cellStyle name="40% - Accent3 2 3 4 6 3" xfId="16553" xr:uid="{00000000-0005-0000-0000-000059400000}"/>
    <cellStyle name="40% - Accent3 2 3 4 6 3 2" xfId="35953" xr:uid="{00000000-0005-0000-0000-00005A400000}"/>
    <cellStyle name="40% - Accent3 2 3 4 6 4" xfId="26255" xr:uid="{00000000-0005-0000-0000-00005B400000}"/>
    <cellStyle name="40% - Accent3 2 3 4 7" xfId="7114" xr:uid="{00000000-0005-0000-0000-00005C400000}"/>
    <cellStyle name="40% - Accent3 2 3 4 7 2" xfId="17110" xr:uid="{00000000-0005-0000-0000-00005D400000}"/>
    <cellStyle name="40% - Accent3 2 3 4 7 2 2" xfId="36510" xr:uid="{00000000-0005-0000-0000-00005E400000}"/>
    <cellStyle name="40% - Accent3 2 3 4 7 3" xfId="26812" xr:uid="{00000000-0005-0000-0000-00005F400000}"/>
    <cellStyle name="40% - Accent3 2 3 4 8" xfId="12654" xr:uid="{00000000-0005-0000-0000-000060400000}"/>
    <cellStyle name="40% - Accent3 2 3 4 8 2" xfId="32055" xr:uid="{00000000-0005-0000-0000-000061400000}"/>
    <cellStyle name="40% - Accent3 2 3 4 9" xfId="22357" xr:uid="{00000000-0005-0000-0000-000062400000}"/>
    <cellStyle name="40% - Accent3 2 3 5" xfId="2179" xr:uid="{00000000-0005-0000-0000-000063400000}"/>
    <cellStyle name="40% - Accent3 2 3 5 2" xfId="3166" xr:uid="{00000000-0005-0000-0000-000064400000}"/>
    <cellStyle name="40% - Accent3 2 3 5 2 2" xfId="5435" xr:uid="{00000000-0005-0000-0000-000065400000}"/>
    <cellStyle name="40% - Accent3 2 3 5 2 2 2" xfId="9899" xr:uid="{00000000-0005-0000-0000-000066400000}"/>
    <cellStyle name="40% - Accent3 2 3 5 2 2 2 2" xfId="19895" xr:uid="{00000000-0005-0000-0000-000067400000}"/>
    <cellStyle name="40% - Accent3 2 3 5 2 2 2 2 2" xfId="39295" xr:uid="{00000000-0005-0000-0000-000068400000}"/>
    <cellStyle name="40% - Accent3 2 3 5 2 2 2 3" xfId="29597" xr:uid="{00000000-0005-0000-0000-000069400000}"/>
    <cellStyle name="40% - Accent3 2 3 5 2 2 3" xfId="15440" xr:uid="{00000000-0005-0000-0000-00006A400000}"/>
    <cellStyle name="40% - Accent3 2 3 5 2 2 3 2" xfId="34840" xr:uid="{00000000-0005-0000-0000-00006B400000}"/>
    <cellStyle name="40% - Accent3 2 3 5 2 2 4" xfId="25142" xr:uid="{00000000-0005-0000-0000-00006C400000}"/>
    <cellStyle name="40% - Accent3 2 3 5 2 3" xfId="7671" xr:uid="{00000000-0005-0000-0000-00006D400000}"/>
    <cellStyle name="40% - Accent3 2 3 5 2 3 2" xfId="17667" xr:uid="{00000000-0005-0000-0000-00006E400000}"/>
    <cellStyle name="40% - Accent3 2 3 5 2 3 2 2" xfId="37067" xr:uid="{00000000-0005-0000-0000-00006F400000}"/>
    <cellStyle name="40% - Accent3 2 3 5 2 3 3" xfId="27369" xr:uid="{00000000-0005-0000-0000-000070400000}"/>
    <cellStyle name="40% - Accent3 2 3 5 2 4" xfId="13212" xr:uid="{00000000-0005-0000-0000-000071400000}"/>
    <cellStyle name="40% - Accent3 2 3 5 2 4 2" xfId="32612" xr:uid="{00000000-0005-0000-0000-000072400000}"/>
    <cellStyle name="40% - Accent3 2 3 5 2 5" xfId="22914" xr:uid="{00000000-0005-0000-0000-000073400000}"/>
    <cellStyle name="40% - Accent3 2 3 5 3" xfId="3749" xr:uid="{00000000-0005-0000-0000-000074400000}"/>
    <cellStyle name="40% - Accent3 2 3 5 3 2" xfId="4879" xr:uid="{00000000-0005-0000-0000-000075400000}"/>
    <cellStyle name="40% - Accent3 2 3 5 3 2 2" xfId="9343" xr:uid="{00000000-0005-0000-0000-000076400000}"/>
    <cellStyle name="40% - Accent3 2 3 5 3 2 2 2" xfId="19339" xr:uid="{00000000-0005-0000-0000-000077400000}"/>
    <cellStyle name="40% - Accent3 2 3 5 3 2 2 2 2" xfId="38739" xr:uid="{00000000-0005-0000-0000-000078400000}"/>
    <cellStyle name="40% - Accent3 2 3 5 3 2 2 3" xfId="29041" xr:uid="{00000000-0005-0000-0000-000079400000}"/>
    <cellStyle name="40% - Accent3 2 3 5 3 2 3" xfId="14884" xr:uid="{00000000-0005-0000-0000-00007A400000}"/>
    <cellStyle name="40% - Accent3 2 3 5 3 2 3 2" xfId="34284" xr:uid="{00000000-0005-0000-0000-00007B400000}"/>
    <cellStyle name="40% - Accent3 2 3 5 3 2 4" xfId="24586" xr:uid="{00000000-0005-0000-0000-00007C400000}"/>
    <cellStyle name="40% - Accent3 2 3 5 3 3" xfId="8228" xr:uid="{00000000-0005-0000-0000-00007D400000}"/>
    <cellStyle name="40% - Accent3 2 3 5 3 3 2" xfId="18224" xr:uid="{00000000-0005-0000-0000-00007E400000}"/>
    <cellStyle name="40% - Accent3 2 3 5 3 3 2 2" xfId="37624" xr:uid="{00000000-0005-0000-0000-00007F400000}"/>
    <cellStyle name="40% - Accent3 2 3 5 3 3 3" xfId="27926" xr:uid="{00000000-0005-0000-0000-000080400000}"/>
    <cellStyle name="40% - Accent3 2 3 5 3 4" xfId="13769" xr:uid="{00000000-0005-0000-0000-000081400000}"/>
    <cellStyle name="40% - Accent3 2 3 5 3 4 2" xfId="33169" xr:uid="{00000000-0005-0000-0000-000082400000}"/>
    <cellStyle name="40% - Accent3 2 3 5 3 5" xfId="23471" xr:uid="{00000000-0005-0000-0000-000083400000}"/>
    <cellStyle name="40% - Accent3 2 3 5 4" xfId="4322" xr:uid="{00000000-0005-0000-0000-000084400000}"/>
    <cellStyle name="40% - Accent3 2 3 5 4 2" xfId="8786" xr:uid="{00000000-0005-0000-0000-000085400000}"/>
    <cellStyle name="40% - Accent3 2 3 5 4 2 2" xfId="18782" xr:uid="{00000000-0005-0000-0000-000086400000}"/>
    <cellStyle name="40% - Accent3 2 3 5 4 2 2 2" xfId="38182" xr:uid="{00000000-0005-0000-0000-000087400000}"/>
    <cellStyle name="40% - Accent3 2 3 5 4 2 3" xfId="28484" xr:uid="{00000000-0005-0000-0000-000088400000}"/>
    <cellStyle name="40% - Accent3 2 3 5 4 3" xfId="14327" xr:uid="{00000000-0005-0000-0000-000089400000}"/>
    <cellStyle name="40% - Accent3 2 3 5 4 3 2" xfId="33727" xr:uid="{00000000-0005-0000-0000-00008A400000}"/>
    <cellStyle name="40% - Accent3 2 3 5 4 4" xfId="24029" xr:uid="{00000000-0005-0000-0000-00008B400000}"/>
    <cellStyle name="40% - Accent3 2 3 5 5" xfId="5992" xr:uid="{00000000-0005-0000-0000-00008C400000}"/>
    <cellStyle name="40% - Accent3 2 3 5 5 2" xfId="10456" xr:uid="{00000000-0005-0000-0000-00008D400000}"/>
    <cellStyle name="40% - Accent3 2 3 5 5 2 2" xfId="20452" xr:uid="{00000000-0005-0000-0000-00008E400000}"/>
    <cellStyle name="40% - Accent3 2 3 5 5 2 2 2" xfId="39852" xr:uid="{00000000-0005-0000-0000-00008F400000}"/>
    <cellStyle name="40% - Accent3 2 3 5 5 2 3" xfId="30154" xr:uid="{00000000-0005-0000-0000-000090400000}"/>
    <cellStyle name="40% - Accent3 2 3 5 5 3" xfId="15997" xr:uid="{00000000-0005-0000-0000-000091400000}"/>
    <cellStyle name="40% - Accent3 2 3 5 5 3 2" xfId="35397" xr:uid="{00000000-0005-0000-0000-000092400000}"/>
    <cellStyle name="40% - Accent3 2 3 5 5 4" xfId="25699" xr:uid="{00000000-0005-0000-0000-000093400000}"/>
    <cellStyle name="40% - Accent3 2 3 5 6" xfId="6558" xr:uid="{00000000-0005-0000-0000-000094400000}"/>
    <cellStyle name="40% - Accent3 2 3 5 6 2" xfId="11013" xr:uid="{00000000-0005-0000-0000-000095400000}"/>
    <cellStyle name="40% - Accent3 2 3 5 6 2 2" xfId="21009" xr:uid="{00000000-0005-0000-0000-000096400000}"/>
    <cellStyle name="40% - Accent3 2 3 5 6 2 2 2" xfId="40409" xr:uid="{00000000-0005-0000-0000-000097400000}"/>
    <cellStyle name="40% - Accent3 2 3 5 6 2 3" xfId="30711" xr:uid="{00000000-0005-0000-0000-000098400000}"/>
    <cellStyle name="40% - Accent3 2 3 5 6 3" xfId="16554" xr:uid="{00000000-0005-0000-0000-000099400000}"/>
    <cellStyle name="40% - Accent3 2 3 5 6 3 2" xfId="35954" xr:uid="{00000000-0005-0000-0000-00009A400000}"/>
    <cellStyle name="40% - Accent3 2 3 5 6 4" xfId="26256" xr:uid="{00000000-0005-0000-0000-00009B400000}"/>
    <cellStyle name="40% - Accent3 2 3 5 7" xfId="7115" xr:uid="{00000000-0005-0000-0000-00009C400000}"/>
    <cellStyle name="40% - Accent3 2 3 5 7 2" xfId="17111" xr:uid="{00000000-0005-0000-0000-00009D400000}"/>
    <cellStyle name="40% - Accent3 2 3 5 7 2 2" xfId="36511" xr:uid="{00000000-0005-0000-0000-00009E400000}"/>
    <cellStyle name="40% - Accent3 2 3 5 7 3" xfId="26813" xr:uid="{00000000-0005-0000-0000-00009F400000}"/>
    <cellStyle name="40% - Accent3 2 3 5 8" xfId="12655" xr:uid="{00000000-0005-0000-0000-0000A0400000}"/>
    <cellStyle name="40% - Accent3 2 3 5 8 2" xfId="32056" xr:uid="{00000000-0005-0000-0000-0000A1400000}"/>
    <cellStyle name="40% - Accent3 2 3 5 9" xfId="22358" xr:uid="{00000000-0005-0000-0000-0000A2400000}"/>
    <cellStyle name="40% - Accent3 2 3 6" xfId="11969" xr:uid="{00000000-0005-0000-0000-0000A3400000}"/>
    <cellStyle name="40% - Accent3 2 3 6 2" xfId="21673" xr:uid="{00000000-0005-0000-0000-0000A4400000}"/>
    <cellStyle name="40% - Accent3 2 3 6 2 2" xfId="41073" xr:uid="{00000000-0005-0000-0000-0000A5400000}"/>
    <cellStyle name="40% - Accent3 2 3 6 3" xfId="31375" xr:uid="{00000000-0005-0000-0000-0000A6400000}"/>
    <cellStyle name="40% - Accent3 2 3 7" xfId="1243" xr:uid="{00000000-0005-0000-0000-0000A7400000}"/>
    <cellStyle name="40% - Accent3 2 3 8" xfId="12325" xr:uid="{00000000-0005-0000-0000-0000A8400000}"/>
    <cellStyle name="40% - Accent3 2 3 8 2" xfId="31728" xr:uid="{00000000-0005-0000-0000-0000A9400000}"/>
    <cellStyle name="40% - Accent3 2 3 9" xfId="22030" xr:uid="{00000000-0005-0000-0000-0000AA400000}"/>
    <cellStyle name="40% - Accent3 2 4" xfId="1245" xr:uid="{00000000-0005-0000-0000-0000AB400000}"/>
    <cellStyle name="40% - Accent3 2 4 2" xfId="2180" xr:uid="{00000000-0005-0000-0000-0000AC400000}"/>
    <cellStyle name="40% - Accent3 2 4 2 10" xfId="12656" xr:uid="{00000000-0005-0000-0000-0000AD400000}"/>
    <cellStyle name="40% - Accent3 2 4 2 10 2" xfId="32057" xr:uid="{00000000-0005-0000-0000-0000AE400000}"/>
    <cellStyle name="40% - Accent3 2 4 2 11" xfId="22359" xr:uid="{00000000-0005-0000-0000-0000AF400000}"/>
    <cellStyle name="40% - Accent3 2 4 2 2" xfId="2181" xr:uid="{00000000-0005-0000-0000-0000B0400000}"/>
    <cellStyle name="40% - Accent3 2 4 2 2 2" xfId="3168" xr:uid="{00000000-0005-0000-0000-0000B1400000}"/>
    <cellStyle name="40% - Accent3 2 4 2 2 2 2" xfId="5437" xr:uid="{00000000-0005-0000-0000-0000B2400000}"/>
    <cellStyle name="40% - Accent3 2 4 2 2 2 2 2" xfId="9901" xr:uid="{00000000-0005-0000-0000-0000B3400000}"/>
    <cellStyle name="40% - Accent3 2 4 2 2 2 2 2 2" xfId="19897" xr:uid="{00000000-0005-0000-0000-0000B4400000}"/>
    <cellStyle name="40% - Accent3 2 4 2 2 2 2 2 2 2" xfId="39297" xr:uid="{00000000-0005-0000-0000-0000B5400000}"/>
    <cellStyle name="40% - Accent3 2 4 2 2 2 2 2 3" xfId="29599" xr:uid="{00000000-0005-0000-0000-0000B6400000}"/>
    <cellStyle name="40% - Accent3 2 4 2 2 2 2 3" xfId="15442" xr:uid="{00000000-0005-0000-0000-0000B7400000}"/>
    <cellStyle name="40% - Accent3 2 4 2 2 2 2 3 2" xfId="34842" xr:uid="{00000000-0005-0000-0000-0000B8400000}"/>
    <cellStyle name="40% - Accent3 2 4 2 2 2 2 4" xfId="25144" xr:uid="{00000000-0005-0000-0000-0000B9400000}"/>
    <cellStyle name="40% - Accent3 2 4 2 2 2 3" xfId="7673" xr:uid="{00000000-0005-0000-0000-0000BA400000}"/>
    <cellStyle name="40% - Accent3 2 4 2 2 2 3 2" xfId="17669" xr:uid="{00000000-0005-0000-0000-0000BB400000}"/>
    <cellStyle name="40% - Accent3 2 4 2 2 2 3 2 2" xfId="37069" xr:uid="{00000000-0005-0000-0000-0000BC400000}"/>
    <cellStyle name="40% - Accent3 2 4 2 2 2 3 3" xfId="27371" xr:uid="{00000000-0005-0000-0000-0000BD400000}"/>
    <cellStyle name="40% - Accent3 2 4 2 2 2 4" xfId="13214" xr:uid="{00000000-0005-0000-0000-0000BE400000}"/>
    <cellStyle name="40% - Accent3 2 4 2 2 2 4 2" xfId="32614" xr:uid="{00000000-0005-0000-0000-0000BF400000}"/>
    <cellStyle name="40% - Accent3 2 4 2 2 2 5" xfId="22916" xr:uid="{00000000-0005-0000-0000-0000C0400000}"/>
    <cellStyle name="40% - Accent3 2 4 2 2 3" xfId="3751" xr:uid="{00000000-0005-0000-0000-0000C1400000}"/>
    <cellStyle name="40% - Accent3 2 4 2 2 3 2" xfId="4881" xr:uid="{00000000-0005-0000-0000-0000C2400000}"/>
    <cellStyle name="40% - Accent3 2 4 2 2 3 2 2" xfId="9345" xr:uid="{00000000-0005-0000-0000-0000C3400000}"/>
    <cellStyle name="40% - Accent3 2 4 2 2 3 2 2 2" xfId="19341" xr:uid="{00000000-0005-0000-0000-0000C4400000}"/>
    <cellStyle name="40% - Accent3 2 4 2 2 3 2 2 2 2" xfId="38741" xr:uid="{00000000-0005-0000-0000-0000C5400000}"/>
    <cellStyle name="40% - Accent3 2 4 2 2 3 2 2 3" xfId="29043" xr:uid="{00000000-0005-0000-0000-0000C6400000}"/>
    <cellStyle name="40% - Accent3 2 4 2 2 3 2 3" xfId="14886" xr:uid="{00000000-0005-0000-0000-0000C7400000}"/>
    <cellStyle name="40% - Accent3 2 4 2 2 3 2 3 2" xfId="34286" xr:uid="{00000000-0005-0000-0000-0000C8400000}"/>
    <cellStyle name="40% - Accent3 2 4 2 2 3 2 4" xfId="24588" xr:uid="{00000000-0005-0000-0000-0000C9400000}"/>
    <cellStyle name="40% - Accent3 2 4 2 2 3 3" xfId="8230" xr:uid="{00000000-0005-0000-0000-0000CA400000}"/>
    <cellStyle name="40% - Accent3 2 4 2 2 3 3 2" xfId="18226" xr:uid="{00000000-0005-0000-0000-0000CB400000}"/>
    <cellStyle name="40% - Accent3 2 4 2 2 3 3 2 2" xfId="37626" xr:uid="{00000000-0005-0000-0000-0000CC400000}"/>
    <cellStyle name="40% - Accent3 2 4 2 2 3 3 3" xfId="27928" xr:uid="{00000000-0005-0000-0000-0000CD400000}"/>
    <cellStyle name="40% - Accent3 2 4 2 2 3 4" xfId="13771" xr:uid="{00000000-0005-0000-0000-0000CE400000}"/>
    <cellStyle name="40% - Accent3 2 4 2 2 3 4 2" xfId="33171" xr:uid="{00000000-0005-0000-0000-0000CF400000}"/>
    <cellStyle name="40% - Accent3 2 4 2 2 3 5" xfId="23473" xr:uid="{00000000-0005-0000-0000-0000D0400000}"/>
    <cellStyle name="40% - Accent3 2 4 2 2 4" xfId="4324" xr:uid="{00000000-0005-0000-0000-0000D1400000}"/>
    <cellStyle name="40% - Accent3 2 4 2 2 4 2" xfId="8788" xr:uid="{00000000-0005-0000-0000-0000D2400000}"/>
    <cellStyle name="40% - Accent3 2 4 2 2 4 2 2" xfId="18784" xr:uid="{00000000-0005-0000-0000-0000D3400000}"/>
    <cellStyle name="40% - Accent3 2 4 2 2 4 2 2 2" xfId="38184" xr:uid="{00000000-0005-0000-0000-0000D4400000}"/>
    <cellStyle name="40% - Accent3 2 4 2 2 4 2 3" xfId="28486" xr:uid="{00000000-0005-0000-0000-0000D5400000}"/>
    <cellStyle name="40% - Accent3 2 4 2 2 4 3" xfId="14329" xr:uid="{00000000-0005-0000-0000-0000D6400000}"/>
    <cellStyle name="40% - Accent3 2 4 2 2 4 3 2" xfId="33729" xr:uid="{00000000-0005-0000-0000-0000D7400000}"/>
    <cellStyle name="40% - Accent3 2 4 2 2 4 4" xfId="24031" xr:uid="{00000000-0005-0000-0000-0000D8400000}"/>
    <cellStyle name="40% - Accent3 2 4 2 2 5" xfId="5994" xr:uid="{00000000-0005-0000-0000-0000D9400000}"/>
    <cellStyle name="40% - Accent3 2 4 2 2 5 2" xfId="10458" xr:uid="{00000000-0005-0000-0000-0000DA400000}"/>
    <cellStyle name="40% - Accent3 2 4 2 2 5 2 2" xfId="20454" xr:uid="{00000000-0005-0000-0000-0000DB400000}"/>
    <cellStyle name="40% - Accent3 2 4 2 2 5 2 2 2" xfId="39854" xr:uid="{00000000-0005-0000-0000-0000DC400000}"/>
    <cellStyle name="40% - Accent3 2 4 2 2 5 2 3" xfId="30156" xr:uid="{00000000-0005-0000-0000-0000DD400000}"/>
    <cellStyle name="40% - Accent3 2 4 2 2 5 3" xfId="15999" xr:uid="{00000000-0005-0000-0000-0000DE400000}"/>
    <cellStyle name="40% - Accent3 2 4 2 2 5 3 2" xfId="35399" xr:uid="{00000000-0005-0000-0000-0000DF400000}"/>
    <cellStyle name="40% - Accent3 2 4 2 2 5 4" xfId="25701" xr:uid="{00000000-0005-0000-0000-0000E0400000}"/>
    <cellStyle name="40% - Accent3 2 4 2 2 6" xfId="6560" xr:uid="{00000000-0005-0000-0000-0000E1400000}"/>
    <cellStyle name="40% - Accent3 2 4 2 2 6 2" xfId="11015" xr:uid="{00000000-0005-0000-0000-0000E2400000}"/>
    <cellStyle name="40% - Accent3 2 4 2 2 6 2 2" xfId="21011" xr:uid="{00000000-0005-0000-0000-0000E3400000}"/>
    <cellStyle name="40% - Accent3 2 4 2 2 6 2 2 2" xfId="40411" xr:uid="{00000000-0005-0000-0000-0000E4400000}"/>
    <cellStyle name="40% - Accent3 2 4 2 2 6 2 3" xfId="30713" xr:uid="{00000000-0005-0000-0000-0000E5400000}"/>
    <cellStyle name="40% - Accent3 2 4 2 2 6 3" xfId="16556" xr:uid="{00000000-0005-0000-0000-0000E6400000}"/>
    <cellStyle name="40% - Accent3 2 4 2 2 6 3 2" xfId="35956" xr:uid="{00000000-0005-0000-0000-0000E7400000}"/>
    <cellStyle name="40% - Accent3 2 4 2 2 6 4" xfId="26258" xr:uid="{00000000-0005-0000-0000-0000E8400000}"/>
    <cellStyle name="40% - Accent3 2 4 2 2 7" xfId="7117" xr:uid="{00000000-0005-0000-0000-0000E9400000}"/>
    <cellStyle name="40% - Accent3 2 4 2 2 7 2" xfId="17113" xr:uid="{00000000-0005-0000-0000-0000EA400000}"/>
    <cellStyle name="40% - Accent3 2 4 2 2 7 2 2" xfId="36513" xr:uid="{00000000-0005-0000-0000-0000EB400000}"/>
    <cellStyle name="40% - Accent3 2 4 2 2 7 3" xfId="26815" xr:uid="{00000000-0005-0000-0000-0000EC400000}"/>
    <cellStyle name="40% - Accent3 2 4 2 2 8" xfId="12657" xr:uid="{00000000-0005-0000-0000-0000ED400000}"/>
    <cellStyle name="40% - Accent3 2 4 2 2 8 2" xfId="32058" xr:uid="{00000000-0005-0000-0000-0000EE400000}"/>
    <cellStyle name="40% - Accent3 2 4 2 2 9" xfId="22360" xr:uid="{00000000-0005-0000-0000-0000EF400000}"/>
    <cellStyle name="40% - Accent3 2 4 2 3" xfId="2182" xr:uid="{00000000-0005-0000-0000-0000F0400000}"/>
    <cellStyle name="40% - Accent3 2 4 2 3 2" xfId="3169" xr:uid="{00000000-0005-0000-0000-0000F1400000}"/>
    <cellStyle name="40% - Accent3 2 4 2 3 2 2" xfId="5438" xr:uid="{00000000-0005-0000-0000-0000F2400000}"/>
    <cellStyle name="40% - Accent3 2 4 2 3 2 2 2" xfId="9902" xr:uid="{00000000-0005-0000-0000-0000F3400000}"/>
    <cellStyle name="40% - Accent3 2 4 2 3 2 2 2 2" xfId="19898" xr:uid="{00000000-0005-0000-0000-0000F4400000}"/>
    <cellStyle name="40% - Accent3 2 4 2 3 2 2 2 2 2" xfId="39298" xr:uid="{00000000-0005-0000-0000-0000F5400000}"/>
    <cellStyle name="40% - Accent3 2 4 2 3 2 2 2 3" xfId="29600" xr:uid="{00000000-0005-0000-0000-0000F6400000}"/>
    <cellStyle name="40% - Accent3 2 4 2 3 2 2 3" xfId="15443" xr:uid="{00000000-0005-0000-0000-0000F7400000}"/>
    <cellStyle name="40% - Accent3 2 4 2 3 2 2 3 2" xfId="34843" xr:uid="{00000000-0005-0000-0000-0000F8400000}"/>
    <cellStyle name="40% - Accent3 2 4 2 3 2 2 4" xfId="25145" xr:uid="{00000000-0005-0000-0000-0000F9400000}"/>
    <cellStyle name="40% - Accent3 2 4 2 3 2 3" xfId="7674" xr:uid="{00000000-0005-0000-0000-0000FA400000}"/>
    <cellStyle name="40% - Accent3 2 4 2 3 2 3 2" xfId="17670" xr:uid="{00000000-0005-0000-0000-0000FB400000}"/>
    <cellStyle name="40% - Accent3 2 4 2 3 2 3 2 2" xfId="37070" xr:uid="{00000000-0005-0000-0000-0000FC400000}"/>
    <cellStyle name="40% - Accent3 2 4 2 3 2 3 3" xfId="27372" xr:uid="{00000000-0005-0000-0000-0000FD400000}"/>
    <cellStyle name="40% - Accent3 2 4 2 3 2 4" xfId="13215" xr:uid="{00000000-0005-0000-0000-0000FE400000}"/>
    <cellStyle name="40% - Accent3 2 4 2 3 2 4 2" xfId="32615" xr:uid="{00000000-0005-0000-0000-0000FF400000}"/>
    <cellStyle name="40% - Accent3 2 4 2 3 2 5" xfId="22917" xr:uid="{00000000-0005-0000-0000-000000410000}"/>
    <cellStyle name="40% - Accent3 2 4 2 3 3" xfId="3752" xr:uid="{00000000-0005-0000-0000-000001410000}"/>
    <cellStyle name="40% - Accent3 2 4 2 3 3 2" xfId="4882" xr:uid="{00000000-0005-0000-0000-000002410000}"/>
    <cellStyle name="40% - Accent3 2 4 2 3 3 2 2" xfId="9346" xr:uid="{00000000-0005-0000-0000-000003410000}"/>
    <cellStyle name="40% - Accent3 2 4 2 3 3 2 2 2" xfId="19342" xr:uid="{00000000-0005-0000-0000-000004410000}"/>
    <cellStyle name="40% - Accent3 2 4 2 3 3 2 2 2 2" xfId="38742" xr:uid="{00000000-0005-0000-0000-000005410000}"/>
    <cellStyle name="40% - Accent3 2 4 2 3 3 2 2 3" xfId="29044" xr:uid="{00000000-0005-0000-0000-000006410000}"/>
    <cellStyle name="40% - Accent3 2 4 2 3 3 2 3" xfId="14887" xr:uid="{00000000-0005-0000-0000-000007410000}"/>
    <cellStyle name="40% - Accent3 2 4 2 3 3 2 3 2" xfId="34287" xr:uid="{00000000-0005-0000-0000-000008410000}"/>
    <cellStyle name="40% - Accent3 2 4 2 3 3 2 4" xfId="24589" xr:uid="{00000000-0005-0000-0000-000009410000}"/>
    <cellStyle name="40% - Accent3 2 4 2 3 3 3" xfId="8231" xr:uid="{00000000-0005-0000-0000-00000A410000}"/>
    <cellStyle name="40% - Accent3 2 4 2 3 3 3 2" xfId="18227" xr:uid="{00000000-0005-0000-0000-00000B410000}"/>
    <cellStyle name="40% - Accent3 2 4 2 3 3 3 2 2" xfId="37627" xr:uid="{00000000-0005-0000-0000-00000C410000}"/>
    <cellStyle name="40% - Accent3 2 4 2 3 3 3 3" xfId="27929" xr:uid="{00000000-0005-0000-0000-00000D410000}"/>
    <cellStyle name="40% - Accent3 2 4 2 3 3 4" xfId="13772" xr:uid="{00000000-0005-0000-0000-00000E410000}"/>
    <cellStyle name="40% - Accent3 2 4 2 3 3 4 2" xfId="33172" xr:uid="{00000000-0005-0000-0000-00000F410000}"/>
    <cellStyle name="40% - Accent3 2 4 2 3 3 5" xfId="23474" xr:uid="{00000000-0005-0000-0000-000010410000}"/>
    <cellStyle name="40% - Accent3 2 4 2 3 4" xfId="4325" xr:uid="{00000000-0005-0000-0000-000011410000}"/>
    <cellStyle name="40% - Accent3 2 4 2 3 4 2" xfId="8789" xr:uid="{00000000-0005-0000-0000-000012410000}"/>
    <cellStyle name="40% - Accent3 2 4 2 3 4 2 2" xfId="18785" xr:uid="{00000000-0005-0000-0000-000013410000}"/>
    <cellStyle name="40% - Accent3 2 4 2 3 4 2 2 2" xfId="38185" xr:uid="{00000000-0005-0000-0000-000014410000}"/>
    <cellStyle name="40% - Accent3 2 4 2 3 4 2 3" xfId="28487" xr:uid="{00000000-0005-0000-0000-000015410000}"/>
    <cellStyle name="40% - Accent3 2 4 2 3 4 3" xfId="14330" xr:uid="{00000000-0005-0000-0000-000016410000}"/>
    <cellStyle name="40% - Accent3 2 4 2 3 4 3 2" xfId="33730" xr:uid="{00000000-0005-0000-0000-000017410000}"/>
    <cellStyle name="40% - Accent3 2 4 2 3 4 4" xfId="24032" xr:uid="{00000000-0005-0000-0000-000018410000}"/>
    <cellStyle name="40% - Accent3 2 4 2 3 5" xfId="5995" xr:uid="{00000000-0005-0000-0000-000019410000}"/>
    <cellStyle name="40% - Accent3 2 4 2 3 5 2" xfId="10459" xr:uid="{00000000-0005-0000-0000-00001A410000}"/>
    <cellStyle name="40% - Accent3 2 4 2 3 5 2 2" xfId="20455" xr:uid="{00000000-0005-0000-0000-00001B410000}"/>
    <cellStyle name="40% - Accent3 2 4 2 3 5 2 2 2" xfId="39855" xr:uid="{00000000-0005-0000-0000-00001C410000}"/>
    <cellStyle name="40% - Accent3 2 4 2 3 5 2 3" xfId="30157" xr:uid="{00000000-0005-0000-0000-00001D410000}"/>
    <cellStyle name="40% - Accent3 2 4 2 3 5 3" xfId="16000" xr:uid="{00000000-0005-0000-0000-00001E410000}"/>
    <cellStyle name="40% - Accent3 2 4 2 3 5 3 2" xfId="35400" xr:uid="{00000000-0005-0000-0000-00001F410000}"/>
    <cellStyle name="40% - Accent3 2 4 2 3 5 4" xfId="25702" xr:uid="{00000000-0005-0000-0000-000020410000}"/>
    <cellStyle name="40% - Accent3 2 4 2 3 6" xfId="6561" xr:uid="{00000000-0005-0000-0000-000021410000}"/>
    <cellStyle name="40% - Accent3 2 4 2 3 6 2" xfId="11016" xr:uid="{00000000-0005-0000-0000-000022410000}"/>
    <cellStyle name="40% - Accent3 2 4 2 3 6 2 2" xfId="21012" xr:uid="{00000000-0005-0000-0000-000023410000}"/>
    <cellStyle name="40% - Accent3 2 4 2 3 6 2 2 2" xfId="40412" xr:uid="{00000000-0005-0000-0000-000024410000}"/>
    <cellStyle name="40% - Accent3 2 4 2 3 6 2 3" xfId="30714" xr:uid="{00000000-0005-0000-0000-000025410000}"/>
    <cellStyle name="40% - Accent3 2 4 2 3 6 3" xfId="16557" xr:uid="{00000000-0005-0000-0000-000026410000}"/>
    <cellStyle name="40% - Accent3 2 4 2 3 6 3 2" xfId="35957" xr:uid="{00000000-0005-0000-0000-000027410000}"/>
    <cellStyle name="40% - Accent3 2 4 2 3 6 4" xfId="26259" xr:uid="{00000000-0005-0000-0000-000028410000}"/>
    <cellStyle name="40% - Accent3 2 4 2 3 7" xfId="7118" xr:uid="{00000000-0005-0000-0000-000029410000}"/>
    <cellStyle name="40% - Accent3 2 4 2 3 7 2" xfId="17114" xr:uid="{00000000-0005-0000-0000-00002A410000}"/>
    <cellStyle name="40% - Accent3 2 4 2 3 7 2 2" xfId="36514" xr:uid="{00000000-0005-0000-0000-00002B410000}"/>
    <cellStyle name="40% - Accent3 2 4 2 3 7 3" xfId="26816" xr:uid="{00000000-0005-0000-0000-00002C410000}"/>
    <cellStyle name="40% - Accent3 2 4 2 3 8" xfId="12658" xr:uid="{00000000-0005-0000-0000-00002D410000}"/>
    <cellStyle name="40% - Accent3 2 4 2 3 8 2" xfId="32059" xr:uid="{00000000-0005-0000-0000-00002E410000}"/>
    <cellStyle name="40% - Accent3 2 4 2 3 9" xfId="22361" xr:uid="{00000000-0005-0000-0000-00002F410000}"/>
    <cellStyle name="40% - Accent3 2 4 2 4" xfId="3167" xr:uid="{00000000-0005-0000-0000-000030410000}"/>
    <cellStyle name="40% - Accent3 2 4 2 4 2" xfId="5436" xr:uid="{00000000-0005-0000-0000-000031410000}"/>
    <cellStyle name="40% - Accent3 2 4 2 4 2 2" xfId="9900" xr:uid="{00000000-0005-0000-0000-000032410000}"/>
    <cellStyle name="40% - Accent3 2 4 2 4 2 2 2" xfId="19896" xr:uid="{00000000-0005-0000-0000-000033410000}"/>
    <cellStyle name="40% - Accent3 2 4 2 4 2 2 2 2" xfId="39296" xr:uid="{00000000-0005-0000-0000-000034410000}"/>
    <cellStyle name="40% - Accent3 2 4 2 4 2 2 3" xfId="29598" xr:uid="{00000000-0005-0000-0000-000035410000}"/>
    <cellStyle name="40% - Accent3 2 4 2 4 2 3" xfId="15441" xr:uid="{00000000-0005-0000-0000-000036410000}"/>
    <cellStyle name="40% - Accent3 2 4 2 4 2 3 2" xfId="34841" xr:uid="{00000000-0005-0000-0000-000037410000}"/>
    <cellStyle name="40% - Accent3 2 4 2 4 2 4" xfId="25143" xr:uid="{00000000-0005-0000-0000-000038410000}"/>
    <cellStyle name="40% - Accent3 2 4 2 4 3" xfId="7672" xr:uid="{00000000-0005-0000-0000-000039410000}"/>
    <cellStyle name="40% - Accent3 2 4 2 4 3 2" xfId="17668" xr:uid="{00000000-0005-0000-0000-00003A410000}"/>
    <cellStyle name="40% - Accent3 2 4 2 4 3 2 2" xfId="37068" xr:uid="{00000000-0005-0000-0000-00003B410000}"/>
    <cellStyle name="40% - Accent3 2 4 2 4 3 3" xfId="27370" xr:uid="{00000000-0005-0000-0000-00003C410000}"/>
    <cellStyle name="40% - Accent3 2 4 2 4 4" xfId="13213" xr:uid="{00000000-0005-0000-0000-00003D410000}"/>
    <cellStyle name="40% - Accent3 2 4 2 4 4 2" xfId="32613" xr:uid="{00000000-0005-0000-0000-00003E410000}"/>
    <cellStyle name="40% - Accent3 2 4 2 4 5" xfId="22915" xr:uid="{00000000-0005-0000-0000-00003F410000}"/>
    <cellStyle name="40% - Accent3 2 4 2 5" xfId="3750" xr:uid="{00000000-0005-0000-0000-000040410000}"/>
    <cellStyle name="40% - Accent3 2 4 2 5 2" xfId="4880" xr:uid="{00000000-0005-0000-0000-000041410000}"/>
    <cellStyle name="40% - Accent3 2 4 2 5 2 2" xfId="9344" xr:uid="{00000000-0005-0000-0000-000042410000}"/>
    <cellStyle name="40% - Accent3 2 4 2 5 2 2 2" xfId="19340" xr:uid="{00000000-0005-0000-0000-000043410000}"/>
    <cellStyle name="40% - Accent3 2 4 2 5 2 2 2 2" xfId="38740" xr:uid="{00000000-0005-0000-0000-000044410000}"/>
    <cellStyle name="40% - Accent3 2 4 2 5 2 2 3" xfId="29042" xr:uid="{00000000-0005-0000-0000-000045410000}"/>
    <cellStyle name="40% - Accent3 2 4 2 5 2 3" xfId="14885" xr:uid="{00000000-0005-0000-0000-000046410000}"/>
    <cellStyle name="40% - Accent3 2 4 2 5 2 3 2" xfId="34285" xr:uid="{00000000-0005-0000-0000-000047410000}"/>
    <cellStyle name="40% - Accent3 2 4 2 5 2 4" xfId="24587" xr:uid="{00000000-0005-0000-0000-000048410000}"/>
    <cellStyle name="40% - Accent3 2 4 2 5 3" xfId="8229" xr:uid="{00000000-0005-0000-0000-000049410000}"/>
    <cellStyle name="40% - Accent3 2 4 2 5 3 2" xfId="18225" xr:uid="{00000000-0005-0000-0000-00004A410000}"/>
    <cellStyle name="40% - Accent3 2 4 2 5 3 2 2" xfId="37625" xr:uid="{00000000-0005-0000-0000-00004B410000}"/>
    <cellStyle name="40% - Accent3 2 4 2 5 3 3" xfId="27927" xr:uid="{00000000-0005-0000-0000-00004C410000}"/>
    <cellStyle name="40% - Accent3 2 4 2 5 4" xfId="13770" xr:uid="{00000000-0005-0000-0000-00004D410000}"/>
    <cellStyle name="40% - Accent3 2 4 2 5 4 2" xfId="33170" xr:uid="{00000000-0005-0000-0000-00004E410000}"/>
    <cellStyle name="40% - Accent3 2 4 2 5 5" xfId="23472" xr:uid="{00000000-0005-0000-0000-00004F410000}"/>
    <cellStyle name="40% - Accent3 2 4 2 6" xfId="4323" xr:uid="{00000000-0005-0000-0000-000050410000}"/>
    <cellStyle name="40% - Accent3 2 4 2 6 2" xfId="8787" xr:uid="{00000000-0005-0000-0000-000051410000}"/>
    <cellStyle name="40% - Accent3 2 4 2 6 2 2" xfId="18783" xr:uid="{00000000-0005-0000-0000-000052410000}"/>
    <cellStyle name="40% - Accent3 2 4 2 6 2 2 2" xfId="38183" xr:uid="{00000000-0005-0000-0000-000053410000}"/>
    <cellStyle name="40% - Accent3 2 4 2 6 2 3" xfId="28485" xr:uid="{00000000-0005-0000-0000-000054410000}"/>
    <cellStyle name="40% - Accent3 2 4 2 6 3" xfId="14328" xr:uid="{00000000-0005-0000-0000-000055410000}"/>
    <cellStyle name="40% - Accent3 2 4 2 6 3 2" xfId="33728" xr:uid="{00000000-0005-0000-0000-000056410000}"/>
    <cellStyle name="40% - Accent3 2 4 2 6 4" xfId="24030" xr:uid="{00000000-0005-0000-0000-000057410000}"/>
    <cellStyle name="40% - Accent3 2 4 2 7" xfId="5993" xr:uid="{00000000-0005-0000-0000-000058410000}"/>
    <cellStyle name="40% - Accent3 2 4 2 7 2" xfId="10457" xr:uid="{00000000-0005-0000-0000-000059410000}"/>
    <cellStyle name="40% - Accent3 2 4 2 7 2 2" xfId="20453" xr:uid="{00000000-0005-0000-0000-00005A410000}"/>
    <cellStyle name="40% - Accent3 2 4 2 7 2 2 2" xfId="39853" xr:uid="{00000000-0005-0000-0000-00005B410000}"/>
    <cellStyle name="40% - Accent3 2 4 2 7 2 3" xfId="30155" xr:uid="{00000000-0005-0000-0000-00005C410000}"/>
    <cellStyle name="40% - Accent3 2 4 2 7 3" xfId="15998" xr:uid="{00000000-0005-0000-0000-00005D410000}"/>
    <cellStyle name="40% - Accent3 2 4 2 7 3 2" xfId="35398" xr:uid="{00000000-0005-0000-0000-00005E410000}"/>
    <cellStyle name="40% - Accent3 2 4 2 7 4" xfId="25700" xr:uid="{00000000-0005-0000-0000-00005F410000}"/>
    <cellStyle name="40% - Accent3 2 4 2 8" xfId="6559" xr:uid="{00000000-0005-0000-0000-000060410000}"/>
    <cellStyle name="40% - Accent3 2 4 2 8 2" xfId="11014" xr:uid="{00000000-0005-0000-0000-000061410000}"/>
    <cellStyle name="40% - Accent3 2 4 2 8 2 2" xfId="21010" xr:uid="{00000000-0005-0000-0000-000062410000}"/>
    <cellStyle name="40% - Accent3 2 4 2 8 2 2 2" xfId="40410" xr:uid="{00000000-0005-0000-0000-000063410000}"/>
    <cellStyle name="40% - Accent3 2 4 2 8 2 3" xfId="30712" xr:uid="{00000000-0005-0000-0000-000064410000}"/>
    <cellStyle name="40% - Accent3 2 4 2 8 3" xfId="16555" xr:uid="{00000000-0005-0000-0000-000065410000}"/>
    <cellStyle name="40% - Accent3 2 4 2 8 3 2" xfId="35955" xr:uid="{00000000-0005-0000-0000-000066410000}"/>
    <cellStyle name="40% - Accent3 2 4 2 8 4" xfId="26257" xr:uid="{00000000-0005-0000-0000-000067410000}"/>
    <cellStyle name="40% - Accent3 2 4 2 9" xfId="7116" xr:uid="{00000000-0005-0000-0000-000068410000}"/>
    <cellStyle name="40% - Accent3 2 4 2 9 2" xfId="17112" xr:uid="{00000000-0005-0000-0000-000069410000}"/>
    <cellStyle name="40% - Accent3 2 4 2 9 2 2" xfId="36512" xr:uid="{00000000-0005-0000-0000-00006A410000}"/>
    <cellStyle name="40% - Accent3 2 4 2 9 3" xfId="26814" xr:uid="{00000000-0005-0000-0000-00006B410000}"/>
    <cellStyle name="40% - Accent3 2 4 3" xfId="2183" xr:uid="{00000000-0005-0000-0000-00006C410000}"/>
    <cellStyle name="40% - Accent3 2 4 3 10" xfId="12659" xr:uid="{00000000-0005-0000-0000-00006D410000}"/>
    <cellStyle name="40% - Accent3 2 4 3 10 2" xfId="32060" xr:uid="{00000000-0005-0000-0000-00006E410000}"/>
    <cellStyle name="40% - Accent3 2 4 3 11" xfId="22362" xr:uid="{00000000-0005-0000-0000-00006F410000}"/>
    <cellStyle name="40% - Accent3 2 4 3 2" xfId="2184" xr:uid="{00000000-0005-0000-0000-000070410000}"/>
    <cellStyle name="40% - Accent3 2 4 3 2 2" xfId="3171" xr:uid="{00000000-0005-0000-0000-000071410000}"/>
    <cellStyle name="40% - Accent3 2 4 3 2 2 2" xfId="5440" xr:uid="{00000000-0005-0000-0000-000072410000}"/>
    <cellStyle name="40% - Accent3 2 4 3 2 2 2 2" xfId="9904" xr:uid="{00000000-0005-0000-0000-000073410000}"/>
    <cellStyle name="40% - Accent3 2 4 3 2 2 2 2 2" xfId="19900" xr:uid="{00000000-0005-0000-0000-000074410000}"/>
    <cellStyle name="40% - Accent3 2 4 3 2 2 2 2 2 2" xfId="39300" xr:uid="{00000000-0005-0000-0000-000075410000}"/>
    <cellStyle name="40% - Accent3 2 4 3 2 2 2 2 3" xfId="29602" xr:uid="{00000000-0005-0000-0000-000076410000}"/>
    <cellStyle name="40% - Accent3 2 4 3 2 2 2 3" xfId="15445" xr:uid="{00000000-0005-0000-0000-000077410000}"/>
    <cellStyle name="40% - Accent3 2 4 3 2 2 2 3 2" xfId="34845" xr:uid="{00000000-0005-0000-0000-000078410000}"/>
    <cellStyle name="40% - Accent3 2 4 3 2 2 2 4" xfId="25147" xr:uid="{00000000-0005-0000-0000-000079410000}"/>
    <cellStyle name="40% - Accent3 2 4 3 2 2 3" xfId="7676" xr:uid="{00000000-0005-0000-0000-00007A410000}"/>
    <cellStyle name="40% - Accent3 2 4 3 2 2 3 2" xfId="17672" xr:uid="{00000000-0005-0000-0000-00007B410000}"/>
    <cellStyle name="40% - Accent3 2 4 3 2 2 3 2 2" xfId="37072" xr:uid="{00000000-0005-0000-0000-00007C410000}"/>
    <cellStyle name="40% - Accent3 2 4 3 2 2 3 3" xfId="27374" xr:uid="{00000000-0005-0000-0000-00007D410000}"/>
    <cellStyle name="40% - Accent3 2 4 3 2 2 4" xfId="13217" xr:uid="{00000000-0005-0000-0000-00007E410000}"/>
    <cellStyle name="40% - Accent3 2 4 3 2 2 4 2" xfId="32617" xr:uid="{00000000-0005-0000-0000-00007F410000}"/>
    <cellStyle name="40% - Accent3 2 4 3 2 2 5" xfId="22919" xr:uid="{00000000-0005-0000-0000-000080410000}"/>
    <cellStyle name="40% - Accent3 2 4 3 2 3" xfId="3754" xr:uid="{00000000-0005-0000-0000-000081410000}"/>
    <cellStyle name="40% - Accent3 2 4 3 2 3 2" xfId="4884" xr:uid="{00000000-0005-0000-0000-000082410000}"/>
    <cellStyle name="40% - Accent3 2 4 3 2 3 2 2" xfId="9348" xr:uid="{00000000-0005-0000-0000-000083410000}"/>
    <cellStyle name="40% - Accent3 2 4 3 2 3 2 2 2" xfId="19344" xr:uid="{00000000-0005-0000-0000-000084410000}"/>
    <cellStyle name="40% - Accent3 2 4 3 2 3 2 2 2 2" xfId="38744" xr:uid="{00000000-0005-0000-0000-000085410000}"/>
    <cellStyle name="40% - Accent3 2 4 3 2 3 2 2 3" xfId="29046" xr:uid="{00000000-0005-0000-0000-000086410000}"/>
    <cellStyle name="40% - Accent3 2 4 3 2 3 2 3" xfId="14889" xr:uid="{00000000-0005-0000-0000-000087410000}"/>
    <cellStyle name="40% - Accent3 2 4 3 2 3 2 3 2" xfId="34289" xr:uid="{00000000-0005-0000-0000-000088410000}"/>
    <cellStyle name="40% - Accent3 2 4 3 2 3 2 4" xfId="24591" xr:uid="{00000000-0005-0000-0000-000089410000}"/>
    <cellStyle name="40% - Accent3 2 4 3 2 3 3" xfId="8233" xr:uid="{00000000-0005-0000-0000-00008A410000}"/>
    <cellStyle name="40% - Accent3 2 4 3 2 3 3 2" xfId="18229" xr:uid="{00000000-0005-0000-0000-00008B410000}"/>
    <cellStyle name="40% - Accent3 2 4 3 2 3 3 2 2" xfId="37629" xr:uid="{00000000-0005-0000-0000-00008C410000}"/>
    <cellStyle name="40% - Accent3 2 4 3 2 3 3 3" xfId="27931" xr:uid="{00000000-0005-0000-0000-00008D410000}"/>
    <cellStyle name="40% - Accent3 2 4 3 2 3 4" xfId="13774" xr:uid="{00000000-0005-0000-0000-00008E410000}"/>
    <cellStyle name="40% - Accent3 2 4 3 2 3 4 2" xfId="33174" xr:uid="{00000000-0005-0000-0000-00008F410000}"/>
    <cellStyle name="40% - Accent3 2 4 3 2 3 5" xfId="23476" xr:uid="{00000000-0005-0000-0000-000090410000}"/>
    <cellStyle name="40% - Accent3 2 4 3 2 4" xfId="4327" xr:uid="{00000000-0005-0000-0000-000091410000}"/>
    <cellStyle name="40% - Accent3 2 4 3 2 4 2" xfId="8791" xr:uid="{00000000-0005-0000-0000-000092410000}"/>
    <cellStyle name="40% - Accent3 2 4 3 2 4 2 2" xfId="18787" xr:uid="{00000000-0005-0000-0000-000093410000}"/>
    <cellStyle name="40% - Accent3 2 4 3 2 4 2 2 2" xfId="38187" xr:uid="{00000000-0005-0000-0000-000094410000}"/>
    <cellStyle name="40% - Accent3 2 4 3 2 4 2 3" xfId="28489" xr:uid="{00000000-0005-0000-0000-000095410000}"/>
    <cellStyle name="40% - Accent3 2 4 3 2 4 3" xfId="14332" xr:uid="{00000000-0005-0000-0000-000096410000}"/>
    <cellStyle name="40% - Accent3 2 4 3 2 4 3 2" xfId="33732" xr:uid="{00000000-0005-0000-0000-000097410000}"/>
    <cellStyle name="40% - Accent3 2 4 3 2 4 4" xfId="24034" xr:uid="{00000000-0005-0000-0000-000098410000}"/>
    <cellStyle name="40% - Accent3 2 4 3 2 5" xfId="5997" xr:uid="{00000000-0005-0000-0000-000099410000}"/>
    <cellStyle name="40% - Accent3 2 4 3 2 5 2" xfId="10461" xr:uid="{00000000-0005-0000-0000-00009A410000}"/>
    <cellStyle name="40% - Accent3 2 4 3 2 5 2 2" xfId="20457" xr:uid="{00000000-0005-0000-0000-00009B410000}"/>
    <cellStyle name="40% - Accent3 2 4 3 2 5 2 2 2" xfId="39857" xr:uid="{00000000-0005-0000-0000-00009C410000}"/>
    <cellStyle name="40% - Accent3 2 4 3 2 5 2 3" xfId="30159" xr:uid="{00000000-0005-0000-0000-00009D410000}"/>
    <cellStyle name="40% - Accent3 2 4 3 2 5 3" xfId="16002" xr:uid="{00000000-0005-0000-0000-00009E410000}"/>
    <cellStyle name="40% - Accent3 2 4 3 2 5 3 2" xfId="35402" xr:uid="{00000000-0005-0000-0000-00009F410000}"/>
    <cellStyle name="40% - Accent3 2 4 3 2 5 4" xfId="25704" xr:uid="{00000000-0005-0000-0000-0000A0410000}"/>
    <cellStyle name="40% - Accent3 2 4 3 2 6" xfId="6563" xr:uid="{00000000-0005-0000-0000-0000A1410000}"/>
    <cellStyle name="40% - Accent3 2 4 3 2 6 2" xfId="11018" xr:uid="{00000000-0005-0000-0000-0000A2410000}"/>
    <cellStyle name="40% - Accent3 2 4 3 2 6 2 2" xfId="21014" xr:uid="{00000000-0005-0000-0000-0000A3410000}"/>
    <cellStyle name="40% - Accent3 2 4 3 2 6 2 2 2" xfId="40414" xr:uid="{00000000-0005-0000-0000-0000A4410000}"/>
    <cellStyle name="40% - Accent3 2 4 3 2 6 2 3" xfId="30716" xr:uid="{00000000-0005-0000-0000-0000A5410000}"/>
    <cellStyle name="40% - Accent3 2 4 3 2 6 3" xfId="16559" xr:uid="{00000000-0005-0000-0000-0000A6410000}"/>
    <cellStyle name="40% - Accent3 2 4 3 2 6 3 2" xfId="35959" xr:uid="{00000000-0005-0000-0000-0000A7410000}"/>
    <cellStyle name="40% - Accent3 2 4 3 2 6 4" xfId="26261" xr:uid="{00000000-0005-0000-0000-0000A8410000}"/>
    <cellStyle name="40% - Accent3 2 4 3 2 7" xfId="7120" xr:uid="{00000000-0005-0000-0000-0000A9410000}"/>
    <cellStyle name="40% - Accent3 2 4 3 2 7 2" xfId="17116" xr:uid="{00000000-0005-0000-0000-0000AA410000}"/>
    <cellStyle name="40% - Accent3 2 4 3 2 7 2 2" xfId="36516" xr:uid="{00000000-0005-0000-0000-0000AB410000}"/>
    <cellStyle name="40% - Accent3 2 4 3 2 7 3" xfId="26818" xr:uid="{00000000-0005-0000-0000-0000AC410000}"/>
    <cellStyle name="40% - Accent3 2 4 3 2 8" xfId="12660" xr:uid="{00000000-0005-0000-0000-0000AD410000}"/>
    <cellStyle name="40% - Accent3 2 4 3 2 8 2" xfId="32061" xr:uid="{00000000-0005-0000-0000-0000AE410000}"/>
    <cellStyle name="40% - Accent3 2 4 3 2 9" xfId="22363" xr:uid="{00000000-0005-0000-0000-0000AF410000}"/>
    <cellStyle name="40% - Accent3 2 4 3 3" xfId="2185" xr:uid="{00000000-0005-0000-0000-0000B0410000}"/>
    <cellStyle name="40% - Accent3 2 4 3 3 2" xfId="3172" xr:uid="{00000000-0005-0000-0000-0000B1410000}"/>
    <cellStyle name="40% - Accent3 2 4 3 3 2 2" xfId="5441" xr:uid="{00000000-0005-0000-0000-0000B2410000}"/>
    <cellStyle name="40% - Accent3 2 4 3 3 2 2 2" xfId="9905" xr:uid="{00000000-0005-0000-0000-0000B3410000}"/>
    <cellStyle name="40% - Accent3 2 4 3 3 2 2 2 2" xfId="19901" xr:uid="{00000000-0005-0000-0000-0000B4410000}"/>
    <cellStyle name="40% - Accent3 2 4 3 3 2 2 2 2 2" xfId="39301" xr:uid="{00000000-0005-0000-0000-0000B5410000}"/>
    <cellStyle name="40% - Accent3 2 4 3 3 2 2 2 3" xfId="29603" xr:uid="{00000000-0005-0000-0000-0000B6410000}"/>
    <cellStyle name="40% - Accent3 2 4 3 3 2 2 3" xfId="15446" xr:uid="{00000000-0005-0000-0000-0000B7410000}"/>
    <cellStyle name="40% - Accent3 2 4 3 3 2 2 3 2" xfId="34846" xr:uid="{00000000-0005-0000-0000-0000B8410000}"/>
    <cellStyle name="40% - Accent3 2 4 3 3 2 2 4" xfId="25148" xr:uid="{00000000-0005-0000-0000-0000B9410000}"/>
    <cellStyle name="40% - Accent3 2 4 3 3 2 3" xfId="7677" xr:uid="{00000000-0005-0000-0000-0000BA410000}"/>
    <cellStyle name="40% - Accent3 2 4 3 3 2 3 2" xfId="17673" xr:uid="{00000000-0005-0000-0000-0000BB410000}"/>
    <cellStyle name="40% - Accent3 2 4 3 3 2 3 2 2" xfId="37073" xr:uid="{00000000-0005-0000-0000-0000BC410000}"/>
    <cellStyle name="40% - Accent3 2 4 3 3 2 3 3" xfId="27375" xr:uid="{00000000-0005-0000-0000-0000BD410000}"/>
    <cellStyle name="40% - Accent3 2 4 3 3 2 4" xfId="13218" xr:uid="{00000000-0005-0000-0000-0000BE410000}"/>
    <cellStyle name="40% - Accent3 2 4 3 3 2 4 2" xfId="32618" xr:uid="{00000000-0005-0000-0000-0000BF410000}"/>
    <cellStyle name="40% - Accent3 2 4 3 3 2 5" xfId="22920" xr:uid="{00000000-0005-0000-0000-0000C0410000}"/>
    <cellStyle name="40% - Accent3 2 4 3 3 3" xfId="3755" xr:uid="{00000000-0005-0000-0000-0000C1410000}"/>
    <cellStyle name="40% - Accent3 2 4 3 3 3 2" xfId="4885" xr:uid="{00000000-0005-0000-0000-0000C2410000}"/>
    <cellStyle name="40% - Accent3 2 4 3 3 3 2 2" xfId="9349" xr:uid="{00000000-0005-0000-0000-0000C3410000}"/>
    <cellStyle name="40% - Accent3 2 4 3 3 3 2 2 2" xfId="19345" xr:uid="{00000000-0005-0000-0000-0000C4410000}"/>
    <cellStyle name="40% - Accent3 2 4 3 3 3 2 2 2 2" xfId="38745" xr:uid="{00000000-0005-0000-0000-0000C5410000}"/>
    <cellStyle name="40% - Accent3 2 4 3 3 3 2 2 3" xfId="29047" xr:uid="{00000000-0005-0000-0000-0000C6410000}"/>
    <cellStyle name="40% - Accent3 2 4 3 3 3 2 3" xfId="14890" xr:uid="{00000000-0005-0000-0000-0000C7410000}"/>
    <cellStyle name="40% - Accent3 2 4 3 3 3 2 3 2" xfId="34290" xr:uid="{00000000-0005-0000-0000-0000C8410000}"/>
    <cellStyle name="40% - Accent3 2 4 3 3 3 2 4" xfId="24592" xr:uid="{00000000-0005-0000-0000-0000C9410000}"/>
    <cellStyle name="40% - Accent3 2 4 3 3 3 3" xfId="8234" xr:uid="{00000000-0005-0000-0000-0000CA410000}"/>
    <cellStyle name="40% - Accent3 2 4 3 3 3 3 2" xfId="18230" xr:uid="{00000000-0005-0000-0000-0000CB410000}"/>
    <cellStyle name="40% - Accent3 2 4 3 3 3 3 2 2" xfId="37630" xr:uid="{00000000-0005-0000-0000-0000CC410000}"/>
    <cellStyle name="40% - Accent3 2 4 3 3 3 3 3" xfId="27932" xr:uid="{00000000-0005-0000-0000-0000CD410000}"/>
    <cellStyle name="40% - Accent3 2 4 3 3 3 4" xfId="13775" xr:uid="{00000000-0005-0000-0000-0000CE410000}"/>
    <cellStyle name="40% - Accent3 2 4 3 3 3 4 2" xfId="33175" xr:uid="{00000000-0005-0000-0000-0000CF410000}"/>
    <cellStyle name="40% - Accent3 2 4 3 3 3 5" xfId="23477" xr:uid="{00000000-0005-0000-0000-0000D0410000}"/>
    <cellStyle name="40% - Accent3 2 4 3 3 4" xfId="4328" xr:uid="{00000000-0005-0000-0000-0000D1410000}"/>
    <cellStyle name="40% - Accent3 2 4 3 3 4 2" xfId="8792" xr:uid="{00000000-0005-0000-0000-0000D2410000}"/>
    <cellStyle name="40% - Accent3 2 4 3 3 4 2 2" xfId="18788" xr:uid="{00000000-0005-0000-0000-0000D3410000}"/>
    <cellStyle name="40% - Accent3 2 4 3 3 4 2 2 2" xfId="38188" xr:uid="{00000000-0005-0000-0000-0000D4410000}"/>
    <cellStyle name="40% - Accent3 2 4 3 3 4 2 3" xfId="28490" xr:uid="{00000000-0005-0000-0000-0000D5410000}"/>
    <cellStyle name="40% - Accent3 2 4 3 3 4 3" xfId="14333" xr:uid="{00000000-0005-0000-0000-0000D6410000}"/>
    <cellStyle name="40% - Accent3 2 4 3 3 4 3 2" xfId="33733" xr:uid="{00000000-0005-0000-0000-0000D7410000}"/>
    <cellStyle name="40% - Accent3 2 4 3 3 4 4" xfId="24035" xr:uid="{00000000-0005-0000-0000-0000D8410000}"/>
    <cellStyle name="40% - Accent3 2 4 3 3 5" xfId="5998" xr:uid="{00000000-0005-0000-0000-0000D9410000}"/>
    <cellStyle name="40% - Accent3 2 4 3 3 5 2" xfId="10462" xr:uid="{00000000-0005-0000-0000-0000DA410000}"/>
    <cellStyle name="40% - Accent3 2 4 3 3 5 2 2" xfId="20458" xr:uid="{00000000-0005-0000-0000-0000DB410000}"/>
    <cellStyle name="40% - Accent3 2 4 3 3 5 2 2 2" xfId="39858" xr:uid="{00000000-0005-0000-0000-0000DC410000}"/>
    <cellStyle name="40% - Accent3 2 4 3 3 5 2 3" xfId="30160" xr:uid="{00000000-0005-0000-0000-0000DD410000}"/>
    <cellStyle name="40% - Accent3 2 4 3 3 5 3" xfId="16003" xr:uid="{00000000-0005-0000-0000-0000DE410000}"/>
    <cellStyle name="40% - Accent3 2 4 3 3 5 3 2" xfId="35403" xr:uid="{00000000-0005-0000-0000-0000DF410000}"/>
    <cellStyle name="40% - Accent3 2 4 3 3 5 4" xfId="25705" xr:uid="{00000000-0005-0000-0000-0000E0410000}"/>
    <cellStyle name="40% - Accent3 2 4 3 3 6" xfId="6564" xr:uid="{00000000-0005-0000-0000-0000E1410000}"/>
    <cellStyle name="40% - Accent3 2 4 3 3 6 2" xfId="11019" xr:uid="{00000000-0005-0000-0000-0000E2410000}"/>
    <cellStyle name="40% - Accent3 2 4 3 3 6 2 2" xfId="21015" xr:uid="{00000000-0005-0000-0000-0000E3410000}"/>
    <cellStyle name="40% - Accent3 2 4 3 3 6 2 2 2" xfId="40415" xr:uid="{00000000-0005-0000-0000-0000E4410000}"/>
    <cellStyle name="40% - Accent3 2 4 3 3 6 2 3" xfId="30717" xr:uid="{00000000-0005-0000-0000-0000E5410000}"/>
    <cellStyle name="40% - Accent3 2 4 3 3 6 3" xfId="16560" xr:uid="{00000000-0005-0000-0000-0000E6410000}"/>
    <cellStyle name="40% - Accent3 2 4 3 3 6 3 2" xfId="35960" xr:uid="{00000000-0005-0000-0000-0000E7410000}"/>
    <cellStyle name="40% - Accent3 2 4 3 3 6 4" xfId="26262" xr:uid="{00000000-0005-0000-0000-0000E8410000}"/>
    <cellStyle name="40% - Accent3 2 4 3 3 7" xfId="7121" xr:uid="{00000000-0005-0000-0000-0000E9410000}"/>
    <cellStyle name="40% - Accent3 2 4 3 3 7 2" xfId="17117" xr:uid="{00000000-0005-0000-0000-0000EA410000}"/>
    <cellStyle name="40% - Accent3 2 4 3 3 7 2 2" xfId="36517" xr:uid="{00000000-0005-0000-0000-0000EB410000}"/>
    <cellStyle name="40% - Accent3 2 4 3 3 7 3" xfId="26819" xr:uid="{00000000-0005-0000-0000-0000EC410000}"/>
    <cellStyle name="40% - Accent3 2 4 3 3 8" xfId="12661" xr:uid="{00000000-0005-0000-0000-0000ED410000}"/>
    <cellStyle name="40% - Accent3 2 4 3 3 8 2" xfId="32062" xr:uid="{00000000-0005-0000-0000-0000EE410000}"/>
    <cellStyle name="40% - Accent3 2 4 3 3 9" xfId="22364" xr:uid="{00000000-0005-0000-0000-0000EF410000}"/>
    <cellStyle name="40% - Accent3 2 4 3 4" xfId="3170" xr:uid="{00000000-0005-0000-0000-0000F0410000}"/>
    <cellStyle name="40% - Accent3 2 4 3 4 2" xfId="5439" xr:uid="{00000000-0005-0000-0000-0000F1410000}"/>
    <cellStyle name="40% - Accent3 2 4 3 4 2 2" xfId="9903" xr:uid="{00000000-0005-0000-0000-0000F2410000}"/>
    <cellStyle name="40% - Accent3 2 4 3 4 2 2 2" xfId="19899" xr:uid="{00000000-0005-0000-0000-0000F3410000}"/>
    <cellStyle name="40% - Accent3 2 4 3 4 2 2 2 2" xfId="39299" xr:uid="{00000000-0005-0000-0000-0000F4410000}"/>
    <cellStyle name="40% - Accent3 2 4 3 4 2 2 3" xfId="29601" xr:uid="{00000000-0005-0000-0000-0000F5410000}"/>
    <cellStyle name="40% - Accent3 2 4 3 4 2 3" xfId="15444" xr:uid="{00000000-0005-0000-0000-0000F6410000}"/>
    <cellStyle name="40% - Accent3 2 4 3 4 2 3 2" xfId="34844" xr:uid="{00000000-0005-0000-0000-0000F7410000}"/>
    <cellStyle name="40% - Accent3 2 4 3 4 2 4" xfId="25146" xr:uid="{00000000-0005-0000-0000-0000F8410000}"/>
    <cellStyle name="40% - Accent3 2 4 3 4 3" xfId="7675" xr:uid="{00000000-0005-0000-0000-0000F9410000}"/>
    <cellStyle name="40% - Accent3 2 4 3 4 3 2" xfId="17671" xr:uid="{00000000-0005-0000-0000-0000FA410000}"/>
    <cellStyle name="40% - Accent3 2 4 3 4 3 2 2" xfId="37071" xr:uid="{00000000-0005-0000-0000-0000FB410000}"/>
    <cellStyle name="40% - Accent3 2 4 3 4 3 3" xfId="27373" xr:uid="{00000000-0005-0000-0000-0000FC410000}"/>
    <cellStyle name="40% - Accent3 2 4 3 4 4" xfId="13216" xr:uid="{00000000-0005-0000-0000-0000FD410000}"/>
    <cellStyle name="40% - Accent3 2 4 3 4 4 2" xfId="32616" xr:uid="{00000000-0005-0000-0000-0000FE410000}"/>
    <cellStyle name="40% - Accent3 2 4 3 4 5" xfId="22918" xr:uid="{00000000-0005-0000-0000-0000FF410000}"/>
    <cellStyle name="40% - Accent3 2 4 3 5" xfId="3753" xr:uid="{00000000-0005-0000-0000-000000420000}"/>
    <cellStyle name="40% - Accent3 2 4 3 5 2" xfId="4883" xr:uid="{00000000-0005-0000-0000-000001420000}"/>
    <cellStyle name="40% - Accent3 2 4 3 5 2 2" xfId="9347" xr:uid="{00000000-0005-0000-0000-000002420000}"/>
    <cellStyle name="40% - Accent3 2 4 3 5 2 2 2" xfId="19343" xr:uid="{00000000-0005-0000-0000-000003420000}"/>
    <cellStyle name="40% - Accent3 2 4 3 5 2 2 2 2" xfId="38743" xr:uid="{00000000-0005-0000-0000-000004420000}"/>
    <cellStyle name="40% - Accent3 2 4 3 5 2 2 3" xfId="29045" xr:uid="{00000000-0005-0000-0000-000005420000}"/>
    <cellStyle name="40% - Accent3 2 4 3 5 2 3" xfId="14888" xr:uid="{00000000-0005-0000-0000-000006420000}"/>
    <cellStyle name="40% - Accent3 2 4 3 5 2 3 2" xfId="34288" xr:uid="{00000000-0005-0000-0000-000007420000}"/>
    <cellStyle name="40% - Accent3 2 4 3 5 2 4" xfId="24590" xr:uid="{00000000-0005-0000-0000-000008420000}"/>
    <cellStyle name="40% - Accent3 2 4 3 5 3" xfId="8232" xr:uid="{00000000-0005-0000-0000-000009420000}"/>
    <cellStyle name="40% - Accent3 2 4 3 5 3 2" xfId="18228" xr:uid="{00000000-0005-0000-0000-00000A420000}"/>
    <cellStyle name="40% - Accent3 2 4 3 5 3 2 2" xfId="37628" xr:uid="{00000000-0005-0000-0000-00000B420000}"/>
    <cellStyle name="40% - Accent3 2 4 3 5 3 3" xfId="27930" xr:uid="{00000000-0005-0000-0000-00000C420000}"/>
    <cellStyle name="40% - Accent3 2 4 3 5 4" xfId="13773" xr:uid="{00000000-0005-0000-0000-00000D420000}"/>
    <cellStyle name="40% - Accent3 2 4 3 5 4 2" xfId="33173" xr:uid="{00000000-0005-0000-0000-00000E420000}"/>
    <cellStyle name="40% - Accent3 2 4 3 5 5" xfId="23475" xr:uid="{00000000-0005-0000-0000-00000F420000}"/>
    <cellStyle name="40% - Accent3 2 4 3 6" xfId="4326" xr:uid="{00000000-0005-0000-0000-000010420000}"/>
    <cellStyle name="40% - Accent3 2 4 3 6 2" xfId="8790" xr:uid="{00000000-0005-0000-0000-000011420000}"/>
    <cellStyle name="40% - Accent3 2 4 3 6 2 2" xfId="18786" xr:uid="{00000000-0005-0000-0000-000012420000}"/>
    <cellStyle name="40% - Accent3 2 4 3 6 2 2 2" xfId="38186" xr:uid="{00000000-0005-0000-0000-000013420000}"/>
    <cellStyle name="40% - Accent3 2 4 3 6 2 3" xfId="28488" xr:uid="{00000000-0005-0000-0000-000014420000}"/>
    <cellStyle name="40% - Accent3 2 4 3 6 3" xfId="14331" xr:uid="{00000000-0005-0000-0000-000015420000}"/>
    <cellStyle name="40% - Accent3 2 4 3 6 3 2" xfId="33731" xr:uid="{00000000-0005-0000-0000-000016420000}"/>
    <cellStyle name="40% - Accent3 2 4 3 6 4" xfId="24033" xr:uid="{00000000-0005-0000-0000-000017420000}"/>
    <cellStyle name="40% - Accent3 2 4 3 7" xfId="5996" xr:uid="{00000000-0005-0000-0000-000018420000}"/>
    <cellStyle name="40% - Accent3 2 4 3 7 2" xfId="10460" xr:uid="{00000000-0005-0000-0000-000019420000}"/>
    <cellStyle name="40% - Accent3 2 4 3 7 2 2" xfId="20456" xr:uid="{00000000-0005-0000-0000-00001A420000}"/>
    <cellStyle name="40% - Accent3 2 4 3 7 2 2 2" xfId="39856" xr:uid="{00000000-0005-0000-0000-00001B420000}"/>
    <cellStyle name="40% - Accent3 2 4 3 7 2 3" xfId="30158" xr:uid="{00000000-0005-0000-0000-00001C420000}"/>
    <cellStyle name="40% - Accent3 2 4 3 7 3" xfId="16001" xr:uid="{00000000-0005-0000-0000-00001D420000}"/>
    <cellStyle name="40% - Accent3 2 4 3 7 3 2" xfId="35401" xr:uid="{00000000-0005-0000-0000-00001E420000}"/>
    <cellStyle name="40% - Accent3 2 4 3 7 4" xfId="25703" xr:uid="{00000000-0005-0000-0000-00001F420000}"/>
    <cellStyle name="40% - Accent3 2 4 3 8" xfId="6562" xr:uid="{00000000-0005-0000-0000-000020420000}"/>
    <cellStyle name="40% - Accent3 2 4 3 8 2" xfId="11017" xr:uid="{00000000-0005-0000-0000-000021420000}"/>
    <cellStyle name="40% - Accent3 2 4 3 8 2 2" xfId="21013" xr:uid="{00000000-0005-0000-0000-000022420000}"/>
    <cellStyle name="40% - Accent3 2 4 3 8 2 2 2" xfId="40413" xr:uid="{00000000-0005-0000-0000-000023420000}"/>
    <cellStyle name="40% - Accent3 2 4 3 8 2 3" xfId="30715" xr:uid="{00000000-0005-0000-0000-000024420000}"/>
    <cellStyle name="40% - Accent3 2 4 3 8 3" xfId="16558" xr:uid="{00000000-0005-0000-0000-000025420000}"/>
    <cellStyle name="40% - Accent3 2 4 3 8 3 2" xfId="35958" xr:uid="{00000000-0005-0000-0000-000026420000}"/>
    <cellStyle name="40% - Accent3 2 4 3 8 4" xfId="26260" xr:uid="{00000000-0005-0000-0000-000027420000}"/>
    <cellStyle name="40% - Accent3 2 4 3 9" xfId="7119" xr:uid="{00000000-0005-0000-0000-000028420000}"/>
    <cellStyle name="40% - Accent3 2 4 3 9 2" xfId="17115" xr:uid="{00000000-0005-0000-0000-000029420000}"/>
    <cellStyle name="40% - Accent3 2 4 3 9 2 2" xfId="36515" xr:uid="{00000000-0005-0000-0000-00002A420000}"/>
    <cellStyle name="40% - Accent3 2 4 3 9 3" xfId="26817" xr:uid="{00000000-0005-0000-0000-00002B420000}"/>
    <cellStyle name="40% - Accent3 2 4 4" xfId="2186" xr:uid="{00000000-0005-0000-0000-00002C420000}"/>
    <cellStyle name="40% - Accent3 2 4 4 2" xfId="3173" xr:uid="{00000000-0005-0000-0000-00002D420000}"/>
    <cellStyle name="40% - Accent3 2 4 4 2 2" xfId="5442" xr:uid="{00000000-0005-0000-0000-00002E420000}"/>
    <cellStyle name="40% - Accent3 2 4 4 2 2 2" xfId="9906" xr:uid="{00000000-0005-0000-0000-00002F420000}"/>
    <cellStyle name="40% - Accent3 2 4 4 2 2 2 2" xfId="19902" xr:uid="{00000000-0005-0000-0000-000030420000}"/>
    <cellStyle name="40% - Accent3 2 4 4 2 2 2 2 2" xfId="39302" xr:uid="{00000000-0005-0000-0000-000031420000}"/>
    <cellStyle name="40% - Accent3 2 4 4 2 2 2 3" xfId="29604" xr:uid="{00000000-0005-0000-0000-000032420000}"/>
    <cellStyle name="40% - Accent3 2 4 4 2 2 3" xfId="15447" xr:uid="{00000000-0005-0000-0000-000033420000}"/>
    <cellStyle name="40% - Accent3 2 4 4 2 2 3 2" xfId="34847" xr:uid="{00000000-0005-0000-0000-000034420000}"/>
    <cellStyle name="40% - Accent3 2 4 4 2 2 4" xfId="25149" xr:uid="{00000000-0005-0000-0000-000035420000}"/>
    <cellStyle name="40% - Accent3 2 4 4 2 3" xfId="7678" xr:uid="{00000000-0005-0000-0000-000036420000}"/>
    <cellStyle name="40% - Accent3 2 4 4 2 3 2" xfId="17674" xr:uid="{00000000-0005-0000-0000-000037420000}"/>
    <cellStyle name="40% - Accent3 2 4 4 2 3 2 2" xfId="37074" xr:uid="{00000000-0005-0000-0000-000038420000}"/>
    <cellStyle name="40% - Accent3 2 4 4 2 3 3" xfId="27376" xr:uid="{00000000-0005-0000-0000-000039420000}"/>
    <cellStyle name="40% - Accent3 2 4 4 2 4" xfId="13219" xr:uid="{00000000-0005-0000-0000-00003A420000}"/>
    <cellStyle name="40% - Accent3 2 4 4 2 4 2" xfId="32619" xr:uid="{00000000-0005-0000-0000-00003B420000}"/>
    <cellStyle name="40% - Accent3 2 4 4 2 5" xfId="22921" xr:uid="{00000000-0005-0000-0000-00003C420000}"/>
    <cellStyle name="40% - Accent3 2 4 4 3" xfId="3756" xr:uid="{00000000-0005-0000-0000-00003D420000}"/>
    <cellStyle name="40% - Accent3 2 4 4 3 2" xfId="4886" xr:uid="{00000000-0005-0000-0000-00003E420000}"/>
    <cellStyle name="40% - Accent3 2 4 4 3 2 2" xfId="9350" xr:uid="{00000000-0005-0000-0000-00003F420000}"/>
    <cellStyle name="40% - Accent3 2 4 4 3 2 2 2" xfId="19346" xr:uid="{00000000-0005-0000-0000-000040420000}"/>
    <cellStyle name="40% - Accent3 2 4 4 3 2 2 2 2" xfId="38746" xr:uid="{00000000-0005-0000-0000-000041420000}"/>
    <cellStyle name="40% - Accent3 2 4 4 3 2 2 3" xfId="29048" xr:uid="{00000000-0005-0000-0000-000042420000}"/>
    <cellStyle name="40% - Accent3 2 4 4 3 2 3" xfId="14891" xr:uid="{00000000-0005-0000-0000-000043420000}"/>
    <cellStyle name="40% - Accent3 2 4 4 3 2 3 2" xfId="34291" xr:uid="{00000000-0005-0000-0000-000044420000}"/>
    <cellStyle name="40% - Accent3 2 4 4 3 2 4" xfId="24593" xr:uid="{00000000-0005-0000-0000-000045420000}"/>
    <cellStyle name="40% - Accent3 2 4 4 3 3" xfId="8235" xr:uid="{00000000-0005-0000-0000-000046420000}"/>
    <cellStyle name="40% - Accent3 2 4 4 3 3 2" xfId="18231" xr:uid="{00000000-0005-0000-0000-000047420000}"/>
    <cellStyle name="40% - Accent3 2 4 4 3 3 2 2" xfId="37631" xr:uid="{00000000-0005-0000-0000-000048420000}"/>
    <cellStyle name="40% - Accent3 2 4 4 3 3 3" xfId="27933" xr:uid="{00000000-0005-0000-0000-000049420000}"/>
    <cellStyle name="40% - Accent3 2 4 4 3 4" xfId="13776" xr:uid="{00000000-0005-0000-0000-00004A420000}"/>
    <cellStyle name="40% - Accent3 2 4 4 3 4 2" xfId="33176" xr:uid="{00000000-0005-0000-0000-00004B420000}"/>
    <cellStyle name="40% - Accent3 2 4 4 3 5" xfId="23478" xr:uid="{00000000-0005-0000-0000-00004C420000}"/>
    <cellStyle name="40% - Accent3 2 4 4 4" xfId="4329" xr:uid="{00000000-0005-0000-0000-00004D420000}"/>
    <cellStyle name="40% - Accent3 2 4 4 4 2" xfId="8793" xr:uid="{00000000-0005-0000-0000-00004E420000}"/>
    <cellStyle name="40% - Accent3 2 4 4 4 2 2" xfId="18789" xr:uid="{00000000-0005-0000-0000-00004F420000}"/>
    <cellStyle name="40% - Accent3 2 4 4 4 2 2 2" xfId="38189" xr:uid="{00000000-0005-0000-0000-000050420000}"/>
    <cellStyle name="40% - Accent3 2 4 4 4 2 3" xfId="28491" xr:uid="{00000000-0005-0000-0000-000051420000}"/>
    <cellStyle name="40% - Accent3 2 4 4 4 3" xfId="14334" xr:uid="{00000000-0005-0000-0000-000052420000}"/>
    <cellStyle name="40% - Accent3 2 4 4 4 3 2" xfId="33734" xr:uid="{00000000-0005-0000-0000-000053420000}"/>
    <cellStyle name="40% - Accent3 2 4 4 4 4" xfId="24036" xr:uid="{00000000-0005-0000-0000-000054420000}"/>
    <cellStyle name="40% - Accent3 2 4 4 5" xfId="5999" xr:uid="{00000000-0005-0000-0000-000055420000}"/>
    <cellStyle name="40% - Accent3 2 4 4 5 2" xfId="10463" xr:uid="{00000000-0005-0000-0000-000056420000}"/>
    <cellStyle name="40% - Accent3 2 4 4 5 2 2" xfId="20459" xr:uid="{00000000-0005-0000-0000-000057420000}"/>
    <cellStyle name="40% - Accent3 2 4 4 5 2 2 2" xfId="39859" xr:uid="{00000000-0005-0000-0000-000058420000}"/>
    <cellStyle name="40% - Accent3 2 4 4 5 2 3" xfId="30161" xr:uid="{00000000-0005-0000-0000-000059420000}"/>
    <cellStyle name="40% - Accent3 2 4 4 5 3" xfId="16004" xr:uid="{00000000-0005-0000-0000-00005A420000}"/>
    <cellStyle name="40% - Accent3 2 4 4 5 3 2" xfId="35404" xr:uid="{00000000-0005-0000-0000-00005B420000}"/>
    <cellStyle name="40% - Accent3 2 4 4 5 4" xfId="25706" xr:uid="{00000000-0005-0000-0000-00005C420000}"/>
    <cellStyle name="40% - Accent3 2 4 4 6" xfId="6565" xr:uid="{00000000-0005-0000-0000-00005D420000}"/>
    <cellStyle name="40% - Accent3 2 4 4 6 2" xfId="11020" xr:uid="{00000000-0005-0000-0000-00005E420000}"/>
    <cellStyle name="40% - Accent3 2 4 4 6 2 2" xfId="21016" xr:uid="{00000000-0005-0000-0000-00005F420000}"/>
    <cellStyle name="40% - Accent3 2 4 4 6 2 2 2" xfId="40416" xr:uid="{00000000-0005-0000-0000-000060420000}"/>
    <cellStyle name="40% - Accent3 2 4 4 6 2 3" xfId="30718" xr:uid="{00000000-0005-0000-0000-000061420000}"/>
    <cellStyle name="40% - Accent3 2 4 4 6 3" xfId="16561" xr:uid="{00000000-0005-0000-0000-000062420000}"/>
    <cellStyle name="40% - Accent3 2 4 4 6 3 2" xfId="35961" xr:uid="{00000000-0005-0000-0000-000063420000}"/>
    <cellStyle name="40% - Accent3 2 4 4 6 4" xfId="26263" xr:uid="{00000000-0005-0000-0000-000064420000}"/>
    <cellStyle name="40% - Accent3 2 4 4 7" xfId="7122" xr:uid="{00000000-0005-0000-0000-000065420000}"/>
    <cellStyle name="40% - Accent3 2 4 4 7 2" xfId="17118" xr:uid="{00000000-0005-0000-0000-000066420000}"/>
    <cellStyle name="40% - Accent3 2 4 4 7 2 2" xfId="36518" xr:uid="{00000000-0005-0000-0000-000067420000}"/>
    <cellStyle name="40% - Accent3 2 4 4 7 3" xfId="26820" xr:uid="{00000000-0005-0000-0000-000068420000}"/>
    <cellStyle name="40% - Accent3 2 4 4 8" xfId="12662" xr:uid="{00000000-0005-0000-0000-000069420000}"/>
    <cellStyle name="40% - Accent3 2 4 4 8 2" xfId="32063" xr:uid="{00000000-0005-0000-0000-00006A420000}"/>
    <cellStyle name="40% - Accent3 2 4 4 9" xfId="22365" xr:uid="{00000000-0005-0000-0000-00006B420000}"/>
    <cellStyle name="40% - Accent3 2 4 5" xfId="2187" xr:uid="{00000000-0005-0000-0000-00006C420000}"/>
    <cellStyle name="40% - Accent3 2 4 5 2" xfId="3174" xr:uid="{00000000-0005-0000-0000-00006D420000}"/>
    <cellStyle name="40% - Accent3 2 4 5 2 2" xfId="5443" xr:uid="{00000000-0005-0000-0000-00006E420000}"/>
    <cellStyle name="40% - Accent3 2 4 5 2 2 2" xfId="9907" xr:uid="{00000000-0005-0000-0000-00006F420000}"/>
    <cellStyle name="40% - Accent3 2 4 5 2 2 2 2" xfId="19903" xr:uid="{00000000-0005-0000-0000-000070420000}"/>
    <cellStyle name="40% - Accent3 2 4 5 2 2 2 2 2" xfId="39303" xr:uid="{00000000-0005-0000-0000-000071420000}"/>
    <cellStyle name="40% - Accent3 2 4 5 2 2 2 3" xfId="29605" xr:uid="{00000000-0005-0000-0000-000072420000}"/>
    <cellStyle name="40% - Accent3 2 4 5 2 2 3" xfId="15448" xr:uid="{00000000-0005-0000-0000-000073420000}"/>
    <cellStyle name="40% - Accent3 2 4 5 2 2 3 2" xfId="34848" xr:uid="{00000000-0005-0000-0000-000074420000}"/>
    <cellStyle name="40% - Accent3 2 4 5 2 2 4" xfId="25150" xr:uid="{00000000-0005-0000-0000-000075420000}"/>
    <cellStyle name="40% - Accent3 2 4 5 2 3" xfId="7679" xr:uid="{00000000-0005-0000-0000-000076420000}"/>
    <cellStyle name="40% - Accent3 2 4 5 2 3 2" xfId="17675" xr:uid="{00000000-0005-0000-0000-000077420000}"/>
    <cellStyle name="40% - Accent3 2 4 5 2 3 2 2" xfId="37075" xr:uid="{00000000-0005-0000-0000-000078420000}"/>
    <cellStyle name="40% - Accent3 2 4 5 2 3 3" xfId="27377" xr:uid="{00000000-0005-0000-0000-000079420000}"/>
    <cellStyle name="40% - Accent3 2 4 5 2 4" xfId="13220" xr:uid="{00000000-0005-0000-0000-00007A420000}"/>
    <cellStyle name="40% - Accent3 2 4 5 2 4 2" xfId="32620" xr:uid="{00000000-0005-0000-0000-00007B420000}"/>
    <cellStyle name="40% - Accent3 2 4 5 2 5" xfId="22922" xr:uid="{00000000-0005-0000-0000-00007C420000}"/>
    <cellStyle name="40% - Accent3 2 4 5 3" xfId="3757" xr:uid="{00000000-0005-0000-0000-00007D420000}"/>
    <cellStyle name="40% - Accent3 2 4 5 3 2" xfId="4887" xr:uid="{00000000-0005-0000-0000-00007E420000}"/>
    <cellStyle name="40% - Accent3 2 4 5 3 2 2" xfId="9351" xr:uid="{00000000-0005-0000-0000-00007F420000}"/>
    <cellStyle name="40% - Accent3 2 4 5 3 2 2 2" xfId="19347" xr:uid="{00000000-0005-0000-0000-000080420000}"/>
    <cellStyle name="40% - Accent3 2 4 5 3 2 2 2 2" xfId="38747" xr:uid="{00000000-0005-0000-0000-000081420000}"/>
    <cellStyle name="40% - Accent3 2 4 5 3 2 2 3" xfId="29049" xr:uid="{00000000-0005-0000-0000-000082420000}"/>
    <cellStyle name="40% - Accent3 2 4 5 3 2 3" xfId="14892" xr:uid="{00000000-0005-0000-0000-000083420000}"/>
    <cellStyle name="40% - Accent3 2 4 5 3 2 3 2" xfId="34292" xr:uid="{00000000-0005-0000-0000-000084420000}"/>
    <cellStyle name="40% - Accent3 2 4 5 3 2 4" xfId="24594" xr:uid="{00000000-0005-0000-0000-000085420000}"/>
    <cellStyle name="40% - Accent3 2 4 5 3 3" xfId="8236" xr:uid="{00000000-0005-0000-0000-000086420000}"/>
    <cellStyle name="40% - Accent3 2 4 5 3 3 2" xfId="18232" xr:uid="{00000000-0005-0000-0000-000087420000}"/>
    <cellStyle name="40% - Accent3 2 4 5 3 3 2 2" xfId="37632" xr:uid="{00000000-0005-0000-0000-000088420000}"/>
    <cellStyle name="40% - Accent3 2 4 5 3 3 3" xfId="27934" xr:uid="{00000000-0005-0000-0000-000089420000}"/>
    <cellStyle name="40% - Accent3 2 4 5 3 4" xfId="13777" xr:uid="{00000000-0005-0000-0000-00008A420000}"/>
    <cellStyle name="40% - Accent3 2 4 5 3 4 2" xfId="33177" xr:uid="{00000000-0005-0000-0000-00008B420000}"/>
    <cellStyle name="40% - Accent3 2 4 5 3 5" xfId="23479" xr:uid="{00000000-0005-0000-0000-00008C420000}"/>
    <cellStyle name="40% - Accent3 2 4 5 4" xfId="4330" xr:uid="{00000000-0005-0000-0000-00008D420000}"/>
    <cellStyle name="40% - Accent3 2 4 5 4 2" xfId="8794" xr:uid="{00000000-0005-0000-0000-00008E420000}"/>
    <cellStyle name="40% - Accent3 2 4 5 4 2 2" xfId="18790" xr:uid="{00000000-0005-0000-0000-00008F420000}"/>
    <cellStyle name="40% - Accent3 2 4 5 4 2 2 2" xfId="38190" xr:uid="{00000000-0005-0000-0000-000090420000}"/>
    <cellStyle name="40% - Accent3 2 4 5 4 2 3" xfId="28492" xr:uid="{00000000-0005-0000-0000-000091420000}"/>
    <cellStyle name="40% - Accent3 2 4 5 4 3" xfId="14335" xr:uid="{00000000-0005-0000-0000-000092420000}"/>
    <cellStyle name="40% - Accent3 2 4 5 4 3 2" xfId="33735" xr:uid="{00000000-0005-0000-0000-000093420000}"/>
    <cellStyle name="40% - Accent3 2 4 5 4 4" xfId="24037" xr:uid="{00000000-0005-0000-0000-000094420000}"/>
    <cellStyle name="40% - Accent3 2 4 5 5" xfId="6000" xr:uid="{00000000-0005-0000-0000-000095420000}"/>
    <cellStyle name="40% - Accent3 2 4 5 5 2" xfId="10464" xr:uid="{00000000-0005-0000-0000-000096420000}"/>
    <cellStyle name="40% - Accent3 2 4 5 5 2 2" xfId="20460" xr:uid="{00000000-0005-0000-0000-000097420000}"/>
    <cellStyle name="40% - Accent3 2 4 5 5 2 2 2" xfId="39860" xr:uid="{00000000-0005-0000-0000-000098420000}"/>
    <cellStyle name="40% - Accent3 2 4 5 5 2 3" xfId="30162" xr:uid="{00000000-0005-0000-0000-000099420000}"/>
    <cellStyle name="40% - Accent3 2 4 5 5 3" xfId="16005" xr:uid="{00000000-0005-0000-0000-00009A420000}"/>
    <cellStyle name="40% - Accent3 2 4 5 5 3 2" xfId="35405" xr:uid="{00000000-0005-0000-0000-00009B420000}"/>
    <cellStyle name="40% - Accent3 2 4 5 5 4" xfId="25707" xr:uid="{00000000-0005-0000-0000-00009C420000}"/>
    <cellStyle name="40% - Accent3 2 4 5 6" xfId="6566" xr:uid="{00000000-0005-0000-0000-00009D420000}"/>
    <cellStyle name="40% - Accent3 2 4 5 6 2" xfId="11021" xr:uid="{00000000-0005-0000-0000-00009E420000}"/>
    <cellStyle name="40% - Accent3 2 4 5 6 2 2" xfId="21017" xr:uid="{00000000-0005-0000-0000-00009F420000}"/>
    <cellStyle name="40% - Accent3 2 4 5 6 2 2 2" xfId="40417" xr:uid="{00000000-0005-0000-0000-0000A0420000}"/>
    <cellStyle name="40% - Accent3 2 4 5 6 2 3" xfId="30719" xr:uid="{00000000-0005-0000-0000-0000A1420000}"/>
    <cellStyle name="40% - Accent3 2 4 5 6 3" xfId="16562" xr:uid="{00000000-0005-0000-0000-0000A2420000}"/>
    <cellStyle name="40% - Accent3 2 4 5 6 3 2" xfId="35962" xr:uid="{00000000-0005-0000-0000-0000A3420000}"/>
    <cellStyle name="40% - Accent3 2 4 5 6 4" xfId="26264" xr:uid="{00000000-0005-0000-0000-0000A4420000}"/>
    <cellStyle name="40% - Accent3 2 4 5 7" xfId="7123" xr:uid="{00000000-0005-0000-0000-0000A5420000}"/>
    <cellStyle name="40% - Accent3 2 4 5 7 2" xfId="17119" xr:uid="{00000000-0005-0000-0000-0000A6420000}"/>
    <cellStyle name="40% - Accent3 2 4 5 7 2 2" xfId="36519" xr:uid="{00000000-0005-0000-0000-0000A7420000}"/>
    <cellStyle name="40% - Accent3 2 4 5 7 3" xfId="26821" xr:uid="{00000000-0005-0000-0000-0000A8420000}"/>
    <cellStyle name="40% - Accent3 2 4 5 8" xfId="12663" xr:uid="{00000000-0005-0000-0000-0000A9420000}"/>
    <cellStyle name="40% - Accent3 2 4 5 8 2" xfId="32064" xr:uid="{00000000-0005-0000-0000-0000AA420000}"/>
    <cellStyle name="40% - Accent3 2 4 5 9" xfId="22366" xr:uid="{00000000-0005-0000-0000-0000AB420000}"/>
    <cellStyle name="40% - Accent3 2 5" xfId="1289" xr:uid="{00000000-0005-0000-0000-0000AC420000}"/>
    <cellStyle name="40% - Accent3 2 5 2" xfId="2188" xr:uid="{00000000-0005-0000-0000-0000AD420000}"/>
    <cellStyle name="40% - Accent3 2 5 2 10" xfId="12664" xr:uid="{00000000-0005-0000-0000-0000AE420000}"/>
    <cellStyle name="40% - Accent3 2 5 2 10 2" xfId="32065" xr:uid="{00000000-0005-0000-0000-0000AF420000}"/>
    <cellStyle name="40% - Accent3 2 5 2 11" xfId="22367" xr:uid="{00000000-0005-0000-0000-0000B0420000}"/>
    <cellStyle name="40% - Accent3 2 5 2 2" xfId="2189" xr:uid="{00000000-0005-0000-0000-0000B1420000}"/>
    <cellStyle name="40% - Accent3 2 5 2 2 2" xfId="3176" xr:uid="{00000000-0005-0000-0000-0000B2420000}"/>
    <cellStyle name="40% - Accent3 2 5 2 2 2 2" xfId="5445" xr:uid="{00000000-0005-0000-0000-0000B3420000}"/>
    <cellStyle name="40% - Accent3 2 5 2 2 2 2 2" xfId="9909" xr:uid="{00000000-0005-0000-0000-0000B4420000}"/>
    <cellStyle name="40% - Accent3 2 5 2 2 2 2 2 2" xfId="19905" xr:uid="{00000000-0005-0000-0000-0000B5420000}"/>
    <cellStyle name="40% - Accent3 2 5 2 2 2 2 2 2 2" xfId="39305" xr:uid="{00000000-0005-0000-0000-0000B6420000}"/>
    <cellStyle name="40% - Accent3 2 5 2 2 2 2 2 3" xfId="29607" xr:uid="{00000000-0005-0000-0000-0000B7420000}"/>
    <cellStyle name="40% - Accent3 2 5 2 2 2 2 3" xfId="15450" xr:uid="{00000000-0005-0000-0000-0000B8420000}"/>
    <cellStyle name="40% - Accent3 2 5 2 2 2 2 3 2" xfId="34850" xr:uid="{00000000-0005-0000-0000-0000B9420000}"/>
    <cellStyle name="40% - Accent3 2 5 2 2 2 2 4" xfId="25152" xr:uid="{00000000-0005-0000-0000-0000BA420000}"/>
    <cellStyle name="40% - Accent3 2 5 2 2 2 3" xfId="7681" xr:uid="{00000000-0005-0000-0000-0000BB420000}"/>
    <cellStyle name="40% - Accent3 2 5 2 2 2 3 2" xfId="17677" xr:uid="{00000000-0005-0000-0000-0000BC420000}"/>
    <cellStyle name="40% - Accent3 2 5 2 2 2 3 2 2" xfId="37077" xr:uid="{00000000-0005-0000-0000-0000BD420000}"/>
    <cellStyle name="40% - Accent3 2 5 2 2 2 3 3" xfId="27379" xr:uid="{00000000-0005-0000-0000-0000BE420000}"/>
    <cellStyle name="40% - Accent3 2 5 2 2 2 4" xfId="13222" xr:uid="{00000000-0005-0000-0000-0000BF420000}"/>
    <cellStyle name="40% - Accent3 2 5 2 2 2 4 2" xfId="32622" xr:uid="{00000000-0005-0000-0000-0000C0420000}"/>
    <cellStyle name="40% - Accent3 2 5 2 2 2 5" xfId="22924" xr:uid="{00000000-0005-0000-0000-0000C1420000}"/>
    <cellStyle name="40% - Accent3 2 5 2 2 3" xfId="3759" xr:uid="{00000000-0005-0000-0000-0000C2420000}"/>
    <cellStyle name="40% - Accent3 2 5 2 2 3 2" xfId="4889" xr:uid="{00000000-0005-0000-0000-0000C3420000}"/>
    <cellStyle name="40% - Accent3 2 5 2 2 3 2 2" xfId="9353" xr:uid="{00000000-0005-0000-0000-0000C4420000}"/>
    <cellStyle name="40% - Accent3 2 5 2 2 3 2 2 2" xfId="19349" xr:uid="{00000000-0005-0000-0000-0000C5420000}"/>
    <cellStyle name="40% - Accent3 2 5 2 2 3 2 2 2 2" xfId="38749" xr:uid="{00000000-0005-0000-0000-0000C6420000}"/>
    <cellStyle name="40% - Accent3 2 5 2 2 3 2 2 3" xfId="29051" xr:uid="{00000000-0005-0000-0000-0000C7420000}"/>
    <cellStyle name="40% - Accent3 2 5 2 2 3 2 3" xfId="14894" xr:uid="{00000000-0005-0000-0000-0000C8420000}"/>
    <cellStyle name="40% - Accent3 2 5 2 2 3 2 3 2" xfId="34294" xr:uid="{00000000-0005-0000-0000-0000C9420000}"/>
    <cellStyle name="40% - Accent3 2 5 2 2 3 2 4" xfId="24596" xr:uid="{00000000-0005-0000-0000-0000CA420000}"/>
    <cellStyle name="40% - Accent3 2 5 2 2 3 3" xfId="8238" xr:uid="{00000000-0005-0000-0000-0000CB420000}"/>
    <cellStyle name="40% - Accent3 2 5 2 2 3 3 2" xfId="18234" xr:uid="{00000000-0005-0000-0000-0000CC420000}"/>
    <cellStyle name="40% - Accent3 2 5 2 2 3 3 2 2" xfId="37634" xr:uid="{00000000-0005-0000-0000-0000CD420000}"/>
    <cellStyle name="40% - Accent3 2 5 2 2 3 3 3" xfId="27936" xr:uid="{00000000-0005-0000-0000-0000CE420000}"/>
    <cellStyle name="40% - Accent3 2 5 2 2 3 4" xfId="13779" xr:uid="{00000000-0005-0000-0000-0000CF420000}"/>
    <cellStyle name="40% - Accent3 2 5 2 2 3 4 2" xfId="33179" xr:uid="{00000000-0005-0000-0000-0000D0420000}"/>
    <cellStyle name="40% - Accent3 2 5 2 2 3 5" xfId="23481" xr:uid="{00000000-0005-0000-0000-0000D1420000}"/>
    <cellStyle name="40% - Accent3 2 5 2 2 4" xfId="4332" xr:uid="{00000000-0005-0000-0000-0000D2420000}"/>
    <cellStyle name="40% - Accent3 2 5 2 2 4 2" xfId="8796" xr:uid="{00000000-0005-0000-0000-0000D3420000}"/>
    <cellStyle name="40% - Accent3 2 5 2 2 4 2 2" xfId="18792" xr:uid="{00000000-0005-0000-0000-0000D4420000}"/>
    <cellStyle name="40% - Accent3 2 5 2 2 4 2 2 2" xfId="38192" xr:uid="{00000000-0005-0000-0000-0000D5420000}"/>
    <cellStyle name="40% - Accent3 2 5 2 2 4 2 3" xfId="28494" xr:uid="{00000000-0005-0000-0000-0000D6420000}"/>
    <cellStyle name="40% - Accent3 2 5 2 2 4 3" xfId="14337" xr:uid="{00000000-0005-0000-0000-0000D7420000}"/>
    <cellStyle name="40% - Accent3 2 5 2 2 4 3 2" xfId="33737" xr:uid="{00000000-0005-0000-0000-0000D8420000}"/>
    <cellStyle name="40% - Accent3 2 5 2 2 4 4" xfId="24039" xr:uid="{00000000-0005-0000-0000-0000D9420000}"/>
    <cellStyle name="40% - Accent3 2 5 2 2 5" xfId="6002" xr:uid="{00000000-0005-0000-0000-0000DA420000}"/>
    <cellStyle name="40% - Accent3 2 5 2 2 5 2" xfId="10466" xr:uid="{00000000-0005-0000-0000-0000DB420000}"/>
    <cellStyle name="40% - Accent3 2 5 2 2 5 2 2" xfId="20462" xr:uid="{00000000-0005-0000-0000-0000DC420000}"/>
    <cellStyle name="40% - Accent3 2 5 2 2 5 2 2 2" xfId="39862" xr:uid="{00000000-0005-0000-0000-0000DD420000}"/>
    <cellStyle name="40% - Accent3 2 5 2 2 5 2 3" xfId="30164" xr:uid="{00000000-0005-0000-0000-0000DE420000}"/>
    <cellStyle name="40% - Accent3 2 5 2 2 5 3" xfId="16007" xr:uid="{00000000-0005-0000-0000-0000DF420000}"/>
    <cellStyle name="40% - Accent3 2 5 2 2 5 3 2" xfId="35407" xr:uid="{00000000-0005-0000-0000-0000E0420000}"/>
    <cellStyle name="40% - Accent3 2 5 2 2 5 4" xfId="25709" xr:uid="{00000000-0005-0000-0000-0000E1420000}"/>
    <cellStyle name="40% - Accent3 2 5 2 2 6" xfId="6568" xr:uid="{00000000-0005-0000-0000-0000E2420000}"/>
    <cellStyle name="40% - Accent3 2 5 2 2 6 2" xfId="11023" xr:uid="{00000000-0005-0000-0000-0000E3420000}"/>
    <cellStyle name="40% - Accent3 2 5 2 2 6 2 2" xfId="21019" xr:uid="{00000000-0005-0000-0000-0000E4420000}"/>
    <cellStyle name="40% - Accent3 2 5 2 2 6 2 2 2" xfId="40419" xr:uid="{00000000-0005-0000-0000-0000E5420000}"/>
    <cellStyle name="40% - Accent3 2 5 2 2 6 2 3" xfId="30721" xr:uid="{00000000-0005-0000-0000-0000E6420000}"/>
    <cellStyle name="40% - Accent3 2 5 2 2 6 3" xfId="16564" xr:uid="{00000000-0005-0000-0000-0000E7420000}"/>
    <cellStyle name="40% - Accent3 2 5 2 2 6 3 2" xfId="35964" xr:uid="{00000000-0005-0000-0000-0000E8420000}"/>
    <cellStyle name="40% - Accent3 2 5 2 2 6 4" xfId="26266" xr:uid="{00000000-0005-0000-0000-0000E9420000}"/>
    <cellStyle name="40% - Accent3 2 5 2 2 7" xfId="7125" xr:uid="{00000000-0005-0000-0000-0000EA420000}"/>
    <cellStyle name="40% - Accent3 2 5 2 2 7 2" xfId="17121" xr:uid="{00000000-0005-0000-0000-0000EB420000}"/>
    <cellStyle name="40% - Accent3 2 5 2 2 7 2 2" xfId="36521" xr:uid="{00000000-0005-0000-0000-0000EC420000}"/>
    <cellStyle name="40% - Accent3 2 5 2 2 7 3" xfId="26823" xr:uid="{00000000-0005-0000-0000-0000ED420000}"/>
    <cellStyle name="40% - Accent3 2 5 2 2 8" xfId="12665" xr:uid="{00000000-0005-0000-0000-0000EE420000}"/>
    <cellStyle name="40% - Accent3 2 5 2 2 8 2" xfId="32066" xr:uid="{00000000-0005-0000-0000-0000EF420000}"/>
    <cellStyle name="40% - Accent3 2 5 2 2 9" xfId="22368" xr:uid="{00000000-0005-0000-0000-0000F0420000}"/>
    <cellStyle name="40% - Accent3 2 5 2 3" xfId="2190" xr:uid="{00000000-0005-0000-0000-0000F1420000}"/>
    <cellStyle name="40% - Accent3 2 5 2 3 2" xfId="3177" xr:uid="{00000000-0005-0000-0000-0000F2420000}"/>
    <cellStyle name="40% - Accent3 2 5 2 3 2 2" xfId="5446" xr:uid="{00000000-0005-0000-0000-0000F3420000}"/>
    <cellStyle name="40% - Accent3 2 5 2 3 2 2 2" xfId="9910" xr:uid="{00000000-0005-0000-0000-0000F4420000}"/>
    <cellStyle name="40% - Accent3 2 5 2 3 2 2 2 2" xfId="19906" xr:uid="{00000000-0005-0000-0000-0000F5420000}"/>
    <cellStyle name="40% - Accent3 2 5 2 3 2 2 2 2 2" xfId="39306" xr:uid="{00000000-0005-0000-0000-0000F6420000}"/>
    <cellStyle name="40% - Accent3 2 5 2 3 2 2 2 3" xfId="29608" xr:uid="{00000000-0005-0000-0000-0000F7420000}"/>
    <cellStyle name="40% - Accent3 2 5 2 3 2 2 3" xfId="15451" xr:uid="{00000000-0005-0000-0000-0000F8420000}"/>
    <cellStyle name="40% - Accent3 2 5 2 3 2 2 3 2" xfId="34851" xr:uid="{00000000-0005-0000-0000-0000F9420000}"/>
    <cellStyle name="40% - Accent3 2 5 2 3 2 2 4" xfId="25153" xr:uid="{00000000-0005-0000-0000-0000FA420000}"/>
    <cellStyle name="40% - Accent3 2 5 2 3 2 3" xfId="7682" xr:uid="{00000000-0005-0000-0000-0000FB420000}"/>
    <cellStyle name="40% - Accent3 2 5 2 3 2 3 2" xfId="17678" xr:uid="{00000000-0005-0000-0000-0000FC420000}"/>
    <cellStyle name="40% - Accent3 2 5 2 3 2 3 2 2" xfId="37078" xr:uid="{00000000-0005-0000-0000-0000FD420000}"/>
    <cellStyle name="40% - Accent3 2 5 2 3 2 3 3" xfId="27380" xr:uid="{00000000-0005-0000-0000-0000FE420000}"/>
    <cellStyle name="40% - Accent3 2 5 2 3 2 4" xfId="13223" xr:uid="{00000000-0005-0000-0000-0000FF420000}"/>
    <cellStyle name="40% - Accent3 2 5 2 3 2 4 2" xfId="32623" xr:uid="{00000000-0005-0000-0000-000000430000}"/>
    <cellStyle name="40% - Accent3 2 5 2 3 2 5" xfId="22925" xr:uid="{00000000-0005-0000-0000-000001430000}"/>
    <cellStyle name="40% - Accent3 2 5 2 3 3" xfId="3760" xr:uid="{00000000-0005-0000-0000-000002430000}"/>
    <cellStyle name="40% - Accent3 2 5 2 3 3 2" xfId="4890" xr:uid="{00000000-0005-0000-0000-000003430000}"/>
    <cellStyle name="40% - Accent3 2 5 2 3 3 2 2" xfId="9354" xr:uid="{00000000-0005-0000-0000-000004430000}"/>
    <cellStyle name="40% - Accent3 2 5 2 3 3 2 2 2" xfId="19350" xr:uid="{00000000-0005-0000-0000-000005430000}"/>
    <cellStyle name="40% - Accent3 2 5 2 3 3 2 2 2 2" xfId="38750" xr:uid="{00000000-0005-0000-0000-000006430000}"/>
    <cellStyle name="40% - Accent3 2 5 2 3 3 2 2 3" xfId="29052" xr:uid="{00000000-0005-0000-0000-000007430000}"/>
    <cellStyle name="40% - Accent3 2 5 2 3 3 2 3" xfId="14895" xr:uid="{00000000-0005-0000-0000-000008430000}"/>
    <cellStyle name="40% - Accent3 2 5 2 3 3 2 3 2" xfId="34295" xr:uid="{00000000-0005-0000-0000-000009430000}"/>
    <cellStyle name="40% - Accent3 2 5 2 3 3 2 4" xfId="24597" xr:uid="{00000000-0005-0000-0000-00000A430000}"/>
    <cellStyle name="40% - Accent3 2 5 2 3 3 3" xfId="8239" xr:uid="{00000000-0005-0000-0000-00000B430000}"/>
    <cellStyle name="40% - Accent3 2 5 2 3 3 3 2" xfId="18235" xr:uid="{00000000-0005-0000-0000-00000C430000}"/>
    <cellStyle name="40% - Accent3 2 5 2 3 3 3 2 2" xfId="37635" xr:uid="{00000000-0005-0000-0000-00000D430000}"/>
    <cellStyle name="40% - Accent3 2 5 2 3 3 3 3" xfId="27937" xr:uid="{00000000-0005-0000-0000-00000E430000}"/>
    <cellStyle name="40% - Accent3 2 5 2 3 3 4" xfId="13780" xr:uid="{00000000-0005-0000-0000-00000F430000}"/>
    <cellStyle name="40% - Accent3 2 5 2 3 3 4 2" xfId="33180" xr:uid="{00000000-0005-0000-0000-000010430000}"/>
    <cellStyle name="40% - Accent3 2 5 2 3 3 5" xfId="23482" xr:uid="{00000000-0005-0000-0000-000011430000}"/>
    <cellStyle name="40% - Accent3 2 5 2 3 4" xfId="4333" xr:uid="{00000000-0005-0000-0000-000012430000}"/>
    <cellStyle name="40% - Accent3 2 5 2 3 4 2" xfId="8797" xr:uid="{00000000-0005-0000-0000-000013430000}"/>
    <cellStyle name="40% - Accent3 2 5 2 3 4 2 2" xfId="18793" xr:uid="{00000000-0005-0000-0000-000014430000}"/>
    <cellStyle name="40% - Accent3 2 5 2 3 4 2 2 2" xfId="38193" xr:uid="{00000000-0005-0000-0000-000015430000}"/>
    <cellStyle name="40% - Accent3 2 5 2 3 4 2 3" xfId="28495" xr:uid="{00000000-0005-0000-0000-000016430000}"/>
    <cellStyle name="40% - Accent3 2 5 2 3 4 3" xfId="14338" xr:uid="{00000000-0005-0000-0000-000017430000}"/>
    <cellStyle name="40% - Accent3 2 5 2 3 4 3 2" xfId="33738" xr:uid="{00000000-0005-0000-0000-000018430000}"/>
    <cellStyle name="40% - Accent3 2 5 2 3 4 4" xfId="24040" xr:uid="{00000000-0005-0000-0000-000019430000}"/>
    <cellStyle name="40% - Accent3 2 5 2 3 5" xfId="6003" xr:uid="{00000000-0005-0000-0000-00001A430000}"/>
    <cellStyle name="40% - Accent3 2 5 2 3 5 2" xfId="10467" xr:uid="{00000000-0005-0000-0000-00001B430000}"/>
    <cellStyle name="40% - Accent3 2 5 2 3 5 2 2" xfId="20463" xr:uid="{00000000-0005-0000-0000-00001C430000}"/>
    <cellStyle name="40% - Accent3 2 5 2 3 5 2 2 2" xfId="39863" xr:uid="{00000000-0005-0000-0000-00001D430000}"/>
    <cellStyle name="40% - Accent3 2 5 2 3 5 2 3" xfId="30165" xr:uid="{00000000-0005-0000-0000-00001E430000}"/>
    <cellStyle name="40% - Accent3 2 5 2 3 5 3" xfId="16008" xr:uid="{00000000-0005-0000-0000-00001F430000}"/>
    <cellStyle name="40% - Accent3 2 5 2 3 5 3 2" xfId="35408" xr:uid="{00000000-0005-0000-0000-000020430000}"/>
    <cellStyle name="40% - Accent3 2 5 2 3 5 4" xfId="25710" xr:uid="{00000000-0005-0000-0000-000021430000}"/>
    <cellStyle name="40% - Accent3 2 5 2 3 6" xfId="6569" xr:uid="{00000000-0005-0000-0000-000022430000}"/>
    <cellStyle name="40% - Accent3 2 5 2 3 6 2" xfId="11024" xr:uid="{00000000-0005-0000-0000-000023430000}"/>
    <cellStyle name="40% - Accent3 2 5 2 3 6 2 2" xfId="21020" xr:uid="{00000000-0005-0000-0000-000024430000}"/>
    <cellStyle name="40% - Accent3 2 5 2 3 6 2 2 2" xfId="40420" xr:uid="{00000000-0005-0000-0000-000025430000}"/>
    <cellStyle name="40% - Accent3 2 5 2 3 6 2 3" xfId="30722" xr:uid="{00000000-0005-0000-0000-000026430000}"/>
    <cellStyle name="40% - Accent3 2 5 2 3 6 3" xfId="16565" xr:uid="{00000000-0005-0000-0000-000027430000}"/>
    <cellStyle name="40% - Accent3 2 5 2 3 6 3 2" xfId="35965" xr:uid="{00000000-0005-0000-0000-000028430000}"/>
    <cellStyle name="40% - Accent3 2 5 2 3 6 4" xfId="26267" xr:uid="{00000000-0005-0000-0000-000029430000}"/>
    <cellStyle name="40% - Accent3 2 5 2 3 7" xfId="7126" xr:uid="{00000000-0005-0000-0000-00002A430000}"/>
    <cellStyle name="40% - Accent3 2 5 2 3 7 2" xfId="17122" xr:uid="{00000000-0005-0000-0000-00002B430000}"/>
    <cellStyle name="40% - Accent3 2 5 2 3 7 2 2" xfId="36522" xr:uid="{00000000-0005-0000-0000-00002C430000}"/>
    <cellStyle name="40% - Accent3 2 5 2 3 7 3" xfId="26824" xr:uid="{00000000-0005-0000-0000-00002D430000}"/>
    <cellStyle name="40% - Accent3 2 5 2 3 8" xfId="12666" xr:uid="{00000000-0005-0000-0000-00002E430000}"/>
    <cellStyle name="40% - Accent3 2 5 2 3 8 2" xfId="32067" xr:uid="{00000000-0005-0000-0000-00002F430000}"/>
    <cellStyle name="40% - Accent3 2 5 2 3 9" xfId="22369" xr:uid="{00000000-0005-0000-0000-000030430000}"/>
    <cellStyle name="40% - Accent3 2 5 2 4" xfId="3175" xr:uid="{00000000-0005-0000-0000-000031430000}"/>
    <cellStyle name="40% - Accent3 2 5 2 4 2" xfId="5444" xr:uid="{00000000-0005-0000-0000-000032430000}"/>
    <cellStyle name="40% - Accent3 2 5 2 4 2 2" xfId="9908" xr:uid="{00000000-0005-0000-0000-000033430000}"/>
    <cellStyle name="40% - Accent3 2 5 2 4 2 2 2" xfId="19904" xr:uid="{00000000-0005-0000-0000-000034430000}"/>
    <cellStyle name="40% - Accent3 2 5 2 4 2 2 2 2" xfId="39304" xr:uid="{00000000-0005-0000-0000-000035430000}"/>
    <cellStyle name="40% - Accent3 2 5 2 4 2 2 3" xfId="29606" xr:uid="{00000000-0005-0000-0000-000036430000}"/>
    <cellStyle name="40% - Accent3 2 5 2 4 2 3" xfId="15449" xr:uid="{00000000-0005-0000-0000-000037430000}"/>
    <cellStyle name="40% - Accent3 2 5 2 4 2 3 2" xfId="34849" xr:uid="{00000000-0005-0000-0000-000038430000}"/>
    <cellStyle name="40% - Accent3 2 5 2 4 2 4" xfId="25151" xr:uid="{00000000-0005-0000-0000-000039430000}"/>
    <cellStyle name="40% - Accent3 2 5 2 4 3" xfId="7680" xr:uid="{00000000-0005-0000-0000-00003A430000}"/>
    <cellStyle name="40% - Accent3 2 5 2 4 3 2" xfId="17676" xr:uid="{00000000-0005-0000-0000-00003B430000}"/>
    <cellStyle name="40% - Accent3 2 5 2 4 3 2 2" xfId="37076" xr:uid="{00000000-0005-0000-0000-00003C430000}"/>
    <cellStyle name="40% - Accent3 2 5 2 4 3 3" xfId="27378" xr:uid="{00000000-0005-0000-0000-00003D430000}"/>
    <cellStyle name="40% - Accent3 2 5 2 4 4" xfId="13221" xr:uid="{00000000-0005-0000-0000-00003E430000}"/>
    <cellStyle name="40% - Accent3 2 5 2 4 4 2" xfId="32621" xr:uid="{00000000-0005-0000-0000-00003F430000}"/>
    <cellStyle name="40% - Accent3 2 5 2 4 5" xfId="22923" xr:uid="{00000000-0005-0000-0000-000040430000}"/>
    <cellStyle name="40% - Accent3 2 5 2 5" xfId="3758" xr:uid="{00000000-0005-0000-0000-000041430000}"/>
    <cellStyle name="40% - Accent3 2 5 2 5 2" xfId="4888" xr:uid="{00000000-0005-0000-0000-000042430000}"/>
    <cellStyle name="40% - Accent3 2 5 2 5 2 2" xfId="9352" xr:uid="{00000000-0005-0000-0000-000043430000}"/>
    <cellStyle name="40% - Accent3 2 5 2 5 2 2 2" xfId="19348" xr:uid="{00000000-0005-0000-0000-000044430000}"/>
    <cellStyle name="40% - Accent3 2 5 2 5 2 2 2 2" xfId="38748" xr:uid="{00000000-0005-0000-0000-000045430000}"/>
    <cellStyle name="40% - Accent3 2 5 2 5 2 2 3" xfId="29050" xr:uid="{00000000-0005-0000-0000-000046430000}"/>
    <cellStyle name="40% - Accent3 2 5 2 5 2 3" xfId="14893" xr:uid="{00000000-0005-0000-0000-000047430000}"/>
    <cellStyle name="40% - Accent3 2 5 2 5 2 3 2" xfId="34293" xr:uid="{00000000-0005-0000-0000-000048430000}"/>
    <cellStyle name="40% - Accent3 2 5 2 5 2 4" xfId="24595" xr:uid="{00000000-0005-0000-0000-000049430000}"/>
    <cellStyle name="40% - Accent3 2 5 2 5 3" xfId="8237" xr:uid="{00000000-0005-0000-0000-00004A430000}"/>
    <cellStyle name="40% - Accent3 2 5 2 5 3 2" xfId="18233" xr:uid="{00000000-0005-0000-0000-00004B430000}"/>
    <cellStyle name="40% - Accent3 2 5 2 5 3 2 2" xfId="37633" xr:uid="{00000000-0005-0000-0000-00004C430000}"/>
    <cellStyle name="40% - Accent3 2 5 2 5 3 3" xfId="27935" xr:uid="{00000000-0005-0000-0000-00004D430000}"/>
    <cellStyle name="40% - Accent3 2 5 2 5 4" xfId="13778" xr:uid="{00000000-0005-0000-0000-00004E430000}"/>
    <cellStyle name="40% - Accent3 2 5 2 5 4 2" xfId="33178" xr:uid="{00000000-0005-0000-0000-00004F430000}"/>
    <cellStyle name="40% - Accent3 2 5 2 5 5" xfId="23480" xr:uid="{00000000-0005-0000-0000-000050430000}"/>
    <cellStyle name="40% - Accent3 2 5 2 6" xfId="4331" xr:uid="{00000000-0005-0000-0000-000051430000}"/>
    <cellStyle name="40% - Accent3 2 5 2 6 2" xfId="8795" xr:uid="{00000000-0005-0000-0000-000052430000}"/>
    <cellStyle name="40% - Accent3 2 5 2 6 2 2" xfId="18791" xr:uid="{00000000-0005-0000-0000-000053430000}"/>
    <cellStyle name="40% - Accent3 2 5 2 6 2 2 2" xfId="38191" xr:uid="{00000000-0005-0000-0000-000054430000}"/>
    <cellStyle name="40% - Accent3 2 5 2 6 2 3" xfId="28493" xr:uid="{00000000-0005-0000-0000-000055430000}"/>
    <cellStyle name="40% - Accent3 2 5 2 6 3" xfId="14336" xr:uid="{00000000-0005-0000-0000-000056430000}"/>
    <cellStyle name="40% - Accent3 2 5 2 6 3 2" xfId="33736" xr:uid="{00000000-0005-0000-0000-000057430000}"/>
    <cellStyle name="40% - Accent3 2 5 2 6 4" xfId="24038" xr:uid="{00000000-0005-0000-0000-000058430000}"/>
    <cellStyle name="40% - Accent3 2 5 2 7" xfId="6001" xr:uid="{00000000-0005-0000-0000-000059430000}"/>
    <cellStyle name="40% - Accent3 2 5 2 7 2" xfId="10465" xr:uid="{00000000-0005-0000-0000-00005A430000}"/>
    <cellStyle name="40% - Accent3 2 5 2 7 2 2" xfId="20461" xr:uid="{00000000-0005-0000-0000-00005B430000}"/>
    <cellStyle name="40% - Accent3 2 5 2 7 2 2 2" xfId="39861" xr:uid="{00000000-0005-0000-0000-00005C430000}"/>
    <cellStyle name="40% - Accent3 2 5 2 7 2 3" xfId="30163" xr:uid="{00000000-0005-0000-0000-00005D430000}"/>
    <cellStyle name="40% - Accent3 2 5 2 7 3" xfId="16006" xr:uid="{00000000-0005-0000-0000-00005E430000}"/>
    <cellStyle name="40% - Accent3 2 5 2 7 3 2" xfId="35406" xr:uid="{00000000-0005-0000-0000-00005F430000}"/>
    <cellStyle name="40% - Accent3 2 5 2 7 4" xfId="25708" xr:uid="{00000000-0005-0000-0000-000060430000}"/>
    <cellStyle name="40% - Accent3 2 5 2 8" xfId="6567" xr:uid="{00000000-0005-0000-0000-000061430000}"/>
    <cellStyle name="40% - Accent3 2 5 2 8 2" xfId="11022" xr:uid="{00000000-0005-0000-0000-000062430000}"/>
    <cellStyle name="40% - Accent3 2 5 2 8 2 2" xfId="21018" xr:uid="{00000000-0005-0000-0000-000063430000}"/>
    <cellStyle name="40% - Accent3 2 5 2 8 2 2 2" xfId="40418" xr:uid="{00000000-0005-0000-0000-000064430000}"/>
    <cellStyle name="40% - Accent3 2 5 2 8 2 3" xfId="30720" xr:uid="{00000000-0005-0000-0000-000065430000}"/>
    <cellStyle name="40% - Accent3 2 5 2 8 3" xfId="16563" xr:uid="{00000000-0005-0000-0000-000066430000}"/>
    <cellStyle name="40% - Accent3 2 5 2 8 3 2" xfId="35963" xr:uid="{00000000-0005-0000-0000-000067430000}"/>
    <cellStyle name="40% - Accent3 2 5 2 8 4" xfId="26265" xr:uid="{00000000-0005-0000-0000-000068430000}"/>
    <cellStyle name="40% - Accent3 2 5 2 9" xfId="7124" xr:uid="{00000000-0005-0000-0000-000069430000}"/>
    <cellStyle name="40% - Accent3 2 5 2 9 2" xfId="17120" xr:uid="{00000000-0005-0000-0000-00006A430000}"/>
    <cellStyle name="40% - Accent3 2 5 2 9 2 2" xfId="36520" xr:uid="{00000000-0005-0000-0000-00006B430000}"/>
    <cellStyle name="40% - Accent3 2 5 2 9 3" xfId="26822" xr:uid="{00000000-0005-0000-0000-00006C430000}"/>
    <cellStyle name="40% - Accent3 2 5 3" xfId="2191" xr:uid="{00000000-0005-0000-0000-00006D430000}"/>
    <cellStyle name="40% - Accent3 2 5 3 2" xfId="3178" xr:uid="{00000000-0005-0000-0000-00006E430000}"/>
    <cellStyle name="40% - Accent3 2 5 3 2 2" xfId="5447" xr:uid="{00000000-0005-0000-0000-00006F430000}"/>
    <cellStyle name="40% - Accent3 2 5 3 2 2 2" xfId="9911" xr:uid="{00000000-0005-0000-0000-000070430000}"/>
    <cellStyle name="40% - Accent3 2 5 3 2 2 2 2" xfId="19907" xr:uid="{00000000-0005-0000-0000-000071430000}"/>
    <cellStyle name="40% - Accent3 2 5 3 2 2 2 2 2" xfId="39307" xr:uid="{00000000-0005-0000-0000-000072430000}"/>
    <cellStyle name="40% - Accent3 2 5 3 2 2 2 3" xfId="29609" xr:uid="{00000000-0005-0000-0000-000073430000}"/>
    <cellStyle name="40% - Accent3 2 5 3 2 2 3" xfId="15452" xr:uid="{00000000-0005-0000-0000-000074430000}"/>
    <cellStyle name="40% - Accent3 2 5 3 2 2 3 2" xfId="34852" xr:uid="{00000000-0005-0000-0000-000075430000}"/>
    <cellStyle name="40% - Accent3 2 5 3 2 2 4" xfId="25154" xr:uid="{00000000-0005-0000-0000-000076430000}"/>
    <cellStyle name="40% - Accent3 2 5 3 2 3" xfId="7683" xr:uid="{00000000-0005-0000-0000-000077430000}"/>
    <cellStyle name="40% - Accent3 2 5 3 2 3 2" xfId="17679" xr:uid="{00000000-0005-0000-0000-000078430000}"/>
    <cellStyle name="40% - Accent3 2 5 3 2 3 2 2" xfId="37079" xr:uid="{00000000-0005-0000-0000-000079430000}"/>
    <cellStyle name="40% - Accent3 2 5 3 2 3 3" xfId="27381" xr:uid="{00000000-0005-0000-0000-00007A430000}"/>
    <cellStyle name="40% - Accent3 2 5 3 2 4" xfId="13224" xr:uid="{00000000-0005-0000-0000-00007B430000}"/>
    <cellStyle name="40% - Accent3 2 5 3 2 4 2" xfId="32624" xr:uid="{00000000-0005-0000-0000-00007C430000}"/>
    <cellStyle name="40% - Accent3 2 5 3 2 5" xfId="22926" xr:uid="{00000000-0005-0000-0000-00007D430000}"/>
    <cellStyle name="40% - Accent3 2 5 3 3" xfId="3761" xr:uid="{00000000-0005-0000-0000-00007E430000}"/>
    <cellStyle name="40% - Accent3 2 5 3 3 2" xfId="4891" xr:uid="{00000000-0005-0000-0000-00007F430000}"/>
    <cellStyle name="40% - Accent3 2 5 3 3 2 2" xfId="9355" xr:uid="{00000000-0005-0000-0000-000080430000}"/>
    <cellStyle name="40% - Accent3 2 5 3 3 2 2 2" xfId="19351" xr:uid="{00000000-0005-0000-0000-000081430000}"/>
    <cellStyle name="40% - Accent3 2 5 3 3 2 2 2 2" xfId="38751" xr:uid="{00000000-0005-0000-0000-000082430000}"/>
    <cellStyle name="40% - Accent3 2 5 3 3 2 2 3" xfId="29053" xr:uid="{00000000-0005-0000-0000-000083430000}"/>
    <cellStyle name="40% - Accent3 2 5 3 3 2 3" xfId="14896" xr:uid="{00000000-0005-0000-0000-000084430000}"/>
    <cellStyle name="40% - Accent3 2 5 3 3 2 3 2" xfId="34296" xr:uid="{00000000-0005-0000-0000-000085430000}"/>
    <cellStyle name="40% - Accent3 2 5 3 3 2 4" xfId="24598" xr:uid="{00000000-0005-0000-0000-000086430000}"/>
    <cellStyle name="40% - Accent3 2 5 3 3 3" xfId="8240" xr:uid="{00000000-0005-0000-0000-000087430000}"/>
    <cellStyle name="40% - Accent3 2 5 3 3 3 2" xfId="18236" xr:uid="{00000000-0005-0000-0000-000088430000}"/>
    <cellStyle name="40% - Accent3 2 5 3 3 3 2 2" xfId="37636" xr:uid="{00000000-0005-0000-0000-000089430000}"/>
    <cellStyle name="40% - Accent3 2 5 3 3 3 3" xfId="27938" xr:uid="{00000000-0005-0000-0000-00008A430000}"/>
    <cellStyle name="40% - Accent3 2 5 3 3 4" xfId="13781" xr:uid="{00000000-0005-0000-0000-00008B430000}"/>
    <cellStyle name="40% - Accent3 2 5 3 3 4 2" xfId="33181" xr:uid="{00000000-0005-0000-0000-00008C430000}"/>
    <cellStyle name="40% - Accent3 2 5 3 3 5" xfId="23483" xr:uid="{00000000-0005-0000-0000-00008D430000}"/>
    <cellStyle name="40% - Accent3 2 5 3 4" xfId="4334" xr:uid="{00000000-0005-0000-0000-00008E430000}"/>
    <cellStyle name="40% - Accent3 2 5 3 4 2" xfId="8798" xr:uid="{00000000-0005-0000-0000-00008F430000}"/>
    <cellStyle name="40% - Accent3 2 5 3 4 2 2" xfId="18794" xr:uid="{00000000-0005-0000-0000-000090430000}"/>
    <cellStyle name="40% - Accent3 2 5 3 4 2 2 2" xfId="38194" xr:uid="{00000000-0005-0000-0000-000091430000}"/>
    <cellStyle name="40% - Accent3 2 5 3 4 2 3" xfId="28496" xr:uid="{00000000-0005-0000-0000-000092430000}"/>
    <cellStyle name="40% - Accent3 2 5 3 4 3" xfId="14339" xr:uid="{00000000-0005-0000-0000-000093430000}"/>
    <cellStyle name="40% - Accent3 2 5 3 4 3 2" xfId="33739" xr:uid="{00000000-0005-0000-0000-000094430000}"/>
    <cellStyle name="40% - Accent3 2 5 3 4 4" xfId="24041" xr:uid="{00000000-0005-0000-0000-000095430000}"/>
    <cellStyle name="40% - Accent3 2 5 3 5" xfId="6004" xr:uid="{00000000-0005-0000-0000-000096430000}"/>
    <cellStyle name="40% - Accent3 2 5 3 5 2" xfId="10468" xr:uid="{00000000-0005-0000-0000-000097430000}"/>
    <cellStyle name="40% - Accent3 2 5 3 5 2 2" xfId="20464" xr:uid="{00000000-0005-0000-0000-000098430000}"/>
    <cellStyle name="40% - Accent3 2 5 3 5 2 2 2" xfId="39864" xr:uid="{00000000-0005-0000-0000-000099430000}"/>
    <cellStyle name="40% - Accent3 2 5 3 5 2 3" xfId="30166" xr:uid="{00000000-0005-0000-0000-00009A430000}"/>
    <cellStyle name="40% - Accent3 2 5 3 5 3" xfId="16009" xr:uid="{00000000-0005-0000-0000-00009B430000}"/>
    <cellStyle name="40% - Accent3 2 5 3 5 3 2" xfId="35409" xr:uid="{00000000-0005-0000-0000-00009C430000}"/>
    <cellStyle name="40% - Accent3 2 5 3 5 4" xfId="25711" xr:uid="{00000000-0005-0000-0000-00009D430000}"/>
    <cellStyle name="40% - Accent3 2 5 3 6" xfId="6570" xr:uid="{00000000-0005-0000-0000-00009E430000}"/>
    <cellStyle name="40% - Accent3 2 5 3 6 2" xfId="11025" xr:uid="{00000000-0005-0000-0000-00009F430000}"/>
    <cellStyle name="40% - Accent3 2 5 3 6 2 2" xfId="21021" xr:uid="{00000000-0005-0000-0000-0000A0430000}"/>
    <cellStyle name="40% - Accent3 2 5 3 6 2 2 2" xfId="40421" xr:uid="{00000000-0005-0000-0000-0000A1430000}"/>
    <cellStyle name="40% - Accent3 2 5 3 6 2 3" xfId="30723" xr:uid="{00000000-0005-0000-0000-0000A2430000}"/>
    <cellStyle name="40% - Accent3 2 5 3 6 3" xfId="16566" xr:uid="{00000000-0005-0000-0000-0000A3430000}"/>
    <cellStyle name="40% - Accent3 2 5 3 6 3 2" xfId="35966" xr:uid="{00000000-0005-0000-0000-0000A4430000}"/>
    <cellStyle name="40% - Accent3 2 5 3 6 4" xfId="26268" xr:uid="{00000000-0005-0000-0000-0000A5430000}"/>
    <cellStyle name="40% - Accent3 2 5 3 7" xfId="7127" xr:uid="{00000000-0005-0000-0000-0000A6430000}"/>
    <cellStyle name="40% - Accent3 2 5 3 7 2" xfId="17123" xr:uid="{00000000-0005-0000-0000-0000A7430000}"/>
    <cellStyle name="40% - Accent3 2 5 3 7 2 2" xfId="36523" xr:uid="{00000000-0005-0000-0000-0000A8430000}"/>
    <cellStyle name="40% - Accent3 2 5 3 7 3" xfId="26825" xr:uid="{00000000-0005-0000-0000-0000A9430000}"/>
    <cellStyle name="40% - Accent3 2 5 3 8" xfId="12667" xr:uid="{00000000-0005-0000-0000-0000AA430000}"/>
    <cellStyle name="40% - Accent3 2 5 3 8 2" xfId="32068" xr:uid="{00000000-0005-0000-0000-0000AB430000}"/>
    <cellStyle name="40% - Accent3 2 5 3 9" xfId="22370" xr:uid="{00000000-0005-0000-0000-0000AC430000}"/>
    <cellStyle name="40% - Accent3 2 5 4" xfId="2192" xr:uid="{00000000-0005-0000-0000-0000AD430000}"/>
    <cellStyle name="40% - Accent3 2 5 4 2" xfId="3179" xr:uid="{00000000-0005-0000-0000-0000AE430000}"/>
    <cellStyle name="40% - Accent3 2 5 4 2 2" xfId="5448" xr:uid="{00000000-0005-0000-0000-0000AF430000}"/>
    <cellStyle name="40% - Accent3 2 5 4 2 2 2" xfId="9912" xr:uid="{00000000-0005-0000-0000-0000B0430000}"/>
    <cellStyle name="40% - Accent3 2 5 4 2 2 2 2" xfId="19908" xr:uid="{00000000-0005-0000-0000-0000B1430000}"/>
    <cellStyle name="40% - Accent3 2 5 4 2 2 2 2 2" xfId="39308" xr:uid="{00000000-0005-0000-0000-0000B2430000}"/>
    <cellStyle name="40% - Accent3 2 5 4 2 2 2 3" xfId="29610" xr:uid="{00000000-0005-0000-0000-0000B3430000}"/>
    <cellStyle name="40% - Accent3 2 5 4 2 2 3" xfId="15453" xr:uid="{00000000-0005-0000-0000-0000B4430000}"/>
    <cellStyle name="40% - Accent3 2 5 4 2 2 3 2" xfId="34853" xr:uid="{00000000-0005-0000-0000-0000B5430000}"/>
    <cellStyle name="40% - Accent3 2 5 4 2 2 4" xfId="25155" xr:uid="{00000000-0005-0000-0000-0000B6430000}"/>
    <cellStyle name="40% - Accent3 2 5 4 2 3" xfId="7684" xr:uid="{00000000-0005-0000-0000-0000B7430000}"/>
    <cellStyle name="40% - Accent3 2 5 4 2 3 2" xfId="17680" xr:uid="{00000000-0005-0000-0000-0000B8430000}"/>
    <cellStyle name="40% - Accent3 2 5 4 2 3 2 2" xfId="37080" xr:uid="{00000000-0005-0000-0000-0000B9430000}"/>
    <cellStyle name="40% - Accent3 2 5 4 2 3 3" xfId="27382" xr:uid="{00000000-0005-0000-0000-0000BA430000}"/>
    <cellStyle name="40% - Accent3 2 5 4 2 4" xfId="13225" xr:uid="{00000000-0005-0000-0000-0000BB430000}"/>
    <cellStyle name="40% - Accent3 2 5 4 2 4 2" xfId="32625" xr:uid="{00000000-0005-0000-0000-0000BC430000}"/>
    <cellStyle name="40% - Accent3 2 5 4 2 5" xfId="22927" xr:uid="{00000000-0005-0000-0000-0000BD430000}"/>
    <cellStyle name="40% - Accent3 2 5 4 3" xfId="3762" xr:uid="{00000000-0005-0000-0000-0000BE430000}"/>
    <cellStyle name="40% - Accent3 2 5 4 3 2" xfId="4892" xr:uid="{00000000-0005-0000-0000-0000BF430000}"/>
    <cellStyle name="40% - Accent3 2 5 4 3 2 2" xfId="9356" xr:uid="{00000000-0005-0000-0000-0000C0430000}"/>
    <cellStyle name="40% - Accent3 2 5 4 3 2 2 2" xfId="19352" xr:uid="{00000000-0005-0000-0000-0000C1430000}"/>
    <cellStyle name="40% - Accent3 2 5 4 3 2 2 2 2" xfId="38752" xr:uid="{00000000-0005-0000-0000-0000C2430000}"/>
    <cellStyle name="40% - Accent3 2 5 4 3 2 2 3" xfId="29054" xr:uid="{00000000-0005-0000-0000-0000C3430000}"/>
    <cellStyle name="40% - Accent3 2 5 4 3 2 3" xfId="14897" xr:uid="{00000000-0005-0000-0000-0000C4430000}"/>
    <cellStyle name="40% - Accent3 2 5 4 3 2 3 2" xfId="34297" xr:uid="{00000000-0005-0000-0000-0000C5430000}"/>
    <cellStyle name="40% - Accent3 2 5 4 3 2 4" xfId="24599" xr:uid="{00000000-0005-0000-0000-0000C6430000}"/>
    <cellStyle name="40% - Accent3 2 5 4 3 3" xfId="8241" xr:uid="{00000000-0005-0000-0000-0000C7430000}"/>
    <cellStyle name="40% - Accent3 2 5 4 3 3 2" xfId="18237" xr:uid="{00000000-0005-0000-0000-0000C8430000}"/>
    <cellStyle name="40% - Accent3 2 5 4 3 3 2 2" xfId="37637" xr:uid="{00000000-0005-0000-0000-0000C9430000}"/>
    <cellStyle name="40% - Accent3 2 5 4 3 3 3" xfId="27939" xr:uid="{00000000-0005-0000-0000-0000CA430000}"/>
    <cellStyle name="40% - Accent3 2 5 4 3 4" xfId="13782" xr:uid="{00000000-0005-0000-0000-0000CB430000}"/>
    <cellStyle name="40% - Accent3 2 5 4 3 4 2" xfId="33182" xr:uid="{00000000-0005-0000-0000-0000CC430000}"/>
    <cellStyle name="40% - Accent3 2 5 4 3 5" xfId="23484" xr:uid="{00000000-0005-0000-0000-0000CD430000}"/>
    <cellStyle name="40% - Accent3 2 5 4 4" xfId="4335" xr:uid="{00000000-0005-0000-0000-0000CE430000}"/>
    <cellStyle name="40% - Accent3 2 5 4 4 2" xfId="8799" xr:uid="{00000000-0005-0000-0000-0000CF430000}"/>
    <cellStyle name="40% - Accent3 2 5 4 4 2 2" xfId="18795" xr:uid="{00000000-0005-0000-0000-0000D0430000}"/>
    <cellStyle name="40% - Accent3 2 5 4 4 2 2 2" xfId="38195" xr:uid="{00000000-0005-0000-0000-0000D1430000}"/>
    <cellStyle name="40% - Accent3 2 5 4 4 2 3" xfId="28497" xr:uid="{00000000-0005-0000-0000-0000D2430000}"/>
    <cellStyle name="40% - Accent3 2 5 4 4 3" xfId="14340" xr:uid="{00000000-0005-0000-0000-0000D3430000}"/>
    <cellStyle name="40% - Accent3 2 5 4 4 3 2" xfId="33740" xr:uid="{00000000-0005-0000-0000-0000D4430000}"/>
    <cellStyle name="40% - Accent3 2 5 4 4 4" xfId="24042" xr:uid="{00000000-0005-0000-0000-0000D5430000}"/>
    <cellStyle name="40% - Accent3 2 5 4 5" xfId="6005" xr:uid="{00000000-0005-0000-0000-0000D6430000}"/>
    <cellStyle name="40% - Accent3 2 5 4 5 2" xfId="10469" xr:uid="{00000000-0005-0000-0000-0000D7430000}"/>
    <cellStyle name="40% - Accent3 2 5 4 5 2 2" xfId="20465" xr:uid="{00000000-0005-0000-0000-0000D8430000}"/>
    <cellStyle name="40% - Accent3 2 5 4 5 2 2 2" xfId="39865" xr:uid="{00000000-0005-0000-0000-0000D9430000}"/>
    <cellStyle name="40% - Accent3 2 5 4 5 2 3" xfId="30167" xr:uid="{00000000-0005-0000-0000-0000DA430000}"/>
    <cellStyle name="40% - Accent3 2 5 4 5 3" xfId="16010" xr:uid="{00000000-0005-0000-0000-0000DB430000}"/>
    <cellStyle name="40% - Accent3 2 5 4 5 3 2" xfId="35410" xr:uid="{00000000-0005-0000-0000-0000DC430000}"/>
    <cellStyle name="40% - Accent3 2 5 4 5 4" xfId="25712" xr:uid="{00000000-0005-0000-0000-0000DD430000}"/>
    <cellStyle name="40% - Accent3 2 5 4 6" xfId="6571" xr:uid="{00000000-0005-0000-0000-0000DE430000}"/>
    <cellStyle name="40% - Accent3 2 5 4 6 2" xfId="11026" xr:uid="{00000000-0005-0000-0000-0000DF430000}"/>
    <cellStyle name="40% - Accent3 2 5 4 6 2 2" xfId="21022" xr:uid="{00000000-0005-0000-0000-0000E0430000}"/>
    <cellStyle name="40% - Accent3 2 5 4 6 2 2 2" xfId="40422" xr:uid="{00000000-0005-0000-0000-0000E1430000}"/>
    <cellStyle name="40% - Accent3 2 5 4 6 2 3" xfId="30724" xr:uid="{00000000-0005-0000-0000-0000E2430000}"/>
    <cellStyle name="40% - Accent3 2 5 4 6 3" xfId="16567" xr:uid="{00000000-0005-0000-0000-0000E3430000}"/>
    <cellStyle name="40% - Accent3 2 5 4 6 3 2" xfId="35967" xr:uid="{00000000-0005-0000-0000-0000E4430000}"/>
    <cellStyle name="40% - Accent3 2 5 4 6 4" xfId="26269" xr:uid="{00000000-0005-0000-0000-0000E5430000}"/>
    <cellStyle name="40% - Accent3 2 5 4 7" xfId="7128" xr:uid="{00000000-0005-0000-0000-0000E6430000}"/>
    <cellStyle name="40% - Accent3 2 5 4 7 2" xfId="17124" xr:uid="{00000000-0005-0000-0000-0000E7430000}"/>
    <cellStyle name="40% - Accent3 2 5 4 7 2 2" xfId="36524" xr:uid="{00000000-0005-0000-0000-0000E8430000}"/>
    <cellStyle name="40% - Accent3 2 5 4 7 3" xfId="26826" xr:uid="{00000000-0005-0000-0000-0000E9430000}"/>
    <cellStyle name="40% - Accent3 2 5 4 8" xfId="12668" xr:uid="{00000000-0005-0000-0000-0000EA430000}"/>
    <cellStyle name="40% - Accent3 2 5 4 8 2" xfId="32069" xr:uid="{00000000-0005-0000-0000-0000EB430000}"/>
    <cellStyle name="40% - Accent3 2 5 4 9" xfId="22371" xr:uid="{00000000-0005-0000-0000-0000EC430000}"/>
    <cellStyle name="40% - Accent3 2 6" xfId="1290" xr:uid="{00000000-0005-0000-0000-0000ED430000}"/>
    <cellStyle name="40% - Accent3 2 6 2" xfId="2193" xr:uid="{00000000-0005-0000-0000-0000EE430000}"/>
    <cellStyle name="40% - Accent3 2 6 2 2" xfId="3180" xr:uid="{00000000-0005-0000-0000-0000EF430000}"/>
    <cellStyle name="40% - Accent3 2 6 2 2 2" xfId="5449" xr:uid="{00000000-0005-0000-0000-0000F0430000}"/>
    <cellStyle name="40% - Accent3 2 6 2 2 2 2" xfId="9913" xr:uid="{00000000-0005-0000-0000-0000F1430000}"/>
    <cellStyle name="40% - Accent3 2 6 2 2 2 2 2" xfId="19909" xr:uid="{00000000-0005-0000-0000-0000F2430000}"/>
    <cellStyle name="40% - Accent3 2 6 2 2 2 2 2 2" xfId="39309" xr:uid="{00000000-0005-0000-0000-0000F3430000}"/>
    <cellStyle name="40% - Accent3 2 6 2 2 2 2 3" xfId="29611" xr:uid="{00000000-0005-0000-0000-0000F4430000}"/>
    <cellStyle name="40% - Accent3 2 6 2 2 2 3" xfId="15454" xr:uid="{00000000-0005-0000-0000-0000F5430000}"/>
    <cellStyle name="40% - Accent3 2 6 2 2 2 3 2" xfId="34854" xr:uid="{00000000-0005-0000-0000-0000F6430000}"/>
    <cellStyle name="40% - Accent3 2 6 2 2 2 4" xfId="25156" xr:uid="{00000000-0005-0000-0000-0000F7430000}"/>
    <cellStyle name="40% - Accent3 2 6 2 2 3" xfId="7685" xr:uid="{00000000-0005-0000-0000-0000F8430000}"/>
    <cellStyle name="40% - Accent3 2 6 2 2 3 2" xfId="17681" xr:uid="{00000000-0005-0000-0000-0000F9430000}"/>
    <cellStyle name="40% - Accent3 2 6 2 2 3 2 2" xfId="37081" xr:uid="{00000000-0005-0000-0000-0000FA430000}"/>
    <cellStyle name="40% - Accent3 2 6 2 2 3 3" xfId="27383" xr:uid="{00000000-0005-0000-0000-0000FB430000}"/>
    <cellStyle name="40% - Accent3 2 6 2 2 4" xfId="13226" xr:uid="{00000000-0005-0000-0000-0000FC430000}"/>
    <cellStyle name="40% - Accent3 2 6 2 2 4 2" xfId="32626" xr:uid="{00000000-0005-0000-0000-0000FD430000}"/>
    <cellStyle name="40% - Accent3 2 6 2 2 5" xfId="22928" xr:uid="{00000000-0005-0000-0000-0000FE430000}"/>
    <cellStyle name="40% - Accent3 2 6 2 3" xfId="3763" xr:uid="{00000000-0005-0000-0000-0000FF430000}"/>
    <cellStyle name="40% - Accent3 2 6 2 3 2" xfId="4893" xr:uid="{00000000-0005-0000-0000-000000440000}"/>
    <cellStyle name="40% - Accent3 2 6 2 3 2 2" xfId="9357" xr:uid="{00000000-0005-0000-0000-000001440000}"/>
    <cellStyle name="40% - Accent3 2 6 2 3 2 2 2" xfId="19353" xr:uid="{00000000-0005-0000-0000-000002440000}"/>
    <cellStyle name="40% - Accent3 2 6 2 3 2 2 2 2" xfId="38753" xr:uid="{00000000-0005-0000-0000-000003440000}"/>
    <cellStyle name="40% - Accent3 2 6 2 3 2 2 3" xfId="29055" xr:uid="{00000000-0005-0000-0000-000004440000}"/>
    <cellStyle name="40% - Accent3 2 6 2 3 2 3" xfId="14898" xr:uid="{00000000-0005-0000-0000-000005440000}"/>
    <cellStyle name="40% - Accent3 2 6 2 3 2 3 2" xfId="34298" xr:uid="{00000000-0005-0000-0000-000006440000}"/>
    <cellStyle name="40% - Accent3 2 6 2 3 2 4" xfId="24600" xr:uid="{00000000-0005-0000-0000-000007440000}"/>
    <cellStyle name="40% - Accent3 2 6 2 3 3" xfId="8242" xr:uid="{00000000-0005-0000-0000-000008440000}"/>
    <cellStyle name="40% - Accent3 2 6 2 3 3 2" xfId="18238" xr:uid="{00000000-0005-0000-0000-000009440000}"/>
    <cellStyle name="40% - Accent3 2 6 2 3 3 2 2" xfId="37638" xr:uid="{00000000-0005-0000-0000-00000A440000}"/>
    <cellStyle name="40% - Accent3 2 6 2 3 3 3" xfId="27940" xr:uid="{00000000-0005-0000-0000-00000B440000}"/>
    <cellStyle name="40% - Accent3 2 6 2 3 4" xfId="13783" xr:uid="{00000000-0005-0000-0000-00000C440000}"/>
    <cellStyle name="40% - Accent3 2 6 2 3 4 2" xfId="33183" xr:uid="{00000000-0005-0000-0000-00000D440000}"/>
    <cellStyle name="40% - Accent3 2 6 2 3 5" xfId="23485" xr:uid="{00000000-0005-0000-0000-00000E440000}"/>
    <cellStyle name="40% - Accent3 2 6 2 4" xfId="4336" xr:uid="{00000000-0005-0000-0000-00000F440000}"/>
    <cellStyle name="40% - Accent3 2 6 2 4 2" xfId="8800" xr:uid="{00000000-0005-0000-0000-000010440000}"/>
    <cellStyle name="40% - Accent3 2 6 2 4 2 2" xfId="18796" xr:uid="{00000000-0005-0000-0000-000011440000}"/>
    <cellStyle name="40% - Accent3 2 6 2 4 2 2 2" xfId="38196" xr:uid="{00000000-0005-0000-0000-000012440000}"/>
    <cellStyle name="40% - Accent3 2 6 2 4 2 3" xfId="28498" xr:uid="{00000000-0005-0000-0000-000013440000}"/>
    <cellStyle name="40% - Accent3 2 6 2 4 3" xfId="14341" xr:uid="{00000000-0005-0000-0000-000014440000}"/>
    <cellStyle name="40% - Accent3 2 6 2 4 3 2" xfId="33741" xr:uid="{00000000-0005-0000-0000-000015440000}"/>
    <cellStyle name="40% - Accent3 2 6 2 4 4" xfId="24043" xr:uid="{00000000-0005-0000-0000-000016440000}"/>
    <cellStyle name="40% - Accent3 2 6 2 5" xfId="6006" xr:uid="{00000000-0005-0000-0000-000017440000}"/>
    <cellStyle name="40% - Accent3 2 6 2 5 2" xfId="10470" xr:uid="{00000000-0005-0000-0000-000018440000}"/>
    <cellStyle name="40% - Accent3 2 6 2 5 2 2" xfId="20466" xr:uid="{00000000-0005-0000-0000-000019440000}"/>
    <cellStyle name="40% - Accent3 2 6 2 5 2 2 2" xfId="39866" xr:uid="{00000000-0005-0000-0000-00001A440000}"/>
    <cellStyle name="40% - Accent3 2 6 2 5 2 3" xfId="30168" xr:uid="{00000000-0005-0000-0000-00001B440000}"/>
    <cellStyle name="40% - Accent3 2 6 2 5 3" xfId="16011" xr:uid="{00000000-0005-0000-0000-00001C440000}"/>
    <cellStyle name="40% - Accent3 2 6 2 5 3 2" xfId="35411" xr:uid="{00000000-0005-0000-0000-00001D440000}"/>
    <cellStyle name="40% - Accent3 2 6 2 5 4" xfId="25713" xr:uid="{00000000-0005-0000-0000-00001E440000}"/>
    <cellStyle name="40% - Accent3 2 6 2 6" xfId="6572" xr:uid="{00000000-0005-0000-0000-00001F440000}"/>
    <cellStyle name="40% - Accent3 2 6 2 6 2" xfId="11027" xr:uid="{00000000-0005-0000-0000-000020440000}"/>
    <cellStyle name="40% - Accent3 2 6 2 6 2 2" xfId="21023" xr:uid="{00000000-0005-0000-0000-000021440000}"/>
    <cellStyle name="40% - Accent3 2 6 2 6 2 2 2" xfId="40423" xr:uid="{00000000-0005-0000-0000-000022440000}"/>
    <cellStyle name="40% - Accent3 2 6 2 6 2 3" xfId="30725" xr:uid="{00000000-0005-0000-0000-000023440000}"/>
    <cellStyle name="40% - Accent3 2 6 2 6 3" xfId="16568" xr:uid="{00000000-0005-0000-0000-000024440000}"/>
    <cellStyle name="40% - Accent3 2 6 2 6 3 2" xfId="35968" xr:uid="{00000000-0005-0000-0000-000025440000}"/>
    <cellStyle name="40% - Accent3 2 6 2 6 4" xfId="26270" xr:uid="{00000000-0005-0000-0000-000026440000}"/>
    <cellStyle name="40% - Accent3 2 6 2 7" xfId="7129" xr:uid="{00000000-0005-0000-0000-000027440000}"/>
    <cellStyle name="40% - Accent3 2 6 2 7 2" xfId="17125" xr:uid="{00000000-0005-0000-0000-000028440000}"/>
    <cellStyle name="40% - Accent3 2 6 2 7 2 2" xfId="36525" xr:uid="{00000000-0005-0000-0000-000029440000}"/>
    <cellStyle name="40% - Accent3 2 6 2 7 3" xfId="26827" xr:uid="{00000000-0005-0000-0000-00002A440000}"/>
    <cellStyle name="40% - Accent3 2 6 2 8" xfId="12669" xr:uid="{00000000-0005-0000-0000-00002B440000}"/>
    <cellStyle name="40% - Accent3 2 6 2 8 2" xfId="32070" xr:uid="{00000000-0005-0000-0000-00002C440000}"/>
    <cellStyle name="40% - Accent3 2 6 2 9" xfId="22372" xr:uid="{00000000-0005-0000-0000-00002D440000}"/>
    <cellStyle name="40% - Accent3 2 6 3" xfId="2194" xr:uid="{00000000-0005-0000-0000-00002E440000}"/>
    <cellStyle name="40% - Accent3 2 6 3 2" xfId="3181" xr:uid="{00000000-0005-0000-0000-00002F440000}"/>
    <cellStyle name="40% - Accent3 2 6 3 2 2" xfId="5450" xr:uid="{00000000-0005-0000-0000-000030440000}"/>
    <cellStyle name="40% - Accent3 2 6 3 2 2 2" xfId="9914" xr:uid="{00000000-0005-0000-0000-000031440000}"/>
    <cellStyle name="40% - Accent3 2 6 3 2 2 2 2" xfId="19910" xr:uid="{00000000-0005-0000-0000-000032440000}"/>
    <cellStyle name="40% - Accent3 2 6 3 2 2 2 2 2" xfId="39310" xr:uid="{00000000-0005-0000-0000-000033440000}"/>
    <cellStyle name="40% - Accent3 2 6 3 2 2 2 3" xfId="29612" xr:uid="{00000000-0005-0000-0000-000034440000}"/>
    <cellStyle name="40% - Accent3 2 6 3 2 2 3" xfId="15455" xr:uid="{00000000-0005-0000-0000-000035440000}"/>
    <cellStyle name="40% - Accent3 2 6 3 2 2 3 2" xfId="34855" xr:uid="{00000000-0005-0000-0000-000036440000}"/>
    <cellStyle name="40% - Accent3 2 6 3 2 2 4" xfId="25157" xr:uid="{00000000-0005-0000-0000-000037440000}"/>
    <cellStyle name="40% - Accent3 2 6 3 2 3" xfId="7686" xr:uid="{00000000-0005-0000-0000-000038440000}"/>
    <cellStyle name="40% - Accent3 2 6 3 2 3 2" xfId="17682" xr:uid="{00000000-0005-0000-0000-000039440000}"/>
    <cellStyle name="40% - Accent3 2 6 3 2 3 2 2" xfId="37082" xr:uid="{00000000-0005-0000-0000-00003A440000}"/>
    <cellStyle name="40% - Accent3 2 6 3 2 3 3" xfId="27384" xr:uid="{00000000-0005-0000-0000-00003B440000}"/>
    <cellStyle name="40% - Accent3 2 6 3 2 4" xfId="13227" xr:uid="{00000000-0005-0000-0000-00003C440000}"/>
    <cellStyle name="40% - Accent3 2 6 3 2 4 2" xfId="32627" xr:uid="{00000000-0005-0000-0000-00003D440000}"/>
    <cellStyle name="40% - Accent3 2 6 3 2 5" xfId="22929" xr:uid="{00000000-0005-0000-0000-00003E440000}"/>
    <cellStyle name="40% - Accent3 2 6 3 3" xfId="3764" xr:uid="{00000000-0005-0000-0000-00003F440000}"/>
    <cellStyle name="40% - Accent3 2 6 3 3 2" xfId="4894" xr:uid="{00000000-0005-0000-0000-000040440000}"/>
    <cellStyle name="40% - Accent3 2 6 3 3 2 2" xfId="9358" xr:uid="{00000000-0005-0000-0000-000041440000}"/>
    <cellStyle name="40% - Accent3 2 6 3 3 2 2 2" xfId="19354" xr:uid="{00000000-0005-0000-0000-000042440000}"/>
    <cellStyle name="40% - Accent3 2 6 3 3 2 2 2 2" xfId="38754" xr:uid="{00000000-0005-0000-0000-000043440000}"/>
    <cellStyle name="40% - Accent3 2 6 3 3 2 2 3" xfId="29056" xr:uid="{00000000-0005-0000-0000-000044440000}"/>
    <cellStyle name="40% - Accent3 2 6 3 3 2 3" xfId="14899" xr:uid="{00000000-0005-0000-0000-000045440000}"/>
    <cellStyle name="40% - Accent3 2 6 3 3 2 3 2" xfId="34299" xr:uid="{00000000-0005-0000-0000-000046440000}"/>
    <cellStyle name="40% - Accent3 2 6 3 3 2 4" xfId="24601" xr:uid="{00000000-0005-0000-0000-000047440000}"/>
    <cellStyle name="40% - Accent3 2 6 3 3 3" xfId="8243" xr:uid="{00000000-0005-0000-0000-000048440000}"/>
    <cellStyle name="40% - Accent3 2 6 3 3 3 2" xfId="18239" xr:uid="{00000000-0005-0000-0000-000049440000}"/>
    <cellStyle name="40% - Accent3 2 6 3 3 3 2 2" xfId="37639" xr:uid="{00000000-0005-0000-0000-00004A440000}"/>
    <cellStyle name="40% - Accent3 2 6 3 3 3 3" xfId="27941" xr:uid="{00000000-0005-0000-0000-00004B440000}"/>
    <cellStyle name="40% - Accent3 2 6 3 3 4" xfId="13784" xr:uid="{00000000-0005-0000-0000-00004C440000}"/>
    <cellStyle name="40% - Accent3 2 6 3 3 4 2" xfId="33184" xr:uid="{00000000-0005-0000-0000-00004D440000}"/>
    <cellStyle name="40% - Accent3 2 6 3 3 5" xfId="23486" xr:uid="{00000000-0005-0000-0000-00004E440000}"/>
    <cellStyle name="40% - Accent3 2 6 3 4" xfId="4337" xr:uid="{00000000-0005-0000-0000-00004F440000}"/>
    <cellStyle name="40% - Accent3 2 6 3 4 2" xfId="8801" xr:uid="{00000000-0005-0000-0000-000050440000}"/>
    <cellStyle name="40% - Accent3 2 6 3 4 2 2" xfId="18797" xr:uid="{00000000-0005-0000-0000-000051440000}"/>
    <cellStyle name="40% - Accent3 2 6 3 4 2 2 2" xfId="38197" xr:uid="{00000000-0005-0000-0000-000052440000}"/>
    <cellStyle name="40% - Accent3 2 6 3 4 2 3" xfId="28499" xr:uid="{00000000-0005-0000-0000-000053440000}"/>
    <cellStyle name="40% - Accent3 2 6 3 4 3" xfId="14342" xr:uid="{00000000-0005-0000-0000-000054440000}"/>
    <cellStyle name="40% - Accent3 2 6 3 4 3 2" xfId="33742" xr:uid="{00000000-0005-0000-0000-000055440000}"/>
    <cellStyle name="40% - Accent3 2 6 3 4 4" xfId="24044" xr:uid="{00000000-0005-0000-0000-000056440000}"/>
    <cellStyle name="40% - Accent3 2 6 3 5" xfId="6007" xr:uid="{00000000-0005-0000-0000-000057440000}"/>
    <cellStyle name="40% - Accent3 2 6 3 5 2" xfId="10471" xr:uid="{00000000-0005-0000-0000-000058440000}"/>
    <cellStyle name="40% - Accent3 2 6 3 5 2 2" xfId="20467" xr:uid="{00000000-0005-0000-0000-000059440000}"/>
    <cellStyle name="40% - Accent3 2 6 3 5 2 2 2" xfId="39867" xr:uid="{00000000-0005-0000-0000-00005A440000}"/>
    <cellStyle name="40% - Accent3 2 6 3 5 2 3" xfId="30169" xr:uid="{00000000-0005-0000-0000-00005B440000}"/>
    <cellStyle name="40% - Accent3 2 6 3 5 3" xfId="16012" xr:uid="{00000000-0005-0000-0000-00005C440000}"/>
    <cellStyle name="40% - Accent3 2 6 3 5 3 2" xfId="35412" xr:uid="{00000000-0005-0000-0000-00005D440000}"/>
    <cellStyle name="40% - Accent3 2 6 3 5 4" xfId="25714" xr:uid="{00000000-0005-0000-0000-00005E440000}"/>
    <cellStyle name="40% - Accent3 2 6 3 6" xfId="6573" xr:uid="{00000000-0005-0000-0000-00005F440000}"/>
    <cellStyle name="40% - Accent3 2 6 3 6 2" xfId="11028" xr:uid="{00000000-0005-0000-0000-000060440000}"/>
    <cellStyle name="40% - Accent3 2 6 3 6 2 2" xfId="21024" xr:uid="{00000000-0005-0000-0000-000061440000}"/>
    <cellStyle name="40% - Accent3 2 6 3 6 2 2 2" xfId="40424" xr:uid="{00000000-0005-0000-0000-000062440000}"/>
    <cellStyle name="40% - Accent3 2 6 3 6 2 3" xfId="30726" xr:uid="{00000000-0005-0000-0000-000063440000}"/>
    <cellStyle name="40% - Accent3 2 6 3 6 3" xfId="16569" xr:uid="{00000000-0005-0000-0000-000064440000}"/>
    <cellStyle name="40% - Accent3 2 6 3 6 3 2" xfId="35969" xr:uid="{00000000-0005-0000-0000-000065440000}"/>
    <cellStyle name="40% - Accent3 2 6 3 6 4" xfId="26271" xr:uid="{00000000-0005-0000-0000-000066440000}"/>
    <cellStyle name="40% - Accent3 2 6 3 7" xfId="7130" xr:uid="{00000000-0005-0000-0000-000067440000}"/>
    <cellStyle name="40% - Accent3 2 6 3 7 2" xfId="17126" xr:uid="{00000000-0005-0000-0000-000068440000}"/>
    <cellStyle name="40% - Accent3 2 6 3 7 2 2" xfId="36526" xr:uid="{00000000-0005-0000-0000-000069440000}"/>
    <cellStyle name="40% - Accent3 2 6 3 7 3" xfId="26828" xr:uid="{00000000-0005-0000-0000-00006A440000}"/>
    <cellStyle name="40% - Accent3 2 6 3 8" xfId="12670" xr:uid="{00000000-0005-0000-0000-00006B440000}"/>
    <cellStyle name="40% - Accent3 2 6 3 8 2" xfId="32071" xr:uid="{00000000-0005-0000-0000-00006C440000}"/>
    <cellStyle name="40% - Accent3 2 6 3 9" xfId="22373" xr:uid="{00000000-0005-0000-0000-00006D440000}"/>
    <cellStyle name="40% - Accent3 2 7" xfId="1730" xr:uid="{00000000-0005-0000-0000-00006E440000}"/>
    <cellStyle name="40% - Accent3 2 7 2" xfId="2898" xr:uid="{00000000-0005-0000-0000-00006F440000}"/>
    <cellStyle name="40% - Accent3 2 7 2 2" xfId="5167" xr:uid="{00000000-0005-0000-0000-000070440000}"/>
    <cellStyle name="40% - Accent3 2 7 2 2 2" xfId="9631" xr:uid="{00000000-0005-0000-0000-000071440000}"/>
    <cellStyle name="40% - Accent3 2 7 2 2 2 2" xfId="19627" xr:uid="{00000000-0005-0000-0000-000072440000}"/>
    <cellStyle name="40% - Accent3 2 7 2 2 2 2 2" xfId="39027" xr:uid="{00000000-0005-0000-0000-000073440000}"/>
    <cellStyle name="40% - Accent3 2 7 2 2 2 3" xfId="29329" xr:uid="{00000000-0005-0000-0000-000074440000}"/>
    <cellStyle name="40% - Accent3 2 7 2 2 3" xfId="15172" xr:uid="{00000000-0005-0000-0000-000075440000}"/>
    <cellStyle name="40% - Accent3 2 7 2 2 3 2" xfId="34572" xr:uid="{00000000-0005-0000-0000-000076440000}"/>
    <cellStyle name="40% - Accent3 2 7 2 2 4" xfId="24874" xr:uid="{00000000-0005-0000-0000-000077440000}"/>
    <cellStyle name="40% - Accent3 2 7 2 3" xfId="7403" xr:uid="{00000000-0005-0000-0000-000078440000}"/>
    <cellStyle name="40% - Accent3 2 7 2 3 2" xfId="17399" xr:uid="{00000000-0005-0000-0000-000079440000}"/>
    <cellStyle name="40% - Accent3 2 7 2 3 2 2" xfId="36799" xr:uid="{00000000-0005-0000-0000-00007A440000}"/>
    <cellStyle name="40% - Accent3 2 7 2 3 3" xfId="27101" xr:uid="{00000000-0005-0000-0000-00007B440000}"/>
    <cellStyle name="40% - Accent3 2 7 2 4" xfId="12944" xr:uid="{00000000-0005-0000-0000-00007C440000}"/>
    <cellStyle name="40% - Accent3 2 7 2 4 2" xfId="32344" xr:uid="{00000000-0005-0000-0000-00007D440000}"/>
    <cellStyle name="40% - Accent3 2 7 2 5" xfId="22646" xr:uid="{00000000-0005-0000-0000-00007E440000}"/>
    <cellStyle name="40% - Accent3 2 7 3" xfId="3481" xr:uid="{00000000-0005-0000-0000-00007F440000}"/>
    <cellStyle name="40% - Accent3 2 7 3 2" xfId="4611" xr:uid="{00000000-0005-0000-0000-000080440000}"/>
    <cellStyle name="40% - Accent3 2 7 3 2 2" xfId="9075" xr:uid="{00000000-0005-0000-0000-000081440000}"/>
    <cellStyle name="40% - Accent3 2 7 3 2 2 2" xfId="19071" xr:uid="{00000000-0005-0000-0000-000082440000}"/>
    <cellStyle name="40% - Accent3 2 7 3 2 2 2 2" xfId="38471" xr:uid="{00000000-0005-0000-0000-000083440000}"/>
    <cellStyle name="40% - Accent3 2 7 3 2 2 3" xfId="28773" xr:uid="{00000000-0005-0000-0000-000084440000}"/>
    <cellStyle name="40% - Accent3 2 7 3 2 3" xfId="14616" xr:uid="{00000000-0005-0000-0000-000085440000}"/>
    <cellStyle name="40% - Accent3 2 7 3 2 3 2" xfId="34016" xr:uid="{00000000-0005-0000-0000-000086440000}"/>
    <cellStyle name="40% - Accent3 2 7 3 2 4" xfId="24318" xr:uid="{00000000-0005-0000-0000-000087440000}"/>
    <cellStyle name="40% - Accent3 2 7 3 3" xfId="7960" xr:uid="{00000000-0005-0000-0000-000088440000}"/>
    <cellStyle name="40% - Accent3 2 7 3 3 2" xfId="17956" xr:uid="{00000000-0005-0000-0000-000089440000}"/>
    <cellStyle name="40% - Accent3 2 7 3 3 2 2" xfId="37356" xr:uid="{00000000-0005-0000-0000-00008A440000}"/>
    <cellStyle name="40% - Accent3 2 7 3 3 3" xfId="27658" xr:uid="{00000000-0005-0000-0000-00008B440000}"/>
    <cellStyle name="40% - Accent3 2 7 3 4" xfId="13501" xr:uid="{00000000-0005-0000-0000-00008C440000}"/>
    <cellStyle name="40% - Accent3 2 7 3 4 2" xfId="32901" xr:uid="{00000000-0005-0000-0000-00008D440000}"/>
    <cellStyle name="40% - Accent3 2 7 3 5" xfId="23203" xr:uid="{00000000-0005-0000-0000-00008E440000}"/>
    <cellStyle name="40% - Accent3 2 7 4" xfId="4054" xr:uid="{00000000-0005-0000-0000-00008F440000}"/>
    <cellStyle name="40% - Accent3 2 7 4 2" xfId="8518" xr:uid="{00000000-0005-0000-0000-000090440000}"/>
    <cellStyle name="40% - Accent3 2 7 4 2 2" xfId="18514" xr:uid="{00000000-0005-0000-0000-000091440000}"/>
    <cellStyle name="40% - Accent3 2 7 4 2 2 2" xfId="37914" xr:uid="{00000000-0005-0000-0000-000092440000}"/>
    <cellStyle name="40% - Accent3 2 7 4 2 3" xfId="28216" xr:uid="{00000000-0005-0000-0000-000093440000}"/>
    <cellStyle name="40% - Accent3 2 7 4 3" xfId="14059" xr:uid="{00000000-0005-0000-0000-000094440000}"/>
    <cellStyle name="40% - Accent3 2 7 4 3 2" xfId="33459" xr:uid="{00000000-0005-0000-0000-000095440000}"/>
    <cellStyle name="40% - Accent3 2 7 4 4" xfId="23761" xr:uid="{00000000-0005-0000-0000-000096440000}"/>
    <cellStyle name="40% - Accent3 2 7 5" xfId="5724" xr:uid="{00000000-0005-0000-0000-000097440000}"/>
    <cellStyle name="40% - Accent3 2 7 5 2" xfId="10188" xr:uid="{00000000-0005-0000-0000-000098440000}"/>
    <cellStyle name="40% - Accent3 2 7 5 2 2" xfId="20184" xr:uid="{00000000-0005-0000-0000-000099440000}"/>
    <cellStyle name="40% - Accent3 2 7 5 2 2 2" xfId="39584" xr:uid="{00000000-0005-0000-0000-00009A440000}"/>
    <cellStyle name="40% - Accent3 2 7 5 2 3" xfId="29886" xr:uid="{00000000-0005-0000-0000-00009B440000}"/>
    <cellStyle name="40% - Accent3 2 7 5 3" xfId="15729" xr:uid="{00000000-0005-0000-0000-00009C440000}"/>
    <cellStyle name="40% - Accent3 2 7 5 3 2" xfId="35129" xr:uid="{00000000-0005-0000-0000-00009D440000}"/>
    <cellStyle name="40% - Accent3 2 7 5 4" xfId="25431" xr:uid="{00000000-0005-0000-0000-00009E440000}"/>
    <cellStyle name="40% - Accent3 2 7 6" xfId="6290" xr:uid="{00000000-0005-0000-0000-00009F440000}"/>
    <cellStyle name="40% - Accent3 2 7 6 2" xfId="10745" xr:uid="{00000000-0005-0000-0000-0000A0440000}"/>
    <cellStyle name="40% - Accent3 2 7 6 2 2" xfId="20741" xr:uid="{00000000-0005-0000-0000-0000A1440000}"/>
    <cellStyle name="40% - Accent3 2 7 6 2 2 2" xfId="40141" xr:uid="{00000000-0005-0000-0000-0000A2440000}"/>
    <cellStyle name="40% - Accent3 2 7 6 2 3" xfId="30443" xr:uid="{00000000-0005-0000-0000-0000A3440000}"/>
    <cellStyle name="40% - Accent3 2 7 6 3" xfId="16286" xr:uid="{00000000-0005-0000-0000-0000A4440000}"/>
    <cellStyle name="40% - Accent3 2 7 6 3 2" xfId="35686" xr:uid="{00000000-0005-0000-0000-0000A5440000}"/>
    <cellStyle name="40% - Accent3 2 7 6 4" xfId="25988" xr:uid="{00000000-0005-0000-0000-0000A6440000}"/>
    <cellStyle name="40% - Accent3 2 7 7" xfId="6847" xr:uid="{00000000-0005-0000-0000-0000A7440000}"/>
    <cellStyle name="40% - Accent3 2 7 7 2" xfId="16843" xr:uid="{00000000-0005-0000-0000-0000A8440000}"/>
    <cellStyle name="40% - Accent3 2 7 7 2 2" xfId="36243" xr:uid="{00000000-0005-0000-0000-0000A9440000}"/>
    <cellStyle name="40% - Accent3 2 7 7 3" xfId="26545" xr:uid="{00000000-0005-0000-0000-0000AA440000}"/>
    <cellStyle name="40% - Accent3 2 7 8" xfId="12387" xr:uid="{00000000-0005-0000-0000-0000AB440000}"/>
    <cellStyle name="40% - Accent3 2 7 8 2" xfId="31788" xr:uid="{00000000-0005-0000-0000-0000AC440000}"/>
    <cellStyle name="40% - Accent3 2 7 9" xfId="22090" xr:uid="{00000000-0005-0000-0000-0000AD440000}"/>
    <cellStyle name="40% - Accent3 2 8" xfId="1840" xr:uid="{00000000-0005-0000-0000-0000AE440000}"/>
    <cellStyle name="40% - Accent3 2 8 2" xfId="2915" xr:uid="{00000000-0005-0000-0000-0000AF440000}"/>
    <cellStyle name="40% - Accent3 2 8 2 2" xfId="5184" xr:uid="{00000000-0005-0000-0000-0000B0440000}"/>
    <cellStyle name="40% - Accent3 2 8 2 2 2" xfId="9648" xr:uid="{00000000-0005-0000-0000-0000B1440000}"/>
    <cellStyle name="40% - Accent3 2 8 2 2 2 2" xfId="19644" xr:uid="{00000000-0005-0000-0000-0000B2440000}"/>
    <cellStyle name="40% - Accent3 2 8 2 2 2 2 2" xfId="39044" xr:uid="{00000000-0005-0000-0000-0000B3440000}"/>
    <cellStyle name="40% - Accent3 2 8 2 2 2 3" xfId="29346" xr:uid="{00000000-0005-0000-0000-0000B4440000}"/>
    <cellStyle name="40% - Accent3 2 8 2 2 3" xfId="15189" xr:uid="{00000000-0005-0000-0000-0000B5440000}"/>
    <cellStyle name="40% - Accent3 2 8 2 2 3 2" xfId="34589" xr:uid="{00000000-0005-0000-0000-0000B6440000}"/>
    <cellStyle name="40% - Accent3 2 8 2 2 4" xfId="24891" xr:uid="{00000000-0005-0000-0000-0000B7440000}"/>
    <cellStyle name="40% - Accent3 2 8 2 3" xfId="7420" xr:uid="{00000000-0005-0000-0000-0000B8440000}"/>
    <cellStyle name="40% - Accent3 2 8 2 3 2" xfId="17416" xr:uid="{00000000-0005-0000-0000-0000B9440000}"/>
    <cellStyle name="40% - Accent3 2 8 2 3 2 2" xfId="36816" xr:uid="{00000000-0005-0000-0000-0000BA440000}"/>
    <cellStyle name="40% - Accent3 2 8 2 3 3" xfId="27118" xr:uid="{00000000-0005-0000-0000-0000BB440000}"/>
    <cellStyle name="40% - Accent3 2 8 2 4" xfId="12961" xr:uid="{00000000-0005-0000-0000-0000BC440000}"/>
    <cellStyle name="40% - Accent3 2 8 2 4 2" xfId="32361" xr:uid="{00000000-0005-0000-0000-0000BD440000}"/>
    <cellStyle name="40% - Accent3 2 8 2 5" xfId="22663" xr:uid="{00000000-0005-0000-0000-0000BE440000}"/>
    <cellStyle name="40% - Accent3 2 8 3" xfId="3498" xr:uid="{00000000-0005-0000-0000-0000BF440000}"/>
    <cellStyle name="40% - Accent3 2 8 3 2" xfId="4628" xr:uid="{00000000-0005-0000-0000-0000C0440000}"/>
    <cellStyle name="40% - Accent3 2 8 3 2 2" xfId="9092" xr:uid="{00000000-0005-0000-0000-0000C1440000}"/>
    <cellStyle name="40% - Accent3 2 8 3 2 2 2" xfId="19088" xr:uid="{00000000-0005-0000-0000-0000C2440000}"/>
    <cellStyle name="40% - Accent3 2 8 3 2 2 2 2" xfId="38488" xr:uid="{00000000-0005-0000-0000-0000C3440000}"/>
    <cellStyle name="40% - Accent3 2 8 3 2 2 3" xfId="28790" xr:uid="{00000000-0005-0000-0000-0000C4440000}"/>
    <cellStyle name="40% - Accent3 2 8 3 2 3" xfId="14633" xr:uid="{00000000-0005-0000-0000-0000C5440000}"/>
    <cellStyle name="40% - Accent3 2 8 3 2 3 2" xfId="34033" xr:uid="{00000000-0005-0000-0000-0000C6440000}"/>
    <cellStyle name="40% - Accent3 2 8 3 2 4" xfId="24335" xr:uid="{00000000-0005-0000-0000-0000C7440000}"/>
    <cellStyle name="40% - Accent3 2 8 3 3" xfId="7977" xr:uid="{00000000-0005-0000-0000-0000C8440000}"/>
    <cellStyle name="40% - Accent3 2 8 3 3 2" xfId="17973" xr:uid="{00000000-0005-0000-0000-0000C9440000}"/>
    <cellStyle name="40% - Accent3 2 8 3 3 2 2" xfId="37373" xr:uid="{00000000-0005-0000-0000-0000CA440000}"/>
    <cellStyle name="40% - Accent3 2 8 3 3 3" xfId="27675" xr:uid="{00000000-0005-0000-0000-0000CB440000}"/>
    <cellStyle name="40% - Accent3 2 8 3 4" xfId="13518" xr:uid="{00000000-0005-0000-0000-0000CC440000}"/>
    <cellStyle name="40% - Accent3 2 8 3 4 2" xfId="32918" xr:uid="{00000000-0005-0000-0000-0000CD440000}"/>
    <cellStyle name="40% - Accent3 2 8 3 5" xfId="23220" xr:uid="{00000000-0005-0000-0000-0000CE440000}"/>
    <cellStyle name="40% - Accent3 2 8 4" xfId="4071" xr:uid="{00000000-0005-0000-0000-0000CF440000}"/>
    <cellStyle name="40% - Accent3 2 8 4 2" xfId="8535" xr:uid="{00000000-0005-0000-0000-0000D0440000}"/>
    <cellStyle name="40% - Accent3 2 8 4 2 2" xfId="18531" xr:uid="{00000000-0005-0000-0000-0000D1440000}"/>
    <cellStyle name="40% - Accent3 2 8 4 2 2 2" xfId="37931" xr:uid="{00000000-0005-0000-0000-0000D2440000}"/>
    <cellStyle name="40% - Accent3 2 8 4 2 3" xfId="28233" xr:uid="{00000000-0005-0000-0000-0000D3440000}"/>
    <cellStyle name="40% - Accent3 2 8 4 3" xfId="14076" xr:uid="{00000000-0005-0000-0000-0000D4440000}"/>
    <cellStyle name="40% - Accent3 2 8 4 3 2" xfId="33476" xr:uid="{00000000-0005-0000-0000-0000D5440000}"/>
    <cellStyle name="40% - Accent3 2 8 4 4" xfId="23778" xr:uid="{00000000-0005-0000-0000-0000D6440000}"/>
    <cellStyle name="40% - Accent3 2 8 5" xfId="5741" xr:uid="{00000000-0005-0000-0000-0000D7440000}"/>
    <cellStyle name="40% - Accent3 2 8 5 2" xfId="10205" xr:uid="{00000000-0005-0000-0000-0000D8440000}"/>
    <cellStyle name="40% - Accent3 2 8 5 2 2" xfId="20201" xr:uid="{00000000-0005-0000-0000-0000D9440000}"/>
    <cellStyle name="40% - Accent3 2 8 5 2 2 2" xfId="39601" xr:uid="{00000000-0005-0000-0000-0000DA440000}"/>
    <cellStyle name="40% - Accent3 2 8 5 2 3" xfId="29903" xr:uid="{00000000-0005-0000-0000-0000DB440000}"/>
    <cellStyle name="40% - Accent3 2 8 5 3" xfId="15746" xr:uid="{00000000-0005-0000-0000-0000DC440000}"/>
    <cellStyle name="40% - Accent3 2 8 5 3 2" xfId="35146" xr:uid="{00000000-0005-0000-0000-0000DD440000}"/>
    <cellStyle name="40% - Accent3 2 8 5 4" xfId="25448" xr:uid="{00000000-0005-0000-0000-0000DE440000}"/>
    <cellStyle name="40% - Accent3 2 8 6" xfId="6307" xr:uid="{00000000-0005-0000-0000-0000DF440000}"/>
    <cellStyle name="40% - Accent3 2 8 6 2" xfId="10762" xr:uid="{00000000-0005-0000-0000-0000E0440000}"/>
    <cellStyle name="40% - Accent3 2 8 6 2 2" xfId="20758" xr:uid="{00000000-0005-0000-0000-0000E1440000}"/>
    <cellStyle name="40% - Accent3 2 8 6 2 2 2" xfId="40158" xr:uid="{00000000-0005-0000-0000-0000E2440000}"/>
    <cellStyle name="40% - Accent3 2 8 6 2 3" xfId="30460" xr:uid="{00000000-0005-0000-0000-0000E3440000}"/>
    <cellStyle name="40% - Accent3 2 8 6 3" xfId="16303" xr:uid="{00000000-0005-0000-0000-0000E4440000}"/>
    <cellStyle name="40% - Accent3 2 8 6 3 2" xfId="35703" xr:uid="{00000000-0005-0000-0000-0000E5440000}"/>
    <cellStyle name="40% - Accent3 2 8 6 4" xfId="26005" xr:uid="{00000000-0005-0000-0000-0000E6440000}"/>
    <cellStyle name="40% - Accent3 2 8 7" xfId="6864" xr:uid="{00000000-0005-0000-0000-0000E7440000}"/>
    <cellStyle name="40% - Accent3 2 8 7 2" xfId="16860" xr:uid="{00000000-0005-0000-0000-0000E8440000}"/>
    <cellStyle name="40% - Accent3 2 8 7 2 2" xfId="36260" xr:uid="{00000000-0005-0000-0000-0000E9440000}"/>
    <cellStyle name="40% - Accent3 2 8 7 3" xfId="26562" xr:uid="{00000000-0005-0000-0000-0000EA440000}"/>
    <cellStyle name="40% - Accent3 2 8 8" xfId="12404" xr:uid="{00000000-0005-0000-0000-0000EB440000}"/>
    <cellStyle name="40% - Accent3 2 8 8 2" xfId="31805" xr:uid="{00000000-0005-0000-0000-0000EC440000}"/>
    <cellStyle name="40% - Accent3 2 8 9" xfId="22107" xr:uid="{00000000-0005-0000-0000-0000ED440000}"/>
    <cellStyle name="40% - Accent3 2 9" xfId="2195" xr:uid="{00000000-0005-0000-0000-0000EE440000}"/>
    <cellStyle name="40% - Accent3 20" xfId="1084" xr:uid="{00000000-0005-0000-0000-0000EF440000}"/>
    <cellStyle name="40% - Accent3 20 2" xfId="11955" xr:uid="{00000000-0005-0000-0000-0000F0440000}"/>
    <cellStyle name="40% - Accent3 20 2 2" xfId="21659" xr:uid="{00000000-0005-0000-0000-0000F1440000}"/>
    <cellStyle name="40% - Accent3 20 2 2 2" xfId="41059" xr:uid="{00000000-0005-0000-0000-0000F2440000}"/>
    <cellStyle name="40% - Accent3 20 2 3" xfId="31361" xr:uid="{00000000-0005-0000-0000-0000F3440000}"/>
    <cellStyle name="40% - Accent3 20 3" xfId="12311" xr:uid="{00000000-0005-0000-0000-0000F4440000}"/>
    <cellStyle name="40% - Accent3 20 3 2" xfId="31714" xr:uid="{00000000-0005-0000-0000-0000F5440000}"/>
    <cellStyle name="40% - Accent3 20 4" xfId="22016" xr:uid="{00000000-0005-0000-0000-0000F6440000}"/>
    <cellStyle name="40% - Accent3 21" xfId="11838" xr:uid="{00000000-0005-0000-0000-0000F7440000}"/>
    <cellStyle name="40% - Accent3 21 2" xfId="21542" xr:uid="{00000000-0005-0000-0000-0000F8440000}"/>
    <cellStyle name="40% - Accent3 21 2 2" xfId="40942" xr:uid="{00000000-0005-0000-0000-0000F9440000}"/>
    <cellStyle name="40% - Accent3 21 3" xfId="31244" xr:uid="{00000000-0005-0000-0000-0000FA440000}"/>
    <cellStyle name="40% - Accent3 22" xfId="12194" xr:uid="{00000000-0005-0000-0000-0000FB440000}"/>
    <cellStyle name="40% - Accent3 22 2" xfId="31597" xr:uid="{00000000-0005-0000-0000-0000FC440000}"/>
    <cellStyle name="40% - Accent3 23" xfId="21899" xr:uid="{00000000-0005-0000-0000-0000FD440000}"/>
    <cellStyle name="40% - Accent3 3" xfId="120" xr:uid="{00000000-0005-0000-0000-0000FE440000}"/>
    <cellStyle name="40% - Accent3 3 2" xfId="2196" xr:uid="{00000000-0005-0000-0000-0000FF440000}"/>
    <cellStyle name="40% - Accent3 3 3" xfId="2612" xr:uid="{00000000-0005-0000-0000-000000450000}"/>
    <cellStyle name="40% - Accent3 3 4" xfId="11403" xr:uid="{00000000-0005-0000-0000-000001450000}"/>
    <cellStyle name="40% - Accent3 3 5" xfId="1291" xr:uid="{00000000-0005-0000-0000-000002450000}"/>
    <cellStyle name="40% - Accent3 4" xfId="121" xr:uid="{00000000-0005-0000-0000-000003450000}"/>
    <cellStyle name="40% - Accent3 4 2" xfId="2778" xr:uid="{00000000-0005-0000-0000-000004450000}"/>
    <cellStyle name="40% - Accent3 4 3" xfId="11404" xr:uid="{00000000-0005-0000-0000-000005450000}"/>
    <cellStyle name="40% - Accent3 4 4" xfId="1292" xr:uid="{00000000-0005-0000-0000-000006450000}"/>
    <cellStyle name="40% - Accent3 5" xfId="122" xr:uid="{00000000-0005-0000-0000-000007450000}"/>
    <cellStyle name="40% - Accent3 5 2" xfId="11405" xr:uid="{00000000-0005-0000-0000-000008450000}"/>
    <cellStyle name="40% - Accent3 5 3" xfId="1670" xr:uid="{00000000-0005-0000-0000-000009450000}"/>
    <cellStyle name="40% - Accent3 6" xfId="123" xr:uid="{00000000-0005-0000-0000-00000A450000}"/>
    <cellStyle name="40% - Accent3 6 2" xfId="11406" xr:uid="{00000000-0005-0000-0000-00000B450000}"/>
    <cellStyle name="40% - Accent3 6 3" xfId="1839" xr:uid="{00000000-0005-0000-0000-00000C450000}"/>
    <cellStyle name="40% - Accent3 7" xfId="124" xr:uid="{00000000-0005-0000-0000-00000D450000}"/>
    <cellStyle name="40% - Accent3 8" xfId="125" xr:uid="{00000000-0005-0000-0000-00000E450000}"/>
    <cellStyle name="40% - Accent3 9" xfId="126" xr:uid="{00000000-0005-0000-0000-00000F450000}"/>
    <cellStyle name="40% - Accent4" xfId="954" builtinId="43" customBuiltin="1"/>
    <cellStyle name="40% - Accent4 10" xfId="127" xr:uid="{00000000-0005-0000-0000-000011450000}"/>
    <cellStyle name="40% - Accent4 11" xfId="128" xr:uid="{00000000-0005-0000-0000-000012450000}"/>
    <cellStyle name="40% - Accent4 12" xfId="129" xr:uid="{00000000-0005-0000-0000-000013450000}"/>
    <cellStyle name="40% - Accent4 13" xfId="130" xr:uid="{00000000-0005-0000-0000-000014450000}"/>
    <cellStyle name="40% - Accent4 14" xfId="131" xr:uid="{00000000-0005-0000-0000-000015450000}"/>
    <cellStyle name="40% - Accent4 15" xfId="132" xr:uid="{00000000-0005-0000-0000-000016450000}"/>
    <cellStyle name="40% - Accent4 16" xfId="679" xr:uid="{00000000-0005-0000-0000-000017450000}"/>
    <cellStyle name="40% - Accent4 17" xfId="996" xr:uid="{00000000-0005-0000-0000-000018450000}"/>
    <cellStyle name="40% - Accent4 17 2" xfId="11867" xr:uid="{00000000-0005-0000-0000-000019450000}"/>
    <cellStyle name="40% - Accent4 17 2 2" xfId="21571" xr:uid="{00000000-0005-0000-0000-00001A450000}"/>
    <cellStyle name="40% - Accent4 17 2 2 2" xfId="40971" xr:uid="{00000000-0005-0000-0000-00001B450000}"/>
    <cellStyle name="40% - Accent4 17 2 3" xfId="31273" xr:uid="{00000000-0005-0000-0000-00001C450000}"/>
    <cellStyle name="40% - Accent4 17 3" xfId="12223" xr:uid="{00000000-0005-0000-0000-00001D450000}"/>
    <cellStyle name="40% - Accent4 17 3 2" xfId="31626" xr:uid="{00000000-0005-0000-0000-00001E450000}"/>
    <cellStyle name="40% - Accent4 17 4" xfId="21928" xr:uid="{00000000-0005-0000-0000-00001F450000}"/>
    <cellStyle name="40% - Accent4 18" xfId="1025" xr:uid="{00000000-0005-0000-0000-000020450000}"/>
    <cellStyle name="40% - Accent4 18 2" xfId="11896" xr:uid="{00000000-0005-0000-0000-000021450000}"/>
    <cellStyle name="40% - Accent4 18 2 2" xfId="21600" xr:uid="{00000000-0005-0000-0000-000022450000}"/>
    <cellStyle name="40% - Accent4 18 2 2 2" xfId="41000" xr:uid="{00000000-0005-0000-0000-000023450000}"/>
    <cellStyle name="40% - Accent4 18 2 3" xfId="31302" xr:uid="{00000000-0005-0000-0000-000024450000}"/>
    <cellStyle name="40% - Accent4 18 3" xfId="12252" xr:uid="{00000000-0005-0000-0000-000025450000}"/>
    <cellStyle name="40% - Accent4 18 3 2" xfId="31655" xr:uid="{00000000-0005-0000-0000-000026450000}"/>
    <cellStyle name="40% - Accent4 18 4" xfId="21957" xr:uid="{00000000-0005-0000-0000-000027450000}"/>
    <cellStyle name="40% - Accent4 19" xfId="1071" xr:uid="{00000000-0005-0000-0000-000028450000}"/>
    <cellStyle name="40% - Accent4 19 2" xfId="11942" xr:uid="{00000000-0005-0000-0000-000029450000}"/>
    <cellStyle name="40% - Accent4 19 2 2" xfId="21646" xr:uid="{00000000-0005-0000-0000-00002A450000}"/>
    <cellStyle name="40% - Accent4 19 2 2 2" xfId="41046" xr:uid="{00000000-0005-0000-0000-00002B450000}"/>
    <cellStyle name="40% - Accent4 19 2 3" xfId="31348" xr:uid="{00000000-0005-0000-0000-00002C450000}"/>
    <cellStyle name="40% - Accent4 19 3" xfId="12298" xr:uid="{00000000-0005-0000-0000-00002D450000}"/>
    <cellStyle name="40% - Accent4 19 3 2" xfId="31701" xr:uid="{00000000-0005-0000-0000-00002E450000}"/>
    <cellStyle name="40% - Accent4 19 4" xfId="22003" xr:uid="{00000000-0005-0000-0000-00002F450000}"/>
    <cellStyle name="40% - Accent4 2" xfId="133" xr:uid="{00000000-0005-0000-0000-000030450000}"/>
    <cellStyle name="40% - Accent4 2 10" xfId="2197" xr:uid="{00000000-0005-0000-0000-000031450000}"/>
    <cellStyle name="40% - Accent4 2 10 2" xfId="3182" xr:uid="{00000000-0005-0000-0000-000032450000}"/>
    <cellStyle name="40% - Accent4 2 10 2 2" xfId="5451" xr:uid="{00000000-0005-0000-0000-000033450000}"/>
    <cellStyle name="40% - Accent4 2 10 2 2 2" xfId="9915" xr:uid="{00000000-0005-0000-0000-000034450000}"/>
    <cellStyle name="40% - Accent4 2 10 2 2 2 2" xfId="19911" xr:uid="{00000000-0005-0000-0000-000035450000}"/>
    <cellStyle name="40% - Accent4 2 10 2 2 2 2 2" xfId="39311" xr:uid="{00000000-0005-0000-0000-000036450000}"/>
    <cellStyle name="40% - Accent4 2 10 2 2 2 3" xfId="29613" xr:uid="{00000000-0005-0000-0000-000037450000}"/>
    <cellStyle name="40% - Accent4 2 10 2 2 3" xfId="15456" xr:uid="{00000000-0005-0000-0000-000038450000}"/>
    <cellStyle name="40% - Accent4 2 10 2 2 3 2" xfId="34856" xr:uid="{00000000-0005-0000-0000-000039450000}"/>
    <cellStyle name="40% - Accent4 2 10 2 2 4" xfId="25158" xr:uid="{00000000-0005-0000-0000-00003A450000}"/>
    <cellStyle name="40% - Accent4 2 10 2 3" xfId="7687" xr:uid="{00000000-0005-0000-0000-00003B450000}"/>
    <cellStyle name="40% - Accent4 2 10 2 3 2" xfId="17683" xr:uid="{00000000-0005-0000-0000-00003C450000}"/>
    <cellStyle name="40% - Accent4 2 10 2 3 2 2" xfId="37083" xr:uid="{00000000-0005-0000-0000-00003D450000}"/>
    <cellStyle name="40% - Accent4 2 10 2 3 3" xfId="27385" xr:uid="{00000000-0005-0000-0000-00003E450000}"/>
    <cellStyle name="40% - Accent4 2 10 2 4" xfId="13228" xr:uid="{00000000-0005-0000-0000-00003F450000}"/>
    <cellStyle name="40% - Accent4 2 10 2 4 2" xfId="32628" xr:uid="{00000000-0005-0000-0000-000040450000}"/>
    <cellStyle name="40% - Accent4 2 10 2 5" xfId="22930" xr:uid="{00000000-0005-0000-0000-000041450000}"/>
    <cellStyle name="40% - Accent4 2 10 3" xfId="3765" xr:uid="{00000000-0005-0000-0000-000042450000}"/>
    <cellStyle name="40% - Accent4 2 10 3 2" xfId="4895" xr:uid="{00000000-0005-0000-0000-000043450000}"/>
    <cellStyle name="40% - Accent4 2 10 3 2 2" xfId="9359" xr:uid="{00000000-0005-0000-0000-000044450000}"/>
    <cellStyle name="40% - Accent4 2 10 3 2 2 2" xfId="19355" xr:uid="{00000000-0005-0000-0000-000045450000}"/>
    <cellStyle name="40% - Accent4 2 10 3 2 2 2 2" xfId="38755" xr:uid="{00000000-0005-0000-0000-000046450000}"/>
    <cellStyle name="40% - Accent4 2 10 3 2 2 3" xfId="29057" xr:uid="{00000000-0005-0000-0000-000047450000}"/>
    <cellStyle name="40% - Accent4 2 10 3 2 3" xfId="14900" xr:uid="{00000000-0005-0000-0000-000048450000}"/>
    <cellStyle name="40% - Accent4 2 10 3 2 3 2" xfId="34300" xr:uid="{00000000-0005-0000-0000-000049450000}"/>
    <cellStyle name="40% - Accent4 2 10 3 2 4" xfId="24602" xr:uid="{00000000-0005-0000-0000-00004A450000}"/>
    <cellStyle name="40% - Accent4 2 10 3 3" xfId="8244" xr:uid="{00000000-0005-0000-0000-00004B450000}"/>
    <cellStyle name="40% - Accent4 2 10 3 3 2" xfId="18240" xr:uid="{00000000-0005-0000-0000-00004C450000}"/>
    <cellStyle name="40% - Accent4 2 10 3 3 2 2" xfId="37640" xr:uid="{00000000-0005-0000-0000-00004D450000}"/>
    <cellStyle name="40% - Accent4 2 10 3 3 3" xfId="27942" xr:uid="{00000000-0005-0000-0000-00004E450000}"/>
    <cellStyle name="40% - Accent4 2 10 3 4" xfId="13785" xr:uid="{00000000-0005-0000-0000-00004F450000}"/>
    <cellStyle name="40% - Accent4 2 10 3 4 2" xfId="33185" xr:uid="{00000000-0005-0000-0000-000050450000}"/>
    <cellStyle name="40% - Accent4 2 10 3 5" xfId="23487" xr:uid="{00000000-0005-0000-0000-000051450000}"/>
    <cellStyle name="40% - Accent4 2 10 4" xfId="4338" xr:uid="{00000000-0005-0000-0000-000052450000}"/>
    <cellStyle name="40% - Accent4 2 10 4 2" xfId="8802" xr:uid="{00000000-0005-0000-0000-000053450000}"/>
    <cellStyle name="40% - Accent4 2 10 4 2 2" xfId="18798" xr:uid="{00000000-0005-0000-0000-000054450000}"/>
    <cellStyle name="40% - Accent4 2 10 4 2 2 2" xfId="38198" xr:uid="{00000000-0005-0000-0000-000055450000}"/>
    <cellStyle name="40% - Accent4 2 10 4 2 3" xfId="28500" xr:uid="{00000000-0005-0000-0000-000056450000}"/>
    <cellStyle name="40% - Accent4 2 10 4 3" xfId="14343" xr:uid="{00000000-0005-0000-0000-000057450000}"/>
    <cellStyle name="40% - Accent4 2 10 4 3 2" xfId="33743" xr:uid="{00000000-0005-0000-0000-000058450000}"/>
    <cellStyle name="40% - Accent4 2 10 4 4" xfId="24045" xr:uid="{00000000-0005-0000-0000-000059450000}"/>
    <cellStyle name="40% - Accent4 2 10 5" xfId="6008" xr:uid="{00000000-0005-0000-0000-00005A450000}"/>
    <cellStyle name="40% - Accent4 2 10 5 2" xfId="10472" xr:uid="{00000000-0005-0000-0000-00005B450000}"/>
    <cellStyle name="40% - Accent4 2 10 5 2 2" xfId="20468" xr:uid="{00000000-0005-0000-0000-00005C450000}"/>
    <cellStyle name="40% - Accent4 2 10 5 2 2 2" xfId="39868" xr:uid="{00000000-0005-0000-0000-00005D450000}"/>
    <cellStyle name="40% - Accent4 2 10 5 2 3" xfId="30170" xr:uid="{00000000-0005-0000-0000-00005E450000}"/>
    <cellStyle name="40% - Accent4 2 10 5 3" xfId="16013" xr:uid="{00000000-0005-0000-0000-00005F450000}"/>
    <cellStyle name="40% - Accent4 2 10 5 3 2" xfId="35413" xr:uid="{00000000-0005-0000-0000-000060450000}"/>
    <cellStyle name="40% - Accent4 2 10 5 4" xfId="25715" xr:uid="{00000000-0005-0000-0000-000061450000}"/>
    <cellStyle name="40% - Accent4 2 10 6" xfId="6574" xr:uid="{00000000-0005-0000-0000-000062450000}"/>
    <cellStyle name="40% - Accent4 2 10 6 2" xfId="11029" xr:uid="{00000000-0005-0000-0000-000063450000}"/>
    <cellStyle name="40% - Accent4 2 10 6 2 2" xfId="21025" xr:uid="{00000000-0005-0000-0000-000064450000}"/>
    <cellStyle name="40% - Accent4 2 10 6 2 2 2" xfId="40425" xr:uid="{00000000-0005-0000-0000-000065450000}"/>
    <cellStyle name="40% - Accent4 2 10 6 2 3" xfId="30727" xr:uid="{00000000-0005-0000-0000-000066450000}"/>
    <cellStyle name="40% - Accent4 2 10 6 3" xfId="16570" xr:uid="{00000000-0005-0000-0000-000067450000}"/>
    <cellStyle name="40% - Accent4 2 10 6 3 2" xfId="35970" xr:uid="{00000000-0005-0000-0000-000068450000}"/>
    <cellStyle name="40% - Accent4 2 10 6 4" xfId="26272" xr:uid="{00000000-0005-0000-0000-000069450000}"/>
    <cellStyle name="40% - Accent4 2 10 7" xfId="7131" xr:uid="{00000000-0005-0000-0000-00006A450000}"/>
    <cellStyle name="40% - Accent4 2 10 7 2" xfId="17127" xr:uid="{00000000-0005-0000-0000-00006B450000}"/>
    <cellStyle name="40% - Accent4 2 10 7 2 2" xfId="36527" xr:uid="{00000000-0005-0000-0000-00006C450000}"/>
    <cellStyle name="40% - Accent4 2 10 7 3" xfId="26829" xr:uid="{00000000-0005-0000-0000-00006D450000}"/>
    <cellStyle name="40% - Accent4 2 10 8" xfId="12671" xr:uid="{00000000-0005-0000-0000-00006E450000}"/>
    <cellStyle name="40% - Accent4 2 10 8 2" xfId="32072" xr:uid="{00000000-0005-0000-0000-00006F450000}"/>
    <cellStyle name="40% - Accent4 2 10 9" xfId="22374" xr:uid="{00000000-0005-0000-0000-000070450000}"/>
    <cellStyle name="40% - Accent4 2 11" xfId="11311" xr:uid="{00000000-0005-0000-0000-000071450000}"/>
    <cellStyle name="40% - Accent4 2 11 2" xfId="21296" xr:uid="{00000000-0005-0000-0000-000072450000}"/>
    <cellStyle name="40% - Accent4 2 11 2 2" xfId="40696" xr:uid="{00000000-0005-0000-0000-000073450000}"/>
    <cellStyle name="40% - Accent4 2 11 3" xfId="30998" xr:uid="{00000000-0005-0000-0000-000074450000}"/>
    <cellStyle name="40% - Accent4 2 12" xfId="11340" xr:uid="{00000000-0005-0000-0000-000075450000}"/>
    <cellStyle name="40% - Accent4 2 12 2" xfId="21322" xr:uid="{00000000-0005-0000-0000-000076450000}"/>
    <cellStyle name="40% - Accent4 2 12 2 2" xfId="40722" xr:uid="{00000000-0005-0000-0000-000077450000}"/>
    <cellStyle name="40% - Accent4 2 12 3" xfId="31024" xr:uid="{00000000-0005-0000-0000-000078450000}"/>
    <cellStyle name="40% - Accent4 2 13" xfId="1293" xr:uid="{00000000-0005-0000-0000-000079450000}"/>
    <cellStyle name="40% - Accent4 2 14" xfId="1136" xr:uid="{00000000-0005-0000-0000-00007A450000}"/>
    <cellStyle name="40% - Accent4 2 14 2" xfId="12355" xr:uid="{00000000-0005-0000-0000-00007B450000}"/>
    <cellStyle name="40% - Accent4 2 14 2 2" xfId="31757" xr:uid="{00000000-0005-0000-0000-00007C450000}"/>
    <cellStyle name="40% - Accent4 2 14 3" xfId="22059" xr:uid="{00000000-0005-0000-0000-00007D450000}"/>
    <cellStyle name="40% - Accent4 2 2" xfId="730" xr:uid="{00000000-0005-0000-0000-00007E450000}"/>
    <cellStyle name="40% - Accent4 2 2 2" xfId="1753" xr:uid="{00000000-0005-0000-0000-00007F450000}"/>
    <cellStyle name="40% - Accent4 2 2 3" xfId="1294" xr:uid="{00000000-0005-0000-0000-000080450000}"/>
    <cellStyle name="40% - Accent4 2 2 4" xfId="11687" xr:uid="{00000000-0005-0000-0000-000081450000}"/>
    <cellStyle name="40% - Accent4 2 2 4 2" xfId="21405" xr:uid="{00000000-0005-0000-0000-000082450000}"/>
    <cellStyle name="40% - Accent4 2 2 4 2 2" xfId="40805" xr:uid="{00000000-0005-0000-0000-000083450000}"/>
    <cellStyle name="40% - Accent4 2 2 4 3" xfId="31107" xr:uid="{00000000-0005-0000-0000-000084450000}"/>
    <cellStyle name="40% - Accent4 2 2 5" xfId="1177" xr:uid="{00000000-0005-0000-0000-000085450000}"/>
    <cellStyle name="40% - Accent4 2 2 6" xfId="12057" xr:uid="{00000000-0005-0000-0000-000086450000}"/>
    <cellStyle name="40% - Accent4 2 2 6 2" xfId="31460" xr:uid="{00000000-0005-0000-0000-000087450000}"/>
    <cellStyle name="40% - Accent4 2 2 7" xfId="21762" xr:uid="{00000000-0005-0000-0000-000088450000}"/>
    <cellStyle name="40% - Accent4 2 3" xfId="1106" xr:uid="{00000000-0005-0000-0000-000089450000}"/>
    <cellStyle name="40% - Accent4 2 3 2" xfId="2198" xr:uid="{00000000-0005-0000-0000-00008A450000}"/>
    <cellStyle name="40% - Accent4 2 3 2 10" xfId="7132" xr:uid="{00000000-0005-0000-0000-00008B450000}"/>
    <cellStyle name="40% - Accent4 2 3 2 10 2" xfId="17128" xr:uid="{00000000-0005-0000-0000-00008C450000}"/>
    <cellStyle name="40% - Accent4 2 3 2 10 2 2" xfId="36528" xr:uid="{00000000-0005-0000-0000-00008D450000}"/>
    <cellStyle name="40% - Accent4 2 3 2 10 3" xfId="26830" xr:uid="{00000000-0005-0000-0000-00008E450000}"/>
    <cellStyle name="40% - Accent4 2 3 2 11" xfId="12672" xr:uid="{00000000-0005-0000-0000-00008F450000}"/>
    <cellStyle name="40% - Accent4 2 3 2 11 2" xfId="32073" xr:uid="{00000000-0005-0000-0000-000090450000}"/>
    <cellStyle name="40% - Accent4 2 3 2 12" xfId="22375" xr:uid="{00000000-0005-0000-0000-000091450000}"/>
    <cellStyle name="40% - Accent4 2 3 2 2" xfId="2199" xr:uid="{00000000-0005-0000-0000-000092450000}"/>
    <cellStyle name="40% - Accent4 2 3 2 2 10" xfId="12673" xr:uid="{00000000-0005-0000-0000-000093450000}"/>
    <cellStyle name="40% - Accent4 2 3 2 2 10 2" xfId="32074" xr:uid="{00000000-0005-0000-0000-000094450000}"/>
    <cellStyle name="40% - Accent4 2 3 2 2 11" xfId="22376" xr:uid="{00000000-0005-0000-0000-000095450000}"/>
    <cellStyle name="40% - Accent4 2 3 2 2 2" xfId="2200" xr:uid="{00000000-0005-0000-0000-000096450000}"/>
    <cellStyle name="40% - Accent4 2 3 2 2 2 2" xfId="3185" xr:uid="{00000000-0005-0000-0000-000097450000}"/>
    <cellStyle name="40% - Accent4 2 3 2 2 2 2 2" xfId="5454" xr:uid="{00000000-0005-0000-0000-000098450000}"/>
    <cellStyle name="40% - Accent4 2 3 2 2 2 2 2 2" xfId="9918" xr:uid="{00000000-0005-0000-0000-000099450000}"/>
    <cellStyle name="40% - Accent4 2 3 2 2 2 2 2 2 2" xfId="19914" xr:uid="{00000000-0005-0000-0000-00009A450000}"/>
    <cellStyle name="40% - Accent4 2 3 2 2 2 2 2 2 2 2" xfId="39314" xr:uid="{00000000-0005-0000-0000-00009B450000}"/>
    <cellStyle name="40% - Accent4 2 3 2 2 2 2 2 2 3" xfId="29616" xr:uid="{00000000-0005-0000-0000-00009C450000}"/>
    <cellStyle name="40% - Accent4 2 3 2 2 2 2 2 3" xfId="15459" xr:uid="{00000000-0005-0000-0000-00009D450000}"/>
    <cellStyle name="40% - Accent4 2 3 2 2 2 2 2 3 2" xfId="34859" xr:uid="{00000000-0005-0000-0000-00009E450000}"/>
    <cellStyle name="40% - Accent4 2 3 2 2 2 2 2 4" xfId="25161" xr:uid="{00000000-0005-0000-0000-00009F450000}"/>
    <cellStyle name="40% - Accent4 2 3 2 2 2 2 3" xfId="7690" xr:uid="{00000000-0005-0000-0000-0000A0450000}"/>
    <cellStyle name="40% - Accent4 2 3 2 2 2 2 3 2" xfId="17686" xr:uid="{00000000-0005-0000-0000-0000A1450000}"/>
    <cellStyle name="40% - Accent4 2 3 2 2 2 2 3 2 2" xfId="37086" xr:uid="{00000000-0005-0000-0000-0000A2450000}"/>
    <cellStyle name="40% - Accent4 2 3 2 2 2 2 3 3" xfId="27388" xr:uid="{00000000-0005-0000-0000-0000A3450000}"/>
    <cellStyle name="40% - Accent4 2 3 2 2 2 2 4" xfId="13231" xr:uid="{00000000-0005-0000-0000-0000A4450000}"/>
    <cellStyle name="40% - Accent4 2 3 2 2 2 2 4 2" xfId="32631" xr:uid="{00000000-0005-0000-0000-0000A5450000}"/>
    <cellStyle name="40% - Accent4 2 3 2 2 2 2 5" xfId="22933" xr:uid="{00000000-0005-0000-0000-0000A6450000}"/>
    <cellStyle name="40% - Accent4 2 3 2 2 2 3" xfId="3768" xr:uid="{00000000-0005-0000-0000-0000A7450000}"/>
    <cellStyle name="40% - Accent4 2 3 2 2 2 3 2" xfId="4898" xr:uid="{00000000-0005-0000-0000-0000A8450000}"/>
    <cellStyle name="40% - Accent4 2 3 2 2 2 3 2 2" xfId="9362" xr:uid="{00000000-0005-0000-0000-0000A9450000}"/>
    <cellStyle name="40% - Accent4 2 3 2 2 2 3 2 2 2" xfId="19358" xr:uid="{00000000-0005-0000-0000-0000AA450000}"/>
    <cellStyle name="40% - Accent4 2 3 2 2 2 3 2 2 2 2" xfId="38758" xr:uid="{00000000-0005-0000-0000-0000AB450000}"/>
    <cellStyle name="40% - Accent4 2 3 2 2 2 3 2 2 3" xfId="29060" xr:uid="{00000000-0005-0000-0000-0000AC450000}"/>
    <cellStyle name="40% - Accent4 2 3 2 2 2 3 2 3" xfId="14903" xr:uid="{00000000-0005-0000-0000-0000AD450000}"/>
    <cellStyle name="40% - Accent4 2 3 2 2 2 3 2 3 2" xfId="34303" xr:uid="{00000000-0005-0000-0000-0000AE450000}"/>
    <cellStyle name="40% - Accent4 2 3 2 2 2 3 2 4" xfId="24605" xr:uid="{00000000-0005-0000-0000-0000AF450000}"/>
    <cellStyle name="40% - Accent4 2 3 2 2 2 3 3" xfId="8247" xr:uid="{00000000-0005-0000-0000-0000B0450000}"/>
    <cellStyle name="40% - Accent4 2 3 2 2 2 3 3 2" xfId="18243" xr:uid="{00000000-0005-0000-0000-0000B1450000}"/>
    <cellStyle name="40% - Accent4 2 3 2 2 2 3 3 2 2" xfId="37643" xr:uid="{00000000-0005-0000-0000-0000B2450000}"/>
    <cellStyle name="40% - Accent4 2 3 2 2 2 3 3 3" xfId="27945" xr:uid="{00000000-0005-0000-0000-0000B3450000}"/>
    <cellStyle name="40% - Accent4 2 3 2 2 2 3 4" xfId="13788" xr:uid="{00000000-0005-0000-0000-0000B4450000}"/>
    <cellStyle name="40% - Accent4 2 3 2 2 2 3 4 2" xfId="33188" xr:uid="{00000000-0005-0000-0000-0000B5450000}"/>
    <cellStyle name="40% - Accent4 2 3 2 2 2 3 5" xfId="23490" xr:uid="{00000000-0005-0000-0000-0000B6450000}"/>
    <cellStyle name="40% - Accent4 2 3 2 2 2 4" xfId="4341" xr:uid="{00000000-0005-0000-0000-0000B7450000}"/>
    <cellStyle name="40% - Accent4 2 3 2 2 2 4 2" xfId="8805" xr:uid="{00000000-0005-0000-0000-0000B8450000}"/>
    <cellStyle name="40% - Accent4 2 3 2 2 2 4 2 2" xfId="18801" xr:uid="{00000000-0005-0000-0000-0000B9450000}"/>
    <cellStyle name="40% - Accent4 2 3 2 2 2 4 2 2 2" xfId="38201" xr:uid="{00000000-0005-0000-0000-0000BA450000}"/>
    <cellStyle name="40% - Accent4 2 3 2 2 2 4 2 3" xfId="28503" xr:uid="{00000000-0005-0000-0000-0000BB450000}"/>
    <cellStyle name="40% - Accent4 2 3 2 2 2 4 3" xfId="14346" xr:uid="{00000000-0005-0000-0000-0000BC450000}"/>
    <cellStyle name="40% - Accent4 2 3 2 2 2 4 3 2" xfId="33746" xr:uid="{00000000-0005-0000-0000-0000BD450000}"/>
    <cellStyle name="40% - Accent4 2 3 2 2 2 4 4" xfId="24048" xr:uid="{00000000-0005-0000-0000-0000BE450000}"/>
    <cellStyle name="40% - Accent4 2 3 2 2 2 5" xfId="6011" xr:uid="{00000000-0005-0000-0000-0000BF450000}"/>
    <cellStyle name="40% - Accent4 2 3 2 2 2 5 2" xfId="10475" xr:uid="{00000000-0005-0000-0000-0000C0450000}"/>
    <cellStyle name="40% - Accent4 2 3 2 2 2 5 2 2" xfId="20471" xr:uid="{00000000-0005-0000-0000-0000C1450000}"/>
    <cellStyle name="40% - Accent4 2 3 2 2 2 5 2 2 2" xfId="39871" xr:uid="{00000000-0005-0000-0000-0000C2450000}"/>
    <cellStyle name="40% - Accent4 2 3 2 2 2 5 2 3" xfId="30173" xr:uid="{00000000-0005-0000-0000-0000C3450000}"/>
    <cellStyle name="40% - Accent4 2 3 2 2 2 5 3" xfId="16016" xr:uid="{00000000-0005-0000-0000-0000C4450000}"/>
    <cellStyle name="40% - Accent4 2 3 2 2 2 5 3 2" xfId="35416" xr:uid="{00000000-0005-0000-0000-0000C5450000}"/>
    <cellStyle name="40% - Accent4 2 3 2 2 2 5 4" xfId="25718" xr:uid="{00000000-0005-0000-0000-0000C6450000}"/>
    <cellStyle name="40% - Accent4 2 3 2 2 2 6" xfId="6577" xr:uid="{00000000-0005-0000-0000-0000C7450000}"/>
    <cellStyle name="40% - Accent4 2 3 2 2 2 6 2" xfId="11032" xr:uid="{00000000-0005-0000-0000-0000C8450000}"/>
    <cellStyle name="40% - Accent4 2 3 2 2 2 6 2 2" xfId="21028" xr:uid="{00000000-0005-0000-0000-0000C9450000}"/>
    <cellStyle name="40% - Accent4 2 3 2 2 2 6 2 2 2" xfId="40428" xr:uid="{00000000-0005-0000-0000-0000CA450000}"/>
    <cellStyle name="40% - Accent4 2 3 2 2 2 6 2 3" xfId="30730" xr:uid="{00000000-0005-0000-0000-0000CB450000}"/>
    <cellStyle name="40% - Accent4 2 3 2 2 2 6 3" xfId="16573" xr:uid="{00000000-0005-0000-0000-0000CC450000}"/>
    <cellStyle name="40% - Accent4 2 3 2 2 2 6 3 2" xfId="35973" xr:uid="{00000000-0005-0000-0000-0000CD450000}"/>
    <cellStyle name="40% - Accent4 2 3 2 2 2 6 4" xfId="26275" xr:uid="{00000000-0005-0000-0000-0000CE450000}"/>
    <cellStyle name="40% - Accent4 2 3 2 2 2 7" xfId="7134" xr:uid="{00000000-0005-0000-0000-0000CF450000}"/>
    <cellStyle name="40% - Accent4 2 3 2 2 2 7 2" xfId="17130" xr:uid="{00000000-0005-0000-0000-0000D0450000}"/>
    <cellStyle name="40% - Accent4 2 3 2 2 2 7 2 2" xfId="36530" xr:uid="{00000000-0005-0000-0000-0000D1450000}"/>
    <cellStyle name="40% - Accent4 2 3 2 2 2 7 3" xfId="26832" xr:uid="{00000000-0005-0000-0000-0000D2450000}"/>
    <cellStyle name="40% - Accent4 2 3 2 2 2 8" xfId="12674" xr:uid="{00000000-0005-0000-0000-0000D3450000}"/>
    <cellStyle name="40% - Accent4 2 3 2 2 2 8 2" xfId="32075" xr:uid="{00000000-0005-0000-0000-0000D4450000}"/>
    <cellStyle name="40% - Accent4 2 3 2 2 2 9" xfId="22377" xr:uid="{00000000-0005-0000-0000-0000D5450000}"/>
    <cellStyle name="40% - Accent4 2 3 2 2 3" xfId="2201" xr:uid="{00000000-0005-0000-0000-0000D6450000}"/>
    <cellStyle name="40% - Accent4 2 3 2 2 3 2" xfId="3186" xr:uid="{00000000-0005-0000-0000-0000D7450000}"/>
    <cellStyle name="40% - Accent4 2 3 2 2 3 2 2" xfId="5455" xr:uid="{00000000-0005-0000-0000-0000D8450000}"/>
    <cellStyle name="40% - Accent4 2 3 2 2 3 2 2 2" xfId="9919" xr:uid="{00000000-0005-0000-0000-0000D9450000}"/>
    <cellStyle name="40% - Accent4 2 3 2 2 3 2 2 2 2" xfId="19915" xr:uid="{00000000-0005-0000-0000-0000DA450000}"/>
    <cellStyle name="40% - Accent4 2 3 2 2 3 2 2 2 2 2" xfId="39315" xr:uid="{00000000-0005-0000-0000-0000DB450000}"/>
    <cellStyle name="40% - Accent4 2 3 2 2 3 2 2 2 3" xfId="29617" xr:uid="{00000000-0005-0000-0000-0000DC450000}"/>
    <cellStyle name="40% - Accent4 2 3 2 2 3 2 2 3" xfId="15460" xr:uid="{00000000-0005-0000-0000-0000DD450000}"/>
    <cellStyle name="40% - Accent4 2 3 2 2 3 2 2 3 2" xfId="34860" xr:uid="{00000000-0005-0000-0000-0000DE450000}"/>
    <cellStyle name="40% - Accent4 2 3 2 2 3 2 2 4" xfId="25162" xr:uid="{00000000-0005-0000-0000-0000DF450000}"/>
    <cellStyle name="40% - Accent4 2 3 2 2 3 2 3" xfId="7691" xr:uid="{00000000-0005-0000-0000-0000E0450000}"/>
    <cellStyle name="40% - Accent4 2 3 2 2 3 2 3 2" xfId="17687" xr:uid="{00000000-0005-0000-0000-0000E1450000}"/>
    <cellStyle name="40% - Accent4 2 3 2 2 3 2 3 2 2" xfId="37087" xr:uid="{00000000-0005-0000-0000-0000E2450000}"/>
    <cellStyle name="40% - Accent4 2 3 2 2 3 2 3 3" xfId="27389" xr:uid="{00000000-0005-0000-0000-0000E3450000}"/>
    <cellStyle name="40% - Accent4 2 3 2 2 3 2 4" xfId="13232" xr:uid="{00000000-0005-0000-0000-0000E4450000}"/>
    <cellStyle name="40% - Accent4 2 3 2 2 3 2 4 2" xfId="32632" xr:uid="{00000000-0005-0000-0000-0000E5450000}"/>
    <cellStyle name="40% - Accent4 2 3 2 2 3 2 5" xfId="22934" xr:uid="{00000000-0005-0000-0000-0000E6450000}"/>
    <cellStyle name="40% - Accent4 2 3 2 2 3 3" xfId="3769" xr:uid="{00000000-0005-0000-0000-0000E7450000}"/>
    <cellStyle name="40% - Accent4 2 3 2 2 3 3 2" xfId="4899" xr:uid="{00000000-0005-0000-0000-0000E8450000}"/>
    <cellStyle name="40% - Accent4 2 3 2 2 3 3 2 2" xfId="9363" xr:uid="{00000000-0005-0000-0000-0000E9450000}"/>
    <cellStyle name="40% - Accent4 2 3 2 2 3 3 2 2 2" xfId="19359" xr:uid="{00000000-0005-0000-0000-0000EA450000}"/>
    <cellStyle name="40% - Accent4 2 3 2 2 3 3 2 2 2 2" xfId="38759" xr:uid="{00000000-0005-0000-0000-0000EB450000}"/>
    <cellStyle name="40% - Accent4 2 3 2 2 3 3 2 2 3" xfId="29061" xr:uid="{00000000-0005-0000-0000-0000EC450000}"/>
    <cellStyle name="40% - Accent4 2 3 2 2 3 3 2 3" xfId="14904" xr:uid="{00000000-0005-0000-0000-0000ED450000}"/>
    <cellStyle name="40% - Accent4 2 3 2 2 3 3 2 3 2" xfId="34304" xr:uid="{00000000-0005-0000-0000-0000EE450000}"/>
    <cellStyle name="40% - Accent4 2 3 2 2 3 3 2 4" xfId="24606" xr:uid="{00000000-0005-0000-0000-0000EF450000}"/>
    <cellStyle name="40% - Accent4 2 3 2 2 3 3 3" xfId="8248" xr:uid="{00000000-0005-0000-0000-0000F0450000}"/>
    <cellStyle name="40% - Accent4 2 3 2 2 3 3 3 2" xfId="18244" xr:uid="{00000000-0005-0000-0000-0000F1450000}"/>
    <cellStyle name="40% - Accent4 2 3 2 2 3 3 3 2 2" xfId="37644" xr:uid="{00000000-0005-0000-0000-0000F2450000}"/>
    <cellStyle name="40% - Accent4 2 3 2 2 3 3 3 3" xfId="27946" xr:uid="{00000000-0005-0000-0000-0000F3450000}"/>
    <cellStyle name="40% - Accent4 2 3 2 2 3 3 4" xfId="13789" xr:uid="{00000000-0005-0000-0000-0000F4450000}"/>
    <cellStyle name="40% - Accent4 2 3 2 2 3 3 4 2" xfId="33189" xr:uid="{00000000-0005-0000-0000-0000F5450000}"/>
    <cellStyle name="40% - Accent4 2 3 2 2 3 3 5" xfId="23491" xr:uid="{00000000-0005-0000-0000-0000F6450000}"/>
    <cellStyle name="40% - Accent4 2 3 2 2 3 4" xfId="4342" xr:uid="{00000000-0005-0000-0000-0000F7450000}"/>
    <cellStyle name="40% - Accent4 2 3 2 2 3 4 2" xfId="8806" xr:uid="{00000000-0005-0000-0000-0000F8450000}"/>
    <cellStyle name="40% - Accent4 2 3 2 2 3 4 2 2" xfId="18802" xr:uid="{00000000-0005-0000-0000-0000F9450000}"/>
    <cellStyle name="40% - Accent4 2 3 2 2 3 4 2 2 2" xfId="38202" xr:uid="{00000000-0005-0000-0000-0000FA450000}"/>
    <cellStyle name="40% - Accent4 2 3 2 2 3 4 2 3" xfId="28504" xr:uid="{00000000-0005-0000-0000-0000FB450000}"/>
    <cellStyle name="40% - Accent4 2 3 2 2 3 4 3" xfId="14347" xr:uid="{00000000-0005-0000-0000-0000FC450000}"/>
    <cellStyle name="40% - Accent4 2 3 2 2 3 4 3 2" xfId="33747" xr:uid="{00000000-0005-0000-0000-0000FD450000}"/>
    <cellStyle name="40% - Accent4 2 3 2 2 3 4 4" xfId="24049" xr:uid="{00000000-0005-0000-0000-0000FE450000}"/>
    <cellStyle name="40% - Accent4 2 3 2 2 3 5" xfId="6012" xr:uid="{00000000-0005-0000-0000-0000FF450000}"/>
    <cellStyle name="40% - Accent4 2 3 2 2 3 5 2" xfId="10476" xr:uid="{00000000-0005-0000-0000-000000460000}"/>
    <cellStyle name="40% - Accent4 2 3 2 2 3 5 2 2" xfId="20472" xr:uid="{00000000-0005-0000-0000-000001460000}"/>
    <cellStyle name="40% - Accent4 2 3 2 2 3 5 2 2 2" xfId="39872" xr:uid="{00000000-0005-0000-0000-000002460000}"/>
    <cellStyle name="40% - Accent4 2 3 2 2 3 5 2 3" xfId="30174" xr:uid="{00000000-0005-0000-0000-000003460000}"/>
    <cellStyle name="40% - Accent4 2 3 2 2 3 5 3" xfId="16017" xr:uid="{00000000-0005-0000-0000-000004460000}"/>
    <cellStyle name="40% - Accent4 2 3 2 2 3 5 3 2" xfId="35417" xr:uid="{00000000-0005-0000-0000-000005460000}"/>
    <cellStyle name="40% - Accent4 2 3 2 2 3 5 4" xfId="25719" xr:uid="{00000000-0005-0000-0000-000006460000}"/>
    <cellStyle name="40% - Accent4 2 3 2 2 3 6" xfId="6578" xr:uid="{00000000-0005-0000-0000-000007460000}"/>
    <cellStyle name="40% - Accent4 2 3 2 2 3 6 2" xfId="11033" xr:uid="{00000000-0005-0000-0000-000008460000}"/>
    <cellStyle name="40% - Accent4 2 3 2 2 3 6 2 2" xfId="21029" xr:uid="{00000000-0005-0000-0000-000009460000}"/>
    <cellStyle name="40% - Accent4 2 3 2 2 3 6 2 2 2" xfId="40429" xr:uid="{00000000-0005-0000-0000-00000A460000}"/>
    <cellStyle name="40% - Accent4 2 3 2 2 3 6 2 3" xfId="30731" xr:uid="{00000000-0005-0000-0000-00000B460000}"/>
    <cellStyle name="40% - Accent4 2 3 2 2 3 6 3" xfId="16574" xr:uid="{00000000-0005-0000-0000-00000C460000}"/>
    <cellStyle name="40% - Accent4 2 3 2 2 3 6 3 2" xfId="35974" xr:uid="{00000000-0005-0000-0000-00000D460000}"/>
    <cellStyle name="40% - Accent4 2 3 2 2 3 6 4" xfId="26276" xr:uid="{00000000-0005-0000-0000-00000E460000}"/>
    <cellStyle name="40% - Accent4 2 3 2 2 3 7" xfId="7135" xr:uid="{00000000-0005-0000-0000-00000F460000}"/>
    <cellStyle name="40% - Accent4 2 3 2 2 3 7 2" xfId="17131" xr:uid="{00000000-0005-0000-0000-000010460000}"/>
    <cellStyle name="40% - Accent4 2 3 2 2 3 7 2 2" xfId="36531" xr:uid="{00000000-0005-0000-0000-000011460000}"/>
    <cellStyle name="40% - Accent4 2 3 2 2 3 7 3" xfId="26833" xr:uid="{00000000-0005-0000-0000-000012460000}"/>
    <cellStyle name="40% - Accent4 2 3 2 2 3 8" xfId="12675" xr:uid="{00000000-0005-0000-0000-000013460000}"/>
    <cellStyle name="40% - Accent4 2 3 2 2 3 8 2" xfId="32076" xr:uid="{00000000-0005-0000-0000-000014460000}"/>
    <cellStyle name="40% - Accent4 2 3 2 2 3 9" xfId="22378" xr:uid="{00000000-0005-0000-0000-000015460000}"/>
    <cellStyle name="40% - Accent4 2 3 2 2 4" xfId="3184" xr:uid="{00000000-0005-0000-0000-000016460000}"/>
    <cellStyle name="40% - Accent4 2 3 2 2 4 2" xfId="5453" xr:uid="{00000000-0005-0000-0000-000017460000}"/>
    <cellStyle name="40% - Accent4 2 3 2 2 4 2 2" xfId="9917" xr:uid="{00000000-0005-0000-0000-000018460000}"/>
    <cellStyle name="40% - Accent4 2 3 2 2 4 2 2 2" xfId="19913" xr:uid="{00000000-0005-0000-0000-000019460000}"/>
    <cellStyle name="40% - Accent4 2 3 2 2 4 2 2 2 2" xfId="39313" xr:uid="{00000000-0005-0000-0000-00001A460000}"/>
    <cellStyle name="40% - Accent4 2 3 2 2 4 2 2 3" xfId="29615" xr:uid="{00000000-0005-0000-0000-00001B460000}"/>
    <cellStyle name="40% - Accent4 2 3 2 2 4 2 3" xfId="15458" xr:uid="{00000000-0005-0000-0000-00001C460000}"/>
    <cellStyle name="40% - Accent4 2 3 2 2 4 2 3 2" xfId="34858" xr:uid="{00000000-0005-0000-0000-00001D460000}"/>
    <cellStyle name="40% - Accent4 2 3 2 2 4 2 4" xfId="25160" xr:uid="{00000000-0005-0000-0000-00001E460000}"/>
    <cellStyle name="40% - Accent4 2 3 2 2 4 3" xfId="7689" xr:uid="{00000000-0005-0000-0000-00001F460000}"/>
    <cellStyle name="40% - Accent4 2 3 2 2 4 3 2" xfId="17685" xr:uid="{00000000-0005-0000-0000-000020460000}"/>
    <cellStyle name="40% - Accent4 2 3 2 2 4 3 2 2" xfId="37085" xr:uid="{00000000-0005-0000-0000-000021460000}"/>
    <cellStyle name="40% - Accent4 2 3 2 2 4 3 3" xfId="27387" xr:uid="{00000000-0005-0000-0000-000022460000}"/>
    <cellStyle name="40% - Accent4 2 3 2 2 4 4" xfId="13230" xr:uid="{00000000-0005-0000-0000-000023460000}"/>
    <cellStyle name="40% - Accent4 2 3 2 2 4 4 2" xfId="32630" xr:uid="{00000000-0005-0000-0000-000024460000}"/>
    <cellStyle name="40% - Accent4 2 3 2 2 4 5" xfId="22932" xr:uid="{00000000-0005-0000-0000-000025460000}"/>
    <cellStyle name="40% - Accent4 2 3 2 2 5" xfId="3767" xr:uid="{00000000-0005-0000-0000-000026460000}"/>
    <cellStyle name="40% - Accent4 2 3 2 2 5 2" xfId="4897" xr:uid="{00000000-0005-0000-0000-000027460000}"/>
    <cellStyle name="40% - Accent4 2 3 2 2 5 2 2" xfId="9361" xr:uid="{00000000-0005-0000-0000-000028460000}"/>
    <cellStyle name="40% - Accent4 2 3 2 2 5 2 2 2" xfId="19357" xr:uid="{00000000-0005-0000-0000-000029460000}"/>
    <cellStyle name="40% - Accent4 2 3 2 2 5 2 2 2 2" xfId="38757" xr:uid="{00000000-0005-0000-0000-00002A460000}"/>
    <cellStyle name="40% - Accent4 2 3 2 2 5 2 2 3" xfId="29059" xr:uid="{00000000-0005-0000-0000-00002B460000}"/>
    <cellStyle name="40% - Accent4 2 3 2 2 5 2 3" xfId="14902" xr:uid="{00000000-0005-0000-0000-00002C460000}"/>
    <cellStyle name="40% - Accent4 2 3 2 2 5 2 3 2" xfId="34302" xr:uid="{00000000-0005-0000-0000-00002D460000}"/>
    <cellStyle name="40% - Accent4 2 3 2 2 5 2 4" xfId="24604" xr:uid="{00000000-0005-0000-0000-00002E460000}"/>
    <cellStyle name="40% - Accent4 2 3 2 2 5 3" xfId="8246" xr:uid="{00000000-0005-0000-0000-00002F460000}"/>
    <cellStyle name="40% - Accent4 2 3 2 2 5 3 2" xfId="18242" xr:uid="{00000000-0005-0000-0000-000030460000}"/>
    <cellStyle name="40% - Accent4 2 3 2 2 5 3 2 2" xfId="37642" xr:uid="{00000000-0005-0000-0000-000031460000}"/>
    <cellStyle name="40% - Accent4 2 3 2 2 5 3 3" xfId="27944" xr:uid="{00000000-0005-0000-0000-000032460000}"/>
    <cellStyle name="40% - Accent4 2 3 2 2 5 4" xfId="13787" xr:uid="{00000000-0005-0000-0000-000033460000}"/>
    <cellStyle name="40% - Accent4 2 3 2 2 5 4 2" xfId="33187" xr:uid="{00000000-0005-0000-0000-000034460000}"/>
    <cellStyle name="40% - Accent4 2 3 2 2 5 5" xfId="23489" xr:uid="{00000000-0005-0000-0000-000035460000}"/>
    <cellStyle name="40% - Accent4 2 3 2 2 6" xfId="4340" xr:uid="{00000000-0005-0000-0000-000036460000}"/>
    <cellStyle name="40% - Accent4 2 3 2 2 6 2" xfId="8804" xr:uid="{00000000-0005-0000-0000-000037460000}"/>
    <cellStyle name="40% - Accent4 2 3 2 2 6 2 2" xfId="18800" xr:uid="{00000000-0005-0000-0000-000038460000}"/>
    <cellStyle name="40% - Accent4 2 3 2 2 6 2 2 2" xfId="38200" xr:uid="{00000000-0005-0000-0000-000039460000}"/>
    <cellStyle name="40% - Accent4 2 3 2 2 6 2 3" xfId="28502" xr:uid="{00000000-0005-0000-0000-00003A460000}"/>
    <cellStyle name="40% - Accent4 2 3 2 2 6 3" xfId="14345" xr:uid="{00000000-0005-0000-0000-00003B460000}"/>
    <cellStyle name="40% - Accent4 2 3 2 2 6 3 2" xfId="33745" xr:uid="{00000000-0005-0000-0000-00003C460000}"/>
    <cellStyle name="40% - Accent4 2 3 2 2 6 4" xfId="24047" xr:uid="{00000000-0005-0000-0000-00003D460000}"/>
    <cellStyle name="40% - Accent4 2 3 2 2 7" xfId="6010" xr:uid="{00000000-0005-0000-0000-00003E460000}"/>
    <cellStyle name="40% - Accent4 2 3 2 2 7 2" xfId="10474" xr:uid="{00000000-0005-0000-0000-00003F460000}"/>
    <cellStyle name="40% - Accent4 2 3 2 2 7 2 2" xfId="20470" xr:uid="{00000000-0005-0000-0000-000040460000}"/>
    <cellStyle name="40% - Accent4 2 3 2 2 7 2 2 2" xfId="39870" xr:uid="{00000000-0005-0000-0000-000041460000}"/>
    <cellStyle name="40% - Accent4 2 3 2 2 7 2 3" xfId="30172" xr:uid="{00000000-0005-0000-0000-000042460000}"/>
    <cellStyle name="40% - Accent4 2 3 2 2 7 3" xfId="16015" xr:uid="{00000000-0005-0000-0000-000043460000}"/>
    <cellStyle name="40% - Accent4 2 3 2 2 7 3 2" xfId="35415" xr:uid="{00000000-0005-0000-0000-000044460000}"/>
    <cellStyle name="40% - Accent4 2 3 2 2 7 4" xfId="25717" xr:uid="{00000000-0005-0000-0000-000045460000}"/>
    <cellStyle name="40% - Accent4 2 3 2 2 8" xfId="6576" xr:uid="{00000000-0005-0000-0000-000046460000}"/>
    <cellStyle name="40% - Accent4 2 3 2 2 8 2" xfId="11031" xr:uid="{00000000-0005-0000-0000-000047460000}"/>
    <cellStyle name="40% - Accent4 2 3 2 2 8 2 2" xfId="21027" xr:uid="{00000000-0005-0000-0000-000048460000}"/>
    <cellStyle name="40% - Accent4 2 3 2 2 8 2 2 2" xfId="40427" xr:uid="{00000000-0005-0000-0000-000049460000}"/>
    <cellStyle name="40% - Accent4 2 3 2 2 8 2 3" xfId="30729" xr:uid="{00000000-0005-0000-0000-00004A460000}"/>
    <cellStyle name="40% - Accent4 2 3 2 2 8 3" xfId="16572" xr:uid="{00000000-0005-0000-0000-00004B460000}"/>
    <cellStyle name="40% - Accent4 2 3 2 2 8 3 2" xfId="35972" xr:uid="{00000000-0005-0000-0000-00004C460000}"/>
    <cellStyle name="40% - Accent4 2 3 2 2 8 4" xfId="26274" xr:uid="{00000000-0005-0000-0000-00004D460000}"/>
    <cellStyle name="40% - Accent4 2 3 2 2 9" xfId="7133" xr:uid="{00000000-0005-0000-0000-00004E460000}"/>
    <cellStyle name="40% - Accent4 2 3 2 2 9 2" xfId="17129" xr:uid="{00000000-0005-0000-0000-00004F460000}"/>
    <cellStyle name="40% - Accent4 2 3 2 2 9 2 2" xfId="36529" xr:uid="{00000000-0005-0000-0000-000050460000}"/>
    <cellStyle name="40% - Accent4 2 3 2 2 9 3" xfId="26831" xr:uid="{00000000-0005-0000-0000-000051460000}"/>
    <cellStyle name="40% - Accent4 2 3 2 3" xfId="2202" xr:uid="{00000000-0005-0000-0000-000052460000}"/>
    <cellStyle name="40% - Accent4 2 3 2 3 2" xfId="3187" xr:uid="{00000000-0005-0000-0000-000053460000}"/>
    <cellStyle name="40% - Accent4 2 3 2 3 2 2" xfId="5456" xr:uid="{00000000-0005-0000-0000-000054460000}"/>
    <cellStyle name="40% - Accent4 2 3 2 3 2 2 2" xfId="9920" xr:uid="{00000000-0005-0000-0000-000055460000}"/>
    <cellStyle name="40% - Accent4 2 3 2 3 2 2 2 2" xfId="19916" xr:uid="{00000000-0005-0000-0000-000056460000}"/>
    <cellStyle name="40% - Accent4 2 3 2 3 2 2 2 2 2" xfId="39316" xr:uid="{00000000-0005-0000-0000-000057460000}"/>
    <cellStyle name="40% - Accent4 2 3 2 3 2 2 2 3" xfId="29618" xr:uid="{00000000-0005-0000-0000-000058460000}"/>
    <cellStyle name="40% - Accent4 2 3 2 3 2 2 3" xfId="15461" xr:uid="{00000000-0005-0000-0000-000059460000}"/>
    <cellStyle name="40% - Accent4 2 3 2 3 2 2 3 2" xfId="34861" xr:uid="{00000000-0005-0000-0000-00005A460000}"/>
    <cellStyle name="40% - Accent4 2 3 2 3 2 2 4" xfId="25163" xr:uid="{00000000-0005-0000-0000-00005B460000}"/>
    <cellStyle name="40% - Accent4 2 3 2 3 2 3" xfId="7692" xr:uid="{00000000-0005-0000-0000-00005C460000}"/>
    <cellStyle name="40% - Accent4 2 3 2 3 2 3 2" xfId="17688" xr:uid="{00000000-0005-0000-0000-00005D460000}"/>
    <cellStyle name="40% - Accent4 2 3 2 3 2 3 2 2" xfId="37088" xr:uid="{00000000-0005-0000-0000-00005E460000}"/>
    <cellStyle name="40% - Accent4 2 3 2 3 2 3 3" xfId="27390" xr:uid="{00000000-0005-0000-0000-00005F460000}"/>
    <cellStyle name="40% - Accent4 2 3 2 3 2 4" xfId="13233" xr:uid="{00000000-0005-0000-0000-000060460000}"/>
    <cellStyle name="40% - Accent4 2 3 2 3 2 4 2" xfId="32633" xr:uid="{00000000-0005-0000-0000-000061460000}"/>
    <cellStyle name="40% - Accent4 2 3 2 3 2 5" xfId="22935" xr:uid="{00000000-0005-0000-0000-000062460000}"/>
    <cellStyle name="40% - Accent4 2 3 2 3 3" xfId="3770" xr:uid="{00000000-0005-0000-0000-000063460000}"/>
    <cellStyle name="40% - Accent4 2 3 2 3 3 2" xfId="4900" xr:uid="{00000000-0005-0000-0000-000064460000}"/>
    <cellStyle name="40% - Accent4 2 3 2 3 3 2 2" xfId="9364" xr:uid="{00000000-0005-0000-0000-000065460000}"/>
    <cellStyle name="40% - Accent4 2 3 2 3 3 2 2 2" xfId="19360" xr:uid="{00000000-0005-0000-0000-000066460000}"/>
    <cellStyle name="40% - Accent4 2 3 2 3 3 2 2 2 2" xfId="38760" xr:uid="{00000000-0005-0000-0000-000067460000}"/>
    <cellStyle name="40% - Accent4 2 3 2 3 3 2 2 3" xfId="29062" xr:uid="{00000000-0005-0000-0000-000068460000}"/>
    <cellStyle name="40% - Accent4 2 3 2 3 3 2 3" xfId="14905" xr:uid="{00000000-0005-0000-0000-000069460000}"/>
    <cellStyle name="40% - Accent4 2 3 2 3 3 2 3 2" xfId="34305" xr:uid="{00000000-0005-0000-0000-00006A460000}"/>
    <cellStyle name="40% - Accent4 2 3 2 3 3 2 4" xfId="24607" xr:uid="{00000000-0005-0000-0000-00006B460000}"/>
    <cellStyle name="40% - Accent4 2 3 2 3 3 3" xfId="8249" xr:uid="{00000000-0005-0000-0000-00006C460000}"/>
    <cellStyle name="40% - Accent4 2 3 2 3 3 3 2" xfId="18245" xr:uid="{00000000-0005-0000-0000-00006D460000}"/>
    <cellStyle name="40% - Accent4 2 3 2 3 3 3 2 2" xfId="37645" xr:uid="{00000000-0005-0000-0000-00006E460000}"/>
    <cellStyle name="40% - Accent4 2 3 2 3 3 3 3" xfId="27947" xr:uid="{00000000-0005-0000-0000-00006F460000}"/>
    <cellStyle name="40% - Accent4 2 3 2 3 3 4" xfId="13790" xr:uid="{00000000-0005-0000-0000-000070460000}"/>
    <cellStyle name="40% - Accent4 2 3 2 3 3 4 2" xfId="33190" xr:uid="{00000000-0005-0000-0000-000071460000}"/>
    <cellStyle name="40% - Accent4 2 3 2 3 3 5" xfId="23492" xr:uid="{00000000-0005-0000-0000-000072460000}"/>
    <cellStyle name="40% - Accent4 2 3 2 3 4" xfId="4343" xr:uid="{00000000-0005-0000-0000-000073460000}"/>
    <cellStyle name="40% - Accent4 2 3 2 3 4 2" xfId="8807" xr:uid="{00000000-0005-0000-0000-000074460000}"/>
    <cellStyle name="40% - Accent4 2 3 2 3 4 2 2" xfId="18803" xr:uid="{00000000-0005-0000-0000-000075460000}"/>
    <cellStyle name="40% - Accent4 2 3 2 3 4 2 2 2" xfId="38203" xr:uid="{00000000-0005-0000-0000-000076460000}"/>
    <cellStyle name="40% - Accent4 2 3 2 3 4 2 3" xfId="28505" xr:uid="{00000000-0005-0000-0000-000077460000}"/>
    <cellStyle name="40% - Accent4 2 3 2 3 4 3" xfId="14348" xr:uid="{00000000-0005-0000-0000-000078460000}"/>
    <cellStyle name="40% - Accent4 2 3 2 3 4 3 2" xfId="33748" xr:uid="{00000000-0005-0000-0000-000079460000}"/>
    <cellStyle name="40% - Accent4 2 3 2 3 4 4" xfId="24050" xr:uid="{00000000-0005-0000-0000-00007A460000}"/>
    <cellStyle name="40% - Accent4 2 3 2 3 5" xfId="6013" xr:uid="{00000000-0005-0000-0000-00007B460000}"/>
    <cellStyle name="40% - Accent4 2 3 2 3 5 2" xfId="10477" xr:uid="{00000000-0005-0000-0000-00007C460000}"/>
    <cellStyle name="40% - Accent4 2 3 2 3 5 2 2" xfId="20473" xr:uid="{00000000-0005-0000-0000-00007D460000}"/>
    <cellStyle name="40% - Accent4 2 3 2 3 5 2 2 2" xfId="39873" xr:uid="{00000000-0005-0000-0000-00007E460000}"/>
    <cellStyle name="40% - Accent4 2 3 2 3 5 2 3" xfId="30175" xr:uid="{00000000-0005-0000-0000-00007F460000}"/>
    <cellStyle name="40% - Accent4 2 3 2 3 5 3" xfId="16018" xr:uid="{00000000-0005-0000-0000-000080460000}"/>
    <cellStyle name="40% - Accent4 2 3 2 3 5 3 2" xfId="35418" xr:uid="{00000000-0005-0000-0000-000081460000}"/>
    <cellStyle name="40% - Accent4 2 3 2 3 5 4" xfId="25720" xr:uid="{00000000-0005-0000-0000-000082460000}"/>
    <cellStyle name="40% - Accent4 2 3 2 3 6" xfId="6579" xr:uid="{00000000-0005-0000-0000-000083460000}"/>
    <cellStyle name="40% - Accent4 2 3 2 3 6 2" xfId="11034" xr:uid="{00000000-0005-0000-0000-000084460000}"/>
    <cellStyle name="40% - Accent4 2 3 2 3 6 2 2" xfId="21030" xr:uid="{00000000-0005-0000-0000-000085460000}"/>
    <cellStyle name="40% - Accent4 2 3 2 3 6 2 2 2" xfId="40430" xr:uid="{00000000-0005-0000-0000-000086460000}"/>
    <cellStyle name="40% - Accent4 2 3 2 3 6 2 3" xfId="30732" xr:uid="{00000000-0005-0000-0000-000087460000}"/>
    <cellStyle name="40% - Accent4 2 3 2 3 6 3" xfId="16575" xr:uid="{00000000-0005-0000-0000-000088460000}"/>
    <cellStyle name="40% - Accent4 2 3 2 3 6 3 2" xfId="35975" xr:uid="{00000000-0005-0000-0000-000089460000}"/>
    <cellStyle name="40% - Accent4 2 3 2 3 6 4" xfId="26277" xr:uid="{00000000-0005-0000-0000-00008A460000}"/>
    <cellStyle name="40% - Accent4 2 3 2 3 7" xfId="7136" xr:uid="{00000000-0005-0000-0000-00008B460000}"/>
    <cellStyle name="40% - Accent4 2 3 2 3 7 2" xfId="17132" xr:uid="{00000000-0005-0000-0000-00008C460000}"/>
    <cellStyle name="40% - Accent4 2 3 2 3 7 2 2" xfId="36532" xr:uid="{00000000-0005-0000-0000-00008D460000}"/>
    <cellStyle name="40% - Accent4 2 3 2 3 7 3" xfId="26834" xr:uid="{00000000-0005-0000-0000-00008E460000}"/>
    <cellStyle name="40% - Accent4 2 3 2 3 8" xfId="12676" xr:uid="{00000000-0005-0000-0000-00008F460000}"/>
    <cellStyle name="40% - Accent4 2 3 2 3 8 2" xfId="32077" xr:uid="{00000000-0005-0000-0000-000090460000}"/>
    <cellStyle name="40% - Accent4 2 3 2 3 9" xfId="22379" xr:uid="{00000000-0005-0000-0000-000091460000}"/>
    <cellStyle name="40% - Accent4 2 3 2 4" xfId="2203" xr:uid="{00000000-0005-0000-0000-000092460000}"/>
    <cellStyle name="40% - Accent4 2 3 2 4 2" xfId="3188" xr:uid="{00000000-0005-0000-0000-000093460000}"/>
    <cellStyle name="40% - Accent4 2 3 2 4 2 2" xfId="5457" xr:uid="{00000000-0005-0000-0000-000094460000}"/>
    <cellStyle name="40% - Accent4 2 3 2 4 2 2 2" xfId="9921" xr:uid="{00000000-0005-0000-0000-000095460000}"/>
    <cellStyle name="40% - Accent4 2 3 2 4 2 2 2 2" xfId="19917" xr:uid="{00000000-0005-0000-0000-000096460000}"/>
    <cellStyle name="40% - Accent4 2 3 2 4 2 2 2 2 2" xfId="39317" xr:uid="{00000000-0005-0000-0000-000097460000}"/>
    <cellStyle name="40% - Accent4 2 3 2 4 2 2 2 3" xfId="29619" xr:uid="{00000000-0005-0000-0000-000098460000}"/>
    <cellStyle name="40% - Accent4 2 3 2 4 2 2 3" xfId="15462" xr:uid="{00000000-0005-0000-0000-000099460000}"/>
    <cellStyle name="40% - Accent4 2 3 2 4 2 2 3 2" xfId="34862" xr:uid="{00000000-0005-0000-0000-00009A460000}"/>
    <cellStyle name="40% - Accent4 2 3 2 4 2 2 4" xfId="25164" xr:uid="{00000000-0005-0000-0000-00009B460000}"/>
    <cellStyle name="40% - Accent4 2 3 2 4 2 3" xfId="7693" xr:uid="{00000000-0005-0000-0000-00009C460000}"/>
    <cellStyle name="40% - Accent4 2 3 2 4 2 3 2" xfId="17689" xr:uid="{00000000-0005-0000-0000-00009D460000}"/>
    <cellStyle name="40% - Accent4 2 3 2 4 2 3 2 2" xfId="37089" xr:uid="{00000000-0005-0000-0000-00009E460000}"/>
    <cellStyle name="40% - Accent4 2 3 2 4 2 3 3" xfId="27391" xr:uid="{00000000-0005-0000-0000-00009F460000}"/>
    <cellStyle name="40% - Accent4 2 3 2 4 2 4" xfId="13234" xr:uid="{00000000-0005-0000-0000-0000A0460000}"/>
    <cellStyle name="40% - Accent4 2 3 2 4 2 4 2" xfId="32634" xr:uid="{00000000-0005-0000-0000-0000A1460000}"/>
    <cellStyle name="40% - Accent4 2 3 2 4 2 5" xfId="22936" xr:uid="{00000000-0005-0000-0000-0000A2460000}"/>
    <cellStyle name="40% - Accent4 2 3 2 4 3" xfId="3771" xr:uid="{00000000-0005-0000-0000-0000A3460000}"/>
    <cellStyle name="40% - Accent4 2 3 2 4 3 2" xfId="4901" xr:uid="{00000000-0005-0000-0000-0000A4460000}"/>
    <cellStyle name="40% - Accent4 2 3 2 4 3 2 2" xfId="9365" xr:uid="{00000000-0005-0000-0000-0000A5460000}"/>
    <cellStyle name="40% - Accent4 2 3 2 4 3 2 2 2" xfId="19361" xr:uid="{00000000-0005-0000-0000-0000A6460000}"/>
    <cellStyle name="40% - Accent4 2 3 2 4 3 2 2 2 2" xfId="38761" xr:uid="{00000000-0005-0000-0000-0000A7460000}"/>
    <cellStyle name="40% - Accent4 2 3 2 4 3 2 2 3" xfId="29063" xr:uid="{00000000-0005-0000-0000-0000A8460000}"/>
    <cellStyle name="40% - Accent4 2 3 2 4 3 2 3" xfId="14906" xr:uid="{00000000-0005-0000-0000-0000A9460000}"/>
    <cellStyle name="40% - Accent4 2 3 2 4 3 2 3 2" xfId="34306" xr:uid="{00000000-0005-0000-0000-0000AA460000}"/>
    <cellStyle name="40% - Accent4 2 3 2 4 3 2 4" xfId="24608" xr:uid="{00000000-0005-0000-0000-0000AB460000}"/>
    <cellStyle name="40% - Accent4 2 3 2 4 3 3" xfId="8250" xr:uid="{00000000-0005-0000-0000-0000AC460000}"/>
    <cellStyle name="40% - Accent4 2 3 2 4 3 3 2" xfId="18246" xr:uid="{00000000-0005-0000-0000-0000AD460000}"/>
    <cellStyle name="40% - Accent4 2 3 2 4 3 3 2 2" xfId="37646" xr:uid="{00000000-0005-0000-0000-0000AE460000}"/>
    <cellStyle name="40% - Accent4 2 3 2 4 3 3 3" xfId="27948" xr:uid="{00000000-0005-0000-0000-0000AF460000}"/>
    <cellStyle name="40% - Accent4 2 3 2 4 3 4" xfId="13791" xr:uid="{00000000-0005-0000-0000-0000B0460000}"/>
    <cellStyle name="40% - Accent4 2 3 2 4 3 4 2" xfId="33191" xr:uid="{00000000-0005-0000-0000-0000B1460000}"/>
    <cellStyle name="40% - Accent4 2 3 2 4 3 5" xfId="23493" xr:uid="{00000000-0005-0000-0000-0000B2460000}"/>
    <cellStyle name="40% - Accent4 2 3 2 4 4" xfId="4344" xr:uid="{00000000-0005-0000-0000-0000B3460000}"/>
    <cellStyle name="40% - Accent4 2 3 2 4 4 2" xfId="8808" xr:uid="{00000000-0005-0000-0000-0000B4460000}"/>
    <cellStyle name="40% - Accent4 2 3 2 4 4 2 2" xfId="18804" xr:uid="{00000000-0005-0000-0000-0000B5460000}"/>
    <cellStyle name="40% - Accent4 2 3 2 4 4 2 2 2" xfId="38204" xr:uid="{00000000-0005-0000-0000-0000B6460000}"/>
    <cellStyle name="40% - Accent4 2 3 2 4 4 2 3" xfId="28506" xr:uid="{00000000-0005-0000-0000-0000B7460000}"/>
    <cellStyle name="40% - Accent4 2 3 2 4 4 3" xfId="14349" xr:uid="{00000000-0005-0000-0000-0000B8460000}"/>
    <cellStyle name="40% - Accent4 2 3 2 4 4 3 2" xfId="33749" xr:uid="{00000000-0005-0000-0000-0000B9460000}"/>
    <cellStyle name="40% - Accent4 2 3 2 4 4 4" xfId="24051" xr:uid="{00000000-0005-0000-0000-0000BA460000}"/>
    <cellStyle name="40% - Accent4 2 3 2 4 5" xfId="6014" xr:uid="{00000000-0005-0000-0000-0000BB460000}"/>
    <cellStyle name="40% - Accent4 2 3 2 4 5 2" xfId="10478" xr:uid="{00000000-0005-0000-0000-0000BC460000}"/>
    <cellStyle name="40% - Accent4 2 3 2 4 5 2 2" xfId="20474" xr:uid="{00000000-0005-0000-0000-0000BD460000}"/>
    <cellStyle name="40% - Accent4 2 3 2 4 5 2 2 2" xfId="39874" xr:uid="{00000000-0005-0000-0000-0000BE460000}"/>
    <cellStyle name="40% - Accent4 2 3 2 4 5 2 3" xfId="30176" xr:uid="{00000000-0005-0000-0000-0000BF460000}"/>
    <cellStyle name="40% - Accent4 2 3 2 4 5 3" xfId="16019" xr:uid="{00000000-0005-0000-0000-0000C0460000}"/>
    <cellStyle name="40% - Accent4 2 3 2 4 5 3 2" xfId="35419" xr:uid="{00000000-0005-0000-0000-0000C1460000}"/>
    <cellStyle name="40% - Accent4 2 3 2 4 5 4" xfId="25721" xr:uid="{00000000-0005-0000-0000-0000C2460000}"/>
    <cellStyle name="40% - Accent4 2 3 2 4 6" xfId="6580" xr:uid="{00000000-0005-0000-0000-0000C3460000}"/>
    <cellStyle name="40% - Accent4 2 3 2 4 6 2" xfId="11035" xr:uid="{00000000-0005-0000-0000-0000C4460000}"/>
    <cellStyle name="40% - Accent4 2 3 2 4 6 2 2" xfId="21031" xr:uid="{00000000-0005-0000-0000-0000C5460000}"/>
    <cellStyle name="40% - Accent4 2 3 2 4 6 2 2 2" xfId="40431" xr:uid="{00000000-0005-0000-0000-0000C6460000}"/>
    <cellStyle name="40% - Accent4 2 3 2 4 6 2 3" xfId="30733" xr:uid="{00000000-0005-0000-0000-0000C7460000}"/>
    <cellStyle name="40% - Accent4 2 3 2 4 6 3" xfId="16576" xr:uid="{00000000-0005-0000-0000-0000C8460000}"/>
    <cellStyle name="40% - Accent4 2 3 2 4 6 3 2" xfId="35976" xr:uid="{00000000-0005-0000-0000-0000C9460000}"/>
    <cellStyle name="40% - Accent4 2 3 2 4 6 4" xfId="26278" xr:uid="{00000000-0005-0000-0000-0000CA460000}"/>
    <cellStyle name="40% - Accent4 2 3 2 4 7" xfId="7137" xr:uid="{00000000-0005-0000-0000-0000CB460000}"/>
    <cellStyle name="40% - Accent4 2 3 2 4 7 2" xfId="17133" xr:uid="{00000000-0005-0000-0000-0000CC460000}"/>
    <cellStyle name="40% - Accent4 2 3 2 4 7 2 2" xfId="36533" xr:uid="{00000000-0005-0000-0000-0000CD460000}"/>
    <cellStyle name="40% - Accent4 2 3 2 4 7 3" xfId="26835" xr:uid="{00000000-0005-0000-0000-0000CE460000}"/>
    <cellStyle name="40% - Accent4 2 3 2 4 8" xfId="12677" xr:uid="{00000000-0005-0000-0000-0000CF460000}"/>
    <cellStyle name="40% - Accent4 2 3 2 4 8 2" xfId="32078" xr:uid="{00000000-0005-0000-0000-0000D0460000}"/>
    <cellStyle name="40% - Accent4 2 3 2 4 9" xfId="22380" xr:uid="{00000000-0005-0000-0000-0000D1460000}"/>
    <cellStyle name="40% - Accent4 2 3 2 5" xfId="3183" xr:uid="{00000000-0005-0000-0000-0000D2460000}"/>
    <cellStyle name="40% - Accent4 2 3 2 5 2" xfId="5452" xr:uid="{00000000-0005-0000-0000-0000D3460000}"/>
    <cellStyle name="40% - Accent4 2 3 2 5 2 2" xfId="9916" xr:uid="{00000000-0005-0000-0000-0000D4460000}"/>
    <cellStyle name="40% - Accent4 2 3 2 5 2 2 2" xfId="19912" xr:uid="{00000000-0005-0000-0000-0000D5460000}"/>
    <cellStyle name="40% - Accent4 2 3 2 5 2 2 2 2" xfId="39312" xr:uid="{00000000-0005-0000-0000-0000D6460000}"/>
    <cellStyle name="40% - Accent4 2 3 2 5 2 2 3" xfId="29614" xr:uid="{00000000-0005-0000-0000-0000D7460000}"/>
    <cellStyle name="40% - Accent4 2 3 2 5 2 3" xfId="15457" xr:uid="{00000000-0005-0000-0000-0000D8460000}"/>
    <cellStyle name="40% - Accent4 2 3 2 5 2 3 2" xfId="34857" xr:uid="{00000000-0005-0000-0000-0000D9460000}"/>
    <cellStyle name="40% - Accent4 2 3 2 5 2 4" xfId="25159" xr:uid="{00000000-0005-0000-0000-0000DA460000}"/>
    <cellStyle name="40% - Accent4 2 3 2 5 3" xfId="7688" xr:uid="{00000000-0005-0000-0000-0000DB460000}"/>
    <cellStyle name="40% - Accent4 2 3 2 5 3 2" xfId="17684" xr:uid="{00000000-0005-0000-0000-0000DC460000}"/>
    <cellStyle name="40% - Accent4 2 3 2 5 3 2 2" xfId="37084" xr:uid="{00000000-0005-0000-0000-0000DD460000}"/>
    <cellStyle name="40% - Accent4 2 3 2 5 3 3" xfId="27386" xr:uid="{00000000-0005-0000-0000-0000DE460000}"/>
    <cellStyle name="40% - Accent4 2 3 2 5 4" xfId="13229" xr:uid="{00000000-0005-0000-0000-0000DF460000}"/>
    <cellStyle name="40% - Accent4 2 3 2 5 4 2" xfId="32629" xr:uid="{00000000-0005-0000-0000-0000E0460000}"/>
    <cellStyle name="40% - Accent4 2 3 2 5 5" xfId="22931" xr:uid="{00000000-0005-0000-0000-0000E1460000}"/>
    <cellStyle name="40% - Accent4 2 3 2 6" xfId="3766" xr:uid="{00000000-0005-0000-0000-0000E2460000}"/>
    <cellStyle name="40% - Accent4 2 3 2 6 2" xfId="4896" xr:uid="{00000000-0005-0000-0000-0000E3460000}"/>
    <cellStyle name="40% - Accent4 2 3 2 6 2 2" xfId="9360" xr:uid="{00000000-0005-0000-0000-0000E4460000}"/>
    <cellStyle name="40% - Accent4 2 3 2 6 2 2 2" xfId="19356" xr:uid="{00000000-0005-0000-0000-0000E5460000}"/>
    <cellStyle name="40% - Accent4 2 3 2 6 2 2 2 2" xfId="38756" xr:uid="{00000000-0005-0000-0000-0000E6460000}"/>
    <cellStyle name="40% - Accent4 2 3 2 6 2 2 3" xfId="29058" xr:uid="{00000000-0005-0000-0000-0000E7460000}"/>
    <cellStyle name="40% - Accent4 2 3 2 6 2 3" xfId="14901" xr:uid="{00000000-0005-0000-0000-0000E8460000}"/>
    <cellStyle name="40% - Accent4 2 3 2 6 2 3 2" xfId="34301" xr:uid="{00000000-0005-0000-0000-0000E9460000}"/>
    <cellStyle name="40% - Accent4 2 3 2 6 2 4" xfId="24603" xr:uid="{00000000-0005-0000-0000-0000EA460000}"/>
    <cellStyle name="40% - Accent4 2 3 2 6 3" xfId="8245" xr:uid="{00000000-0005-0000-0000-0000EB460000}"/>
    <cellStyle name="40% - Accent4 2 3 2 6 3 2" xfId="18241" xr:uid="{00000000-0005-0000-0000-0000EC460000}"/>
    <cellStyle name="40% - Accent4 2 3 2 6 3 2 2" xfId="37641" xr:uid="{00000000-0005-0000-0000-0000ED460000}"/>
    <cellStyle name="40% - Accent4 2 3 2 6 3 3" xfId="27943" xr:uid="{00000000-0005-0000-0000-0000EE460000}"/>
    <cellStyle name="40% - Accent4 2 3 2 6 4" xfId="13786" xr:uid="{00000000-0005-0000-0000-0000EF460000}"/>
    <cellStyle name="40% - Accent4 2 3 2 6 4 2" xfId="33186" xr:uid="{00000000-0005-0000-0000-0000F0460000}"/>
    <cellStyle name="40% - Accent4 2 3 2 6 5" xfId="23488" xr:uid="{00000000-0005-0000-0000-0000F1460000}"/>
    <cellStyle name="40% - Accent4 2 3 2 7" xfId="4339" xr:uid="{00000000-0005-0000-0000-0000F2460000}"/>
    <cellStyle name="40% - Accent4 2 3 2 7 2" xfId="8803" xr:uid="{00000000-0005-0000-0000-0000F3460000}"/>
    <cellStyle name="40% - Accent4 2 3 2 7 2 2" xfId="18799" xr:uid="{00000000-0005-0000-0000-0000F4460000}"/>
    <cellStyle name="40% - Accent4 2 3 2 7 2 2 2" xfId="38199" xr:uid="{00000000-0005-0000-0000-0000F5460000}"/>
    <cellStyle name="40% - Accent4 2 3 2 7 2 3" xfId="28501" xr:uid="{00000000-0005-0000-0000-0000F6460000}"/>
    <cellStyle name="40% - Accent4 2 3 2 7 3" xfId="14344" xr:uid="{00000000-0005-0000-0000-0000F7460000}"/>
    <cellStyle name="40% - Accent4 2 3 2 7 3 2" xfId="33744" xr:uid="{00000000-0005-0000-0000-0000F8460000}"/>
    <cellStyle name="40% - Accent4 2 3 2 7 4" xfId="24046" xr:uid="{00000000-0005-0000-0000-0000F9460000}"/>
    <cellStyle name="40% - Accent4 2 3 2 8" xfId="6009" xr:uid="{00000000-0005-0000-0000-0000FA460000}"/>
    <cellStyle name="40% - Accent4 2 3 2 8 2" xfId="10473" xr:uid="{00000000-0005-0000-0000-0000FB460000}"/>
    <cellStyle name="40% - Accent4 2 3 2 8 2 2" xfId="20469" xr:uid="{00000000-0005-0000-0000-0000FC460000}"/>
    <cellStyle name="40% - Accent4 2 3 2 8 2 2 2" xfId="39869" xr:uid="{00000000-0005-0000-0000-0000FD460000}"/>
    <cellStyle name="40% - Accent4 2 3 2 8 2 3" xfId="30171" xr:uid="{00000000-0005-0000-0000-0000FE460000}"/>
    <cellStyle name="40% - Accent4 2 3 2 8 3" xfId="16014" xr:uid="{00000000-0005-0000-0000-0000FF460000}"/>
    <cellStyle name="40% - Accent4 2 3 2 8 3 2" xfId="35414" xr:uid="{00000000-0005-0000-0000-000000470000}"/>
    <cellStyle name="40% - Accent4 2 3 2 8 4" xfId="25716" xr:uid="{00000000-0005-0000-0000-000001470000}"/>
    <cellStyle name="40% - Accent4 2 3 2 9" xfId="6575" xr:uid="{00000000-0005-0000-0000-000002470000}"/>
    <cellStyle name="40% - Accent4 2 3 2 9 2" xfId="11030" xr:uid="{00000000-0005-0000-0000-000003470000}"/>
    <cellStyle name="40% - Accent4 2 3 2 9 2 2" xfId="21026" xr:uid="{00000000-0005-0000-0000-000004470000}"/>
    <cellStyle name="40% - Accent4 2 3 2 9 2 2 2" xfId="40426" xr:uid="{00000000-0005-0000-0000-000005470000}"/>
    <cellStyle name="40% - Accent4 2 3 2 9 2 3" xfId="30728" xr:uid="{00000000-0005-0000-0000-000006470000}"/>
    <cellStyle name="40% - Accent4 2 3 2 9 3" xfId="16571" xr:uid="{00000000-0005-0000-0000-000007470000}"/>
    <cellStyle name="40% - Accent4 2 3 2 9 3 2" xfId="35971" xr:uid="{00000000-0005-0000-0000-000008470000}"/>
    <cellStyle name="40% - Accent4 2 3 2 9 4" xfId="26273" xr:uid="{00000000-0005-0000-0000-000009470000}"/>
    <cellStyle name="40% - Accent4 2 3 3" xfId="2204" xr:uid="{00000000-0005-0000-0000-00000A470000}"/>
    <cellStyle name="40% - Accent4 2 3 3 10" xfId="12678" xr:uid="{00000000-0005-0000-0000-00000B470000}"/>
    <cellStyle name="40% - Accent4 2 3 3 10 2" xfId="32079" xr:uid="{00000000-0005-0000-0000-00000C470000}"/>
    <cellStyle name="40% - Accent4 2 3 3 11" xfId="22381" xr:uid="{00000000-0005-0000-0000-00000D470000}"/>
    <cellStyle name="40% - Accent4 2 3 3 2" xfId="2205" xr:uid="{00000000-0005-0000-0000-00000E470000}"/>
    <cellStyle name="40% - Accent4 2 3 3 2 2" xfId="3190" xr:uid="{00000000-0005-0000-0000-00000F470000}"/>
    <cellStyle name="40% - Accent4 2 3 3 2 2 2" xfId="5459" xr:uid="{00000000-0005-0000-0000-000010470000}"/>
    <cellStyle name="40% - Accent4 2 3 3 2 2 2 2" xfId="9923" xr:uid="{00000000-0005-0000-0000-000011470000}"/>
    <cellStyle name="40% - Accent4 2 3 3 2 2 2 2 2" xfId="19919" xr:uid="{00000000-0005-0000-0000-000012470000}"/>
    <cellStyle name="40% - Accent4 2 3 3 2 2 2 2 2 2" xfId="39319" xr:uid="{00000000-0005-0000-0000-000013470000}"/>
    <cellStyle name="40% - Accent4 2 3 3 2 2 2 2 3" xfId="29621" xr:uid="{00000000-0005-0000-0000-000014470000}"/>
    <cellStyle name="40% - Accent4 2 3 3 2 2 2 3" xfId="15464" xr:uid="{00000000-0005-0000-0000-000015470000}"/>
    <cellStyle name="40% - Accent4 2 3 3 2 2 2 3 2" xfId="34864" xr:uid="{00000000-0005-0000-0000-000016470000}"/>
    <cellStyle name="40% - Accent4 2 3 3 2 2 2 4" xfId="25166" xr:uid="{00000000-0005-0000-0000-000017470000}"/>
    <cellStyle name="40% - Accent4 2 3 3 2 2 3" xfId="7695" xr:uid="{00000000-0005-0000-0000-000018470000}"/>
    <cellStyle name="40% - Accent4 2 3 3 2 2 3 2" xfId="17691" xr:uid="{00000000-0005-0000-0000-000019470000}"/>
    <cellStyle name="40% - Accent4 2 3 3 2 2 3 2 2" xfId="37091" xr:uid="{00000000-0005-0000-0000-00001A470000}"/>
    <cellStyle name="40% - Accent4 2 3 3 2 2 3 3" xfId="27393" xr:uid="{00000000-0005-0000-0000-00001B470000}"/>
    <cellStyle name="40% - Accent4 2 3 3 2 2 4" xfId="13236" xr:uid="{00000000-0005-0000-0000-00001C470000}"/>
    <cellStyle name="40% - Accent4 2 3 3 2 2 4 2" xfId="32636" xr:uid="{00000000-0005-0000-0000-00001D470000}"/>
    <cellStyle name="40% - Accent4 2 3 3 2 2 5" xfId="22938" xr:uid="{00000000-0005-0000-0000-00001E470000}"/>
    <cellStyle name="40% - Accent4 2 3 3 2 3" xfId="3773" xr:uid="{00000000-0005-0000-0000-00001F470000}"/>
    <cellStyle name="40% - Accent4 2 3 3 2 3 2" xfId="4903" xr:uid="{00000000-0005-0000-0000-000020470000}"/>
    <cellStyle name="40% - Accent4 2 3 3 2 3 2 2" xfId="9367" xr:uid="{00000000-0005-0000-0000-000021470000}"/>
    <cellStyle name="40% - Accent4 2 3 3 2 3 2 2 2" xfId="19363" xr:uid="{00000000-0005-0000-0000-000022470000}"/>
    <cellStyle name="40% - Accent4 2 3 3 2 3 2 2 2 2" xfId="38763" xr:uid="{00000000-0005-0000-0000-000023470000}"/>
    <cellStyle name="40% - Accent4 2 3 3 2 3 2 2 3" xfId="29065" xr:uid="{00000000-0005-0000-0000-000024470000}"/>
    <cellStyle name="40% - Accent4 2 3 3 2 3 2 3" xfId="14908" xr:uid="{00000000-0005-0000-0000-000025470000}"/>
    <cellStyle name="40% - Accent4 2 3 3 2 3 2 3 2" xfId="34308" xr:uid="{00000000-0005-0000-0000-000026470000}"/>
    <cellStyle name="40% - Accent4 2 3 3 2 3 2 4" xfId="24610" xr:uid="{00000000-0005-0000-0000-000027470000}"/>
    <cellStyle name="40% - Accent4 2 3 3 2 3 3" xfId="8252" xr:uid="{00000000-0005-0000-0000-000028470000}"/>
    <cellStyle name="40% - Accent4 2 3 3 2 3 3 2" xfId="18248" xr:uid="{00000000-0005-0000-0000-000029470000}"/>
    <cellStyle name="40% - Accent4 2 3 3 2 3 3 2 2" xfId="37648" xr:uid="{00000000-0005-0000-0000-00002A470000}"/>
    <cellStyle name="40% - Accent4 2 3 3 2 3 3 3" xfId="27950" xr:uid="{00000000-0005-0000-0000-00002B470000}"/>
    <cellStyle name="40% - Accent4 2 3 3 2 3 4" xfId="13793" xr:uid="{00000000-0005-0000-0000-00002C470000}"/>
    <cellStyle name="40% - Accent4 2 3 3 2 3 4 2" xfId="33193" xr:uid="{00000000-0005-0000-0000-00002D470000}"/>
    <cellStyle name="40% - Accent4 2 3 3 2 3 5" xfId="23495" xr:uid="{00000000-0005-0000-0000-00002E470000}"/>
    <cellStyle name="40% - Accent4 2 3 3 2 4" xfId="4346" xr:uid="{00000000-0005-0000-0000-00002F470000}"/>
    <cellStyle name="40% - Accent4 2 3 3 2 4 2" xfId="8810" xr:uid="{00000000-0005-0000-0000-000030470000}"/>
    <cellStyle name="40% - Accent4 2 3 3 2 4 2 2" xfId="18806" xr:uid="{00000000-0005-0000-0000-000031470000}"/>
    <cellStyle name="40% - Accent4 2 3 3 2 4 2 2 2" xfId="38206" xr:uid="{00000000-0005-0000-0000-000032470000}"/>
    <cellStyle name="40% - Accent4 2 3 3 2 4 2 3" xfId="28508" xr:uid="{00000000-0005-0000-0000-000033470000}"/>
    <cellStyle name="40% - Accent4 2 3 3 2 4 3" xfId="14351" xr:uid="{00000000-0005-0000-0000-000034470000}"/>
    <cellStyle name="40% - Accent4 2 3 3 2 4 3 2" xfId="33751" xr:uid="{00000000-0005-0000-0000-000035470000}"/>
    <cellStyle name="40% - Accent4 2 3 3 2 4 4" xfId="24053" xr:uid="{00000000-0005-0000-0000-000036470000}"/>
    <cellStyle name="40% - Accent4 2 3 3 2 5" xfId="6016" xr:uid="{00000000-0005-0000-0000-000037470000}"/>
    <cellStyle name="40% - Accent4 2 3 3 2 5 2" xfId="10480" xr:uid="{00000000-0005-0000-0000-000038470000}"/>
    <cellStyle name="40% - Accent4 2 3 3 2 5 2 2" xfId="20476" xr:uid="{00000000-0005-0000-0000-000039470000}"/>
    <cellStyle name="40% - Accent4 2 3 3 2 5 2 2 2" xfId="39876" xr:uid="{00000000-0005-0000-0000-00003A470000}"/>
    <cellStyle name="40% - Accent4 2 3 3 2 5 2 3" xfId="30178" xr:uid="{00000000-0005-0000-0000-00003B470000}"/>
    <cellStyle name="40% - Accent4 2 3 3 2 5 3" xfId="16021" xr:uid="{00000000-0005-0000-0000-00003C470000}"/>
    <cellStyle name="40% - Accent4 2 3 3 2 5 3 2" xfId="35421" xr:uid="{00000000-0005-0000-0000-00003D470000}"/>
    <cellStyle name="40% - Accent4 2 3 3 2 5 4" xfId="25723" xr:uid="{00000000-0005-0000-0000-00003E470000}"/>
    <cellStyle name="40% - Accent4 2 3 3 2 6" xfId="6582" xr:uid="{00000000-0005-0000-0000-00003F470000}"/>
    <cellStyle name="40% - Accent4 2 3 3 2 6 2" xfId="11037" xr:uid="{00000000-0005-0000-0000-000040470000}"/>
    <cellStyle name="40% - Accent4 2 3 3 2 6 2 2" xfId="21033" xr:uid="{00000000-0005-0000-0000-000041470000}"/>
    <cellStyle name="40% - Accent4 2 3 3 2 6 2 2 2" xfId="40433" xr:uid="{00000000-0005-0000-0000-000042470000}"/>
    <cellStyle name="40% - Accent4 2 3 3 2 6 2 3" xfId="30735" xr:uid="{00000000-0005-0000-0000-000043470000}"/>
    <cellStyle name="40% - Accent4 2 3 3 2 6 3" xfId="16578" xr:uid="{00000000-0005-0000-0000-000044470000}"/>
    <cellStyle name="40% - Accent4 2 3 3 2 6 3 2" xfId="35978" xr:uid="{00000000-0005-0000-0000-000045470000}"/>
    <cellStyle name="40% - Accent4 2 3 3 2 6 4" xfId="26280" xr:uid="{00000000-0005-0000-0000-000046470000}"/>
    <cellStyle name="40% - Accent4 2 3 3 2 7" xfId="7139" xr:uid="{00000000-0005-0000-0000-000047470000}"/>
    <cellStyle name="40% - Accent4 2 3 3 2 7 2" xfId="17135" xr:uid="{00000000-0005-0000-0000-000048470000}"/>
    <cellStyle name="40% - Accent4 2 3 3 2 7 2 2" xfId="36535" xr:uid="{00000000-0005-0000-0000-000049470000}"/>
    <cellStyle name="40% - Accent4 2 3 3 2 7 3" xfId="26837" xr:uid="{00000000-0005-0000-0000-00004A470000}"/>
    <cellStyle name="40% - Accent4 2 3 3 2 8" xfId="12679" xr:uid="{00000000-0005-0000-0000-00004B470000}"/>
    <cellStyle name="40% - Accent4 2 3 3 2 8 2" xfId="32080" xr:uid="{00000000-0005-0000-0000-00004C470000}"/>
    <cellStyle name="40% - Accent4 2 3 3 2 9" xfId="22382" xr:uid="{00000000-0005-0000-0000-00004D470000}"/>
    <cellStyle name="40% - Accent4 2 3 3 3" xfId="2206" xr:uid="{00000000-0005-0000-0000-00004E470000}"/>
    <cellStyle name="40% - Accent4 2 3 3 3 2" xfId="3191" xr:uid="{00000000-0005-0000-0000-00004F470000}"/>
    <cellStyle name="40% - Accent4 2 3 3 3 2 2" xfId="5460" xr:uid="{00000000-0005-0000-0000-000050470000}"/>
    <cellStyle name="40% - Accent4 2 3 3 3 2 2 2" xfId="9924" xr:uid="{00000000-0005-0000-0000-000051470000}"/>
    <cellStyle name="40% - Accent4 2 3 3 3 2 2 2 2" xfId="19920" xr:uid="{00000000-0005-0000-0000-000052470000}"/>
    <cellStyle name="40% - Accent4 2 3 3 3 2 2 2 2 2" xfId="39320" xr:uid="{00000000-0005-0000-0000-000053470000}"/>
    <cellStyle name="40% - Accent4 2 3 3 3 2 2 2 3" xfId="29622" xr:uid="{00000000-0005-0000-0000-000054470000}"/>
    <cellStyle name="40% - Accent4 2 3 3 3 2 2 3" xfId="15465" xr:uid="{00000000-0005-0000-0000-000055470000}"/>
    <cellStyle name="40% - Accent4 2 3 3 3 2 2 3 2" xfId="34865" xr:uid="{00000000-0005-0000-0000-000056470000}"/>
    <cellStyle name="40% - Accent4 2 3 3 3 2 2 4" xfId="25167" xr:uid="{00000000-0005-0000-0000-000057470000}"/>
    <cellStyle name="40% - Accent4 2 3 3 3 2 3" xfId="7696" xr:uid="{00000000-0005-0000-0000-000058470000}"/>
    <cellStyle name="40% - Accent4 2 3 3 3 2 3 2" xfId="17692" xr:uid="{00000000-0005-0000-0000-000059470000}"/>
    <cellStyle name="40% - Accent4 2 3 3 3 2 3 2 2" xfId="37092" xr:uid="{00000000-0005-0000-0000-00005A470000}"/>
    <cellStyle name="40% - Accent4 2 3 3 3 2 3 3" xfId="27394" xr:uid="{00000000-0005-0000-0000-00005B470000}"/>
    <cellStyle name="40% - Accent4 2 3 3 3 2 4" xfId="13237" xr:uid="{00000000-0005-0000-0000-00005C470000}"/>
    <cellStyle name="40% - Accent4 2 3 3 3 2 4 2" xfId="32637" xr:uid="{00000000-0005-0000-0000-00005D470000}"/>
    <cellStyle name="40% - Accent4 2 3 3 3 2 5" xfId="22939" xr:uid="{00000000-0005-0000-0000-00005E470000}"/>
    <cellStyle name="40% - Accent4 2 3 3 3 3" xfId="3774" xr:uid="{00000000-0005-0000-0000-00005F470000}"/>
    <cellStyle name="40% - Accent4 2 3 3 3 3 2" xfId="4904" xr:uid="{00000000-0005-0000-0000-000060470000}"/>
    <cellStyle name="40% - Accent4 2 3 3 3 3 2 2" xfId="9368" xr:uid="{00000000-0005-0000-0000-000061470000}"/>
    <cellStyle name="40% - Accent4 2 3 3 3 3 2 2 2" xfId="19364" xr:uid="{00000000-0005-0000-0000-000062470000}"/>
    <cellStyle name="40% - Accent4 2 3 3 3 3 2 2 2 2" xfId="38764" xr:uid="{00000000-0005-0000-0000-000063470000}"/>
    <cellStyle name="40% - Accent4 2 3 3 3 3 2 2 3" xfId="29066" xr:uid="{00000000-0005-0000-0000-000064470000}"/>
    <cellStyle name="40% - Accent4 2 3 3 3 3 2 3" xfId="14909" xr:uid="{00000000-0005-0000-0000-000065470000}"/>
    <cellStyle name="40% - Accent4 2 3 3 3 3 2 3 2" xfId="34309" xr:uid="{00000000-0005-0000-0000-000066470000}"/>
    <cellStyle name="40% - Accent4 2 3 3 3 3 2 4" xfId="24611" xr:uid="{00000000-0005-0000-0000-000067470000}"/>
    <cellStyle name="40% - Accent4 2 3 3 3 3 3" xfId="8253" xr:uid="{00000000-0005-0000-0000-000068470000}"/>
    <cellStyle name="40% - Accent4 2 3 3 3 3 3 2" xfId="18249" xr:uid="{00000000-0005-0000-0000-000069470000}"/>
    <cellStyle name="40% - Accent4 2 3 3 3 3 3 2 2" xfId="37649" xr:uid="{00000000-0005-0000-0000-00006A470000}"/>
    <cellStyle name="40% - Accent4 2 3 3 3 3 3 3" xfId="27951" xr:uid="{00000000-0005-0000-0000-00006B470000}"/>
    <cellStyle name="40% - Accent4 2 3 3 3 3 4" xfId="13794" xr:uid="{00000000-0005-0000-0000-00006C470000}"/>
    <cellStyle name="40% - Accent4 2 3 3 3 3 4 2" xfId="33194" xr:uid="{00000000-0005-0000-0000-00006D470000}"/>
    <cellStyle name="40% - Accent4 2 3 3 3 3 5" xfId="23496" xr:uid="{00000000-0005-0000-0000-00006E470000}"/>
    <cellStyle name="40% - Accent4 2 3 3 3 4" xfId="4347" xr:uid="{00000000-0005-0000-0000-00006F470000}"/>
    <cellStyle name="40% - Accent4 2 3 3 3 4 2" xfId="8811" xr:uid="{00000000-0005-0000-0000-000070470000}"/>
    <cellStyle name="40% - Accent4 2 3 3 3 4 2 2" xfId="18807" xr:uid="{00000000-0005-0000-0000-000071470000}"/>
    <cellStyle name="40% - Accent4 2 3 3 3 4 2 2 2" xfId="38207" xr:uid="{00000000-0005-0000-0000-000072470000}"/>
    <cellStyle name="40% - Accent4 2 3 3 3 4 2 3" xfId="28509" xr:uid="{00000000-0005-0000-0000-000073470000}"/>
    <cellStyle name="40% - Accent4 2 3 3 3 4 3" xfId="14352" xr:uid="{00000000-0005-0000-0000-000074470000}"/>
    <cellStyle name="40% - Accent4 2 3 3 3 4 3 2" xfId="33752" xr:uid="{00000000-0005-0000-0000-000075470000}"/>
    <cellStyle name="40% - Accent4 2 3 3 3 4 4" xfId="24054" xr:uid="{00000000-0005-0000-0000-000076470000}"/>
    <cellStyle name="40% - Accent4 2 3 3 3 5" xfId="6017" xr:uid="{00000000-0005-0000-0000-000077470000}"/>
    <cellStyle name="40% - Accent4 2 3 3 3 5 2" xfId="10481" xr:uid="{00000000-0005-0000-0000-000078470000}"/>
    <cellStyle name="40% - Accent4 2 3 3 3 5 2 2" xfId="20477" xr:uid="{00000000-0005-0000-0000-000079470000}"/>
    <cellStyle name="40% - Accent4 2 3 3 3 5 2 2 2" xfId="39877" xr:uid="{00000000-0005-0000-0000-00007A470000}"/>
    <cellStyle name="40% - Accent4 2 3 3 3 5 2 3" xfId="30179" xr:uid="{00000000-0005-0000-0000-00007B470000}"/>
    <cellStyle name="40% - Accent4 2 3 3 3 5 3" xfId="16022" xr:uid="{00000000-0005-0000-0000-00007C470000}"/>
    <cellStyle name="40% - Accent4 2 3 3 3 5 3 2" xfId="35422" xr:uid="{00000000-0005-0000-0000-00007D470000}"/>
    <cellStyle name="40% - Accent4 2 3 3 3 5 4" xfId="25724" xr:uid="{00000000-0005-0000-0000-00007E470000}"/>
    <cellStyle name="40% - Accent4 2 3 3 3 6" xfId="6583" xr:uid="{00000000-0005-0000-0000-00007F470000}"/>
    <cellStyle name="40% - Accent4 2 3 3 3 6 2" xfId="11038" xr:uid="{00000000-0005-0000-0000-000080470000}"/>
    <cellStyle name="40% - Accent4 2 3 3 3 6 2 2" xfId="21034" xr:uid="{00000000-0005-0000-0000-000081470000}"/>
    <cellStyle name="40% - Accent4 2 3 3 3 6 2 2 2" xfId="40434" xr:uid="{00000000-0005-0000-0000-000082470000}"/>
    <cellStyle name="40% - Accent4 2 3 3 3 6 2 3" xfId="30736" xr:uid="{00000000-0005-0000-0000-000083470000}"/>
    <cellStyle name="40% - Accent4 2 3 3 3 6 3" xfId="16579" xr:uid="{00000000-0005-0000-0000-000084470000}"/>
    <cellStyle name="40% - Accent4 2 3 3 3 6 3 2" xfId="35979" xr:uid="{00000000-0005-0000-0000-000085470000}"/>
    <cellStyle name="40% - Accent4 2 3 3 3 6 4" xfId="26281" xr:uid="{00000000-0005-0000-0000-000086470000}"/>
    <cellStyle name="40% - Accent4 2 3 3 3 7" xfId="7140" xr:uid="{00000000-0005-0000-0000-000087470000}"/>
    <cellStyle name="40% - Accent4 2 3 3 3 7 2" xfId="17136" xr:uid="{00000000-0005-0000-0000-000088470000}"/>
    <cellStyle name="40% - Accent4 2 3 3 3 7 2 2" xfId="36536" xr:uid="{00000000-0005-0000-0000-000089470000}"/>
    <cellStyle name="40% - Accent4 2 3 3 3 7 3" xfId="26838" xr:uid="{00000000-0005-0000-0000-00008A470000}"/>
    <cellStyle name="40% - Accent4 2 3 3 3 8" xfId="12680" xr:uid="{00000000-0005-0000-0000-00008B470000}"/>
    <cellStyle name="40% - Accent4 2 3 3 3 8 2" xfId="32081" xr:uid="{00000000-0005-0000-0000-00008C470000}"/>
    <cellStyle name="40% - Accent4 2 3 3 3 9" xfId="22383" xr:uid="{00000000-0005-0000-0000-00008D470000}"/>
    <cellStyle name="40% - Accent4 2 3 3 4" xfId="3189" xr:uid="{00000000-0005-0000-0000-00008E470000}"/>
    <cellStyle name="40% - Accent4 2 3 3 4 2" xfId="5458" xr:uid="{00000000-0005-0000-0000-00008F470000}"/>
    <cellStyle name="40% - Accent4 2 3 3 4 2 2" xfId="9922" xr:uid="{00000000-0005-0000-0000-000090470000}"/>
    <cellStyle name="40% - Accent4 2 3 3 4 2 2 2" xfId="19918" xr:uid="{00000000-0005-0000-0000-000091470000}"/>
    <cellStyle name="40% - Accent4 2 3 3 4 2 2 2 2" xfId="39318" xr:uid="{00000000-0005-0000-0000-000092470000}"/>
    <cellStyle name="40% - Accent4 2 3 3 4 2 2 3" xfId="29620" xr:uid="{00000000-0005-0000-0000-000093470000}"/>
    <cellStyle name="40% - Accent4 2 3 3 4 2 3" xfId="15463" xr:uid="{00000000-0005-0000-0000-000094470000}"/>
    <cellStyle name="40% - Accent4 2 3 3 4 2 3 2" xfId="34863" xr:uid="{00000000-0005-0000-0000-000095470000}"/>
    <cellStyle name="40% - Accent4 2 3 3 4 2 4" xfId="25165" xr:uid="{00000000-0005-0000-0000-000096470000}"/>
    <cellStyle name="40% - Accent4 2 3 3 4 3" xfId="7694" xr:uid="{00000000-0005-0000-0000-000097470000}"/>
    <cellStyle name="40% - Accent4 2 3 3 4 3 2" xfId="17690" xr:uid="{00000000-0005-0000-0000-000098470000}"/>
    <cellStyle name="40% - Accent4 2 3 3 4 3 2 2" xfId="37090" xr:uid="{00000000-0005-0000-0000-000099470000}"/>
    <cellStyle name="40% - Accent4 2 3 3 4 3 3" xfId="27392" xr:uid="{00000000-0005-0000-0000-00009A470000}"/>
    <cellStyle name="40% - Accent4 2 3 3 4 4" xfId="13235" xr:uid="{00000000-0005-0000-0000-00009B470000}"/>
    <cellStyle name="40% - Accent4 2 3 3 4 4 2" xfId="32635" xr:uid="{00000000-0005-0000-0000-00009C470000}"/>
    <cellStyle name="40% - Accent4 2 3 3 4 5" xfId="22937" xr:uid="{00000000-0005-0000-0000-00009D470000}"/>
    <cellStyle name="40% - Accent4 2 3 3 5" xfId="3772" xr:uid="{00000000-0005-0000-0000-00009E470000}"/>
    <cellStyle name="40% - Accent4 2 3 3 5 2" xfId="4902" xr:uid="{00000000-0005-0000-0000-00009F470000}"/>
    <cellStyle name="40% - Accent4 2 3 3 5 2 2" xfId="9366" xr:uid="{00000000-0005-0000-0000-0000A0470000}"/>
    <cellStyle name="40% - Accent4 2 3 3 5 2 2 2" xfId="19362" xr:uid="{00000000-0005-0000-0000-0000A1470000}"/>
    <cellStyle name="40% - Accent4 2 3 3 5 2 2 2 2" xfId="38762" xr:uid="{00000000-0005-0000-0000-0000A2470000}"/>
    <cellStyle name="40% - Accent4 2 3 3 5 2 2 3" xfId="29064" xr:uid="{00000000-0005-0000-0000-0000A3470000}"/>
    <cellStyle name="40% - Accent4 2 3 3 5 2 3" xfId="14907" xr:uid="{00000000-0005-0000-0000-0000A4470000}"/>
    <cellStyle name="40% - Accent4 2 3 3 5 2 3 2" xfId="34307" xr:uid="{00000000-0005-0000-0000-0000A5470000}"/>
    <cellStyle name="40% - Accent4 2 3 3 5 2 4" xfId="24609" xr:uid="{00000000-0005-0000-0000-0000A6470000}"/>
    <cellStyle name="40% - Accent4 2 3 3 5 3" xfId="8251" xr:uid="{00000000-0005-0000-0000-0000A7470000}"/>
    <cellStyle name="40% - Accent4 2 3 3 5 3 2" xfId="18247" xr:uid="{00000000-0005-0000-0000-0000A8470000}"/>
    <cellStyle name="40% - Accent4 2 3 3 5 3 2 2" xfId="37647" xr:uid="{00000000-0005-0000-0000-0000A9470000}"/>
    <cellStyle name="40% - Accent4 2 3 3 5 3 3" xfId="27949" xr:uid="{00000000-0005-0000-0000-0000AA470000}"/>
    <cellStyle name="40% - Accent4 2 3 3 5 4" xfId="13792" xr:uid="{00000000-0005-0000-0000-0000AB470000}"/>
    <cellStyle name="40% - Accent4 2 3 3 5 4 2" xfId="33192" xr:uid="{00000000-0005-0000-0000-0000AC470000}"/>
    <cellStyle name="40% - Accent4 2 3 3 5 5" xfId="23494" xr:uid="{00000000-0005-0000-0000-0000AD470000}"/>
    <cellStyle name="40% - Accent4 2 3 3 6" xfId="4345" xr:uid="{00000000-0005-0000-0000-0000AE470000}"/>
    <cellStyle name="40% - Accent4 2 3 3 6 2" xfId="8809" xr:uid="{00000000-0005-0000-0000-0000AF470000}"/>
    <cellStyle name="40% - Accent4 2 3 3 6 2 2" xfId="18805" xr:uid="{00000000-0005-0000-0000-0000B0470000}"/>
    <cellStyle name="40% - Accent4 2 3 3 6 2 2 2" xfId="38205" xr:uid="{00000000-0005-0000-0000-0000B1470000}"/>
    <cellStyle name="40% - Accent4 2 3 3 6 2 3" xfId="28507" xr:uid="{00000000-0005-0000-0000-0000B2470000}"/>
    <cellStyle name="40% - Accent4 2 3 3 6 3" xfId="14350" xr:uid="{00000000-0005-0000-0000-0000B3470000}"/>
    <cellStyle name="40% - Accent4 2 3 3 6 3 2" xfId="33750" xr:uid="{00000000-0005-0000-0000-0000B4470000}"/>
    <cellStyle name="40% - Accent4 2 3 3 6 4" xfId="24052" xr:uid="{00000000-0005-0000-0000-0000B5470000}"/>
    <cellStyle name="40% - Accent4 2 3 3 7" xfId="6015" xr:uid="{00000000-0005-0000-0000-0000B6470000}"/>
    <cellStyle name="40% - Accent4 2 3 3 7 2" xfId="10479" xr:uid="{00000000-0005-0000-0000-0000B7470000}"/>
    <cellStyle name="40% - Accent4 2 3 3 7 2 2" xfId="20475" xr:uid="{00000000-0005-0000-0000-0000B8470000}"/>
    <cellStyle name="40% - Accent4 2 3 3 7 2 2 2" xfId="39875" xr:uid="{00000000-0005-0000-0000-0000B9470000}"/>
    <cellStyle name="40% - Accent4 2 3 3 7 2 3" xfId="30177" xr:uid="{00000000-0005-0000-0000-0000BA470000}"/>
    <cellStyle name="40% - Accent4 2 3 3 7 3" xfId="16020" xr:uid="{00000000-0005-0000-0000-0000BB470000}"/>
    <cellStyle name="40% - Accent4 2 3 3 7 3 2" xfId="35420" xr:uid="{00000000-0005-0000-0000-0000BC470000}"/>
    <cellStyle name="40% - Accent4 2 3 3 7 4" xfId="25722" xr:uid="{00000000-0005-0000-0000-0000BD470000}"/>
    <cellStyle name="40% - Accent4 2 3 3 8" xfId="6581" xr:uid="{00000000-0005-0000-0000-0000BE470000}"/>
    <cellStyle name="40% - Accent4 2 3 3 8 2" xfId="11036" xr:uid="{00000000-0005-0000-0000-0000BF470000}"/>
    <cellStyle name="40% - Accent4 2 3 3 8 2 2" xfId="21032" xr:uid="{00000000-0005-0000-0000-0000C0470000}"/>
    <cellStyle name="40% - Accent4 2 3 3 8 2 2 2" xfId="40432" xr:uid="{00000000-0005-0000-0000-0000C1470000}"/>
    <cellStyle name="40% - Accent4 2 3 3 8 2 3" xfId="30734" xr:uid="{00000000-0005-0000-0000-0000C2470000}"/>
    <cellStyle name="40% - Accent4 2 3 3 8 3" xfId="16577" xr:uid="{00000000-0005-0000-0000-0000C3470000}"/>
    <cellStyle name="40% - Accent4 2 3 3 8 3 2" xfId="35977" xr:uid="{00000000-0005-0000-0000-0000C4470000}"/>
    <cellStyle name="40% - Accent4 2 3 3 8 4" xfId="26279" xr:uid="{00000000-0005-0000-0000-0000C5470000}"/>
    <cellStyle name="40% - Accent4 2 3 3 9" xfId="7138" xr:uid="{00000000-0005-0000-0000-0000C6470000}"/>
    <cellStyle name="40% - Accent4 2 3 3 9 2" xfId="17134" xr:uid="{00000000-0005-0000-0000-0000C7470000}"/>
    <cellStyle name="40% - Accent4 2 3 3 9 2 2" xfId="36534" xr:uid="{00000000-0005-0000-0000-0000C8470000}"/>
    <cellStyle name="40% - Accent4 2 3 3 9 3" xfId="26836" xr:uid="{00000000-0005-0000-0000-0000C9470000}"/>
    <cellStyle name="40% - Accent4 2 3 4" xfId="2207" xr:uid="{00000000-0005-0000-0000-0000CA470000}"/>
    <cellStyle name="40% - Accent4 2 3 4 2" xfId="3192" xr:uid="{00000000-0005-0000-0000-0000CB470000}"/>
    <cellStyle name="40% - Accent4 2 3 4 2 2" xfId="5461" xr:uid="{00000000-0005-0000-0000-0000CC470000}"/>
    <cellStyle name="40% - Accent4 2 3 4 2 2 2" xfId="9925" xr:uid="{00000000-0005-0000-0000-0000CD470000}"/>
    <cellStyle name="40% - Accent4 2 3 4 2 2 2 2" xfId="19921" xr:uid="{00000000-0005-0000-0000-0000CE470000}"/>
    <cellStyle name="40% - Accent4 2 3 4 2 2 2 2 2" xfId="39321" xr:uid="{00000000-0005-0000-0000-0000CF470000}"/>
    <cellStyle name="40% - Accent4 2 3 4 2 2 2 3" xfId="29623" xr:uid="{00000000-0005-0000-0000-0000D0470000}"/>
    <cellStyle name="40% - Accent4 2 3 4 2 2 3" xfId="15466" xr:uid="{00000000-0005-0000-0000-0000D1470000}"/>
    <cellStyle name="40% - Accent4 2 3 4 2 2 3 2" xfId="34866" xr:uid="{00000000-0005-0000-0000-0000D2470000}"/>
    <cellStyle name="40% - Accent4 2 3 4 2 2 4" xfId="25168" xr:uid="{00000000-0005-0000-0000-0000D3470000}"/>
    <cellStyle name="40% - Accent4 2 3 4 2 3" xfId="7697" xr:uid="{00000000-0005-0000-0000-0000D4470000}"/>
    <cellStyle name="40% - Accent4 2 3 4 2 3 2" xfId="17693" xr:uid="{00000000-0005-0000-0000-0000D5470000}"/>
    <cellStyle name="40% - Accent4 2 3 4 2 3 2 2" xfId="37093" xr:uid="{00000000-0005-0000-0000-0000D6470000}"/>
    <cellStyle name="40% - Accent4 2 3 4 2 3 3" xfId="27395" xr:uid="{00000000-0005-0000-0000-0000D7470000}"/>
    <cellStyle name="40% - Accent4 2 3 4 2 4" xfId="13238" xr:uid="{00000000-0005-0000-0000-0000D8470000}"/>
    <cellStyle name="40% - Accent4 2 3 4 2 4 2" xfId="32638" xr:uid="{00000000-0005-0000-0000-0000D9470000}"/>
    <cellStyle name="40% - Accent4 2 3 4 2 5" xfId="22940" xr:uid="{00000000-0005-0000-0000-0000DA470000}"/>
    <cellStyle name="40% - Accent4 2 3 4 3" xfId="3775" xr:uid="{00000000-0005-0000-0000-0000DB470000}"/>
    <cellStyle name="40% - Accent4 2 3 4 3 2" xfId="4905" xr:uid="{00000000-0005-0000-0000-0000DC470000}"/>
    <cellStyle name="40% - Accent4 2 3 4 3 2 2" xfId="9369" xr:uid="{00000000-0005-0000-0000-0000DD470000}"/>
    <cellStyle name="40% - Accent4 2 3 4 3 2 2 2" xfId="19365" xr:uid="{00000000-0005-0000-0000-0000DE470000}"/>
    <cellStyle name="40% - Accent4 2 3 4 3 2 2 2 2" xfId="38765" xr:uid="{00000000-0005-0000-0000-0000DF470000}"/>
    <cellStyle name="40% - Accent4 2 3 4 3 2 2 3" xfId="29067" xr:uid="{00000000-0005-0000-0000-0000E0470000}"/>
    <cellStyle name="40% - Accent4 2 3 4 3 2 3" xfId="14910" xr:uid="{00000000-0005-0000-0000-0000E1470000}"/>
    <cellStyle name="40% - Accent4 2 3 4 3 2 3 2" xfId="34310" xr:uid="{00000000-0005-0000-0000-0000E2470000}"/>
    <cellStyle name="40% - Accent4 2 3 4 3 2 4" xfId="24612" xr:uid="{00000000-0005-0000-0000-0000E3470000}"/>
    <cellStyle name="40% - Accent4 2 3 4 3 3" xfId="8254" xr:uid="{00000000-0005-0000-0000-0000E4470000}"/>
    <cellStyle name="40% - Accent4 2 3 4 3 3 2" xfId="18250" xr:uid="{00000000-0005-0000-0000-0000E5470000}"/>
    <cellStyle name="40% - Accent4 2 3 4 3 3 2 2" xfId="37650" xr:uid="{00000000-0005-0000-0000-0000E6470000}"/>
    <cellStyle name="40% - Accent4 2 3 4 3 3 3" xfId="27952" xr:uid="{00000000-0005-0000-0000-0000E7470000}"/>
    <cellStyle name="40% - Accent4 2 3 4 3 4" xfId="13795" xr:uid="{00000000-0005-0000-0000-0000E8470000}"/>
    <cellStyle name="40% - Accent4 2 3 4 3 4 2" xfId="33195" xr:uid="{00000000-0005-0000-0000-0000E9470000}"/>
    <cellStyle name="40% - Accent4 2 3 4 3 5" xfId="23497" xr:uid="{00000000-0005-0000-0000-0000EA470000}"/>
    <cellStyle name="40% - Accent4 2 3 4 4" xfId="4348" xr:uid="{00000000-0005-0000-0000-0000EB470000}"/>
    <cellStyle name="40% - Accent4 2 3 4 4 2" xfId="8812" xr:uid="{00000000-0005-0000-0000-0000EC470000}"/>
    <cellStyle name="40% - Accent4 2 3 4 4 2 2" xfId="18808" xr:uid="{00000000-0005-0000-0000-0000ED470000}"/>
    <cellStyle name="40% - Accent4 2 3 4 4 2 2 2" xfId="38208" xr:uid="{00000000-0005-0000-0000-0000EE470000}"/>
    <cellStyle name="40% - Accent4 2 3 4 4 2 3" xfId="28510" xr:uid="{00000000-0005-0000-0000-0000EF470000}"/>
    <cellStyle name="40% - Accent4 2 3 4 4 3" xfId="14353" xr:uid="{00000000-0005-0000-0000-0000F0470000}"/>
    <cellStyle name="40% - Accent4 2 3 4 4 3 2" xfId="33753" xr:uid="{00000000-0005-0000-0000-0000F1470000}"/>
    <cellStyle name="40% - Accent4 2 3 4 4 4" xfId="24055" xr:uid="{00000000-0005-0000-0000-0000F2470000}"/>
    <cellStyle name="40% - Accent4 2 3 4 5" xfId="6018" xr:uid="{00000000-0005-0000-0000-0000F3470000}"/>
    <cellStyle name="40% - Accent4 2 3 4 5 2" xfId="10482" xr:uid="{00000000-0005-0000-0000-0000F4470000}"/>
    <cellStyle name="40% - Accent4 2 3 4 5 2 2" xfId="20478" xr:uid="{00000000-0005-0000-0000-0000F5470000}"/>
    <cellStyle name="40% - Accent4 2 3 4 5 2 2 2" xfId="39878" xr:uid="{00000000-0005-0000-0000-0000F6470000}"/>
    <cellStyle name="40% - Accent4 2 3 4 5 2 3" xfId="30180" xr:uid="{00000000-0005-0000-0000-0000F7470000}"/>
    <cellStyle name="40% - Accent4 2 3 4 5 3" xfId="16023" xr:uid="{00000000-0005-0000-0000-0000F8470000}"/>
    <cellStyle name="40% - Accent4 2 3 4 5 3 2" xfId="35423" xr:uid="{00000000-0005-0000-0000-0000F9470000}"/>
    <cellStyle name="40% - Accent4 2 3 4 5 4" xfId="25725" xr:uid="{00000000-0005-0000-0000-0000FA470000}"/>
    <cellStyle name="40% - Accent4 2 3 4 6" xfId="6584" xr:uid="{00000000-0005-0000-0000-0000FB470000}"/>
    <cellStyle name="40% - Accent4 2 3 4 6 2" xfId="11039" xr:uid="{00000000-0005-0000-0000-0000FC470000}"/>
    <cellStyle name="40% - Accent4 2 3 4 6 2 2" xfId="21035" xr:uid="{00000000-0005-0000-0000-0000FD470000}"/>
    <cellStyle name="40% - Accent4 2 3 4 6 2 2 2" xfId="40435" xr:uid="{00000000-0005-0000-0000-0000FE470000}"/>
    <cellStyle name="40% - Accent4 2 3 4 6 2 3" xfId="30737" xr:uid="{00000000-0005-0000-0000-0000FF470000}"/>
    <cellStyle name="40% - Accent4 2 3 4 6 3" xfId="16580" xr:uid="{00000000-0005-0000-0000-000000480000}"/>
    <cellStyle name="40% - Accent4 2 3 4 6 3 2" xfId="35980" xr:uid="{00000000-0005-0000-0000-000001480000}"/>
    <cellStyle name="40% - Accent4 2 3 4 6 4" xfId="26282" xr:uid="{00000000-0005-0000-0000-000002480000}"/>
    <cellStyle name="40% - Accent4 2 3 4 7" xfId="7141" xr:uid="{00000000-0005-0000-0000-000003480000}"/>
    <cellStyle name="40% - Accent4 2 3 4 7 2" xfId="17137" xr:uid="{00000000-0005-0000-0000-000004480000}"/>
    <cellStyle name="40% - Accent4 2 3 4 7 2 2" xfId="36537" xr:uid="{00000000-0005-0000-0000-000005480000}"/>
    <cellStyle name="40% - Accent4 2 3 4 7 3" xfId="26839" xr:uid="{00000000-0005-0000-0000-000006480000}"/>
    <cellStyle name="40% - Accent4 2 3 4 8" xfId="12681" xr:uid="{00000000-0005-0000-0000-000007480000}"/>
    <cellStyle name="40% - Accent4 2 3 4 8 2" xfId="32082" xr:uid="{00000000-0005-0000-0000-000008480000}"/>
    <cellStyle name="40% - Accent4 2 3 4 9" xfId="22384" xr:uid="{00000000-0005-0000-0000-000009480000}"/>
    <cellStyle name="40% - Accent4 2 3 5" xfId="2208" xr:uid="{00000000-0005-0000-0000-00000A480000}"/>
    <cellStyle name="40% - Accent4 2 3 5 2" xfId="3193" xr:uid="{00000000-0005-0000-0000-00000B480000}"/>
    <cellStyle name="40% - Accent4 2 3 5 2 2" xfId="5462" xr:uid="{00000000-0005-0000-0000-00000C480000}"/>
    <cellStyle name="40% - Accent4 2 3 5 2 2 2" xfId="9926" xr:uid="{00000000-0005-0000-0000-00000D480000}"/>
    <cellStyle name="40% - Accent4 2 3 5 2 2 2 2" xfId="19922" xr:uid="{00000000-0005-0000-0000-00000E480000}"/>
    <cellStyle name="40% - Accent4 2 3 5 2 2 2 2 2" xfId="39322" xr:uid="{00000000-0005-0000-0000-00000F480000}"/>
    <cellStyle name="40% - Accent4 2 3 5 2 2 2 3" xfId="29624" xr:uid="{00000000-0005-0000-0000-000010480000}"/>
    <cellStyle name="40% - Accent4 2 3 5 2 2 3" xfId="15467" xr:uid="{00000000-0005-0000-0000-000011480000}"/>
    <cellStyle name="40% - Accent4 2 3 5 2 2 3 2" xfId="34867" xr:uid="{00000000-0005-0000-0000-000012480000}"/>
    <cellStyle name="40% - Accent4 2 3 5 2 2 4" xfId="25169" xr:uid="{00000000-0005-0000-0000-000013480000}"/>
    <cellStyle name="40% - Accent4 2 3 5 2 3" xfId="7698" xr:uid="{00000000-0005-0000-0000-000014480000}"/>
    <cellStyle name="40% - Accent4 2 3 5 2 3 2" xfId="17694" xr:uid="{00000000-0005-0000-0000-000015480000}"/>
    <cellStyle name="40% - Accent4 2 3 5 2 3 2 2" xfId="37094" xr:uid="{00000000-0005-0000-0000-000016480000}"/>
    <cellStyle name="40% - Accent4 2 3 5 2 3 3" xfId="27396" xr:uid="{00000000-0005-0000-0000-000017480000}"/>
    <cellStyle name="40% - Accent4 2 3 5 2 4" xfId="13239" xr:uid="{00000000-0005-0000-0000-000018480000}"/>
    <cellStyle name="40% - Accent4 2 3 5 2 4 2" xfId="32639" xr:uid="{00000000-0005-0000-0000-000019480000}"/>
    <cellStyle name="40% - Accent4 2 3 5 2 5" xfId="22941" xr:uid="{00000000-0005-0000-0000-00001A480000}"/>
    <cellStyle name="40% - Accent4 2 3 5 3" xfId="3776" xr:uid="{00000000-0005-0000-0000-00001B480000}"/>
    <cellStyle name="40% - Accent4 2 3 5 3 2" xfId="4906" xr:uid="{00000000-0005-0000-0000-00001C480000}"/>
    <cellStyle name="40% - Accent4 2 3 5 3 2 2" xfId="9370" xr:uid="{00000000-0005-0000-0000-00001D480000}"/>
    <cellStyle name="40% - Accent4 2 3 5 3 2 2 2" xfId="19366" xr:uid="{00000000-0005-0000-0000-00001E480000}"/>
    <cellStyle name="40% - Accent4 2 3 5 3 2 2 2 2" xfId="38766" xr:uid="{00000000-0005-0000-0000-00001F480000}"/>
    <cellStyle name="40% - Accent4 2 3 5 3 2 2 3" xfId="29068" xr:uid="{00000000-0005-0000-0000-000020480000}"/>
    <cellStyle name="40% - Accent4 2 3 5 3 2 3" xfId="14911" xr:uid="{00000000-0005-0000-0000-000021480000}"/>
    <cellStyle name="40% - Accent4 2 3 5 3 2 3 2" xfId="34311" xr:uid="{00000000-0005-0000-0000-000022480000}"/>
    <cellStyle name="40% - Accent4 2 3 5 3 2 4" xfId="24613" xr:uid="{00000000-0005-0000-0000-000023480000}"/>
    <cellStyle name="40% - Accent4 2 3 5 3 3" xfId="8255" xr:uid="{00000000-0005-0000-0000-000024480000}"/>
    <cellStyle name="40% - Accent4 2 3 5 3 3 2" xfId="18251" xr:uid="{00000000-0005-0000-0000-000025480000}"/>
    <cellStyle name="40% - Accent4 2 3 5 3 3 2 2" xfId="37651" xr:uid="{00000000-0005-0000-0000-000026480000}"/>
    <cellStyle name="40% - Accent4 2 3 5 3 3 3" xfId="27953" xr:uid="{00000000-0005-0000-0000-000027480000}"/>
    <cellStyle name="40% - Accent4 2 3 5 3 4" xfId="13796" xr:uid="{00000000-0005-0000-0000-000028480000}"/>
    <cellStyle name="40% - Accent4 2 3 5 3 4 2" xfId="33196" xr:uid="{00000000-0005-0000-0000-000029480000}"/>
    <cellStyle name="40% - Accent4 2 3 5 3 5" xfId="23498" xr:uid="{00000000-0005-0000-0000-00002A480000}"/>
    <cellStyle name="40% - Accent4 2 3 5 4" xfId="4349" xr:uid="{00000000-0005-0000-0000-00002B480000}"/>
    <cellStyle name="40% - Accent4 2 3 5 4 2" xfId="8813" xr:uid="{00000000-0005-0000-0000-00002C480000}"/>
    <cellStyle name="40% - Accent4 2 3 5 4 2 2" xfId="18809" xr:uid="{00000000-0005-0000-0000-00002D480000}"/>
    <cellStyle name="40% - Accent4 2 3 5 4 2 2 2" xfId="38209" xr:uid="{00000000-0005-0000-0000-00002E480000}"/>
    <cellStyle name="40% - Accent4 2 3 5 4 2 3" xfId="28511" xr:uid="{00000000-0005-0000-0000-00002F480000}"/>
    <cellStyle name="40% - Accent4 2 3 5 4 3" xfId="14354" xr:uid="{00000000-0005-0000-0000-000030480000}"/>
    <cellStyle name="40% - Accent4 2 3 5 4 3 2" xfId="33754" xr:uid="{00000000-0005-0000-0000-000031480000}"/>
    <cellStyle name="40% - Accent4 2 3 5 4 4" xfId="24056" xr:uid="{00000000-0005-0000-0000-000032480000}"/>
    <cellStyle name="40% - Accent4 2 3 5 5" xfId="6019" xr:uid="{00000000-0005-0000-0000-000033480000}"/>
    <cellStyle name="40% - Accent4 2 3 5 5 2" xfId="10483" xr:uid="{00000000-0005-0000-0000-000034480000}"/>
    <cellStyle name="40% - Accent4 2 3 5 5 2 2" xfId="20479" xr:uid="{00000000-0005-0000-0000-000035480000}"/>
    <cellStyle name="40% - Accent4 2 3 5 5 2 2 2" xfId="39879" xr:uid="{00000000-0005-0000-0000-000036480000}"/>
    <cellStyle name="40% - Accent4 2 3 5 5 2 3" xfId="30181" xr:uid="{00000000-0005-0000-0000-000037480000}"/>
    <cellStyle name="40% - Accent4 2 3 5 5 3" xfId="16024" xr:uid="{00000000-0005-0000-0000-000038480000}"/>
    <cellStyle name="40% - Accent4 2 3 5 5 3 2" xfId="35424" xr:uid="{00000000-0005-0000-0000-000039480000}"/>
    <cellStyle name="40% - Accent4 2 3 5 5 4" xfId="25726" xr:uid="{00000000-0005-0000-0000-00003A480000}"/>
    <cellStyle name="40% - Accent4 2 3 5 6" xfId="6585" xr:uid="{00000000-0005-0000-0000-00003B480000}"/>
    <cellStyle name="40% - Accent4 2 3 5 6 2" xfId="11040" xr:uid="{00000000-0005-0000-0000-00003C480000}"/>
    <cellStyle name="40% - Accent4 2 3 5 6 2 2" xfId="21036" xr:uid="{00000000-0005-0000-0000-00003D480000}"/>
    <cellStyle name="40% - Accent4 2 3 5 6 2 2 2" xfId="40436" xr:uid="{00000000-0005-0000-0000-00003E480000}"/>
    <cellStyle name="40% - Accent4 2 3 5 6 2 3" xfId="30738" xr:uid="{00000000-0005-0000-0000-00003F480000}"/>
    <cellStyle name="40% - Accent4 2 3 5 6 3" xfId="16581" xr:uid="{00000000-0005-0000-0000-000040480000}"/>
    <cellStyle name="40% - Accent4 2 3 5 6 3 2" xfId="35981" xr:uid="{00000000-0005-0000-0000-000041480000}"/>
    <cellStyle name="40% - Accent4 2 3 5 6 4" xfId="26283" xr:uid="{00000000-0005-0000-0000-000042480000}"/>
    <cellStyle name="40% - Accent4 2 3 5 7" xfId="7142" xr:uid="{00000000-0005-0000-0000-000043480000}"/>
    <cellStyle name="40% - Accent4 2 3 5 7 2" xfId="17138" xr:uid="{00000000-0005-0000-0000-000044480000}"/>
    <cellStyle name="40% - Accent4 2 3 5 7 2 2" xfId="36538" xr:uid="{00000000-0005-0000-0000-000045480000}"/>
    <cellStyle name="40% - Accent4 2 3 5 7 3" xfId="26840" xr:uid="{00000000-0005-0000-0000-000046480000}"/>
    <cellStyle name="40% - Accent4 2 3 5 8" xfId="12682" xr:uid="{00000000-0005-0000-0000-000047480000}"/>
    <cellStyle name="40% - Accent4 2 3 5 8 2" xfId="32083" xr:uid="{00000000-0005-0000-0000-000048480000}"/>
    <cellStyle name="40% - Accent4 2 3 5 9" xfId="22385" xr:uid="{00000000-0005-0000-0000-000049480000}"/>
    <cellStyle name="40% - Accent4 2 3 6" xfId="11971" xr:uid="{00000000-0005-0000-0000-00004A480000}"/>
    <cellStyle name="40% - Accent4 2 3 6 2" xfId="21675" xr:uid="{00000000-0005-0000-0000-00004B480000}"/>
    <cellStyle name="40% - Accent4 2 3 6 2 2" xfId="41075" xr:uid="{00000000-0005-0000-0000-00004C480000}"/>
    <cellStyle name="40% - Accent4 2 3 6 3" xfId="31377" xr:uid="{00000000-0005-0000-0000-00004D480000}"/>
    <cellStyle name="40% - Accent4 2 3 7" xfId="1295" xr:uid="{00000000-0005-0000-0000-00004E480000}"/>
    <cellStyle name="40% - Accent4 2 3 8" xfId="12327" xr:uid="{00000000-0005-0000-0000-00004F480000}"/>
    <cellStyle name="40% - Accent4 2 3 8 2" xfId="31730" xr:uid="{00000000-0005-0000-0000-000050480000}"/>
    <cellStyle name="40% - Accent4 2 3 9" xfId="22032" xr:uid="{00000000-0005-0000-0000-000051480000}"/>
    <cellStyle name="40% - Accent4 2 4" xfId="1296" xr:uid="{00000000-0005-0000-0000-000052480000}"/>
    <cellStyle name="40% - Accent4 2 4 2" xfId="2209" xr:uid="{00000000-0005-0000-0000-000053480000}"/>
    <cellStyle name="40% - Accent4 2 4 2 10" xfId="12683" xr:uid="{00000000-0005-0000-0000-000054480000}"/>
    <cellStyle name="40% - Accent4 2 4 2 10 2" xfId="32084" xr:uid="{00000000-0005-0000-0000-000055480000}"/>
    <cellStyle name="40% - Accent4 2 4 2 11" xfId="22386" xr:uid="{00000000-0005-0000-0000-000056480000}"/>
    <cellStyle name="40% - Accent4 2 4 2 2" xfId="2210" xr:uid="{00000000-0005-0000-0000-000057480000}"/>
    <cellStyle name="40% - Accent4 2 4 2 2 2" xfId="3195" xr:uid="{00000000-0005-0000-0000-000058480000}"/>
    <cellStyle name="40% - Accent4 2 4 2 2 2 2" xfId="5464" xr:uid="{00000000-0005-0000-0000-000059480000}"/>
    <cellStyle name="40% - Accent4 2 4 2 2 2 2 2" xfId="9928" xr:uid="{00000000-0005-0000-0000-00005A480000}"/>
    <cellStyle name="40% - Accent4 2 4 2 2 2 2 2 2" xfId="19924" xr:uid="{00000000-0005-0000-0000-00005B480000}"/>
    <cellStyle name="40% - Accent4 2 4 2 2 2 2 2 2 2" xfId="39324" xr:uid="{00000000-0005-0000-0000-00005C480000}"/>
    <cellStyle name="40% - Accent4 2 4 2 2 2 2 2 3" xfId="29626" xr:uid="{00000000-0005-0000-0000-00005D480000}"/>
    <cellStyle name="40% - Accent4 2 4 2 2 2 2 3" xfId="15469" xr:uid="{00000000-0005-0000-0000-00005E480000}"/>
    <cellStyle name="40% - Accent4 2 4 2 2 2 2 3 2" xfId="34869" xr:uid="{00000000-0005-0000-0000-00005F480000}"/>
    <cellStyle name="40% - Accent4 2 4 2 2 2 2 4" xfId="25171" xr:uid="{00000000-0005-0000-0000-000060480000}"/>
    <cellStyle name="40% - Accent4 2 4 2 2 2 3" xfId="7700" xr:uid="{00000000-0005-0000-0000-000061480000}"/>
    <cellStyle name="40% - Accent4 2 4 2 2 2 3 2" xfId="17696" xr:uid="{00000000-0005-0000-0000-000062480000}"/>
    <cellStyle name="40% - Accent4 2 4 2 2 2 3 2 2" xfId="37096" xr:uid="{00000000-0005-0000-0000-000063480000}"/>
    <cellStyle name="40% - Accent4 2 4 2 2 2 3 3" xfId="27398" xr:uid="{00000000-0005-0000-0000-000064480000}"/>
    <cellStyle name="40% - Accent4 2 4 2 2 2 4" xfId="13241" xr:uid="{00000000-0005-0000-0000-000065480000}"/>
    <cellStyle name="40% - Accent4 2 4 2 2 2 4 2" xfId="32641" xr:uid="{00000000-0005-0000-0000-000066480000}"/>
    <cellStyle name="40% - Accent4 2 4 2 2 2 5" xfId="22943" xr:uid="{00000000-0005-0000-0000-000067480000}"/>
    <cellStyle name="40% - Accent4 2 4 2 2 3" xfId="3778" xr:uid="{00000000-0005-0000-0000-000068480000}"/>
    <cellStyle name="40% - Accent4 2 4 2 2 3 2" xfId="4908" xr:uid="{00000000-0005-0000-0000-000069480000}"/>
    <cellStyle name="40% - Accent4 2 4 2 2 3 2 2" xfId="9372" xr:uid="{00000000-0005-0000-0000-00006A480000}"/>
    <cellStyle name="40% - Accent4 2 4 2 2 3 2 2 2" xfId="19368" xr:uid="{00000000-0005-0000-0000-00006B480000}"/>
    <cellStyle name="40% - Accent4 2 4 2 2 3 2 2 2 2" xfId="38768" xr:uid="{00000000-0005-0000-0000-00006C480000}"/>
    <cellStyle name="40% - Accent4 2 4 2 2 3 2 2 3" xfId="29070" xr:uid="{00000000-0005-0000-0000-00006D480000}"/>
    <cellStyle name="40% - Accent4 2 4 2 2 3 2 3" xfId="14913" xr:uid="{00000000-0005-0000-0000-00006E480000}"/>
    <cellStyle name="40% - Accent4 2 4 2 2 3 2 3 2" xfId="34313" xr:uid="{00000000-0005-0000-0000-00006F480000}"/>
    <cellStyle name="40% - Accent4 2 4 2 2 3 2 4" xfId="24615" xr:uid="{00000000-0005-0000-0000-000070480000}"/>
    <cellStyle name="40% - Accent4 2 4 2 2 3 3" xfId="8257" xr:uid="{00000000-0005-0000-0000-000071480000}"/>
    <cellStyle name="40% - Accent4 2 4 2 2 3 3 2" xfId="18253" xr:uid="{00000000-0005-0000-0000-000072480000}"/>
    <cellStyle name="40% - Accent4 2 4 2 2 3 3 2 2" xfId="37653" xr:uid="{00000000-0005-0000-0000-000073480000}"/>
    <cellStyle name="40% - Accent4 2 4 2 2 3 3 3" xfId="27955" xr:uid="{00000000-0005-0000-0000-000074480000}"/>
    <cellStyle name="40% - Accent4 2 4 2 2 3 4" xfId="13798" xr:uid="{00000000-0005-0000-0000-000075480000}"/>
    <cellStyle name="40% - Accent4 2 4 2 2 3 4 2" xfId="33198" xr:uid="{00000000-0005-0000-0000-000076480000}"/>
    <cellStyle name="40% - Accent4 2 4 2 2 3 5" xfId="23500" xr:uid="{00000000-0005-0000-0000-000077480000}"/>
    <cellStyle name="40% - Accent4 2 4 2 2 4" xfId="4351" xr:uid="{00000000-0005-0000-0000-000078480000}"/>
    <cellStyle name="40% - Accent4 2 4 2 2 4 2" xfId="8815" xr:uid="{00000000-0005-0000-0000-000079480000}"/>
    <cellStyle name="40% - Accent4 2 4 2 2 4 2 2" xfId="18811" xr:uid="{00000000-0005-0000-0000-00007A480000}"/>
    <cellStyle name="40% - Accent4 2 4 2 2 4 2 2 2" xfId="38211" xr:uid="{00000000-0005-0000-0000-00007B480000}"/>
    <cellStyle name="40% - Accent4 2 4 2 2 4 2 3" xfId="28513" xr:uid="{00000000-0005-0000-0000-00007C480000}"/>
    <cellStyle name="40% - Accent4 2 4 2 2 4 3" xfId="14356" xr:uid="{00000000-0005-0000-0000-00007D480000}"/>
    <cellStyle name="40% - Accent4 2 4 2 2 4 3 2" xfId="33756" xr:uid="{00000000-0005-0000-0000-00007E480000}"/>
    <cellStyle name="40% - Accent4 2 4 2 2 4 4" xfId="24058" xr:uid="{00000000-0005-0000-0000-00007F480000}"/>
    <cellStyle name="40% - Accent4 2 4 2 2 5" xfId="6021" xr:uid="{00000000-0005-0000-0000-000080480000}"/>
    <cellStyle name="40% - Accent4 2 4 2 2 5 2" xfId="10485" xr:uid="{00000000-0005-0000-0000-000081480000}"/>
    <cellStyle name="40% - Accent4 2 4 2 2 5 2 2" xfId="20481" xr:uid="{00000000-0005-0000-0000-000082480000}"/>
    <cellStyle name="40% - Accent4 2 4 2 2 5 2 2 2" xfId="39881" xr:uid="{00000000-0005-0000-0000-000083480000}"/>
    <cellStyle name="40% - Accent4 2 4 2 2 5 2 3" xfId="30183" xr:uid="{00000000-0005-0000-0000-000084480000}"/>
    <cellStyle name="40% - Accent4 2 4 2 2 5 3" xfId="16026" xr:uid="{00000000-0005-0000-0000-000085480000}"/>
    <cellStyle name="40% - Accent4 2 4 2 2 5 3 2" xfId="35426" xr:uid="{00000000-0005-0000-0000-000086480000}"/>
    <cellStyle name="40% - Accent4 2 4 2 2 5 4" xfId="25728" xr:uid="{00000000-0005-0000-0000-000087480000}"/>
    <cellStyle name="40% - Accent4 2 4 2 2 6" xfId="6587" xr:uid="{00000000-0005-0000-0000-000088480000}"/>
    <cellStyle name="40% - Accent4 2 4 2 2 6 2" xfId="11042" xr:uid="{00000000-0005-0000-0000-000089480000}"/>
    <cellStyle name="40% - Accent4 2 4 2 2 6 2 2" xfId="21038" xr:uid="{00000000-0005-0000-0000-00008A480000}"/>
    <cellStyle name="40% - Accent4 2 4 2 2 6 2 2 2" xfId="40438" xr:uid="{00000000-0005-0000-0000-00008B480000}"/>
    <cellStyle name="40% - Accent4 2 4 2 2 6 2 3" xfId="30740" xr:uid="{00000000-0005-0000-0000-00008C480000}"/>
    <cellStyle name="40% - Accent4 2 4 2 2 6 3" xfId="16583" xr:uid="{00000000-0005-0000-0000-00008D480000}"/>
    <cellStyle name="40% - Accent4 2 4 2 2 6 3 2" xfId="35983" xr:uid="{00000000-0005-0000-0000-00008E480000}"/>
    <cellStyle name="40% - Accent4 2 4 2 2 6 4" xfId="26285" xr:uid="{00000000-0005-0000-0000-00008F480000}"/>
    <cellStyle name="40% - Accent4 2 4 2 2 7" xfId="7144" xr:uid="{00000000-0005-0000-0000-000090480000}"/>
    <cellStyle name="40% - Accent4 2 4 2 2 7 2" xfId="17140" xr:uid="{00000000-0005-0000-0000-000091480000}"/>
    <cellStyle name="40% - Accent4 2 4 2 2 7 2 2" xfId="36540" xr:uid="{00000000-0005-0000-0000-000092480000}"/>
    <cellStyle name="40% - Accent4 2 4 2 2 7 3" xfId="26842" xr:uid="{00000000-0005-0000-0000-000093480000}"/>
    <cellStyle name="40% - Accent4 2 4 2 2 8" xfId="12684" xr:uid="{00000000-0005-0000-0000-000094480000}"/>
    <cellStyle name="40% - Accent4 2 4 2 2 8 2" xfId="32085" xr:uid="{00000000-0005-0000-0000-000095480000}"/>
    <cellStyle name="40% - Accent4 2 4 2 2 9" xfId="22387" xr:uid="{00000000-0005-0000-0000-000096480000}"/>
    <cellStyle name="40% - Accent4 2 4 2 3" xfId="2211" xr:uid="{00000000-0005-0000-0000-000097480000}"/>
    <cellStyle name="40% - Accent4 2 4 2 3 2" xfId="3196" xr:uid="{00000000-0005-0000-0000-000098480000}"/>
    <cellStyle name="40% - Accent4 2 4 2 3 2 2" xfId="5465" xr:uid="{00000000-0005-0000-0000-000099480000}"/>
    <cellStyle name="40% - Accent4 2 4 2 3 2 2 2" xfId="9929" xr:uid="{00000000-0005-0000-0000-00009A480000}"/>
    <cellStyle name="40% - Accent4 2 4 2 3 2 2 2 2" xfId="19925" xr:uid="{00000000-0005-0000-0000-00009B480000}"/>
    <cellStyle name="40% - Accent4 2 4 2 3 2 2 2 2 2" xfId="39325" xr:uid="{00000000-0005-0000-0000-00009C480000}"/>
    <cellStyle name="40% - Accent4 2 4 2 3 2 2 2 3" xfId="29627" xr:uid="{00000000-0005-0000-0000-00009D480000}"/>
    <cellStyle name="40% - Accent4 2 4 2 3 2 2 3" xfId="15470" xr:uid="{00000000-0005-0000-0000-00009E480000}"/>
    <cellStyle name="40% - Accent4 2 4 2 3 2 2 3 2" xfId="34870" xr:uid="{00000000-0005-0000-0000-00009F480000}"/>
    <cellStyle name="40% - Accent4 2 4 2 3 2 2 4" xfId="25172" xr:uid="{00000000-0005-0000-0000-0000A0480000}"/>
    <cellStyle name="40% - Accent4 2 4 2 3 2 3" xfId="7701" xr:uid="{00000000-0005-0000-0000-0000A1480000}"/>
    <cellStyle name="40% - Accent4 2 4 2 3 2 3 2" xfId="17697" xr:uid="{00000000-0005-0000-0000-0000A2480000}"/>
    <cellStyle name="40% - Accent4 2 4 2 3 2 3 2 2" xfId="37097" xr:uid="{00000000-0005-0000-0000-0000A3480000}"/>
    <cellStyle name="40% - Accent4 2 4 2 3 2 3 3" xfId="27399" xr:uid="{00000000-0005-0000-0000-0000A4480000}"/>
    <cellStyle name="40% - Accent4 2 4 2 3 2 4" xfId="13242" xr:uid="{00000000-0005-0000-0000-0000A5480000}"/>
    <cellStyle name="40% - Accent4 2 4 2 3 2 4 2" xfId="32642" xr:uid="{00000000-0005-0000-0000-0000A6480000}"/>
    <cellStyle name="40% - Accent4 2 4 2 3 2 5" xfId="22944" xr:uid="{00000000-0005-0000-0000-0000A7480000}"/>
    <cellStyle name="40% - Accent4 2 4 2 3 3" xfId="3779" xr:uid="{00000000-0005-0000-0000-0000A8480000}"/>
    <cellStyle name="40% - Accent4 2 4 2 3 3 2" xfId="4909" xr:uid="{00000000-0005-0000-0000-0000A9480000}"/>
    <cellStyle name="40% - Accent4 2 4 2 3 3 2 2" xfId="9373" xr:uid="{00000000-0005-0000-0000-0000AA480000}"/>
    <cellStyle name="40% - Accent4 2 4 2 3 3 2 2 2" xfId="19369" xr:uid="{00000000-0005-0000-0000-0000AB480000}"/>
    <cellStyle name="40% - Accent4 2 4 2 3 3 2 2 2 2" xfId="38769" xr:uid="{00000000-0005-0000-0000-0000AC480000}"/>
    <cellStyle name="40% - Accent4 2 4 2 3 3 2 2 3" xfId="29071" xr:uid="{00000000-0005-0000-0000-0000AD480000}"/>
    <cellStyle name="40% - Accent4 2 4 2 3 3 2 3" xfId="14914" xr:uid="{00000000-0005-0000-0000-0000AE480000}"/>
    <cellStyle name="40% - Accent4 2 4 2 3 3 2 3 2" xfId="34314" xr:uid="{00000000-0005-0000-0000-0000AF480000}"/>
    <cellStyle name="40% - Accent4 2 4 2 3 3 2 4" xfId="24616" xr:uid="{00000000-0005-0000-0000-0000B0480000}"/>
    <cellStyle name="40% - Accent4 2 4 2 3 3 3" xfId="8258" xr:uid="{00000000-0005-0000-0000-0000B1480000}"/>
    <cellStyle name="40% - Accent4 2 4 2 3 3 3 2" xfId="18254" xr:uid="{00000000-0005-0000-0000-0000B2480000}"/>
    <cellStyle name="40% - Accent4 2 4 2 3 3 3 2 2" xfId="37654" xr:uid="{00000000-0005-0000-0000-0000B3480000}"/>
    <cellStyle name="40% - Accent4 2 4 2 3 3 3 3" xfId="27956" xr:uid="{00000000-0005-0000-0000-0000B4480000}"/>
    <cellStyle name="40% - Accent4 2 4 2 3 3 4" xfId="13799" xr:uid="{00000000-0005-0000-0000-0000B5480000}"/>
    <cellStyle name="40% - Accent4 2 4 2 3 3 4 2" xfId="33199" xr:uid="{00000000-0005-0000-0000-0000B6480000}"/>
    <cellStyle name="40% - Accent4 2 4 2 3 3 5" xfId="23501" xr:uid="{00000000-0005-0000-0000-0000B7480000}"/>
    <cellStyle name="40% - Accent4 2 4 2 3 4" xfId="4352" xr:uid="{00000000-0005-0000-0000-0000B8480000}"/>
    <cellStyle name="40% - Accent4 2 4 2 3 4 2" xfId="8816" xr:uid="{00000000-0005-0000-0000-0000B9480000}"/>
    <cellStyle name="40% - Accent4 2 4 2 3 4 2 2" xfId="18812" xr:uid="{00000000-0005-0000-0000-0000BA480000}"/>
    <cellStyle name="40% - Accent4 2 4 2 3 4 2 2 2" xfId="38212" xr:uid="{00000000-0005-0000-0000-0000BB480000}"/>
    <cellStyle name="40% - Accent4 2 4 2 3 4 2 3" xfId="28514" xr:uid="{00000000-0005-0000-0000-0000BC480000}"/>
    <cellStyle name="40% - Accent4 2 4 2 3 4 3" xfId="14357" xr:uid="{00000000-0005-0000-0000-0000BD480000}"/>
    <cellStyle name="40% - Accent4 2 4 2 3 4 3 2" xfId="33757" xr:uid="{00000000-0005-0000-0000-0000BE480000}"/>
    <cellStyle name="40% - Accent4 2 4 2 3 4 4" xfId="24059" xr:uid="{00000000-0005-0000-0000-0000BF480000}"/>
    <cellStyle name="40% - Accent4 2 4 2 3 5" xfId="6022" xr:uid="{00000000-0005-0000-0000-0000C0480000}"/>
    <cellStyle name="40% - Accent4 2 4 2 3 5 2" xfId="10486" xr:uid="{00000000-0005-0000-0000-0000C1480000}"/>
    <cellStyle name="40% - Accent4 2 4 2 3 5 2 2" xfId="20482" xr:uid="{00000000-0005-0000-0000-0000C2480000}"/>
    <cellStyle name="40% - Accent4 2 4 2 3 5 2 2 2" xfId="39882" xr:uid="{00000000-0005-0000-0000-0000C3480000}"/>
    <cellStyle name="40% - Accent4 2 4 2 3 5 2 3" xfId="30184" xr:uid="{00000000-0005-0000-0000-0000C4480000}"/>
    <cellStyle name="40% - Accent4 2 4 2 3 5 3" xfId="16027" xr:uid="{00000000-0005-0000-0000-0000C5480000}"/>
    <cellStyle name="40% - Accent4 2 4 2 3 5 3 2" xfId="35427" xr:uid="{00000000-0005-0000-0000-0000C6480000}"/>
    <cellStyle name="40% - Accent4 2 4 2 3 5 4" xfId="25729" xr:uid="{00000000-0005-0000-0000-0000C7480000}"/>
    <cellStyle name="40% - Accent4 2 4 2 3 6" xfId="6588" xr:uid="{00000000-0005-0000-0000-0000C8480000}"/>
    <cellStyle name="40% - Accent4 2 4 2 3 6 2" xfId="11043" xr:uid="{00000000-0005-0000-0000-0000C9480000}"/>
    <cellStyle name="40% - Accent4 2 4 2 3 6 2 2" xfId="21039" xr:uid="{00000000-0005-0000-0000-0000CA480000}"/>
    <cellStyle name="40% - Accent4 2 4 2 3 6 2 2 2" xfId="40439" xr:uid="{00000000-0005-0000-0000-0000CB480000}"/>
    <cellStyle name="40% - Accent4 2 4 2 3 6 2 3" xfId="30741" xr:uid="{00000000-0005-0000-0000-0000CC480000}"/>
    <cellStyle name="40% - Accent4 2 4 2 3 6 3" xfId="16584" xr:uid="{00000000-0005-0000-0000-0000CD480000}"/>
    <cellStyle name="40% - Accent4 2 4 2 3 6 3 2" xfId="35984" xr:uid="{00000000-0005-0000-0000-0000CE480000}"/>
    <cellStyle name="40% - Accent4 2 4 2 3 6 4" xfId="26286" xr:uid="{00000000-0005-0000-0000-0000CF480000}"/>
    <cellStyle name="40% - Accent4 2 4 2 3 7" xfId="7145" xr:uid="{00000000-0005-0000-0000-0000D0480000}"/>
    <cellStyle name="40% - Accent4 2 4 2 3 7 2" xfId="17141" xr:uid="{00000000-0005-0000-0000-0000D1480000}"/>
    <cellStyle name="40% - Accent4 2 4 2 3 7 2 2" xfId="36541" xr:uid="{00000000-0005-0000-0000-0000D2480000}"/>
    <cellStyle name="40% - Accent4 2 4 2 3 7 3" xfId="26843" xr:uid="{00000000-0005-0000-0000-0000D3480000}"/>
    <cellStyle name="40% - Accent4 2 4 2 3 8" xfId="12685" xr:uid="{00000000-0005-0000-0000-0000D4480000}"/>
    <cellStyle name="40% - Accent4 2 4 2 3 8 2" xfId="32086" xr:uid="{00000000-0005-0000-0000-0000D5480000}"/>
    <cellStyle name="40% - Accent4 2 4 2 3 9" xfId="22388" xr:uid="{00000000-0005-0000-0000-0000D6480000}"/>
    <cellStyle name="40% - Accent4 2 4 2 4" xfId="3194" xr:uid="{00000000-0005-0000-0000-0000D7480000}"/>
    <cellStyle name="40% - Accent4 2 4 2 4 2" xfId="5463" xr:uid="{00000000-0005-0000-0000-0000D8480000}"/>
    <cellStyle name="40% - Accent4 2 4 2 4 2 2" xfId="9927" xr:uid="{00000000-0005-0000-0000-0000D9480000}"/>
    <cellStyle name="40% - Accent4 2 4 2 4 2 2 2" xfId="19923" xr:uid="{00000000-0005-0000-0000-0000DA480000}"/>
    <cellStyle name="40% - Accent4 2 4 2 4 2 2 2 2" xfId="39323" xr:uid="{00000000-0005-0000-0000-0000DB480000}"/>
    <cellStyle name="40% - Accent4 2 4 2 4 2 2 3" xfId="29625" xr:uid="{00000000-0005-0000-0000-0000DC480000}"/>
    <cellStyle name="40% - Accent4 2 4 2 4 2 3" xfId="15468" xr:uid="{00000000-0005-0000-0000-0000DD480000}"/>
    <cellStyle name="40% - Accent4 2 4 2 4 2 3 2" xfId="34868" xr:uid="{00000000-0005-0000-0000-0000DE480000}"/>
    <cellStyle name="40% - Accent4 2 4 2 4 2 4" xfId="25170" xr:uid="{00000000-0005-0000-0000-0000DF480000}"/>
    <cellStyle name="40% - Accent4 2 4 2 4 3" xfId="7699" xr:uid="{00000000-0005-0000-0000-0000E0480000}"/>
    <cellStyle name="40% - Accent4 2 4 2 4 3 2" xfId="17695" xr:uid="{00000000-0005-0000-0000-0000E1480000}"/>
    <cellStyle name="40% - Accent4 2 4 2 4 3 2 2" xfId="37095" xr:uid="{00000000-0005-0000-0000-0000E2480000}"/>
    <cellStyle name="40% - Accent4 2 4 2 4 3 3" xfId="27397" xr:uid="{00000000-0005-0000-0000-0000E3480000}"/>
    <cellStyle name="40% - Accent4 2 4 2 4 4" xfId="13240" xr:uid="{00000000-0005-0000-0000-0000E4480000}"/>
    <cellStyle name="40% - Accent4 2 4 2 4 4 2" xfId="32640" xr:uid="{00000000-0005-0000-0000-0000E5480000}"/>
    <cellStyle name="40% - Accent4 2 4 2 4 5" xfId="22942" xr:uid="{00000000-0005-0000-0000-0000E6480000}"/>
    <cellStyle name="40% - Accent4 2 4 2 5" xfId="3777" xr:uid="{00000000-0005-0000-0000-0000E7480000}"/>
    <cellStyle name="40% - Accent4 2 4 2 5 2" xfId="4907" xr:uid="{00000000-0005-0000-0000-0000E8480000}"/>
    <cellStyle name="40% - Accent4 2 4 2 5 2 2" xfId="9371" xr:uid="{00000000-0005-0000-0000-0000E9480000}"/>
    <cellStyle name="40% - Accent4 2 4 2 5 2 2 2" xfId="19367" xr:uid="{00000000-0005-0000-0000-0000EA480000}"/>
    <cellStyle name="40% - Accent4 2 4 2 5 2 2 2 2" xfId="38767" xr:uid="{00000000-0005-0000-0000-0000EB480000}"/>
    <cellStyle name="40% - Accent4 2 4 2 5 2 2 3" xfId="29069" xr:uid="{00000000-0005-0000-0000-0000EC480000}"/>
    <cellStyle name="40% - Accent4 2 4 2 5 2 3" xfId="14912" xr:uid="{00000000-0005-0000-0000-0000ED480000}"/>
    <cellStyle name="40% - Accent4 2 4 2 5 2 3 2" xfId="34312" xr:uid="{00000000-0005-0000-0000-0000EE480000}"/>
    <cellStyle name="40% - Accent4 2 4 2 5 2 4" xfId="24614" xr:uid="{00000000-0005-0000-0000-0000EF480000}"/>
    <cellStyle name="40% - Accent4 2 4 2 5 3" xfId="8256" xr:uid="{00000000-0005-0000-0000-0000F0480000}"/>
    <cellStyle name="40% - Accent4 2 4 2 5 3 2" xfId="18252" xr:uid="{00000000-0005-0000-0000-0000F1480000}"/>
    <cellStyle name="40% - Accent4 2 4 2 5 3 2 2" xfId="37652" xr:uid="{00000000-0005-0000-0000-0000F2480000}"/>
    <cellStyle name="40% - Accent4 2 4 2 5 3 3" xfId="27954" xr:uid="{00000000-0005-0000-0000-0000F3480000}"/>
    <cellStyle name="40% - Accent4 2 4 2 5 4" xfId="13797" xr:uid="{00000000-0005-0000-0000-0000F4480000}"/>
    <cellStyle name="40% - Accent4 2 4 2 5 4 2" xfId="33197" xr:uid="{00000000-0005-0000-0000-0000F5480000}"/>
    <cellStyle name="40% - Accent4 2 4 2 5 5" xfId="23499" xr:uid="{00000000-0005-0000-0000-0000F6480000}"/>
    <cellStyle name="40% - Accent4 2 4 2 6" xfId="4350" xr:uid="{00000000-0005-0000-0000-0000F7480000}"/>
    <cellStyle name="40% - Accent4 2 4 2 6 2" xfId="8814" xr:uid="{00000000-0005-0000-0000-0000F8480000}"/>
    <cellStyle name="40% - Accent4 2 4 2 6 2 2" xfId="18810" xr:uid="{00000000-0005-0000-0000-0000F9480000}"/>
    <cellStyle name="40% - Accent4 2 4 2 6 2 2 2" xfId="38210" xr:uid="{00000000-0005-0000-0000-0000FA480000}"/>
    <cellStyle name="40% - Accent4 2 4 2 6 2 3" xfId="28512" xr:uid="{00000000-0005-0000-0000-0000FB480000}"/>
    <cellStyle name="40% - Accent4 2 4 2 6 3" xfId="14355" xr:uid="{00000000-0005-0000-0000-0000FC480000}"/>
    <cellStyle name="40% - Accent4 2 4 2 6 3 2" xfId="33755" xr:uid="{00000000-0005-0000-0000-0000FD480000}"/>
    <cellStyle name="40% - Accent4 2 4 2 6 4" xfId="24057" xr:uid="{00000000-0005-0000-0000-0000FE480000}"/>
    <cellStyle name="40% - Accent4 2 4 2 7" xfId="6020" xr:uid="{00000000-0005-0000-0000-0000FF480000}"/>
    <cellStyle name="40% - Accent4 2 4 2 7 2" xfId="10484" xr:uid="{00000000-0005-0000-0000-000000490000}"/>
    <cellStyle name="40% - Accent4 2 4 2 7 2 2" xfId="20480" xr:uid="{00000000-0005-0000-0000-000001490000}"/>
    <cellStyle name="40% - Accent4 2 4 2 7 2 2 2" xfId="39880" xr:uid="{00000000-0005-0000-0000-000002490000}"/>
    <cellStyle name="40% - Accent4 2 4 2 7 2 3" xfId="30182" xr:uid="{00000000-0005-0000-0000-000003490000}"/>
    <cellStyle name="40% - Accent4 2 4 2 7 3" xfId="16025" xr:uid="{00000000-0005-0000-0000-000004490000}"/>
    <cellStyle name="40% - Accent4 2 4 2 7 3 2" xfId="35425" xr:uid="{00000000-0005-0000-0000-000005490000}"/>
    <cellStyle name="40% - Accent4 2 4 2 7 4" xfId="25727" xr:uid="{00000000-0005-0000-0000-000006490000}"/>
    <cellStyle name="40% - Accent4 2 4 2 8" xfId="6586" xr:uid="{00000000-0005-0000-0000-000007490000}"/>
    <cellStyle name="40% - Accent4 2 4 2 8 2" xfId="11041" xr:uid="{00000000-0005-0000-0000-000008490000}"/>
    <cellStyle name="40% - Accent4 2 4 2 8 2 2" xfId="21037" xr:uid="{00000000-0005-0000-0000-000009490000}"/>
    <cellStyle name="40% - Accent4 2 4 2 8 2 2 2" xfId="40437" xr:uid="{00000000-0005-0000-0000-00000A490000}"/>
    <cellStyle name="40% - Accent4 2 4 2 8 2 3" xfId="30739" xr:uid="{00000000-0005-0000-0000-00000B490000}"/>
    <cellStyle name="40% - Accent4 2 4 2 8 3" xfId="16582" xr:uid="{00000000-0005-0000-0000-00000C490000}"/>
    <cellStyle name="40% - Accent4 2 4 2 8 3 2" xfId="35982" xr:uid="{00000000-0005-0000-0000-00000D490000}"/>
    <cellStyle name="40% - Accent4 2 4 2 8 4" xfId="26284" xr:uid="{00000000-0005-0000-0000-00000E490000}"/>
    <cellStyle name="40% - Accent4 2 4 2 9" xfId="7143" xr:uid="{00000000-0005-0000-0000-00000F490000}"/>
    <cellStyle name="40% - Accent4 2 4 2 9 2" xfId="17139" xr:uid="{00000000-0005-0000-0000-000010490000}"/>
    <cellStyle name="40% - Accent4 2 4 2 9 2 2" xfId="36539" xr:uid="{00000000-0005-0000-0000-000011490000}"/>
    <cellStyle name="40% - Accent4 2 4 2 9 3" xfId="26841" xr:uid="{00000000-0005-0000-0000-000012490000}"/>
    <cellStyle name="40% - Accent4 2 4 3" xfId="2212" xr:uid="{00000000-0005-0000-0000-000013490000}"/>
    <cellStyle name="40% - Accent4 2 4 3 10" xfId="12686" xr:uid="{00000000-0005-0000-0000-000014490000}"/>
    <cellStyle name="40% - Accent4 2 4 3 10 2" xfId="32087" xr:uid="{00000000-0005-0000-0000-000015490000}"/>
    <cellStyle name="40% - Accent4 2 4 3 11" xfId="22389" xr:uid="{00000000-0005-0000-0000-000016490000}"/>
    <cellStyle name="40% - Accent4 2 4 3 2" xfId="2213" xr:uid="{00000000-0005-0000-0000-000017490000}"/>
    <cellStyle name="40% - Accent4 2 4 3 2 2" xfId="3198" xr:uid="{00000000-0005-0000-0000-000018490000}"/>
    <cellStyle name="40% - Accent4 2 4 3 2 2 2" xfId="5467" xr:uid="{00000000-0005-0000-0000-000019490000}"/>
    <cellStyle name="40% - Accent4 2 4 3 2 2 2 2" xfId="9931" xr:uid="{00000000-0005-0000-0000-00001A490000}"/>
    <cellStyle name="40% - Accent4 2 4 3 2 2 2 2 2" xfId="19927" xr:uid="{00000000-0005-0000-0000-00001B490000}"/>
    <cellStyle name="40% - Accent4 2 4 3 2 2 2 2 2 2" xfId="39327" xr:uid="{00000000-0005-0000-0000-00001C490000}"/>
    <cellStyle name="40% - Accent4 2 4 3 2 2 2 2 3" xfId="29629" xr:uid="{00000000-0005-0000-0000-00001D490000}"/>
    <cellStyle name="40% - Accent4 2 4 3 2 2 2 3" xfId="15472" xr:uid="{00000000-0005-0000-0000-00001E490000}"/>
    <cellStyle name="40% - Accent4 2 4 3 2 2 2 3 2" xfId="34872" xr:uid="{00000000-0005-0000-0000-00001F490000}"/>
    <cellStyle name="40% - Accent4 2 4 3 2 2 2 4" xfId="25174" xr:uid="{00000000-0005-0000-0000-000020490000}"/>
    <cellStyle name="40% - Accent4 2 4 3 2 2 3" xfId="7703" xr:uid="{00000000-0005-0000-0000-000021490000}"/>
    <cellStyle name="40% - Accent4 2 4 3 2 2 3 2" xfId="17699" xr:uid="{00000000-0005-0000-0000-000022490000}"/>
    <cellStyle name="40% - Accent4 2 4 3 2 2 3 2 2" xfId="37099" xr:uid="{00000000-0005-0000-0000-000023490000}"/>
    <cellStyle name="40% - Accent4 2 4 3 2 2 3 3" xfId="27401" xr:uid="{00000000-0005-0000-0000-000024490000}"/>
    <cellStyle name="40% - Accent4 2 4 3 2 2 4" xfId="13244" xr:uid="{00000000-0005-0000-0000-000025490000}"/>
    <cellStyle name="40% - Accent4 2 4 3 2 2 4 2" xfId="32644" xr:uid="{00000000-0005-0000-0000-000026490000}"/>
    <cellStyle name="40% - Accent4 2 4 3 2 2 5" xfId="22946" xr:uid="{00000000-0005-0000-0000-000027490000}"/>
    <cellStyle name="40% - Accent4 2 4 3 2 3" xfId="3781" xr:uid="{00000000-0005-0000-0000-000028490000}"/>
    <cellStyle name="40% - Accent4 2 4 3 2 3 2" xfId="4911" xr:uid="{00000000-0005-0000-0000-000029490000}"/>
    <cellStyle name="40% - Accent4 2 4 3 2 3 2 2" xfId="9375" xr:uid="{00000000-0005-0000-0000-00002A490000}"/>
    <cellStyle name="40% - Accent4 2 4 3 2 3 2 2 2" xfId="19371" xr:uid="{00000000-0005-0000-0000-00002B490000}"/>
    <cellStyle name="40% - Accent4 2 4 3 2 3 2 2 2 2" xfId="38771" xr:uid="{00000000-0005-0000-0000-00002C490000}"/>
    <cellStyle name="40% - Accent4 2 4 3 2 3 2 2 3" xfId="29073" xr:uid="{00000000-0005-0000-0000-00002D490000}"/>
    <cellStyle name="40% - Accent4 2 4 3 2 3 2 3" xfId="14916" xr:uid="{00000000-0005-0000-0000-00002E490000}"/>
    <cellStyle name="40% - Accent4 2 4 3 2 3 2 3 2" xfId="34316" xr:uid="{00000000-0005-0000-0000-00002F490000}"/>
    <cellStyle name="40% - Accent4 2 4 3 2 3 2 4" xfId="24618" xr:uid="{00000000-0005-0000-0000-000030490000}"/>
    <cellStyle name="40% - Accent4 2 4 3 2 3 3" xfId="8260" xr:uid="{00000000-0005-0000-0000-000031490000}"/>
    <cellStyle name="40% - Accent4 2 4 3 2 3 3 2" xfId="18256" xr:uid="{00000000-0005-0000-0000-000032490000}"/>
    <cellStyle name="40% - Accent4 2 4 3 2 3 3 2 2" xfId="37656" xr:uid="{00000000-0005-0000-0000-000033490000}"/>
    <cellStyle name="40% - Accent4 2 4 3 2 3 3 3" xfId="27958" xr:uid="{00000000-0005-0000-0000-000034490000}"/>
    <cellStyle name="40% - Accent4 2 4 3 2 3 4" xfId="13801" xr:uid="{00000000-0005-0000-0000-000035490000}"/>
    <cellStyle name="40% - Accent4 2 4 3 2 3 4 2" xfId="33201" xr:uid="{00000000-0005-0000-0000-000036490000}"/>
    <cellStyle name="40% - Accent4 2 4 3 2 3 5" xfId="23503" xr:uid="{00000000-0005-0000-0000-000037490000}"/>
    <cellStyle name="40% - Accent4 2 4 3 2 4" xfId="4354" xr:uid="{00000000-0005-0000-0000-000038490000}"/>
    <cellStyle name="40% - Accent4 2 4 3 2 4 2" xfId="8818" xr:uid="{00000000-0005-0000-0000-000039490000}"/>
    <cellStyle name="40% - Accent4 2 4 3 2 4 2 2" xfId="18814" xr:uid="{00000000-0005-0000-0000-00003A490000}"/>
    <cellStyle name="40% - Accent4 2 4 3 2 4 2 2 2" xfId="38214" xr:uid="{00000000-0005-0000-0000-00003B490000}"/>
    <cellStyle name="40% - Accent4 2 4 3 2 4 2 3" xfId="28516" xr:uid="{00000000-0005-0000-0000-00003C490000}"/>
    <cellStyle name="40% - Accent4 2 4 3 2 4 3" xfId="14359" xr:uid="{00000000-0005-0000-0000-00003D490000}"/>
    <cellStyle name="40% - Accent4 2 4 3 2 4 3 2" xfId="33759" xr:uid="{00000000-0005-0000-0000-00003E490000}"/>
    <cellStyle name="40% - Accent4 2 4 3 2 4 4" xfId="24061" xr:uid="{00000000-0005-0000-0000-00003F490000}"/>
    <cellStyle name="40% - Accent4 2 4 3 2 5" xfId="6024" xr:uid="{00000000-0005-0000-0000-000040490000}"/>
    <cellStyle name="40% - Accent4 2 4 3 2 5 2" xfId="10488" xr:uid="{00000000-0005-0000-0000-000041490000}"/>
    <cellStyle name="40% - Accent4 2 4 3 2 5 2 2" xfId="20484" xr:uid="{00000000-0005-0000-0000-000042490000}"/>
    <cellStyle name="40% - Accent4 2 4 3 2 5 2 2 2" xfId="39884" xr:uid="{00000000-0005-0000-0000-000043490000}"/>
    <cellStyle name="40% - Accent4 2 4 3 2 5 2 3" xfId="30186" xr:uid="{00000000-0005-0000-0000-000044490000}"/>
    <cellStyle name="40% - Accent4 2 4 3 2 5 3" xfId="16029" xr:uid="{00000000-0005-0000-0000-000045490000}"/>
    <cellStyle name="40% - Accent4 2 4 3 2 5 3 2" xfId="35429" xr:uid="{00000000-0005-0000-0000-000046490000}"/>
    <cellStyle name="40% - Accent4 2 4 3 2 5 4" xfId="25731" xr:uid="{00000000-0005-0000-0000-000047490000}"/>
    <cellStyle name="40% - Accent4 2 4 3 2 6" xfId="6590" xr:uid="{00000000-0005-0000-0000-000048490000}"/>
    <cellStyle name="40% - Accent4 2 4 3 2 6 2" xfId="11045" xr:uid="{00000000-0005-0000-0000-000049490000}"/>
    <cellStyle name="40% - Accent4 2 4 3 2 6 2 2" xfId="21041" xr:uid="{00000000-0005-0000-0000-00004A490000}"/>
    <cellStyle name="40% - Accent4 2 4 3 2 6 2 2 2" xfId="40441" xr:uid="{00000000-0005-0000-0000-00004B490000}"/>
    <cellStyle name="40% - Accent4 2 4 3 2 6 2 3" xfId="30743" xr:uid="{00000000-0005-0000-0000-00004C490000}"/>
    <cellStyle name="40% - Accent4 2 4 3 2 6 3" xfId="16586" xr:uid="{00000000-0005-0000-0000-00004D490000}"/>
    <cellStyle name="40% - Accent4 2 4 3 2 6 3 2" xfId="35986" xr:uid="{00000000-0005-0000-0000-00004E490000}"/>
    <cellStyle name="40% - Accent4 2 4 3 2 6 4" xfId="26288" xr:uid="{00000000-0005-0000-0000-00004F490000}"/>
    <cellStyle name="40% - Accent4 2 4 3 2 7" xfId="7147" xr:uid="{00000000-0005-0000-0000-000050490000}"/>
    <cellStyle name="40% - Accent4 2 4 3 2 7 2" xfId="17143" xr:uid="{00000000-0005-0000-0000-000051490000}"/>
    <cellStyle name="40% - Accent4 2 4 3 2 7 2 2" xfId="36543" xr:uid="{00000000-0005-0000-0000-000052490000}"/>
    <cellStyle name="40% - Accent4 2 4 3 2 7 3" xfId="26845" xr:uid="{00000000-0005-0000-0000-000053490000}"/>
    <cellStyle name="40% - Accent4 2 4 3 2 8" xfId="12687" xr:uid="{00000000-0005-0000-0000-000054490000}"/>
    <cellStyle name="40% - Accent4 2 4 3 2 8 2" xfId="32088" xr:uid="{00000000-0005-0000-0000-000055490000}"/>
    <cellStyle name="40% - Accent4 2 4 3 2 9" xfId="22390" xr:uid="{00000000-0005-0000-0000-000056490000}"/>
    <cellStyle name="40% - Accent4 2 4 3 3" xfId="2214" xr:uid="{00000000-0005-0000-0000-000057490000}"/>
    <cellStyle name="40% - Accent4 2 4 3 3 2" xfId="3199" xr:uid="{00000000-0005-0000-0000-000058490000}"/>
    <cellStyle name="40% - Accent4 2 4 3 3 2 2" xfId="5468" xr:uid="{00000000-0005-0000-0000-000059490000}"/>
    <cellStyle name="40% - Accent4 2 4 3 3 2 2 2" xfId="9932" xr:uid="{00000000-0005-0000-0000-00005A490000}"/>
    <cellStyle name="40% - Accent4 2 4 3 3 2 2 2 2" xfId="19928" xr:uid="{00000000-0005-0000-0000-00005B490000}"/>
    <cellStyle name="40% - Accent4 2 4 3 3 2 2 2 2 2" xfId="39328" xr:uid="{00000000-0005-0000-0000-00005C490000}"/>
    <cellStyle name="40% - Accent4 2 4 3 3 2 2 2 3" xfId="29630" xr:uid="{00000000-0005-0000-0000-00005D490000}"/>
    <cellStyle name="40% - Accent4 2 4 3 3 2 2 3" xfId="15473" xr:uid="{00000000-0005-0000-0000-00005E490000}"/>
    <cellStyle name="40% - Accent4 2 4 3 3 2 2 3 2" xfId="34873" xr:uid="{00000000-0005-0000-0000-00005F490000}"/>
    <cellStyle name="40% - Accent4 2 4 3 3 2 2 4" xfId="25175" xr:uid="{00000000-0005-0000-0000-000060490000}"/>
    <cellStyle name="40% - Accent4 2 4 3 3 2 3" xfId="7704" xr:uid="{00000000-0005-0000-0000-000061490000}"/>
    <cellStyle name="40% - Accent4 2 4 3 3 2 3 2" xfId="17700" xr:uid="{00000000-0005-0000-0000-000062490000}"/>
    <cellStyle name="40% - Accent4 2 4 3 3 2 3 2 2" xfId="37100" xr:uid="{00000000-0005-0000-0000-000063490000}"/>
    <cellStyle name="40% - Accent4 2 4 3 3 2 3 3" xfId="27402" xr:uid="{00000000-0005-0000-0000-000064490000}"/>
    <cellStyle name="40% - Accent4 2 4 3 3 2 4" xfId="13245" xr:uid="{00000000-0005-0000-0000-000065490000}"/>
    <cellStyle name="40% - Accent4 2 4 3 3 2 4 2" xfId="32645" xr:uid="{00000000-0005-0000-0000-000066490000}"/>
    <cellStyle name="40% - Accent4 2 4 3 3 2 5" xfId="22947" xr:uid="{00000000-0005-0000-0000-000067490000}"/>
    <cellStyle name="40% - Accent4 2 4 3 3 3" xfId="3782" xr:uid="{00000000-0005-0000-0000-000068490000}"/>
    <cellStyle name="40% - Accent4 2 4 3 3 3 2" xfId="4912" xr:uid="{00000000-0005-0000-0000-000069490000}"/>
    <cellStyle name="40% - Accent4 2 4 3 3 3 2 2" xfId="9376" xr:uid="{00000000-0005-0000-0000-00006A490000}"/>
    <cellStyle name="40% - Accent4 2 4 3 3 3 2 2 2" xfId="19372" xr:uid="{00000000-0005-0000-0000-00006B490000}"/>
    <cellStyle name="40% - Accent4 2 4 3 3 3 2 2 2 2" xfId="38772" xr:uid="{00000000-0005-0000-0000-00006C490000}"/>
    <cellStyle name="40% - Accent4 2 4 3 3 3 2 2 3" xfId="29074" xr:uid="{00000000-0005-0000-0000-00006D490000}"/>
    <cellStyle name="40% - Accent4 2 4 3 3 3 2 3" xfId="14917" xr:uid="{00000000-0005-0000-0000-00006E490000}"/>
    <cellStyle name="40% - Accent4 2 4 3 3 3 2 3 2" xfId="34317" xr:uid="{00000000-0005-0000-0000-00006F490000}"/>
    <cellStyle name="40% - Accent4 2 4 3 3 3 2 4" xfId="24619" xr:uid="{00000000-0005-0000-0000-000070490000}"/>
    <cellStyle name="40% - Accent4 2 4 3 3 3 3" xfId="8261" xr:uid="{00000000-0005-0000-0000-000071490000}"/>
    <cellStyle name="40% - Accent4 2 4 3 3 3 3 2" xfId="18257" xr:uid="{00000000-0005-0000-0000-000072490000}"/>
    <cellStyle name="40% - Accent4 2 4 3 3 3 3 2 2" xfId="37657" xr:uid="{00000000-0005-0000-0000-000073490000}"/>
    <cellStyle name="40% - Accent4 2 4 3 3 3 3 3" xfId="27959" xr:uid="{00000000-0005-0000-0000-000074490000}"/>
    <cellStyle name="40% - Accent4 2 4 3 3 3 4" xfId="13802" xr:uid="{00000000-0005-0000-0000-000075490000}"/>
    <cellStyle name="40% - Accent4 2 4 3 3 3 4 2" xfId="33202" xr:uid="{00000000-0005-0000-0000-000076490000}"/>
    <cellStyle name="40% - Accent4 2 4 3 3 3 5" xfId="23504" xr:uid="{00000000-0005-0000-0000-000077490000}"/>
    <cellStyle name="40% - Accent4 2 4 3 3 4" xfId="4355" xr:uid="{00000000-0005-0000-0000-000078490000}"/>
    <cellStyle name="40% - Accent4 2 4 3 3 4 2" xfId="8819" xr:uid="{00000000-0005-0000-0000-000079490000}"/>
    <cellStyle name="40% - Accent4 2 4 3 3 4 2 2" xfId="18815" xr:uid="{00000000-0005-0000-0000-00007A490000}"/>
    <cellStyle name="40% - Accent4 2 4 3 3 4 2 2 2" xfId="38215" xr:uid="{00000000-0005-0000-0000-00007B490000}"/>
    <cellStyle name="40% - Accent4 2 4 3 3 4 2 3" xfId="28517" xr:uid="{00000000-0005-0000-0000-00007C490000}"/>
    <cellStyle name="40% - Accent4 2 4 3 3 4 3" xfId="14360" xr:uid="{00000000-0005-0000-0000-00007D490000}"/>
    <cellStyle name="40% - Accent4 2 4 3 3 4 3 2" xfId="33760" xr:uid="{00000000-0005-0000-0000-00007E490000}"/>
    <cellStyle name="40% - Accent4 2 4 3 3 4 4" xfId="24062" xr:uid="{00000000-0005-0000-0000-00007F490000}"/>
    <cellStyle name="40% - Accent4 2 4 3 3 5" xfId="6025" xr:uid="{00000000-0005-0000-0000-000080490000}"/>
    <cellStyle name="40% - Accent4 2 4 3 3 5 2" xfId="10489" xr:uid="{00000000-0005-0000-0000-000081490000}"/>
    <cellStyle name="40% - Accent4 2 4 3 3 5 2 2" xfId="20485" xr:uid="{00000000-0005-0000-0000-000082490000}"/>
    <cellStyle name="40% - Accent4 2 4 3 3 5 2 2 2" xfId="39885" xr:uid="{00000000-0005-0000-0000-000083490000}"/>
    <cellStyle name="40% - Accent4 2 4 3 3 5 2 3" xfId="30187" xr:uid="{00000000-0005-0000-0000-000084490000}"/>
    <cellStyle name="40% - Accent4 2 4 3 3 5 3" xfId="16030" xr:uid="{00000000-0005-0000-0000-000085490000}"/>
    <cellStyle name="40% - Accent4 2 4 3 3 5 3 2" xfId="35430" xr:uid="{00000000-0005-0000-0000-000086490000}"/>
    <cellStyle name="40% - Accent4 2 4 3 3 5 4" xfId="25732" xr:uid="{00000000-0005-0000-0000-000087490000}"/>
    <cellStyle name="40% - Accent4 2 4 3 3 6" xfId="6591" xr:uid="{00000000-0005-0000-0000-000088490000}"/>
    <cellStyle name="40% - Accent4 2 4 3 3 6 2" xfId="11046" xr:uid="{00000000-0005-0000-0000-000089490000}"/>
    <cellStyle name="40% - Accent4 2 4 3 3 6 2 2" xfId="21042" xr:uid="{00000000-0005-0000-0000-00008A490000}"/>
    <cellStyle name="40% - Accent4 2 4 3 3 6 2 2 2" xfId="40442" xr:uid="{00000000-0005-0000-0000-00008B490000}"/>
    <cellStyle name="40% - Accent4 2 4 3 3 6 2 3" xfId="30744" xr:uid="{00000000-0005-0000-0000-00008C490000}"/>
    <cellStyle name="40% - Accent4 2 4 3 3 6 3" xfId="16587" xr:uid="{00000000-0005-0000-0000-00008D490000}"/>
    <cellStyle name="40% - Accent4 2 4 3 3 6 3 2" xfId="35987" xr:uid="{00000000-0005-0000-0000-00008E490000}"/>
    <cellStyle name="40% - Accent4 2 4 3 3 6 4" xfId="26289" xr:uid="{00000000-0005-0000-0000-00008F490000}"/>
    <cellStyle name="40% - Accent4 2 4 3 3 7" xfId="7148" xr:uid="{00000000-0005-0000-0000-000090490000}"/>
    <cellStyle name="40% - Accent4 2 4 3 3 7 2" xfId="17144" xr:uid="{00000000-0005-0000-0000-000091490000}"/>
    <cellStyle name="40% - Accent4 2 4 3 3 7 2 2" xfId="36544" xr:uid="{00000000-0005-0000-0000-000092490000}"/>
    <cellStyle name="40% - Accent4 2 4 3 3 7 3" xfId="26846" xr:uid="{00000000-0005-0000-0000-000093490000}"/>
    <cellStyle name="40% - Accent4 2 4 3 3 8" xfId="12688" xr:uid="{00000000-0005-0000-0000-000094490000}"/>
    <cellStyle name="40% - Accent4 2 4 3 3 8 2" xfId="32089" xr:uid="{00000000-0005-0000-0000-000095490000}"/>
    <cellStyle name="40% - Accent4 2 4 3 3 9" xfId="22391" xr:uid="{00000000-0005-0000-0000-000096490000}"/>
    <cellStyle name="40% - Accent4 2 4 3 4" xfId="3197" xr:uid="{00000000-0005-0000-0000-000097490000}"/>
    <cellStyle name="40% - Accent4 2 4 3 4 2" xfId="5466" xr:uid="{00000000-0005-0000-0000-000098490000}"/>
    <cellStyle name="40% - Accent4 2 4 3 4 2 2" xfId="9930" xr:uid="{00000000-0005-0000-0000-000099490000}"/>
    <cellStyle name="40% - Accent4 2 4 3 4 2 2 2" xfId="19926" xr:uid="{00000000-0005-0000-0000-00009A490000}"/>
    <cellStyle name="40% - Accent4 2 4 3 4 2 2 2 2" xfId="39326" xr:uid="{00000000-0005-0000-0000-00009B490000}"/>
    <cellStyle name="40% - Accent4 2 4 3 4 2 2 3" xfId="29628" xr:uid="{00000000-0005-0000-0000-00009C490000}"/>
    <cellStyle name="40% - Accent4 2 4 3 4 2 3" xfId="15471" xr:uid="{00000000-0005-0000-0000-00009D490000}"/>
    <cellStyle name="40% - Accent4 2 4 3 4 2 3 2" xfId="34871" xr:uid="{00000000-0005-0000-0000-00009E490000}"/>
    <cellStyle name="40% - Accent4 2 4 3 4 2 4" xfId="25173" xr:uid="{00000000-0005-0000-0000-00009F490000}"/>
    <cellStyle name="40% - Accent4 2 4 3 4 3" xfId="7702" xr:uid="{00000000-0005-0000-0000-0000A0490000}"/>
    <cellStyle name="40% - Accent4 2 4 3 4 3 2" xfId="17698" xr:uid="{00000000-0005-0000-0000-0000A1490000}"/>
    <cellStyle name="40% - Accent4 2 4 3 4 3 2 2" xfId="37098" xr:uid="{00000000-0005-0000-0000-0000A2490000}"/>
    <cellStyle name="40% - Accent4 2 4 3 4 3 3" xfId="27400" xr:uid="{00000000-0005-0000-0000-0000A3490000}"/>
    <cellStyle name="40% - Accent4 2 4 3 4 4" xfId="13243" xr:uid="{00000000-0005-0000-0000-0000A4490000}"/>
    <cellStyle name="40% - Accent4 2 4 3 4 4 2" xfId="32643" xr:uid="{00000000-0005-0000-0000-0000A5490000}"/>
    <cellStyle name="40% - Accent4 2 4 3 4 5" xfId="22945" xr:uid="{00000000-0005-0000-0000-0000A6490000}"/>
    <cellStyle name="40% - Accent4 2 4 3 5" xfId="3780" xr:uid="{00000000-0005-0000-0000-0000A7490000}"/>
    <cellStyle name="40% - Accent4 2 4 3 5 2" xfId="4910" xr:uid="{00000000-0005-0000-0000-0000A8490000}"/>
    <cellStyle name="40% - Accent4 2 4 3 5 2 2" xfId="9374" xr:uid="{00000000-0005-0000-0000-0000A9490000}"/>
    <cellStyle name="40% - Accent4 2 4 3 5 2 2 2" xfId="19370" xr:uid="{00000000-0005-0000-0000-0000AA490000}"/>
    <cellStyle name="40% - Accent4 2 4 3 5 2 2 2 2" xfId="38770" xr:uid="{00000000-0005-0000-0000-0000AB490000}"/>
    <cellStyle name="40% - Accent4 2 4 3 5 2 2 3" xfId="29072" xr:uid="{00000000-0005-0000-0000-0000AC490000}"/>
    <cellStyle name="40% - Accent4 2 4 3 5 2 3" xfId="14915" xr:uid="{00000000-0005-0000-0000-0000AD490000}"/>
    <cellStyle name="40% - Accent4 2 4 3 5 2 3 2" xfId="34315" xr:uid="{00000000-0005-0000-0000-0000AE490000}"/>
    <cellStyle name="40% - Accent4 2 4 3 5 2 4" xfId="24617" xr:uid="{00000000-0005-0000-0000-0000AF490000}"/>
    <cellStyle name="40% - Accent4 2 4 3 5 3" xfId="8259" xr:uid="{00000000-0005-0000-0000-0000B0490000}"/>
    <cellStyle name="40% - Accent4 2 4 3 5 3 2" xfId="18255" xr:uid="{00000000-0005-0000-0000-0000B1490000}"/>
    <cellStyle name="40% - Accent4 2 4 3 5 3 2 2" xfId="37655" xr:uid="{00000000-0005-0000-0000-0000B2490000}"/>
    <cellStyle name="40% - Accent4 2 4 3 5 3 3" xfId="27957" xr:uid="{00000000-0005-0000-0000-0000B3490000}"/>
    <cellStyle name="40% - Accent4 2 4 3 5 4" xfId="13800" xr:uid="{00000000-0005-0000-0000-0000B4490000}"/>
    <cellStyle name="40% - Accent4 2 4 3 5 4 2" xfId="33200" xr:uid="{00000000-0005-0000-0000-0000B5490000}"/>
    <cellStyle name="40% - Accent4 2 4 3 5 5" xfId="23502" xr:uid="{00000000-0005-0000-0000-0000B6490000}"/>
    <cellStyle name="40% - Accent4 2 4 3 6" xfId="4353" xr:uid="{00000000-0005-0000-0000-0000B7490000}"/>
    <cellStyle name="40% - Accent4 2 4 3 6 2" xfId="8817" xr:uid="{00000000-0005-0000-0000-0000B8490000}"/>
    <cellStyle name="40% - Accent4 2 4 3 6 2 2" xfId="18813" xr:uid="{00000000-0005-0000-0000-0000B9490000}"/>
    <cellStyle name="40% - Accent4 2 4 3 6 2 2 2" xfId="38213" xr:uid="{00000000-0005-0000-0000-0000BA490000}"/>
    <cellStyle name="40% - Accent4 2 4 3 6 2 3" xfId="28515" xr:uid="{00000000-0005-0000-0000-0000BB490000}"/>
    <cellStyle name="40% - Accent4 2 4 3 6 3" xfId="14358" xr:uid="{00000000-0005-0000-0000-0000BC490000}"/>
    <cellStyle name="40% - Accent4 2 4 3 6 3 2" xfId="33758" xr:uid="{00000000-0005-0000-0000-0000BD490000}"/>
    <cellStyle name="40% - Accent4 2 4 3 6 4" xfId="24060" xr:uid="{00000000-0005-0000-0000-0000BE490000}"/>
    <cellStyle name="40% - Accent4 2 4 3 7" xfId="6023" xr:uid="{00000000-0005-0000-0000-0000BF490000}"/>
    <cellStyle name="40% - Accent4 2 4 3 7 2" xfId="10487" xr:uid="{00000000-0005-0000-0000-0000C0490000}"/>
    <cellStyle name="40% - Accent4 2 4 3 7 2 2" xfId="20483" xr:uid="{00000000-0005-0000-0000-0000C1490000}"/>
    <cellStyle name="40% - Accent4 2 4 3 7 2 2 2" xfId="39883" xr:uid="{00000000-0005-0000-0000-0000C2490000}"/>
    <cellStyle name="40% - Accent4 2 4 3 7 2 3" xfId="30185" xr:uid="{00000000-0005-0000-0000-0000C3490000}"/>
    <cellStyle name="40% - Accent4 2 4 3 7 3" xfId="16028" xr:uid="{00000000-0005-0000-0000-0000C4490000}"/>
    <cellStyle name="40% - Accent4 2 4 3 7 3 2" xfId="35428" xr:uid="{00000000-0005-0000-0000-0000C5490000}"/>
    <cellStyle name="40% - Accent4 2 4 3 7 4" xfId="25730" xr:uid="{00000000-0005-0000-0000-0000C6490000}"/>
    <cellStyle name="40% - Accent4 2 4 3 8" xfId="6589" xr:uid="{00000000-0005-0000-0000-0000C7490000}"/>
    <cellStyle name="40% - Accent4 2 4 3 8 2" xfId="11044" xr:uid="{00000000-0005-0000-0000-0000C8490000}"/>
    <cellStyle name="40% - Accent4 2 4 3 8 2 2" xfId="21040" xr:uid="{00000000-0005-0000-0000-0000C9490000}"/>
    <cellStyle name="40% - Accent4 2 4 3 8 2 2 2" xfId="40440" xr:uid="{00000000-0005-0000-0000-0000CA490000}"/>
    <cellStyle name="40% - Accent4 2 4 3 8 2 3" xfId="30742" xr:uid="{00000000-0005-0000-0000-0000CB490000}"/>
    <cellStyle name="40% - Accent4 2 4 3 8 3" xfId="16585" xr:uid="{00000000-0005-0000-0000-0000CC490000}"/>
    <cellStyle name="40% - Accent4 2 4 3 8 3 2" xfId="35985" xr:uid="{00000000-0005-0000-0000-0000CD490000}"/>
    <cellStyle name="40% - Accent4 2 4 3 8 4" xfId="26287" xr:uid="{00000000-0005-0000-0000-0000CE490000}"/>
    <cellStyle name="40% - Accent4 2 4 3 9" xfId="7146" xr:uid="{00000000-0005-0000-0000-0000CF490000}"/>
    <cellStyle name="40% - Accent4 2 4 3 9 2" xfId="17142" xr:uid="{00000000-0005-0000-0000-0000D0490000}"/>
    <cellStyle name="40% - Accent4 2 4 3 9 2 2" xfId="36542" xr:uid="{00000000-0005-0000-0000-0000D1490000}"/>
    <cellStyle name="40% - Accent4 2 4 3 9 3" xfId="26844" xr:uid="{00000000-0005-0000-0000-0000D2490000}"/>
    <cellStyle name="40% - Accent4 2 4 4" xfId="2215" xr:uid="{00000000-0005-0000-0000-0000D3490000}"/>
    <cellStyle name="40% - Accent4 2 4 4 2" xfId="3200" xr:uid="{00000000-0005-0000-0000-0000D4490000}"/>
    <cellStyle name="40% - Accent4 2 4 4 2 2" xfId="5469" xr:uid="{00000000-0005-0000-0000-0000D5490000}"/>
    <cellStyle name="40% - Accent4 2 4 4 2 2 2" xfId="9933" xr:uid="{00000000-0005-0000-0000-0000D6490000}"/>
    <cellStyle name="40% - Accent4 2 4 4 2 2 2 2" xfId="19929" xr:uid="{00000000-0005-0000-0000-0000D7490000}"/>
    <cellStyle name="40% - Accent4 2 4 4 2 2 2 2 2" xfId="39329" xr:uid="{00000000-0005-0000-0000-0000D8490000}"/>
    <cellStyle name="40% - Accent4 2 4 4 2 2 2 3" xfId="29631" xr:uid="{00000000-0005-0000-0000-0000D9490000}"/>
    <cellStyle name="40% - Accent4 2 4 4 2 2 3" xfId="15474" xr:uid="{00000000-0005-0000-0000-0000DA490000}"/>
    <cellStyle name="40% - Accent4 2 4 4 2 2 3 2" xfId="34874" xr:uid="{00000000-0005-0000-0000-0000DB490000}"/>
    <cellStyle name="40% - Accent4 2 4 4 2 2 4" xfId="25176" xr:uid="{00000000-0005-0000-0000-0000DC490000}"/>
    <cellStyle name="40% - Accent4 2 4 4 2 3" xfId="7705" xr:uid="{00000000-0005-0000-0000-0000DD490000}"/>
    <cellStyle name="40% - Accent4 2 4 4 2 3 2" xfId="17701" xr:uid="{00000000-0005-0000-0000-0000DE490000}"/>
    <cellStyle name="40% - Accent4 2 4 4 2 3 2 2" xfId="37101" xr:uid="{00000000-0005-0000-0000-0000DF490000}"/>
    <cellStyle name="40% - Accent4 2 4 4 2 3 3" xfId="27403" xr:uid="{00000000-0005-0000-0000-0000E0490000}"/>
    <cellStyle name="40% - Accent4 2 4 4 2 4" xfId="13246" xr:uid="{00000000-0005-0000-0000-0000E1490000}"/>
    <cellStyle name="40% - Accent4 2 4 4 2 4 2" xfId="32646" xr:uid="{00000000-0005-0000-0000-0000E2490000}"/>
    <cellStyle name="40% - Accent4 2 4 4 2 5" xfId="22948" xr:uid="{00000000-0005-0000-0000-0000E3490000}"/>
    <cellStyle name="40% - Accent4 2 4 4 3" xfId="3783" xr:uid="{00000000-0005-0000-0000-0000E4490000}"/>
    <cellStyle name="40% - Accent4 2 4 4 3 2" xfId="4913" xr:uid="{00000000-0005-0000-0000-0000E5490000}"/>
    <cellStyle name="40% - Accent4 2 4 4 3 2 2" xfId="9377" xr:uid="{00000000-0005-0000-0000-0000E6490000}"/>
    <cellStyle name="40% - Accent4 2 4 4 3 2 2 2" xfId="19373" xr:uid="{00000000-0005-0000-0000-0000E7490000}"/>
    <cellStyle name="40% - Accent4 2 4 4 3 2 2 2 2" xfId="38773" xr:uid="{00000000-0005-0000-0000-0000E8490000}"/>
    <cellStyle name="40% - Accent4 2 4 4 3 2 2 3" xfId="29075" xr:uid="{00000000-0005-0000-0000-0000E9490000}"/>
    <cellStyle name="40% - Accent4 2 4 4 3 2 3" xfId="14918" xr:uid="{00000000-0005-0000-0000-0000EA490000}"/>
    <cellStyle name="40% - Accent4 2 4 4 3 2 3 2" xfId="34318" xr:uid="{00000000-0005-0000-0000-0000EB490000}"/>
    <cellStyle name="40% - Accent4 2 4 4 3 2 4" xfId="24620" xr:uid="{00000000-0005-0000-0000-0000EC490000}"/>
    <cellStyle name="40% - Accent4 2 4 4 3 3" xfId="8262" xr:uid="{00000000-0005-0000-0000-0000ED490000}"/>
    <cellStyle name="40% - Accent4 2 4 4 3 3 2" xfId="18258" xr:uid="{00000000-0005-0000-0000-0000EE490000}"/>
    <cellStyle name="40% - Accent4 2 4 4 3 3 2 2" xfId="37658" xr:uid="{00000000-0005-0000-0000-0000EF490000}"/>
    <cellStyle name="40% - Accent4 2 4 4 3 3 3" xfId="27960" xr:uid="{00000000-0005-0000-0000-0000F0490000}"/>
    <cellStyle name="40% - Accent4 2 4 4 3 4" xfId="13803" xr:uid="{00000000-0005-0000-0000-0000F1490000}"/>
    <cellStyle name="40% - Accent4 2 4 4 3 4 2" xfId="33203" xr:uid="{00000000-0005-0000-0000-0000F2490000}"/>
    <cellStyle name="40% - Accent4 2 4 4 3 5" xfId="23505" xr:uid="{00000000-0005-0000-0000-0000F3490000}"/>
    <cellStyle name="40% - Accent4 2 4 4 4" xfId="4356" xr:uid="{00000000-0005-0000-0000-0000F4490000}"/>
    <cellStyle name="40% - Accent4 2 4 4 4 2" xfId="8820" xr:uid="{00000000-0005-0000-0000-0000F5490000}"/>
    <cellStyle name="40% - Accent4 2 4 4 4 2 2" xfId="18816" xr:uid="{00000000-0005-0000-0000-0000F6490000}"/>
    <cellStyle name="40% - Accent4 2 4 4 4 2 2 2" xfId="38216" xr:uid="{00000000-0005-0000-0000-0000F7490000}"/>
    <cellStyle name="40% - Accent4 2 4 4 4 2 3" xfId="28518" xr:uid="{00000000-0005-0000-0000-0000F8490000}"/>
    <cellStyle name="40% - Accent4 2 4 4 4 3" xfId="14361" xr:uid="{00000000-0005-0000-0000-0000F9490000}"/>
    <cellStyle name="40% - Accent4 2 4 4 4 3 2" xfId="33761" xr:uid="{00000000-0005-0000-0000-0000FA490000}"/>
    <cellStyle name="40% - Accent4 2 4 4 4 4" xfId="24063" xr:uid="{00000000-0005-0000-0000-0000FB490000}"/>
    <cellStyle name="40% - Accent4 2 4 4 5" xfId="6026" xr:uid="{00000000-0005-0000-0000-0000FC490000}"/>
    <cellStyle name="40% - Accent4 2 4 4 5 2" xfId="10490" xr:uid="{00000000-0005-0000-0000-0000FD490000}"/>
    <cellStyle name="40% - Accent4 2 4 4 5 2 2" xfId="20486" xr:uid="{00000000-0005-0000-0000-0000FE490000}"/>
    <cellStyle name="40% - Accent4 2 4 4 5 2 2 2" xfId="39886" xr:uid="{00000000-0005-0000-0000-0000FF490000}"/>
    <cellStyle name="40% - Accent4 2 4 4 5 2 3" xfId="30188" xr:uid="{00000000-0005-0000-0000-0000004A0000}"/>
    <cellStyle name="40% - Accent4 2 4 4 5 3" xfId="16031" xr:uid="{00000000-0005-0000-0000-0000014A0000}"/>
    <cellStyle name="40% - Accent4 2 4 4 5 3 2" xfId="35431" xr:uid="{00000000-0005-0000-0000-0000024A0000}"/>
    <cellStyle name="40% - Accent4 2 4 4 5 4" xfId="25733" xr:uid="{00000000-0005-0000-0000-0000034A0000}"/>
    <cellStyle name="40% - Accent4 2 4 4 6" xfId="6592" xr:uid="{00000000-0005-0000-0000-0000044A0000}"/>
    <cellStyle name="40% - Accent4 2 4 4 6 2" xfId="11047" xr:uid="{00000000-0005-0000-0000-0000054A0000}"/>
    <cellStyle name="40% - Accent4 2 4 4 6 2 2" xfId="21043" xr:uid="{00000000-0005-0000-0000-0000064A0000}"/>
    <cellStyle name="40% - Accent4 2 4 4 6 2 2 2" xfId="40443" xr:uid="{00000000-0005-0000-0000-0000074A0000}"/>
    <cellStyle name="40% - Accent4 2 4 4 6 2 3" xfId="30745" xr:uid="{00000000-0005-0000-0000-0000084A0000}"/>
    <cellStyle name="40% - Accent4 2 4 4 6 3" xfId="16588" xr:uid="{00000000-0005-0000-0000-0000094A0000}"/>
    <cellStyle name="40% - Accent4 2 4 4 6 3 2" xfId="35988" xr:uid="{00000000-0005-0000-0000-00000A4A0000}"/>
    <cellStyle name="40% - Accent4 2 4 4 6 4" xfId="26290" xr:uid="{00000000-0005-0000-0000-00000B4A0000}"/>
    <cellStyle name="40% - Accent4 2 4 4 7" xfId="7149" xr:uid="{00000000-0005-0000-0000-00000C4A0000}"/>
    <cellStyle name="40% - Accent4 2 4 4 7 2" xfId="17145" xr:uid="{00000000-0005-0000-0000-00000D4A0000}"/>
    <cellStyle name="40% - Accent4 2 4 4 7 2 2" xfId="36545" xr:uid="{00000000-0005-0000-0000-00000E4A0000}"/>
    <cellStyle name="40% - Accent4 2 4 4 7 3" xfId="26847" xr:uid="{00000000-0005-0000-0000-00000F4A0000}"/>
    <cellStyle name="40% - Accent4 2 4 4 8" xfId="12689" xr:uid="{00000000-0005-0000-0000-0000104A0000}"/>
    <cellStyle name="40% - Accent4 2 4 4 8 2" xfId="32090" xr:uid="{00000000-0005-0000-0000-0000114A0000}"/>
    <cellStyle name="40% - Accent4 2 4 4 9" xfId="22392" xr:uid="{00000000-0005-0000-0000-0000124A0000}"/>
    <cellStyle name="40% - Accent4 2 4 5" xfId="2216" xr:uid="{00000000-0005-0000-0000-0000134A0000}"/>
    <cellStyle name="40% - Accent4 2 4 5 2" xfId="3201" xr:uid="{00000000-0005-0000-0000-0000144A0000}"/>
    <cellStyle name="40% - Accent4 2 4 5 2 2" xfId="5470" xr:uid="{00000000-0005-0000-0000-0000154A0000}"/>
    <cellStyle name="40% - Accent4 2 4 5 2 2 2" xfId="9934" xr:uid="{00000000-0005-0000-0000-0000164A0000}"/>
    <cellStyle name="40% - Accent4 2 4 5 2 2 2 2" xfId="19930" xr:uid="{00000000-0005-0000-0000-0000174A0000}"/>
    <cellStyle name="40% - Accent4 2 4 5 2 2 2 2 2" xfId="39330" xr:uid="{00000000-0005-0000-0000-0000184A0000}"/>
    <cellStyle name="40% - Accent4 2 4 5 2 2 2 3" xfId="29632" xr:uid="{00000000-0005-0000-0000-0000194A0000}"/>
    <cellStyle name="40% - Accent4 2 4 5 2 2 3" xfId="15475" xr:uid="{00000000-0005-0000-0000-00001A4A0000}"/>
    <cellStyle name="40% - Accent4 2 4 5 2 2 3 2" xfId="34875" xr:uid="{00000000-0005-0000-0000-00001B4A0000}"/>
    <cellStyle name="40% - Accent4 2 4 5 2 2 4" xfId="25177" xr:uid="{00000000-0005-0000-0000-00001C4A0000}"/>
    <cellStyle name="40% - Accent4 2 4 5 2 3" xfId="7706" xr:uid="{00000000-0005-0000-0000-00001D4A0000}"/>
    <cellStyle name="40% - Accent4 2 4 5 2 3 2" xfId="17702" xr:uid="{00000000-0005-0000-0000-00001E4A0000}"/>
    <cellStyle name="40% - Accent4 2 4 5 2 3 2 2" xfId="37102" xr:uid="{00000000-0005-0000-0000-00001F4A0000}"/>
    <cellStyle name="40% - Accent4 2 4 5 2 3 3" xfId="27404" xr:uid="{00000000-0005-0000-0000-0000204A0000}"/>
    <cellStyle name="40% - Accent4 2 4 5 2 4" xfId="13247" xr:uid="{00000000-0005-0000-0000-0000214A0000}"/>
    <cellStyle name="40% - Accent4 2 4 5 2 4 2" xfId="32647" xr:uid="{00000000-0005-0000-0000-0000224A0000}"/>
    <cellStyle name="40% - Accent4 2 4 5 2 5" xfId="22949" xr:uid="{00000000-0005-0000-0000-0000234A0000}"/>
    <cellStyle name="40% - Accent4 2 4 5 3" xfId="3784" xr:uid="{00000000-0005-0000-0000-0000244A0000}"/>
    <cellStyle name="40% - Accent4 2 4 5 3 2" xfId="4914" xr:uid="{00000000-0005-0000-0000-0000254A0000}"/>
    <cellStyle name="40% - Accent4 2 4 5 3 2 2" xfId="9378" xr:uid="{00000000-0005-0000-0000-0000264A0000}"/>
    <cellStyle name="40% - Accent4 2 4 5 3 2 2 2" xfId="19374" xr:uid="{00000000-0005-0000-0000-0000274A0000}"/>
    <cellStyle name="40% - Accent4 2 4 5 3 2 2 2 2" xfId="38774" xr:uid="{00000000-0005-0000-0000-0000284A0000}"/>
    <cellStyle name="40% - Accent4 2 4 5 3 2 2 3" xfId="29076" xr:uid="{00000000-0005-0000-0000-0000294A0000}"/>
    <cellStyle name="40% - Accent4 2 4 5 3 2 3" xfId="14919" xr:uid="{00000000-0005-0000-0000-00002A4A0000}"/>
    <cellStyle name="40% - Accent4 2 4 5 3 2 3 2" xfId="34319" xr:uid="{00000000-0005-0000-0000-00002B4A0000}"/>
    <cellStyle name="40% - Accent4 2 4 5 3 2 4" xfId="24621" xr:uid="{00000000-0005-0000-0000-00002C4A0000}"/>
    <cellStyle name="40% - Accent4 2 4 5 3 3" xfId="8263" xr:uid="{00000000-0005-0000-0000-00002D4A0000}"/>
    <cellStyle name="40% - Accent4 2 4 5 3 3 2" xfId="18259" xr:uid="{00000000-0005-0000-0000-00002E4A0000}"/>
    <cellStyle name="40% - Accent4 2 4 5 3 3 2 2" xfId="37659" xr:uid="{00000000-0005-0000-0000-00002F4A0000}"/>
    <cellStyle name="40% - Accent4 2 4 5 3 3 3" xfId="27961" xr:uid="{00000000-0005-0000-0000-0000304A0000}"/>
    <cellStyle name="40% - Accent4 2 4 5 3 4" xfId="13804" xr:uid="{00000000-0005-0000-0000-0000314A0000}"/>
    <cellStyle name="40% - Accent4 2 4 5 3 4 2" xfId="33204" xr:uid="{00000000-0005-0000-0000-0000324A0000}"/>
    <cellStyle name="40% - Accent4 2 4 5 3 5" xfId="23506" xr:uid="{00000000-0005-0000-0000-0000334A0000}"/>
    <cellStyle name="40% - Accent4 2 4 5 4" xfId="4357" xr:uid="{00000000-0005-0000-0000-0000344A0000}"/>
    <cellStyle name="40% - Accent4 2 4 5 4 2" xfId="8821" xr:uid="{00000000-0005-0000-0000-0000354A0000}"/>
    <cellStyle name="40% - Accent4 2 4 5 4 2 2" xfId="18817" xr:uid="{00000000-0005-0000-0000-0000364A0000}"/>
    <cellStyle name="40% - Accent4 2 4 5 4 2 2 2" xfId="38217" xr:uid="{00000000-0005-0000-0000-0000374A0000}"/>
    <cellStyle name="40% - Accent4 2 4 5 4 2 3" xfId="28519" xr:uid="{00000000-0005-0000-0000-0000384A0000}"/>
    <cellStyle name="40% - Accent4 2 4 5 4 3" xfId="14362" xr:uid="{00000000-0005-0000-0000-0000394A0000}"/>
    <cellStyle name="40% - Accent4 2 4 5 4 3 2" xfId="33762" xr:uid="{00000000-0005-0000-0000-00003A4A0000}"/>
    <cellStyle name="40% - Accent4 2 4 5 4 4" xfId="24064" xr:uid="{00000000-0005-0000-0000-00003B4A0000}"/>
    <cellStyle name="40% - Accent4 2 4 5 5" xfId="6027" xr:uid="{00000000-0005-0000-0000-00003C4A0000}"/>
    <cellStyle name="40% - Accent4 2 4 5 5 2" xfId="10491" xr:uid="{00000000-0005-0000-0000-00003D4A0000}"/>
    <cellStyle name="40% - Accent4 2 4 5 5 2 2" xfId="20487" xr:uid="{00000000-0005-0000-0000-00003E4A0000}"/>
    <cellStyle name="40% - Accent4 2 4 5 5 2 2 2" xfId="39887" xr:uid="{00000000-0005-0000-0000-00003F4A0000}"/>
    <cellStyle name="40% - Accent4 2 4 5 5 2 3" xfId="30189" xr:uid="{00000000-0005-0000-0000-0000404A0000}"/>
    <cellStyle name="40% - Accent4 2 4 5 5 3" xfId="16032" xr:uid="{00000000-0005-0000-0000-0000414A0000}"/>
    <cellStyle name="40% - Accent4 2 4 5 5 3 2" xfId="35432" xr:uid="{00000000-0005-0000-0000-0000424A0000}"/>
    <cellStyle name="40% - Accent4 2 4 5 5 4" xfId="25734" xr:uid="{00000000-0005-0000-0000-0000434A0000}"/>
    <cellStyle name="40% - Accent4 2 4 5 6" xfId="6593" xr:uid="{00000000-0005-0000-0000-0000444A0000}"/>
    <cellStyle name="40% - Accent4 2 4 5 6 2" xfId="11048" xr:uid="{00000000-0005-0000-0000-0000454A0000}"/>
    <cellStyle name="40% - Accent4 2 4 5 6 2 2" xfId="21044" xr:uid="{00000000-0005-0000-0000-0000464A0000}"/>
    <cellStyle name="40% - Accent4 2 4 5 6 2 2 2" xfId="40444" xr:uid="{00000000-0005-0000-0000-0000474A0000}"/>
    <cellStyle name="40% - Accent4 2 4 5 6 2 3" xfId="30746" xr:uid="{00000000-0005-0000-0000-0000484A0000}"/>
    <cellStyle name="40% - Accent4 2 4 5 6 3" xfId="16589" xr:uid="{00000000-0005-0000-0000-0000494A0000}"/>
    <cellStyle name="40% - Accent4 2 4 5 6 3 2" xfId="35989" xr:uid="{00000000-0005-0000-0000-00004A4A0000}"/>
    <cellStyle name="40% - Accent4 2 4 5 6 4" xfId="26291" xr:uid="{00000000-0005-0000-0000-00004B4A0000}"/>
    <cellStyle name="40% - Accent4 2 4 5 7" xfId="7150" xr:uid="{00000000-0005-0000-0000-00004C4A0000}"/>
    <cellStyle name="40% - Accent4 2 4 5 7 2" xfId="17146" xr:uid="{00000000-0005-0000-0000-00004D4A0000}"/>
    <cellStyle name="40% - Accent4 2 4 5 7 2 2" xfId="36546" xr:uid="{00000000-0005-0000-0000-00004E4A0000}"/>
    <cellStyle name="40% - Accent4 2 4 5 7 3" xfId="26848" xr:uid="{00000000-0005-0000-0000-00004F4A0000}"/>
    <cellStyle name="40% - Accent4 2 4 5 8" xfId="12690" xr:uid="{00000000-0005-0000-0000-0000504A0000}"/>
    <cellStyle name="40% - Accent4 2 4 5 8 2" xfId="32091" xr:uid="{00000000-0005-0000-0000-0000514A0000}"/>
    <cellStyle name="40% - Accent4 2 4 5 9" xfId="22393" xr:uid="{00000000-0005-0000-0000-0000524A0000}"/>
    <cellStyle name="40% - Accent4 2 5" xfId="1297" xr:uid="{00000000-0005-0000-0000-0000534A0000}"/>
    <cellStyle name="40% - Accent4 2 5 2" xfId="2217" xr:uid="{00000000-0005-0000-0000-0000544A0000}"/>
    <cellStyle name="40% - Accent4 2 5 2 10" xfId="12691" xr:uid="{00000000-0005-0000-0000-0000554A0000}"/>
    <cellStyle name="40% - Accent4 2 5 2 10 2" xfId="32092" xr:uid="{00000000-0005-0000-0000-0000564A0000}"/>
    <cellStyle name="40% - Accent4 2 5 2 11" xfId="22394" xr:uid="{00000000-0005-0000-0000-0000574A0000}"/>
    <cellStyle name="40% - Accent4 2 5 2 2" xfId="2218" xr:uid="{00000000-0005-0000-0000-0000584A0000}"/>
    <cellStyle name="40% - Accent4 2 5 2 2 2" xfId="3203" xr:uid="{00000000-0005-0000-0000-0000594A0000}"/>
    <cellStyle name="40% - Accent4 2 5 2 2 2 2" xfId="5472" xr:uid="{00000000-0005-0000-0000-00005A4A0000}"/>
    <cellStyle name="40% - Accent4 2 5 2 2 2 2 2" xfId="9936" xr:uid="{00000000-0005-0000-0000-00005B4A0000}"/>
    <cellStyle name="40% - Accent4 2 5 2 2 2 2 2 2" xfId="19932" xr:uid="{00000000-0005-0000-0000-00005C4A0000}"/>
    <cellStyle name="40% - Accent4 2 5 2 2 2 2 2 2 2" xfId="39332" xr:uid="{00000000-0005-0000-0000-00005D4A0000}"/>
    <cellStyle name="40% - Accent4 2 5 2 2 2 2 2 3" xfId="29634" xr:uid="{00000000-0005-0000-0000-00005E4A0000}"/>
    <cellStyle name="40% - Accent4 2 5 2 2 2 2 3" xfId="15477" xr:uid="{00000000-0005-0000-0000-00005F4A0000}"/>
    <cellStyle name="40% - Accent4 2 5 2 2 2 2 3 2" xfId="34877" xr:uid="{00000000-0005-0000-0000-0000604A0000}"/>
    <cellStyle name="40% - Accent4 2 5 2 2 2 2 4" xfId="25179" xr:uid="{00000000-0005-0000-0000-0000614A0000}"/>
    <cellStyle name="40% - Accent4 2 5 2 2 2 3" xfId="7708" xr:uid="{00000000-0005-0000-0000-0000624A0000}"/>
    <cellStyle name="40% - Accent4 2 5 2 2 2 3 2" xfId="17704" xr:uid="{00000000-0005-0000-0000-0000634A0000}"/>
    <cellStyle name="40% - Accent4 2 5 2 2 2 3 2 2" xfId="37104" xr:uid="{00000000-0005-0000-0000-0000644A0000}"/>
    <cellStyle name="40% - Accent4 2 5 2 2 2 3 3" xfId="27406" xr:uid="{00000000-0005-0000-0000-0000654A0000}"/>
    <cellStyle name="40% - Accent4 2 5 2 2 2 4" xfId="13249" xr:uid="{00000000-0005-0000-0000-0000664A0000}"/>
    <cellStyle name="40% - Accent4 2 5 2 2 2 4 2" xfId="32649" xr:uid="{00000000-0005-0000-0000-0000674A0000}"/>
    <cellStyle name="40% - Accent4 2 5 2 2 2 5" xfId="22951" xr:uid="{00000000-0005-0000-0000-0000684A0000}"/>
    <cellStyle name="40% - Accent4 2 5 2 2 3" xfId="3786" xr:uid="{00000000-0005-0000-0000-0000694A0000}"/>
    <cellStyle name="40% - Accent4 2 5 2 2 3 2" xfId="4916" xr:uid="{00000000-0005-0000-0000-00006A4A0000}"/>
    <cellStyle name="40% - Accent4 2 5 2 2 3 2 2" xfId="9380" xr:uid="{00000000-0005-0000-0000-00006B4A0000}"/>
    <cellStyle name="40% - Accent4 2 5 2 2 3 2 2 2" xfId="19376" xr:uid="{00000000-0005-0000-0000-00006C4A0000}"/>
    <cellStyle name="40% - Accent4 2 5 2 2 3 2 2 2 2" xfId="38776" xr:uid="{00000000-0005-0000-0000-00006D4A0000}"/>
    <cellStyle name="40% - Accent4 2 5 2 2 3 2 2 3" xfId="29078" xr:uid="{00000000-0005-0000-0000-00006E4A0000}"/>
    <cellStyle name="40% - Accent4 2 5 2 2 3 2 3" xfId="14921" xr:uid="{00000000-0005-0000-0000-00006F4A0000}"/>
    <cellStyle name="40% - Accent4 2 5 2 2 3 2 3 2" xfId="34321" xr:uid="{00000000-0005-0000-0000-0000704A0000}"/>
    <cellStyle name="40% - Accent4 2 5 2 2 3 2 4" xfId="24623" xr:uid="{00000000-0005-0000-0000-0000714A0000}"/>
    <cellStyle name="40% - Accent4 2 5 2 2 3 3" xfId="8265" xr:uid="{00000000-0005-0000-0000-0000724A0000}"/>
    <cellStyle name="40% - Accent4 2 5 2 2 3 3 2" xfId="18261" xr:uid="{00000000-0005-0000-0000-0000734A0000}"/>
    <cellStyle name="40% - Accent4 2 5 2 2 3 3 2 2" xfId="37661" xr:uid="{00000000-0005-0000-0000-0000744A0000}"/>
    <cellStyle name="40% - Accent4 2 5 2 2 3 3 3" xfId="27963" xr:uid="{00000000-0005-0000-0000-0000754A0000}"/>
    <cellStyle name="40% - Accent4 2 5 2 2 3 4" xfId="13806" xr:uid="{00000000-0005-0000-0000-0000764A0000}"/>
    <cellStyle name="40% - Accent4 2 5 2 2 3 4 2" xfId="33206" xr:uid="{00000000-0005-0000-0000-0000774A0000}"/>
    <cellStyle name="40% - Accent4 2 5 2 2 3 5" xfId="23508" xr:uid="{00000000-0005-0000-0000-0000784A0000}"/>
    <cellStyle name="40% - Accent4 2 5 2 2 4" xfId="4359" xr:uid="{00000000-0005-0000-0000-0000794A0000}"/>
    <cellStyle name="40% - Accent4 2 5 2 2 4 2" xfId="8823" xr:uid="{00000000-0005-0000-0000-00007A4A0000}"/>
    <cellStyle name="40% - Accent4 2 5 2 2 4 2 2" xfId="18819" xr:uid="{00000000-0005-0000-0000-00007B4A0000}"/>
    <cellStyle name="40% - Accent4 2 5 2 2 4 2 2 2" xfId="38219" xr:uid="{00000000-0005-0000-0000-00007C4A0000}"/>
    <cellStyle name="40% - Accent4 2 5 2 2 4 2 3" xfId="28521" xr:uid="{00000000-0005-0000-0000-00007D4A0000}"/>
    <cellStyle name="40% - Accent4 2 5 2 2 4 3" xfId="14364" xr:uid="{00000000-0005-0000-0000-00007E4A0000}"/>
    <cellStyle name="40% - Accent4 2 5 2 2 4 3 2" xfId="33764" xr:uid="{00000000-0005-0000-0000-00007F4A0000}"/>
    <cellStyle name="40% - Accent4 2 5 2 2 4 4" xfId="24066" xr:uid="{00000000-0005-0000-0000-0000804A0000}"/>
    <cellStyle name="40% - Accent4 2 5 2 2 5" xfId="6029" xr:uid="{00000000-0005-0000-0000-0000814A0000}"/>
    <cellStyle name="40% - Accent4 2 5 2 2 5 2" xfId="10493" xr:uid="{00000000-0005-0000-0000-0000824A0000}"/>
    <cellStyle name="40% - Accent4 2 5 2 2 5 2 2" xfId="20489" xr:uid="{00000000-0005-0000-0000-0000834A0000}"/>
    <cellStyle name="40% - Accent4 2 5 2 2 5 2 2 2" xfId="39889" xr:uid="{00000000-0005-0000-0000-0000844A0000}"/>
    <cellStyle name="40% - Accent4 2 5 2 2 5 2 3" xfId="30191" xr:uid="{00000000-0005-0000-0000-0000854A0000}"/>
    <cellStyle name="40% - Accent4 2 5 2 2 5 3" xfId="16034" xr:uid="{00000000-0005-0000-0000-0000864A0000}"/>
    <cellStyle name="40% - Accent4 2 5 2 2 5 3 2" xfId="35434" xr:uid="{00000000-0005-0000-0000-0000874A0000}"/>
    <cellStyle name="40% - Accent4 2 5 2 2 5 4" xfId="25736" xr:uid="{00000000-0005-0000-0000-0000884A0000}"/>
    <cellStyle name="40% - Accent4 2 5 2 2 6" xfId="6595" xr:uid="{00000000-0005-0000-0000-0000894A0000}"/>
    <cellStyle name="40% - Accent4 2 5 2 2 6 2" xfId="11050" xr:uid="{00000000-0005-0000-0000-00008A4A0000}"/>
    <cellStyle name="40% - Accent4 2 5 2 2 6 2 2" xfId="21046" xr:uid="{00000000-0005-0000-0000-00008B4A0000}"/>
    <cellStyle name="40% - Accent4 2 5 2 2 6 2 2 2" xfId="40446" xr:uid="{00000000-0005-0000-0000-00008C4A0000}"/>
    <cellStyle name="40% - Accent4 2 5 2 2 6 2 3" xfId="30748" xr:uid="{00000000-0005-0000-0000-00008D4A0000}"/>
    <cellStyle name="40% - Accent4 2 5 2 2 6 3" xfId="16591" xr:uid="{00000000-0005-0000-0000-00008E4A0000}"/>
    <cellStyle name="40% - Accent4 2 5 2 2 6 3 2" xfId="35991" xr:uid="{00000000-0005-0000-0000-00008F4A0000}"/>
    <cellStyle name="40% - Accent4 2 5 2 2 6 4" xfId="26293" xr:uid="{00000000-0005-0000-0000-0000904A0000}"/>
    <cellStyle name="40% - Accent4 2 5 2 2 7" xfId="7152" xr:uid="{00000000-0005-0000-0000-0000914A0000}"/>
    <cellStyle name="40% - Accent4 2 5 2 2 7 2" xfId="17148" xr:uid="{00000000-0005-0000-0000-0000924A0000}"/>
    <cellStyle name="40% - Accent4 2 5 2 2 7 2 2" xfId="36548" xr:uid="{00000000-0005-0000-0000-0000934A0000}"/>
    <cellStyle name="40% - Accent4 2 5 2 2 7 3" xfId="26850" xr:uid="{00000000-0005-0000-0000-0000944A0000}"/>
    <cellStyle name="40% - Accent4 2 5 2 2 8" xfId="12692" xr:uid="{00000000-0005-0000-0000-0000954A0000}"/>
    <cellStyle name="40% - Accent4 2 5 2 2 8 2" xfId="32093" xr:uid="{00000000-0005-0000-0000-0000964A0000}"/>
    <cellStyle name="40% - Accent4 2 5 2 2 9" xfId="22395" xr:uid="{00000000-0005-0000-0000-0000974A0000}"/>
    <cellStyle name="40% - Accent4 2 5 2 3" xfId="2219" xr:uid="{00000000-0005-0000-0000-0000984A0000}"/>
    <cellStyle name="40% - Accent4 2 5 2 3 2" xfId="3204" xr:uid="{00000000-0005-0000-0000-0000994A0000}"/>
    <cellStyle name="40% - Accent4 2 5 2 3 2 2" xfId="5473" xr:uid="{00000000-0005-0000-0000-00009A4A0000}"/>
    <cellStyle name="40% - Accent4 2 5 2 3 2 2 2" xfId="9937" xr:uid="{00000000-0005-0000-0000-00009B4A0000}"/>
    <cellStyle name="40% - Accent4 2 5 2 3 2 2 2 2" xfId="19933" xr:uid="{00000000-0005-0000-0000-00009C4A0000}"/>
    <cellStyle name="40% - Accent4 2 5 2 3 2 2 2 2 2" xfId="39333" xr:uid="{00000000-0005-0000-0000-00009D4A0000}"/>
    <cellStyle name="40% - Accent4 2 5 2 3 2 2 2 3" xfId="29635" xr:uid="{00000000-0005-0000-0000-00009E4A0000}"/>
    <cellStyle name="40% - Accent4 2 5 2 3 2 2 3" xfId="15478" xr:uid="{00000000-0005-0000-0000-00009F4A0000}"/>
    <cellStyle name="40% - Accent4 2 5 2 3 2 2 3 2" xfId="34878" xr:uid="{00000000-0005-0000-0000-0000A04A0000}"/>
    <cellStyle name="40% - Accent4 2 5 2 3 2 2 4" xfId="25180" xr:uid="{00000000-0005-0000-0000-0000A14A0000}"/>
    <cellStyle name="40% - Accent4 2 5 2 3 2 3" xfId="7709" xr:uid="{00000000-0005-0000-0000-0000A24A0000}"/>
    <cellStyle name="40% - Accent4 2 5 2 3 2 3 2" xfId="17705" xr:uid="{00000000-0005-0000-0000-0000A34A0000}"/>
    <cellStyle name="40% - Accent4 2 5 2 3 2 3 2 2" xfId="37105" xr:uid="{00000000-0005-0000-0000-0000A44A0000}"/>
    <cellStyle name="40% - Accent4 2 5 2 3 2 3 3" xfId="27407" xr:uid="{00000000-0005-0000-0000-0000A54A0000}"/>
    <cellStyle name="40% - Accent4 2 5 2 3 2 4" xfId="13250" xr:uid="{00000000-0005-0000-0000-0000A64A0000}"/>
    <cellStyle name="40% - Accent4 2 5 2 3 2 4 2" xfId="32650" xr:uid="{00000000-0005-0000-0000-0000A74A0000}"/>
    <cellStyle name="40% - Accent4 2 5 2 3 2 5" xfId="22952" xr:uid="{00000000-0005-0000-0000-0000A84A0000}"/>
    <cellStyle name="40% - Accent4 2 5 2 3 3" xfId="3787" xr:uid="{00000000-0005-0000-0000-0000A94A0000}"/>
    <cellStyle name="40% - Accent4 2 5 2 3 3 2" xfId="4917" xr:uid="{00000000-0005-0000-0000-0000AA4A0000}"/>
    <cellStyle name="40% - Accent4 2 5 2 3 3 2 2" xfId="9381" xr:uid="{00000000-0005-0000-0000-0000AB4A0000}"/>
    <cellStyle name="40% - Accent4 2 5 2 3 3 2 2 2" xfId="19377" xr:uid="{00000000-0005-0000-0000-0000AC4A0000}"/>
    <cellStyle name="40% - Accent4 2 5 2 3 3 2 2 2 2" xfId="38777" xr:uid="{00000000-0005-0000-0000-0000AD4A0000}"/>
    <cellStyle name="40% - Accent4 2 5 2 3 3 2 2 3" xfId="29079" xr:uid="{00000000-0005-0000-0000-0000AE4A0000}"/>
    <cellStyle name="40% - Accent4 2 5 2 3 3 2 3" xfId="14922" xr:uid="{00000000-0005-0000-0000-0000AF4A0000}"/>
    <cellStyle name="40% - Accent4 2 5 2 3 3 2 3 2" xfId="34322" xr:uid="{00000000-0005-0000-0000-0000B04A0000}"/>
    <cellStyle name="40% - Accent4 2 5 2 3 3 2 4" xfId="24624" xr:uid="{00000000-0005-0000-0000-0000B14A0000}"/>
    <cellStyle name="40% - Accent4 2 5 2 3 3 3" xfId="8266" xr:uid="{00000000-0005-0000-0000-0000B24A0000}"/>
    <cellStyle name="40% - Accent4 2 5 2 3 3 3 2" xfId="18262" xr:uid="{00000000-0005-0000-0000-0000B34A0000}"/>
    <cellStyle name="40% - Accent4 2 5 2 3 3 3 2 2" xfId="37662" xr:uid="{00000000-0005-0000-0000-0000B44A0000}"/>
    <cellStyle name="40% - Accent4 2 5 2 3 3 3 3" xfId="27964" xr:uid="{00000000-0005-0000-0000-0000B54A0000}"/>
    <cellStyle name="40% - Accent4 2 5 2 3 3 4" xfId="13807" xr:uid="{00000000-0005-0000-0000-0000B64A0000}"/>
    <cellStyle name="40% - Accent4 2 5 2 3 3 4 2" xfId="33207" xr:uid="{00000000-0005-0000-0000-0000B74A0000}"/>
    <cellStyle name="40% - Accent4 2 5 2 3 3 5" xfId="23509" xr:uid="{00000000-0005-0000-0000-0000B84A0000}"/>
    <cellStyle name="40% - Accent4 2 5 2 3 4" xfId="4360" xr:uid="{00000000-0005-0000-0000-0000B94A0000}"/>
    <cellStyle name="40% - Accent4 2 5 2 3 4 2" xfId="8824" xr:uid="{00000000-0005-0000-0000-0000BA4A0000}"/>
    <cellStyle name="40% - Accent4 2 5 2 3 4 2 2" xfId="18820" xr:uid="{00000000-0005-0000-0000-0000BB4A0000}"/>
    <cellStyle name="40% - Accent4 2 5 2 3 4 2 2 2" xfId="38220" xr:uid="{00000000-0005-0000-0000-0000BC4A0000}"/>
    <cellStyle name="40% - Accent4 2 5 2 3 4 2 3" xfId="28522" xr:uid="{00000000-0005-0000-0000-0000BD4A0000}"/>
    <cellStyle name="40% - Accent4 2 5 2 3 4 3" xfId="14365" xr:uid="{00000000-0005-0000-0000-0000BE4A0000}"/>
    <cellStyle name="40% - Accent4 2 5 2 3 4 3 2" xfId="33765" xr:uid="{00000000-0005-0000-0000-0000BF4A0000}"/>
    <cellStyle name="40% - Accent4 2 5 2 3 4 4" xfId="24067" xr:uid="{00000000-0005-0000-0000-0000C04A0000}"/>
    <cellStyle name="40% - Accent4 2 5 2 3 5" xfId="6030" xr:uid="{00000000-0005-0000-0000-0000C14A0000}"/>
    <cellStyle name="40% - Accent4 2 5 2 3 5 2" xfId="10494" xr:uid="{00000000-0005-0000-0000-0000C24A0000}"/>
    <cellStyle name="40% - Accent4 2 5 2 3 5 2 2" xfId="20490" xr:uid="{00000000-0005-0000-0000-0000C34A0000}"/>
    <cellStyle name="40% - Accent4 2 5 2 3 5 2 2 2" xfId="39890" xr:uid="{00000000-0005-0000-0000-0000C44A0000}"/>
    <cellStyle name="40% - Accent4 2 5 2 3 5 2 3" xfId="30192" xr:uid="{00000000-0005-0000-0000-0000C54A0000}"/>
    <cellStyle name="40% - Accent4 2 5 2 3 5 3" xfId="16035" xr:uid="{00000000-0005-0000-0000-0000C64A0000}"/>
    <cellStyle name="40% - Accent4 2 5 2 3 5 3 2" xfId="35435" xr:uid="{00000000-0005-0000-0000-0000C74A0000}"/>
    <cellStyle name="40% - Accent4 2 5 2 3 5 4" xfId="25737" xr:uid="{00000000-0005-0000-0000-0000C84A0000}"/>
    <cellStyle name="40% - Accent4 2 5 2 3 6" xfId="6596" xr:uid="{00000000-0005-0000-0000-0000C94A0000}"/>
    <cellStyle name="40% - Accent4 2 5 2 3 6 2" xfId="11051" xr:uid="{00000000-0005-0000-0000-0000CA4A0000}"/>
    <cellStyle name="40% - Accent4 2 5 2 3 6 2 2" xfId="21047" xr:uid="{00000000-0005-0000-0000-0000CB4A0000}"/>
    <cellStyle name="40% - Accent4 2 5 2 3 6 2 2 2" xfId="40447" xr:uid="{00000000-0005-0000-0000-0000CC4A0000}"/>
    <cellStyle name="40% - Accent4 2 5 2 3 6 2 3" xfId="30749" xr:uid="{00000000-0005-0000-0000-0000CD4A0000}"/>
    <cellStyle name="40% - Accent4 2 5 2 3 6 3" xfId="16592" xr:uid="{00000000-0005-0000-0000-0000CE4A0000}"/>
    <cellStyle name="40% - Accent4 2 5 2 3 6 3 2" xfId="35992" xr:uid="{00000000-0005-0000-0000-0000CF4A0000}"/>
    <cellStyle name="40% - Accent4 2 5 2 3 6 4" xfId="26294" xr:uid="{00000000-0005-0000-0000-0000D04A0000}"/>
    <cellStyle name="40% - Accent4 2 5 2 3 7" xfId="7153" xr:uid="{00000000-0005-0000-0000-0000D14A0000}"/>
    <cellStyle name="40% - Accent4 2 5 2 3 7 2" xfId="17149" xr:uid="{00000000-0005-0000-0000-0000D24A0000}"/>
    <cellStyle name="40% - Accent4 2 5 2 3 7 2 2" xfId="36549" xr:uid="{00000000-0005-0000-0000-0000D34A0000}"/>
    <cellStyle name="40% - Accent4 2 5 2 3 7 3" xfId="26851" xr:uid="{00000000-0005-0000-0000-0000D44A0000}"/>
    <cellStyle name="40% - Accent4 2 5 2 3 8" xfId="12693" xr:uid="{00000000-0005-0000-0000-0000D54A0000}"/>
    <cellStyle name="40% - Accent4 2 5 2 3 8 2" xfId="32094" xr:uid="{00000000-0005-0000-0000-0000D64A0000}"/>
    <cellStyle name="40% - Accent4 2 5 2 3 9" xfId="22396" xr:uid="{00000000-0005-0000-0000-0000D74A0000}"/>
    <cellStyle name="40% - Accent4 2 5 2 4" xfId="3202" xr:uid="{00000000-0005-0000-0000-0000D84A0000}"/>
    <cellStyle name="40% - Accent4 2 5 2 4 2" xfId="5471" xr:uid="{00000000-0005-0000-0000-0000D94A0000}"/>
    <cellStyle name="40% - Accent4 2 5 2 4 2 2" xfId="9935" xr:uid="{00000000-0005-0000-0000-0000DA4A0000}"/>
    <cellStyle name="40% - Accent4 2 5 2 4 2 2 2" xfId="19931" xr:uid="{00000000-0005-0000-0000-0000DB4A0000}"/>
    <cellStyle name="40% - Accent4 2 5 2 4 2 2 2 2" xfId="39331" xr:uid="{00000000-0005-0000-0000-0000DC4A0000}"/>
    <cellStyle name="40% - Accent4 2 5 2 4 2 2 3" xfId="29633" xr:uid="{00000000-0005-0000-0000-0000DD4A0000}"/>
    <cellStyle name="40% - Accent4 2 5 2 4 2 3" xfId="15476" xr:uid="{00000000-0005-0000-0000-0000DE4A0000}"/>
    <cellStyle name="40% - Accent4 2 5 2 4 2 3 2" xfId="34876" xr:uid="{00000000-0005-0000-0000-0000DF4A0000}"/>
    <cellStyle name="40% - Accent4 2 5 2 4 2 4" xfId="25178" xr:uid="{00000000-0005-0000-0000-0000E04A0000}"/>
    <cellStyle name="40% - Accent4 2 5 2 4 3" xfId="7707" xr:uid="{00000000-0005-0000-0000-0000E14A0000}"/>
    <cellStyle name="40% - Accent4 2 5 2 4 3 2" xfId="17703" xr:uid="{00000000-0005-0000-0000-0000E24A0000}"/>
    <cellStyle name="40% - Accent4 2 5 2 4 3 2 2" xfId="37103" xr:uid="{00000000-0005-0000-0000-0000E34A0000}"/>
    <cellStyle name="40% - Accent4 2 5 2 4 3 3" xfId="27405" xr:uid="{00000000-0005-0000-0000-0000E44A0000}"/>
    <cellStyle name="40% - Accent4 2 5 2 4 4" xfId="13248" xr:uid="{00000000-0005-0000-0000-0000E54A0000}"/>
    <cellStyle name="40% - Accent4 2 5 2 4 4 2" xfId="32648" xr:uid="{00000000-0005-0000-0000-0000E64A0000}"/>
    <cellStyle name="40% - Accent4 2 5 2 4 5" xfId="22950" xr:uid="{00000000-0005-0000-0000-0000E74A0000}"/>
    <cellStyle name="40% - Accent4 2 5 2 5" xfId="3785" xr:uid="{00000000-0005-0000-0000-0000E84A0000}"/>
    <cellStyle name="40% - Accent4 2 5 2 5 2" xfId="4915" xr:uid="{00000000-0005-0000-0000-0000E94A0000}"/>
    <cellStyle name="40% - Accent4 2 5 2 5 2 2" xfId="9379" xr:uid="{00000000-0005-0000-0000-0000EA4A0000}"/>
    <cellStyle name="40% - Accent4 2 5 2 5 2 2 2" xfId="19375" xr:uid="{00000000-0005-0000-0000-0000EB4A0000}"/>
    <cellStyle name="40% - Accent4 2 5 2 5 2 2 2 2" xfId="38775" xr:uid="{00000000-0005-0000-0000-0000EC4A0000}"/>
    <cellStyle name="40% - Accent4 2 5 2 5 2 2 3" xfId="29077" xr:uid="{00000000-0005-0000-0000-0000ED4A0000}"/>
    <cellStyle name="40% - Accent4 2 5 2 5 2 3" xfId="14920" xr:uid="{00000000-0005-0000-0000-0000EE4A0000}"/>
    <cellStyle name="40% - Accent4 2 5 2 5 2 3 2" xfId="34320" xr:uid="{00000000-0005-0000-0000-0000EF4A0000}"/>
    <cellStyle name="40% - Accent4 2 5 2 5 2 4" xfId="24622" xr:uid="{00000000-0005-0000-0000-0000F04A0000}"/>
    <cellStyle name="40% - Accent4 2 5 2 5 3" xfId="8264" xr:uid="{00000000-0005-0000-0000-0000F14A0000}"/>
    <cellStyle name="40% - Accent4 2 5 2 5 3 2" xfId="18260" xr:uid="{00000000-0005-0000-0000-0000F24A0000}"/>
    <cellStyle name="40% - Accent4 2 5 2 5 3 2 2" xfId="37660" xr:uid="{00000000-0005-0000-0000-0000F34A0000}"/>
    <cellStyle name="40% - Accent4 2 5 2 5 3 3" xfId="27962" xr:uid="{00000000-0005-0000-0000-0000F44A0000}"/>
    <cellStyle name="40% - Accent4 2 5 2 5 4" xfId="13805" xr:uid="{00000000-0005-0000-0000-0000F54A0000}"/>
    <cellStyle name="40% - Accent4 2 5 2 5 4 2" xfId="33205" xr:uid="{00000000-0005-0000-0000-0000F64A0000}"/>
    <cellStyle name="40% - Accent4 2 5 2 5 5" xfId="23507" xr:uid="{00000000-0005-0000-0000-0000F74A0000}"/>
    <cellStyle name="40% - Accent4 2 5 2 6" xfId="4358" xr:uid="{00000000-0005-0000-0000-0000F84A0000}"/>
    <cellStyle name="40% - Accent4 2 5 2 6 2" xfId="8822" xr:uid="{00000000-0005-0000-0000-0000F94A0000}"/>
    <cellStyle name="40% - Accent4 2 5 2 6 2 2" xfId="18818" xr:uid="{00000000-0005-0000-0000-0000FA4A0000}"/>
    <cellStyle name="40% - Accent4 2 5 2 6 2 2 2" xfId="38218" xr:uid="{00000000-0005-0000-0000-0000FB4A0000}"/>
    <cellStyle name="40% - Accent4 2 5 2 6 2 3" xfId="28520" xr:uid="{00000000-0005-0000-0000-0000FC4A0000}"/>
    <cellStyle name="40% - Accent4 2 5 2 6 3" xfId="14363" xr:uid="{00000000-0005-0000-0000-0000FD4A0000}"/>
    <cellStyle name="40% - Accent4 2 5 2 6 3 2" xfId="33763" xr:uid="{00000000-0005-0000-0000-0000FE4A0000}"/>
    <cellStyle name="40% - Accent4 2 5 2 6 4" xfId="24065" xr:uid="{00000000-0005-0000-0000-0000FF4A0000}"/>
    <cellStyle name="40% - Accent4 2 5 2 7" xfId="6028" xr:uid="{00000000-0005-0000-0000-0000004B0000}"/>
    <cellStyle name="40% - Accent4 2 5 2 7 2" xfId="10492" xr:uid="{00000000-0005-0000-0000-0000014B0000}"/>
    <cellStyle name="40% - Accent4 2 5 2 7 2 2" xfId="20488" xr:uid="{00000000-0005-0000-0000-0000024B0000}"/>
    <cellStyle name="40% - Accent4 2 5 2 7 2 2 2" xfId="39888" xr:uid="{00000000-0005-0000-0000-0000034B0000}"/>
    <cellStyle name="40% - Accent4 2 5 2 7 2 3" xfId="30190" xr:uid="{00000000-0005-0000-0000-0000044B0000}"/>
    <cellStyle name="40% - Accent4 2 5 2 7 3" xfId="16033" xr:uid="{00000000-0005-0000-0000-0000054B0000}"/>
    <cellStyle name="40% - Accent4 2 5 2 7 3 2" xfId="35433" xr:uid="{00000000-0005-0000-0000-0000064B0000}"/>
    <cellStyle name="40% - Accent4 2 5 2 7 4" xfId="25735" xr:uid="{00000000-0005-0000-0000-0000074B0000}"/>
    <cellStyle name="40% - Accent4 2 5 2 8" xfId="6594" xr:uid="{00000000-0005-0000-0000-0000084B0000}"/>
    <cellStyle name="40% - Accent4 2 5 2 8 2" xfId="11049" xr:uid="{00000000-0005-0000-0000-0000094B0000}"/>
    <cellStyle name="40% - Accent4 2 5 2 8 2 2" xfId="21045" xr:uid="{00000000-0005-0000-0000-00000A4B0000}"/>
    <cellStyle name="40% - Accent4 2 5 2 8 2 2 2" xfId="40445" xr:uid="{00000000-0005-0000-0000-00000B4B0000}"/>
    <cellStyle name="40% - Accent4 2 5 2 8 2 3" xfId="30747" xr:uid="{00000000-0005-0000-0000-00000C4B0000}"/>
    <cellStyle name="40% - Accent4 2 5 2 8 3" xfId="16590" xr:uid="{00000000-0005-0000-0000-00000D4B0000}"/>
    <cellStyle name="40% - Accent4 2 5 2 8 3 2" xfId="35990" xr:uid="{00000000-0005-0000-0000-00000E4B0000}"/>
    <cellStyle name="40% - Accent4 2 5 2 8 4" xfId="26292" xr:uid="{00000000-0005-0000-0000-00000F4B0000}"/>
    <cellStyle name="40% - Accent4 2 5 2 9" xfId="7151" xr:uid="{00000000-0005-0000-0000-0000104B0000}"/>
    <cellStyle name="40% - Accent4 2 5 2 9 2" xfId="17147" xr:uid="{00000000-0005-0000-0000-0000114B0000}"/>
    <cellStyle name="40% - Accent4 2 5 2 9 2 2" xfId="36547" xr:uid="{00000000-0005-0000-0000-0000124B0000}"/>
    <cellStyle name="40% - Accent4 2 5 2 9 3" xfId="26849" xr:uid="{00000000-0005-0000-0000-0000134B0000}"/>
    <cellStyle name="40% - Accent4 2 5 3" xfId="2220" xr:uid="{00000000-0005-0000-0000-0000144B0000}"/>
    <cellStyle name="40% - Accent4 2 5 3 2" xfId="3205" xr:uid="{00000000-0005-0000-0000-0000154B0000}"/>
    <cellStyle name="40% - Accent4 2 5 3 2 2" xfId="5474" xr:uid="{00000000-0005-0000-0000-0000164B0000}"/>
    <cellStyle name="40% - Accent4 2 5 3 2 2 2" xfId="9938" xr:uid="{00000000-0005-0000-0000-0000174B0000}"/>
    <cellStyle name="40% - Accent4 2 5 3 2 2 2 2" xfId="19934" xr:uid="{00000000-0005-0000-0000-0000184B0000}"/>
    <cellStyle name="40% - Accent4 2 5 3 2 2 2 2 2" xfId="39334" xr:uid="{00000000-0005-0000-0000-0000194B0000}"/>
    <cellStyle name="40% - Accent4 2 5 3 2 2 2 3" xfId="29636" xr:uid="{00000000-0005-0000-0000-00001A4B0000}"/>
    <cellStyle name="40% - Accent4 2 5 3 2 2 3" xfId="15479" xr:uid="{00000000-0005-0000-0000-00001B4B0000}"/>
    <cellStyle name="40% - Accent4 2 5 3 2 2 3 2" xfId="34879" xr:uid="{00000000-0005-0000-0000-00001C4B0000}"/>
    <cellStyle name="40% - Accent4 2 5 3 2 2 4" xfId="25181" xr:uid="{00000000-0005-0000-0000-00001D4B0000}"/>
    <cellStyle name="40% - Accent4 2 5 3 2 3" xfId="7710" xr:uid="{00000000-0005-0000-0000-00001E4B0000}"/>
    <cellStyle name="40% - Accent4 2 5 3 2 3 2" xfId="17706" xr:uid="{00000000-0005-0000-0000-00001F4B0000}"/>
    <cellStyle name="40% - Accent4 2 5 3 2 3 2 2" xfId="37106" xr:uid="{00000000-0005-0000-0000-0000204B0000}"/>
    <cellStyle name="40% - Accent4 2 5 3 2 3 3" xfId="27408" xr:uid="{00000000-0005-0000-0000-0000214B0000}"/>
    <cellStyle name="40% - Accent4 2 5 3 2 4" xfId="13251" xr:uid="{00000000-0005-0000-0000-0000224B0000}"/>
    <cellStyle name="40% - Accent4 2 5 3 2 4 2" xfId="32651" xr:uid="{00000000-0005-0000-0000-0000234B0000}"/>
    <cellStyle name="40% - Accent4 2 5 3 2 5" xfId="22953" xr:uid="{00000000-0005-0000-0000-0000244B0000}"/>
    <cellStyle name="40% - Accent4 2 5 3 3" xfId="3788" xr:uid="{00000000-0005-0000-0000-0000254B0000}"/>
    <cellStyle name="40% - Accent4 2 5 3 3 2" xfId="4918" xr:uid="{00000000-0005-0000-0000-0000264B0000}"/>
    <cellStyle name="40% - Accent4 2 5 3 3 2 2" xfId="9382" xr:uid="{00000000-0005-0000-0000-0000274B0000}"/>
    <cellStyle name="40% - Accent4 2 5 3 3 2 2 2" xfId="19378" xr:uid="{00000000-0005-0000-0000-0000284B0000}"/>
    <cellStyle name="40% - Accent4 2 5 3 3 2 2 2 2" xfId="38778" xr:uid="{00000000-0005-0000-0000-0000294B0000}"/>
    <cellStyle name="40% - Accent4 2 5 3 3 2 2 3" xfId="29080" xr:uid="{00000000-0005-0000-0000-00002A4B0000}"/>
    <cellStyle name="40% - Accent4 2 5 3 3 2 3" xfId="14923" xr:uid="{00000000-0005-0000-0000-00002B4B0000}"/>
    <cellStyle name="40% - Accent4 2 5 3 3 2 3 2" xfId="34323" xr:uid="{00000000-0005-0000-0000-00002C4B0000}"/>
    <cellStyle name="40% - Accent4 2 5 3 3 2 4" xfId="24625" xr:uid="{00000000-0005-0000-0000-00002D4B0000}"/>
    <cellStyle name="40% - Accent4 2 5 3 3 3" xfId="8267" xr:uid="{00000000-0005-0000-0000-00002E4B0000}"/>
    <cellStyle name="40% - Accent4 2 5 3 3 3 2" xfId="18263" xr:uid="{00000000-0005-0000-0000-00002F4B0000}"/>
    <cellStyle name="40% - Accent4 2 5 3 3 3 2 2" xfId="37663" xr:uid="{00000000-0005-0000-0000-0000304B0000}"/>
    <cellStyle name="40% - Accent4 2 5 3 3 3 3" xfId="27965" xr:uid="{00000000-0005-0000-0000-0000314B0000}"/>
    <cellStyle name="40% - Accent4 2 5 3 3 4" xfId="13808" xr:uid="{00000000-0005-0000-0000-0000324B0000}"/>
    <cellStyle name="40% - Accent4 2 5 3 3 4 2" xfId="33208" xr:uid="{00000000-0005-0000-0000-0000334B0000}"/>
    <cellStyle name="40% - Accent4 2 5 3 3 5" xfId="23510" xr:uid="{00000000-0005-0000-0000-0000344B0000}"/>
    <cellStyle name="40% - Accent4 2 5 3 4" xfId="4361" xr:uid="{00000000-0005-0000-0000-0000354B0000}"/>
    <cellStyle name="40% - Accent4 2 5 3 4 2" xfId="8825" xr:uid="{00000000-0005-0000-0000-0000364B0000}"/>
    <cellStyle name="40% - Accent4 2 5 3 4 2 2" xfId="18821" xr:uid="{00000000-0005-0000-0000-0000374B0000}"/>
    <cellStyle name="40% - Accent4 2 5 3 4 2 2 2" xfId="38221" xr:uid="{00000000-0005-0000-0000-0000384B0000}"/>
    <cellStyle name="40% - Accent4 2 5 3 4 2 3" xfId="28523" xr:uid="{00000000-0005-0000-0000-0000394B0000}"/>
    <cellStyle name="40% - Accent4 2 5 3 4 3" xfId="14366" xr:uid="{00000000-0005-0000-0000-00003A4B0000}"/>
    <cellStyle name="40% - Accent4 2 5 3 4 3 2" xfId="33766" xr:uid="{00000000-0005-0000-0000-00003B4B0000}"/>
    <cellStyle name="40% - Accent4 2 5 3 4 4" xfId="24068" xr:uid="{00000000-0005-0000-0000-00003C4B0000}"/>
    <cellStyle name="40% - Accent4 2 5 3 5" xfId="6031" xr:uid="{00000000-0005-0000-0000-00003D4B0000}"/>
    <cellStyle name="40% - Accent4 2 5 3 5 2" xfId="10495" xr:uid="{00000000-0005-0000-0000-00003E4B0000}"/>
    <cellStyle name="40% - Accent4 2 5 3 5 2 2" xfId="20491" xr:uid="{00000000-0005-0000-0000-00003F4B0000}"/>
    <cellStyle name="40% - Accent4 2 5 3 5 2 2 2" xfId="39891" xr:uid="{00000000-0005-0000-0000-0000404B0000}"/>
    <cellStyle name="40% - Accent4 2 5 3 5 2 3" xfId="30193" xr:uid="{00000000-0005-0000-0000-0000414B0000}"/>
    <cellStyle name="40% - Accent4 2 5 3 5 3" xfId="16036" xr:uid="{00000000-0005-0000-0000-0000424B0000}"/>
    <cellStyle name="40% - Accent4 2 5 3 5 3 2" xfId="35436" xr:uid="{00000000-0005-0000-0000-0000434B0000}"/>
    <cellStyle name="40% - Accent4 2 5 3 5 4" xfId="25738" xr:uid="{00000000-0005-0000-0000-0000444B0000}"/>
    <cellStyle name="40% - Accent4 2 5 3 6" xfId="6597" xr:uid="{00000000-0005-0000-0000-0000454B0000}"/>
    <cellStyle name="40% - Accent4 2 5 3 6 2" xfId="11052" xr:uid="{00000000-0005-0000-0000-0000464B0000}"/>
    <cellStyle name="40% - Accent4 2 5 3 6 2 2" xfId="21048" xr:uid="{00000000-0005-0000-0000-0000474B0000}"/>
    <cellStyle name="40% - Accent4 2 5 3 6 2 2 2" xfId="40448" xr:uid="{00000000-0005-0000-0000-0000484B0000}"/>
    <cellStyle name="40% - Accent4 2 5 3 6 2 3" xfId="30750" xr:uid="{00000000-0005-0000-0000-0000494B0000}"/>
    <cellStyle name="40% - Accent4 2 5 3 6 3" xfId="16593" xr:uid="{00000000-0005-0000-0000-00004A4B0000}"/>
    <cellStyle name="40% - Accent4 2 5 3 6 3 2" xfId="35993" xr:uid="{00000000-0005-0000-0000-00004B4B0000}"/>
    <cellStyle name="40% - Accent4 2 5 3 6 4" xfId="26295" xr:uid="{00000000-0005-0000-0000-00004C4B0000}"/>
    <cellStyle name="40% - Accent4 2 5 3 7" xfId="7154" xr:uid="{00000000-0005-0000-0000-00004D4B0000}"/>
    <cellStyle name="40% - Accent4 2 5 3 7 2" xfId="17150" xr:uid="{00000000-0005-0000-0000-00004E4B0000}"/>
    <cellStyle name="40% - Accent4 2 5 3 7 2 2" xfId="36550" xr:uid="{00000000-0005-0000-0000-00004F4B0000}"/>
    <cellStyle name="40% - Accent4 2 5 3 7 3" xfId="26852" xr:uid="{00000000-0005-0000-0000-0000504B0000}"/>
    <cellStyle name="40% - Accent4 2 5 3 8" xfId="12694" xr:uid="{00000000-0005-0000-0000-0000514B0000}"/>
    <cellStyle name="40% - Accent4 2 5 3 8 2" xfId="32095" xr:uid="{00000000-0005-0000-0000-0000524B0000}"/>
    <cellStyle name="40% - Accent4 2 5 3 9" xfId="22397" xr:uid="{00000000-0005-0000-0000-0000534B0000}"/>
    <cellStyle name="40% - Accent4 2 5 4" xfId="2221" xr:uid="{00000000-0005-0000-0000-0000544B0000}"/>
    <cellStyle name="40% - Accent4 2 5 4 2" xfId="3206" xr:uid="{00000000-0005-0000-0000-0000554B0000}"/>
    <cellStyle name="40% - Accent4 2 5 4 2 2" xfId="5475" xr:uid="{00000000-0005-0000-0000-0000564B0000}"/>
    <cellStyle name="40% - Accent4 2 5 4 2 2 2" xfId="9939" xr:uid="{00000000-0005-0000-0000-0000574B0000}"/>
    <cellStyle name="40% - Accent4 2 5 4 2 2 2 2" xfId="19935" xr:uid="{00000000-0005-0000-0000-0000584B0000}"/>
    <cellStyle name="40% - Accent4 2 5 4 2 2 2 2 2" xfId="39335" xr:uid="{00000000-0005-0000-0000-0000594B0000}"/>
    <cellStyle name="40% - Accent4 2 5 4 2 2 2 3" xfId="29637" xr:uid="{00000000-0005-0000-0000-00005A4B0000}"/>
    <cellStyle name="40% - Accent4 2 5 4 2 2 3" xfId="15480" xr:uid="{00000000-0005-0000-0000-00005B4B0000}"/>
    <cellStyle name="40% - Accent4 2 5 4 2 2 3 2" xfId="34880" xr:uid="{00000000-0005-0000-0000-00005C4B0000}"/>
    <cellStyle name="40% - Accent4 2 5 4 2 2 4" xfId="25182" xr:uid="{00000000-0005-0000-0000-00005D4B0000}"/>
    <cellStyle name="40% - Accent4 2 5 4 2 3" xfId="7711" xr:uid="{00000000-0005-0000-0000-00005E4B0000}"/>
    <cellStyle name="40% - Accent4 2 5 4 2 3 2" xfId="17707" xr:uid="{00000000-0005-0000-0000-00005F4B0000}"/>
    <cellStyle name="40% - Accent4 2 5 4 2 3 2 2" xfId="37107" xr:uid="{00000000-0005-0000-0000-0000604B0000}"/>
    <cellStyle name="40% - Accent4 2 5 4 2 3 3" xfId="27409" xr:uid="{00000000-0005-0000-0000-0000614B0000}"/>
    <cellStyle name="40% - Accent4 2 5 4 2 4" xfId="13252" xr:uid="{00000000-0005-0000-0000-0000624B0000}"/>
    <cellStyle name="40% - Accent4 2 5 4 2 4 2" xfId="32652" xr:uid="{00000000-0005-0000-0000-0000634B0000}"/>
    <cellStyle name="40% - Accent4 2 5 4 2 5" xfId="22954" xr:uid="{00000000-0005-0000-0000-0000644B0000}"/>
    <cellStyle name="40% - Accent4 2 5 4 3" xfId="3789" xr:uid="{00000000-0005-0000-0000-0000654B0000}"/>
    <cellStyle name="40% - Accent4 2 5 4 3 2" xfId="4919" xr:uid="{00000000-0005-0000-0000-0000664B0000}"/>
    <cellStyle name="40% - Accent4 2 5 4 3 2 2" xfId="9383" xr:uid="{00000000-0005-0000-0000-0000674B0000}"/>
    <cellStyle name="40% - Accent4 2 5 4 3 2 2 2" xfId="19379" xr:uid="{00000000-0005-0000-0000-0000684B0000}"/>
    <cellStyle name="40% - Accent4 2 5 4 3 2 2 2 2" xfId="38779" xr:uid="{00000000-0005-0000-0000-0000694B0000}"/>
    <cellStyle name="40% - Accent4 2 5 4 3 2 2 3" xfId="29081" xr:uid="{00000000-0005-0000-0000-00006A4B0000}"/>
    <cellStyle name="40% - Accent4 2 5 4 3 2 3" xfId="14924" xr:uid="{00000000-0005-0000-0000-00006B4B0000}"/>
    <cellStyle name="40% - Accent4 2 5 4 3 2 3 2" xfId="34324" xr:uid="{00000000-0005-0000-0000-00006C4B0000}"/>
    <cellStyle name="40% - Accent4 2 5 4 3 2 4" xfId="24626" xr:uid="{00000000-0005-0000-0000-00006D4B0000}"/>
    <cellStyle name="40% - Accent4 2 5 4 3 3" xfId="8268" xr:uid="{00000000-0005-0000-0000-00006E4B0000}"/>
    <cellStyle name="40% - Accent4 2 5 4 3 3 2" xfId="18264" xr:uid="{00000000-0005-0000-0000-00006F4B0000}"/>
    <cellStyle name="40% - Accent4 2 5 4 3 3 2 2" xfId="37664" xr:uid="{00000000-0005-0000-0000-0000704B0000}"/>
    <cellStyle name="40% - Accent4 2 5 4 3 3 3" xfId="27966" xr:uid="{00000000-0005-0000-0000-0000714B0000}"/>
    <cellStyle name="40% - Accent4 2 5 4 3 4" xfId="13809" xr:uid="{00000000-0005-0000-0000-0000724B0000}"/>
    <cellStyle name="40% - Accent4 2 5 4 3 4 2" xfId="33209" xr:uid="{00000000-0005-0000-0000-0000734B0000}"/>
    <cellStyle name="40% - Accent4 2 5 4 3 5" xfId="23511" xr:uid="{00000000-0005-0000-0000-0000744B0000}"/>
    <cellStyle name="40% - Accent4 2 5 4 4" xfId="4362" xr:uid="{00000000-0005-0000-0000-0000754B0000}"/>
    <cellStyle name="40% - Accent4 2 5 4 4 2" xfId="8826" xr:uid="{00000000-0005-0000-0000-0000764B0000}"/>
    <cellStyle name="40% - Accent4 2 5 4 4 2 2" xfId="18822" xr:uid="{00000000-0005-0000-0000-0000774B0000}"/>
    <cellStyle name="40% - Accent4 2 5 4 4 2 2 2" xfId="38222" xr:uid="{00000000-0005-0000-0000-0000784B0000}"/>
    <cellStyle name="40% - Accent4 2 5 4 4 2 3" xfId="28524" xr:uid="{00000000-0005-0000-0000-0000794B0000}"/>
    <cellStyle name="40% - Accent4 2 5 4 4 3" xfId="14367" xr:uid="{00000000-0005-0000-0000-00007A4B0000}"/>
    <cellStyle name="40% - Accent4 2 5 4 4 3 2" xfId="33767" xr:uid="{00000000-0005-0000-0000-00007B4B0000}"/>
    <cellStyle name="40% - Accent4 2 5 4 4 4" xfId="24069" xr:uid="{00000000-0005-0000-0000-00007C4B0000}"/>
    <cellStyle name="40% - Accent4 2 5 4 5" xfId="6032" xr:uid="{00000000-0005-0000-0000-00007D4B0000}"/>
    <cellStyle name="40% - Accent4 2 5 4 5 2" xfId="10496" xr:uid="{00000000-0005-0000-0000-00007E4B0000}"/>
    <cellStyle name="40% - Accent4 2 5 4 5 2 2" xfId="20492" xr:uid="{00000000-0005-0000-0000-00007F4B0000}"/>
    <cellStyle name="40% - Accent4 2 5 4 5 2 2 2" xfId="39892" xr:uid="{00000000-0005-0000-0000-0000804B0000}"/>
    <cellStyle name="40% - Accent4 2 5 4 5 2 3" xfId="30194" xr:uid="{00000000-0005-0000-0000-0000814B0000}"/>
    <cellStyle name="40% - Accent4 2 5 4 5 3" xfId="16037" xr:uid="{00000000-0005-0000-0000-0000824B0000}"/>
    <cellStyle name="40% - Accent4 2 5 4 5 3 2" xfId="35437" xr:uid="{00000000-0005-0000-0000-0000834B0000}"/>
    <cellStyle name="40% - Accent4 2 5 4 5 4" xfId="25739" xr:uid="{00000000-0005-0000-0000-0000844B0000}"/>
    <cellStyle name="40% - Accent4 2 5 4 6" xfId="6598" xr:uid="{00000000-0005-0000-0000-0000854B0000}"/>
    <cellStyle name="40% - Accent4 2 5 4 6 2" xfId="11053" xr:uid="{00000000-0005-0000-0000-0000864B0000}"/>
    <cellStyle name="40% - Accent4 2 5 4 6 2 2" xfId="21049" xr:uid="{00000000-0005-0000-0000-0000874B0000}"/>
    <cellStyle name="40% - Accent4 2 5 4 6 2 2 2" xfId="40449" xr:uid="{00000000-0005-0000-0000-0000884B0000}"/>
    <cellStyle name="40% - Accent4 2 5 4 6 2 3" xfId="30751" xr:uid="{00000000-0005-0000-0000-0000894B0000}"/>
    <cellStyle name="40% - Accent4 2 5 4 6 3" xfId="16594" xr:uid="{00000000-0005-0000-0000-00008A4B0000}"/>
    <cellStyle name="40% - Accent4 2 5 4 6 3 2" xfId="35994" xr:uid="{00000000-0005-0000-0000-00008B4B0000}"/>
    <cellStyle name="40% - Accent4 2 5 4 6 4" xfId="26296" xr:uid="{00000000-0005-0000-0000-00008C4B0000}"/>
    <cellStyle name="40% - Accent4 2 5 4 7" xfId="7155" xr:uid="{00000000-0005-0000-0000-00008D4B0000}"/>
    <cellStyle name="40% - Accent4 2 5 4 7 2" xfId="17151" xr:uid="{00000000-0005-0000-0000-00008E4B0000}"/>
    <cellStyle name="40% - Accent4 2 5 4 7 2 2" xfId="36551" xr:uid="{00000000-0005-0000-0000-00008F4B0000}"/>
    <cellStyle name="40% - Accent4 2 5 4 7 3" xfId="26853" xr:uid="{00000000-0005-0000-0000-0000904B0000}"/>
    <cellStyle name="40% - Accent4 2 5 4 8" xfId="12695" xr:uid="{00000000-0005-0000-0000-0000914B0000}"/>
    <cellStyle name="40% - Accent4 2 5 4 8 2" xfId="32096" xr:uid="{00000000-0005-0000-0000-0000924B0000}"/>
    <cellStyle name="40% - Accent4 2 5 4 9" xfId="22398" xr:uid="{00000000-0005-0000-0000-0000934B0000}"/>
    <cellStyle name="40% - Accent4 2 6" xfId="1298" xr:uid="{00000000-0005-0000-0000-0000944B0000}"/>
    <cellStyle name="40% - Accent4 2 6 2" xfId="2222" xr:uid="{00000000-0005-0000-0000-0000954B0000}"/>
    <cellStyle name="40% - Accent4 2 6 2 2" xfId="3207" xr:uid="{00000000-0005-0000-0000-0000964B0000}"/>
    <cellStyle name="40% - Accent4 2 6 2 2 2" xfId="5476" xr:uid="{00000000-0005-0000-0000-0000974B0000}"/>
    <cellStyle name="40% - Accent4 2 6 2 2 2 2" xfId="9940" xr:uid="{00000000-0005-0000-0000-0000984B0000}"/>
    <cellStyle name="40% - Accent4 2 6 2 2 2 2 2" xfId="19936" xr:uid="{00000000-0005-0000-0000-0000994B0000}"/>
    <cellStyle name="40% - Accent4 2 6 2 2 2 2 2 2" xfId="39336" xr:uid="{00000000-0005-0000-0000-00009A4B0000}"/>
    <cellStyle name="40% - Accent4 2 6 2 2 2 2 3" xfId="29638" xr:uid="{00000000-0005-0000-0000-00009B4B0000}"/>
    <cellStyle name="40% - Accent4 2 6 2 2 2 3" xfId="15481" xr:uid="{00000000-0005-0000-0000-00009C4B0000}"/>
    <cellStyle name="40% - Accent4 2 6 2 2 2 3 2" xfId="34881" xr:uid="{00000000-0005-0000-0000-00009D4B0000}"/>
    <cellStyle name="40% - Accent4 2 6 2 2 2 4" xfId="25183" xr:uid="{00000000-0005-0000-0000-00009E4B0000}"/>
    <cellStyle name="40% - Accent4 2 6 2 2 3" xfId="7712" xr:uid="{00000000-0005-0000-0000-00009F4B0000}"/>
    <cellStyle name="40% - Accent4 2 6 2 2 3 2" xfId="17708" xr:uid="{00000000-0005-0000-0000-0000A04B0000}"/>
    <cellStyle name="40% - Accent4 2 6 2 2 3 2 2" xfId="37108" xr:uid="{00000000-0005-0000-0000-0000A14B0000}"/>
    <cellStyle name="40% - Accent4 2 6 2 2 3 3" xfId="27410" xr:uid="{00000000-0005-0000-0000-0000A24B0000}"/>
    <cellStyle name="40% - Accent4 2 6 2 2 4" xfId="13253" xr:uid="{00000000-0005-0000-0000-0000A34B0000}"/>
    <cellStyle name="40% - Accent4 2 6 2 2 4 2" xfId="32653" xr:uid="{00000000-0005-0000-0000-0000A44B0000}"/>
    <cellStyle name="40% - Accent4 2 6 2 2 5" xfId="22955" xr:uid="{00000000-0005-0000-0000-0000A54B0000}"/>
    <cellStyle name="40% - Accent4 2 6 2 3" xfId="3790" xr:uid="{00000000-0005-0000-0000-0000A64B0000}"/>
    <cellStyle name="40% - Accent4 2 6 2 3 2" xfId="4920" xr:uid="{00000000-0005-0000-0000-0000A74B0000}"/>
    <cellStyle name="40% - Accent4 2 6 2 3 2 2" xfId="9384" xr:uid="{00000000-0005-0000-0000-0000A84B0000}"/>
    <cellStyle name="40% - Accent4 2 6 2 3 2 2 2" xfId="19380" xr:uid="{00000000-0005-0000-0000-0000A94B0000}"/>
    <cellStyle name="40% - Accent4 2 6 2 3 2 2 2 2" xfId="38780" xr:uid="{00000000-0005-0000-0000-0000AA4B0000}"/>
    <cellStyle name="40% - Accent4 2 6 2 3 2 2 3" xfId="29082" xr:uid="{00000000-0005-0000-0000-0000AB4B0000}"/>
    <cellStyle name="40% - Accent4 2 6 2 3 2 3" xfId="14925" xr:uid="{00000000-0005-0000-0000-0000AC4B0000}"/>
    <cellStyle name="40% - Accent4 2 6 2 3 2 3 2" xfId="34325" xr:uid="{00000000-0005-0000-0000-0000AD4B0000}"/>
    <cellStyle name="40% - Accent4 2 6 2 3 2 4" xfId="24627" xr:uid="{00000000-0005-0000-0000-0000AE4B0000}"/>
    <cellStyle name="40% - Accent4 2 6 2 3 3" xfId="8269" xr:uid="{00000000-0005-0000-0000-0000AF4B0000}"/>
    <cellStyle name="40% - Accent4 2 6 2 3 3 2" xfId="18265" xr:uid="{00000000-0005-0000-0000-0000B04B0000}"/>
    <cellStyle name="40% - Accent4 2 6 2 3 3 2 2" xfId="37665" xr:uid="{00000000-0005-0000-0000-0000B14B0000}"/>
    <cellStyle name="40% - Accent4 2 6 2 3 3 3" xfId="27967" xr:uid="{00000000-0005-0000-0000-0000B24B0000}"/>
    <cellStyle name="40% - Accent4 2 6 2 3 4" xfId="13810" xr:uid="{00000000-0005-0000-0000-0000B34B0000}"/>
    <cellStyle name="40% - Accent4 2 6 2 3 4 2" xfId="33210" xr:uid="{00000000-0005-0000-0000-0000B44B0000}"/>
    <cellStyle name="40% - Accent4 2 6 2 3 5" xfId="23512" xr:uid="{00000000-0005-0000-0000-0000B54B0000}"/>
    <cellStyle name="40% - Accent4 2 6 2 4" xfId="4363" xr:uid="{00000000-0005-0000-0000-0000B64B0000}"/>
    <cellStyle name="40% - Accent4 2 6 2 4 2" xfId="8827" xr:uid="{00000000-0005-0000-0000-0000B74B0000}"/>
    <cellStyle name="40% - Accent4 2 6 2 4 2 2" xfId="18823" xr:uid="{00000000-0005-0000-0000-0000B84B0000}"/>
    <cellStyle name="40% - Accent4 2 6 2 4 2 2 2" xfId="38223" xr:uid="{00000000-0005-0000-0000-0000B94B0000}"/>
    <cellStyle name="40% - Accent4 2 6 2 4 2 3" xfId="28525" xr:uid="{00000000-0005-0000-0000-0000BA4B0000}"/>
    <cellStyle name="40% - Accent4 2 6 2 4 3" xfId="14368" xr:uid="{00000000-0005-0000-0000-0000BB4B0000}"/>
    <cellStyle name="40% - Accent4 2 6 2 4 3 2" xfId="33768" xr:uid="{00000000-0005-0000-0000-0000BC4B0000}"/>
    <cellStyle name="40% - Accent4 2 6 2 4 4" xfId="24070" xr:uid="{00000000-0005-0000-0000-0000BD4B0000}"/>
    <cellStyle name="40% - Accent4 2 6 2 5" xfId="6033" xr:uid="{00000000-0005-0000-0000-0000BE4B0000}"/>
    <cellStyle name="40% - Accent4 2 6 2 5 2" xfId="10497" xr:uid="{00000000-0005-0000-0000-0000BF4B0000}"/>
    <cellStyle name="40% - Accent4 2 6 2 5 2 2" xfId="20493" xr:uid="{00000000-0005-0000-0000-0000C04B0000}"/>
    <cellStyle name="40% - Accent4 2 6 2 5 2 2 2" xfId="39893" xr:uid="{00000000-0005-0000-0000-0000C14B0000}"/>
    <cellStyle name="40% - Accent4 2 6 2 5 2 3" xfId="30195" xr:uid="{00000000-0005-0000-0000-0000C24B0000}"/>
    <cellStyle name="40% - Accent4 2 6 2 5 3" xfId="16038" xr:uid="{00000000-0005-0000-0000-0000C34B0000}"/>
    <cellStyle name="40% - Accent4 2 6 2 5 3 2" xfId="35438" xr:uid="{00000000-0005-0000-0000-0000C44B0000}"/>
    <cellStyle name="40% - Accent4 2 6 2 5 4" xfId="25740" xr:uid="{00000000-0005-0000-0000-0000C54B0000}"/>
    <cellStyle name="40% - Accent4 2 6 2 6" xfId="6599" xr:uid="{00000000-0005-0000-0000-0000C64B0000}"/>
    <cellStyle name="40% - Accent4 2 6 2 6 2" xfId="11054" xr:uid="{00000000-0005-0000-0000-0000C74B0000}"/>
    <cellStyle name="40% - Accent4 2 6 2 6 2 2" xfId="21050" xr:uid="{00000000-0005-0000-0000-0000C84B0000}"/>
    <cellStyle name="40% - Accent4 2 6 2 6 2 2 2" xfId="40450" xr:uid="{00000000-0005-0000-0000-0000C94B0000}"/>
    <cellStyle name="40% - Accent4 2 6 2 6 2 3" xfId="30752" xr:uid="{00000000-0005-0000-0000-0000CA4B0000}"/>
    <cellStyle name="40% - Accent4 2 6 2 6 3" xfId="16595" xr:uid="{00000000-0005-0000-0000-0000CB4B0000}"/>
    <cellStyle name="40% - Accent4 2 6 2 6 3 2" xfId="35995" xr:uid="{00000000-0005-0000-0000-0000CC4B0000}"/>
    <cellStyle name="40% - Accent4 2 6 2 6 4" xfId="26297" xr:uid="{00000000-0005-0000-0000-0000CD4B0000}"/>
    <cellStyle name="40% - Accent4 2 6 2 7" xfId="7156" xr:uid="{00000000-0005-0000-0000-0000CE4B0000}"/>
    <cellStyle name="40% - Accent4 2 6 2 7 2" xfId="17152" xr:uid="{00000000-0005-0000-0000-0000CF4B0000}"/>
    <cellStyle name="40% - Accent4 2 6 2 7 2 2" xfId="36552" xr:uid="{00000000-0005-0000-0000-0000D04B0000}"/>
    <cellStyle name="40% - Accent4 2 6 2 7 3" xfId="26854" xr:uid="{00000000-0005-0000-0000-0000D14B0000}"/>
    <cellStyle name="40% - Accent4 2 6 2 8" xfId="12696" xr:uid="{00000000-0005-0000-0000-0000D24B0000}"/>
    <cellStyle name="40% - Accent4 2 6 2 8 2" xfId="32097" xr:uid="{00000000-0005-0000-0000-0000D34B0000}"/>
    <cellStyle name="40% - Accent4 2 6 2 9" xfId="22399" xr:uid="{00000000-0005-0000-0000-0000D44B0000}"/>
    <cellStyle name="40% - Accent4 2 6 3" xfId="2223" xr:uid="{00000000-0005-0000-0000-0000D54B0000}"/>
    <cellStyle name="40% - Accent4 2 6 3 2" xfId="3208" xr:uid="{00000000-0005-0000-0000-0000D64B0000}"/>
    <cellStyle name="40% - Accent4 2 6 3 2 2" xfId="5477" xr:uid="{00000000-0005-0000-0000-0000D74B0000}"/>
    <cellStyle name="40% - Accent4 2 6 3 2 2 2" xfId="9941" xr:uid="{00000000-0005-0000-0000-0000D84B0000}"/>
    <cellStyle name="40% - Accent4 2 6 3 2 2 2 2" xfId="19937" xr:uid="{00000000-0005-0000-0000-0000D94B0000}"/>
    <cellStyle name="40% - Accent4 2 6 3 2 2 2 2 2" xfId="39337" xr:uid="{00000000-0005-0000-0000-0000DA4B0000}"/>
    <cellStyle name="40% - Accent4 2 6 3 2 2 2 3" xfId="29639" xr:uid="{00000000-0005-0000-0000-0000DB4B0000}"/>
    <cellStyle name="40% - Accent4 2 6 3 2 2 3" xfId="15482" xr:uid="{00000000-0005-0000-0000-0000DC4B0000}"/>
    <cellStyle name="40% - Accent4 2 6 3 2 2 3 2" xfId="34882" xr:uid="{00000000-0005-0000-0000-0000DD4B0000}"/>
    <cellStyle name="40% - Accent4 2 6 3 2 2 4" xfId="25184" xr:uid="{00000000-0005-0000-0000-0000DE4B0000}"/>
    <cellStyle name="40% - Accent4 2 6 3 2 3" xfId="7713" xr:uid="{00000000-0005-0000-0000-0000DF4B0000}"/>
    <cellStyle name="40% - Accent4 2 6 3 2 3 2" xfId="17709" xr:uid="{00000000-0005-0000-0000-0000E04B0000}"/>
    <cellStyle name="40% - Accent4 2 6 3 2 3 2 2" xfId="37109" xr:uid="{00000000-0005-0000-0000-0000E14B0000}"/>
    <cellStyle name="40% - Accent4 2 6 3 2 3 3" xfId="27411" xr:uid="{00000000-0005-0000-0000-0000E24B0000}"/>
    <cellStyle name="40% - Accent4 2 6 3 2 4" xfId="13254" xr:uid="{00000000-0005-0000-0000-0000E34B0000}"/>
    <cellStyle name="40% - Accent4 2 6 3 2 4 2" xfId="32654" xr:uid="{00000000-0005-0000-0000-0000E44B0000}"/>
    <cellStyle name="40% - Accent4 2 6 3 2 5" xfId="22956" xr:uid="{00000000-0005-0000-0000-0000E54B0000}"/>
    <cellStyle name="40% - Accent4 2 6 3 3" xfId="3791" xr:uid="{00000000-0005-0000-0000-0000E64B0000}"/>
    <cellStyle name="40% - Accent4 2 6 3 3 2" xfId="4921" xr:uid="{00000000-0005-0000-0000-0000E74B0000}"/>
    <cellStyle name="40% - Accent4 2 6 3 3 2 2" xfId="9385" xr:uid="{00000000-0005-0000-0000-0000E84B0000}"/>
    <cellStyle name="40% - Accent4 2 6 3 3 2 2 2" xfId="19381" xr:uid="{00000000-0005-0000-0000-0000E94B0000}"/>
    <cellStyle name="40% - Accent4 2 6 3 3 2 2 2 2" xfId="38781" xr:uid="{00000000-0005-0000-0000-0000EA4B0000}"/>
    <cellStyle name="40% - Accent4 2 6 3 3 2 2 3" xfId="29083" xr:uid="{00000000-0005-0000-0000-0000EB4B0000}"/>
    <cellStyle name="40% - Accent4 2 6 3 3 2 3" xfId="14926" xr:uid="{00000000-0005-0000-0000-0000EC4B0000}"/>
    <cellStyle name="40% - Accent4 2 6 3 3 2 3 2" xfId="34326" xr:uid="{00000000-0005-0000-0000-0000ED4B0000}"/>
    <cellStyle name="40% - Accent4 2 6 3 3 2 4" xfId="24628" xr:uid="{00000000-0005-0000-0000-0000EE4B0000}"/>
    <cellStyle name="40% - Accent4 2 6 3 3 3" xfId="8270" xr:uid="{00000000-0005-0000-0000-0000EF4B0000}"/>
    <cellStyle name="40% - Accent4 2 6 3 3 3 2" xfId="18266" xr:uid="{00000000-0005-0000-0000-0000F04B0000}"/>
    <cellStyle name="40% - Accent4 2 6 3 3 3 2 2" xfId="37666" xr:uid="{00000000-0005-0000-0000-0000F14B0000}"/>
    <cellStyle name="40% - Accent4 2 6 3 3 3 3" xfId="27968" xr:uid="{00000000-0005-0000-0000-0000F24B0000}"/>
    <cellStyle name="40% - Accent4 2 6 3 3 4" xfId="13811" xr:uid="{00000000-0005-0000-0000-0000F34B0000}"/>
    <cellStyle name="40% - Accent4 2 6 3 3 4 2" xfId="33211" xr:uid="{00000000-0005-0000-0000-0000F44B0000}"/>
    <cellStyle name="40% - Accent4 2 6 3 3 5" xfId="23513" xr:uid="{00000000-0005-0000-0000-0000F54B0000}"/>
    <cellStyle name="40% - Accent4 2 6 3 4" xfId="4364" xr:uid="{00000000-0005-0000-0000-0000F64B0000}"/>
    <cellStyle name="40% - Accent4 2 6 3 4 2" xfId="8828" xr:uid="{00000000-0005-0000-0000-0000F74B0000}"/>
    <cellStyle name="40% - Accent4 2 6 3 4 2 2" xfId="18824" xr:uid="{00000000-0005-0000-0000-0000F84B0000}"/>
    <cellStyle name="40% - Accent4 2 6 3 4 2 2 2" xfId="38224" xr:uid="{00000000-0005-0000-0000-0000F94B0000}"/>
    <cellStyle name="40% - Accent4 2 6 3 4 2 3" xfId="28526" xr:uid="{00000000-0005-0000-0000-0000FA4B0000}"/>
    <cellStyle name="40% - Accent4 2 6 3 4 3" xfId="14369" xr:uid="{00000000-0005-0000-0000-0000FB4B0000}"/>
    <cellStyle name="40% - Accent4 2 6 3 4 3 2" xfId="33769" xr:uid="{00000000-0005-0000-0000-0000FC4B0000}"/>
    <cellStyle name="40% - Accent4 2 6 3 4 4" xfId="24071" xr:uid="{00000000-0005-0000-0000-0000FD4B0000}"/>
    <cellStyle name="40% - Accent4 2 6 3 5" xfId="6034" xr:uid="{00000000-0005-0000-0000-0000FE4B0000}"/>
    <cellStyle name="40% - Accent4 2 6 3 5 2" xfId="10498" xr:uid="{00000000-0005-0000-0000-0000FF4B0000}"/>
    <cellStyle name="40% - Accent4 2 6 3 5 2 2" xfId="20494" xr:uid="{00000000-0005-0000-0000-0000004C0000}"/>
    <cellStyle name="40% - Accent4 2 6 3 5 2 2 2" xfId="39894" xr:uid="{00000000-0005-0000-0000-0000014C0000}"/>
    <cellStyle name="40% - Accent4 2 6 3 5 2 3" xfId="30196" xr:uid="{00000000-0005-0000-0000-0000024C0000}"/>
    <cellStyle name="40% - Accent4 2 6 3 5 3" xfId="16039" xr:uid="{00000000-0005-0000-0000-0000034C0000}"/>
    <cellStyle name="40% - Accent4 2 6 3 5 3 2" xfId="35439" xr:uid="{00000000-0005-0000-0000-0000044C0000}"/>
    <cellStyle name="40% - Accent4 2 6 3 5 4" xfId="25741" xr:uid="{00000000-0005-0000-0000-0000054C0000}"/>
    <cellStyle name="40% - Accent4 2 6 3 6" xfId="6600" xr:uid="{00000000-0005-0000-0000-0000064C0000}"/>
    <cellStyle name="40% - Accent4 2 6 3 6 2" xfId="11055" xr:uid="{00000000-0005-0000-0000-0000074C0000}"/>
    <cellStyle name="40% - Accent4 2 6 3 6 2 2" xfId="21051" xr:uid="{00000000-0005-0000-0000-0000084C0000}"/>
    <cellStyle name="40% - Accent4 2 6 3 6 2 2 2" xfId="40451" xr:uid="{00000000-0005-0000-0000-0000094C0000}"/>
    <cellStyle name="40% - Accent4 2 6 3 6 2 3" xfId="30753" xr:uid="{00000000-0005-0000-0000-00000A4C0000}"/>
    <cellStyle name="40% - Accent4 2 6 3 6 3" xfId="16596" xr:uid="{00000000-0005-0000-0000-00000B4C0000}"/>
    <cellStyle name="40% - Accent4 2 6 3 6 3 2" xfId="35996" xr:uid="{00000000-0005-0000-0000-00000C4C0000}"/>
    <cellStyle name="40% - Accent4 2 6 3 6 4" xfId="26298" xr:uid="{00000000-0005-0000-0000-00000D4C0000}"/>
    <cellStyle name="40% - Accent4 2 6 3 7" xfId="7157" xr:uid="{00000000-0005-0000-0000-00000E4C0000}"/>
    <cellStyle name="40% - Accent4 2 6 3 7 2" xfId="17153" xr:uid="{00000000-0005-0000-0000-00000F4C0000}"/>
    <cellStyle name="40% - Accent4 2 6 3 7 2 2" xfId="36553" xr:uid="{00000000-0005-0000-0000-0000104C0000}"/>
    <cellStyle name="40% - Accent4 2 6 3 7 3" xfId="26855" xr:uid="{00000000-0005-0000-0000-0000114C0000}"/>
    <cellStyle name="40% - Accent4 2 6 3 8" xfId="12697" xr:uid="{00000000-0005-0000-0000-0000124C0000}"/>
    <cellStyle name="40% - Accent4 2 6 3 8 2" xfId="32098" xr:uid="{00000000-0005-0000-0000-0000134C0000}"/>
    <cellStyle name="40% - Accent4 2 6 3 9" xfId="22400" xr:uid="{00000000-0005-0000-0000-0000144C0000}"/>
    <cellStyle name="40% - Accent4 2 7" xfId="1734" xr:uid="{00000000-0005-0000-0000-0000154C0000}"/>
    <cellStyle name="40% - Accent4 2 7 2" xfId="2900" xr:uid="{00000000-0005-0000-0000-0000164C0000}"/>
    <cellStyle name="40% - Accent4 2 7 2 2" xfId="5169" xr:uid="{00000000-0005-0000-0000-0000174C0000}"/>
    <cellStyle name="40% - Accent4 2 7 2 2 2" xfId="9633" xr:uid="{00000000-0005-0000-0000-0000184C0000}"/>
    <cellStyle name="40% - Accent4 2 7 2 2 2 2" xfId="19629" xr:uid="{00000000-0005-0000-0000-0000194C0000}"/>
    <cellStyle name="40% - Accent4 2 7 2 2 2 2 2" xfId="39029" xr:uid="{00000000-0005-0000-0000-00001A4C0000}"/>
    <cellStyle name="40% - Accent4 2 7 2 2 2 3" xfId="29331" xr:uid="{00000000-0005-0000-0000-00001B4C0000}"/>
    <cellStyle name="40% - Accent4 2 7 2 2 3" xfId="15174" xr:uid="{00000000-0005-0000-0000-00001C4C0000}"/>
    <cellStyle name="40% - Accent4 2 7 2 2 3 2" xfId="34574" xr:uid="{00000000-0005-0000-0000-00001D4C0000}"/>
    <cellStyle name="40% - Accent4 2 7 2 2 4" xfId="24876" xr:uid="{00000000-0005-0000-0000-00001E4C0000}"/>
    <cellStyle name="40% - Accent4 2 7 2 3" xfId="7405" xr:uid="{00000000-0005-0000-0000-00001F4C0000}"/>
    <cellStyle name="40% - Accent4 2 7 2 3 2" xfId="17401" xr:uid="{00000000-0005-0000-0000-0000204C0000}"/>
    <cellStyle name="40% - Accent4 2 7 2 3 2 2" xfId="36801" xr:uid="{00000000-0005-0000-0000-0000214C0000}"/>
    <cellStyle name="40% - Accent4 2 7 2 3 3" xfId="27103" xr:uid="{00000000-0005-0000-0000-0000224C0000}"/>
    <cellStyle name="40% - Accent4 2 7 2 4" xfId="12946" xr:uid="{00000000-0005-0000-0000-0000234C0000}"/>
    <cellStyle name="40% - Accent4 2 7 2 4 2" xfId="32346" xr:uid="{00000000-0005-0000-0000-0000244C0000}"/>
    <cellStyle name="40% - Accent4 2 7 2 5" xfId="22648" xr:uid="{00000000-0005-0000-0000-0000254C0000}"/>
    <cellStyle name="40% - Accent4 2 7 3" xfId="3483" xr:uid="{00000000-0005-0000-0000-0000264C0000}"/>
    <cellStyle name="40% - Accent4 2 7 3 2" xfId="4613" xr:uid="{00000000-0005-0000-0000-0000274C0000}"/>
    <cellStyle name="40% - Accent4 2 7 3 2 2" xfId="9077" xr:uid="{00000000-0005-0000-0000-0000284C0000}"/>
    <cellStyle name="40% - Accent4 2 7 3 2 2 2" xfId="19073" xr:uid="{00000000-0005-0000-0000-0000294C0000}"/>
    <cellStyle name="40% - Accent4 2 7 3 2 2 2 2" xfId="38473" xr:uid="{00000000-0005-0000-0000-00002A4C0000}"/>
    <cellStyle name="40% - Accent4 2 7 3 2 2 3" xfId="28775" xr:uid="{00000000-0005-0000-0000-00002B4C0000}"/>
    <cellStyle name="40% - Accent4 2 7 3 2 3" xfId="14618" xr:uid="{00000000-0005-0000-0000-00002C4C0000}"/>
    <cellStyle name="40% - Accent4 2 7 3 2 3 2" xfId="34018" xr:uid="{00000000-0005-0000-0000-00002D4C0000}"/>
    <cellStyle name="40% - Accent4 2 7 3 2 4" xfId="24320" xr:uid="{00000000-0005-0000-0000-00002E4C0000}"/>
    <cellStyle name="40% - Accent4 2 7 3 3" xfId="7962" xr:uid="{00000000-0005-0000-0000-00002F4C0000}"/>
    <cellStyle name="40% - Accent4 2 7 3 3 2" xfId="17958" xr:uid="{00000000-0005-0000-0000-0000304C0000}"/>
    <cellStyle name="40% - Accent4 2 7 3 3 2 2" xfId="37358" xr:uid="{00000000-0005-0000-0000-0000314C0000}"/>
    <cellStyle name="40% - Accent4 2 7 3 3 3" xfId="27660" xr:uid="{00000000-0005-0000-0000-0000324C0000}"/>
    <cellStyle name="40% - Accent4 2 7 3 4" xfId="13503" xr:uid="{00000000-0005-0000-0000-0000334C0000}"/>
    <cellStyle name="40% - Accent4 2 7 3 4 2" xfId="32903" xr:uid="{00000000-0005-0000-0000-0000344C0000}"/>
    <cellStyle name="40% - Accent4 2 7 3 5" xfId="23205" xr:uid="{00000000-0005-0000-0000-0000354C0000}"/>
    <cellStyle name="40% - Accent4 2 7 4" xfId="4056" xr:uid="{00000000-0005-0000-0000-0000364C0000}"/>
    <cellStyle name="40% - Accent4 2 7 4 2" xfId="8520" xr:uid="{00000000-0005-0000-0000-0000374C0000}"/>
    <cellStyle name="40% - Accent4 2 7 4 2 2" xfId="18516" xr:uid="{00000000-0005-0000-0000-0000384C0000}"/>
    <cellStyle name="40% - Accent4 2 7 4 2 2 2" xfId="37916" xr:uid="{00000000-0005-0000-0000-0000394C0000}"/>
    <cellStyle name="40% - Accent4 2 7 4 2 3" xfId="28218" xr:uid="{00000000-0005-0000-0000-00003A4C0000}"/>
    <cellStyle name="40% - Accent4 2 7 4 3" xfId="14061" xr:uid="{00000000-0005-0000-0000-00003B4C0000}"/>
    <cellStyle name="40% - Accent4 2 7 4 3 2" xfId="33461" xr:uid="{00000000-0005-0000-0000-00003C4C0000}"/>
    <cellStyle name="40% - Accent4 2 7 4 4" xfId="23763" xr:uid="{00000000-0005-0000-0000-00003D4C0000}"/>
    <cellStyle name="40% - Accent4 2 7 5" xfId="5726" xr:uid="{00000000-0005-0000-0000-00003E4C0000}"/>
    <cellStyle name="40% - Accent4 2 7 5 2" xfId="10190" xr:uid="{00000000-0005-0000-0000-00003F4C0000}"/>
    <cellStyle name="40% - Accent4 2 7 5 2 2" xfId="20186" xr:uid="{00000000-0005-0000-0000-0000404C0000}"/>
    <cellStyle name="40% - Accent4 2 7 5 2 2 2" xfId="39586" xr:uid="{00000000-0005-0000-0000-0000414C0000}"/>
    <cellStyle name="40% - Accent4 2 7 5 2 3" xfId="29888" xr:uid="{00000000-0005-0000-0000-0000424C0000}"/>
    <cellStyle name="40% - Accent4 2 7 5 3" xfId="15731" xr:uid="{00000000-0005-0000-0000-0000434C0000}"/>
    <cellStyle name="40% - Accent4 2 7 5 3 2" xfId="35131" xr:uid="{00000000-0005-0000-0000-0000444C0000}"/>
    <cellStyle name="40% - Accent4 2 7 5 4" xfId="25433" xr:uid="{00000000-0005-0000-0000-0000454C0000}"/>
    <cellStyle name="40% - Accent4 2 7 6" xfId="6292" xr:uid="{00000000-0005-0000-0000-0000464C0000}"/>
    <cellStyle name="40% - Accent4 2 7 6 2" xfId="10747" xr:uid="{00000000-0005-0000-0000-0000474C0000}"/>
    <cellStyle name="40% - Accent4 2 7 6 2 2" xfId="20743" xr:uid="{00000000-0005-0000-0000-0000484C0000}"/>
    <cellStyle name="40% - Accent4 2 7 6 2 2 2" xfId="40143" xr:uid="{00000000-0005-0000-0000-0000494C0000}"/>
    <cellStyle name="40% - Accent4 2 7 6 2 3" xfId="30445" xr:uid="{00000000-0005-0000-0000-00004A4C0000}"/>
    <cellStyle name="40% - Accent4 2 7 6 3" xfId="16288" xr:uid="{00000000-0005-0000-0000-00004B4C0000}"/>
    <cellStyle name="40% - Accent4 2 7 6 3 2" xfId="35688" xr:uid="{00000000-0005-0000-0000-00004C4C0000}"/>
    <cellStyle name="40% - Accent4 2 7 6 4" xfId="25990" xr:uid="{00000000-0005-0000-0000-00004D4C0000}"/>
    <cellStyle name="40% - Accent4 2 7 7" xfId="6849" xr:uid="{00000000-0005-0000-0000-00004E4C0000}"/>
    <cellStyle name="40% - Accent4 2 7 7 2" xfId="16845" xr:uid="{00000000-0005-0000-0000-00004F4C0000}"/>
    <cellStyle name="40% - Accent4 2 7 7 2 2" xfId="36245" xr:uid="{00000000-0005-0000-0000-0000504C0000}"/>
    <cellStyle name="40% - Accent4 2 7 7 3" xfId="26547" xr:uid="{00000000-0005-0000-0000-0000514C0000}"/>
    <cellStyle name="40% - Accent4 2 7 8" xfId="12389" xr:uid="{00000000-0005-0000-0000-0000524C0000}"/>
    <cellStyle name="40% - Accent4 2 7 8 2" xfId="31790" xr:uid="{00000000-0005-0000-0000-0000534C0000}"/>
    <cellStyle name="40% - Accent4 2 7 9" xfId="22092" xr:uid="{00000000-0005-0000-0000-0000544C0000}"/>
    <cellStyle name="40% - Accent4 2 8" xfId="1842" xr:uid="{00000000-0005-0000-0000-0000554C0000}"/>
    <cellStyle name="40% - Accent4 2 8 2" xfId="2916" xr:uid="{00000000-0005-0000-0000-0000564C0000}"/>
    <cellStyle name="40% - Accent4 2 8 2 2" xfId="5185" xr:uid="{00000000-0005-0000-0000-0000574C0000}"/>
    <cellStyle name="40% - Accent4 2 8 2 2 2" xfId="9649" xr:uid="{00000000-0005-0000-0000-0000584C0000}"/>
    <cellStyle name="40% - Accent4 2 8 2 2 2 2" xfId="19645" xr:uid="{00000000-0005-0000-0000-0000594C0000}"/>
    <cellStyle name="40% - Accent4 2 8 2 2 2 2 2" xfId="39045" xr:uid="{00000000-0005-0000-0000-00005A4C0000}"/>
    <cellStyle name="40% - Accent4 2 8 2 2 2 3" xfId="29347" xr:uid="{00000000-0005-0000-0000-00005B4C0000}"/>
    <cellStyle name="40% - Accent4 2 8 2 2 3" xfId="15190" xr:uid="{00000000-0005-0000-0000-00005C4C0000}"/>
    <cellStyle name="40% - Accent4 2 8 2 2 3 2" xfId="34590" xr:uid="{00000000-0005-0000-0000-00005D4C0000}"/>
    <cellStyle name="40% - Accent4 2 8 2 2 4" xfId="24892" xr:uid="{00000000-0005-0000-0000-00005E4C0000}"/>
    <cellStyle name="40% - Accent4 2 8 2 3" xfId="7421" xr:uid="{00000000-0005-0000-0000-00005F4C0000}"/>
    <cellStyle name="40% - Accent4 2 8 2 3 2" xfId="17417" xr:uid="{00000000-0005-0000-0000-0000604C0000}"/>
    <cellStyle name="40% - Accent4 2 8 2 3 2 2" xfId="36817" xr:uid="{00000000-0005-0000-0000-0000614C0000}"/>
    <cellStyle name="40% - Accent4 2 8 2 3 3" xfId="27119" xr:uid="{00000000-0005-0000-0000-0000624C0000}"/>
    <cellStyle name="40% - Accent4 2 8 2 4" xfId="12962" xr:uid="{00000000-0005-0000-0000-0000634C0000}"/>
    <cellStyle name="40% - Accent4 2 8 2 4 2" xfId="32362" xr:uid="{00000000-0005-0000-0000-0000644C0000}"/>
    <cellStyle name="40% - Accent4 2 8 2 5" xfId="22664" xr:uid="{00000000-0005-0000-0000-0000654C0000}"/>
    <cellStyle name="40% - Accent4 2 8 3" xfId="3499" xr:uid="{00000000-0005-0000-0000-0000664C0000}"/>
    <cellStyle name="40% - Accent4 2 8 3 2" xfId="4629" xr:uid="{00000000-0005-0000-0000-0000674C0000}"/>
    <cellStyle name="40% - Accent4 2 8 3 2 2" xfId="9093" xr:uid="{00000000-0005-0000-0000-0000684C0000}"/>
    <cellStyle name="40% - Accent4 2 8 3 2 2 2" xfId="19089" xr:uid="{00000000-0005-0000-0000-0000694C0000}"/>
    <cellStyle name="40% - Accent4 2 8 3 2 2 2 2" xfId="38489" xr:uid="{00000000-0005-0000-0000-00006A4C0000}"/>
    <cellStyle name="40% - Accent4 2 8 3 2 2 3" xfId="28791" xr:uid="{00000000-0005-0000-0000-00006B4C0000}"/>
    <cellStyle name="40% - Accent4 2 8 3 2 3" xfId="14634" xr:uid="{00000000-0005-0000-0000-00006C4C0000}"/>
    <cellStyle name="40% - Accent4 2 8 3 2 3 2" xfId="34034" xr:uid="{00000000-0005-0000-0000-00006D4C0000}"/>
    <cellStyle name="40% - Accent4 2 8 3 2 4" xfId="24336" xr:uid="{00000000-0005-0000-0000-00006E4C0000}"/>
    <cellStyle name="40% - Accent4 2 8 3 3" xfId="7978" xr:uid="{00000000-0005-0000-0000-00006F4C0000}"/>
    <cellStyle name="40% - Accent4 2 8 3 3 2" xfId="17974" xr:uid="{00000000-0005-0000-0000-0000704C0000}"/>
    <cellStyle name="40% - Accent4 2 8 3 3 2 2" xfId="37374" xr:uid="{00000000-0005-0000-0000-0000714C0000}"/>
    <cellStyle name="40% - Accent4 2 8 3 3 3" xfId="27676" xr:uid="{00000000-0005-0000-0000-0000724C0000}"/>
    <cellStyle name="40% - Accent4 2 8 3 4" xfId="13519" xr:uid="{00000000-0005-0000-0000-0000734C0000}"/>
    <cellStyle name="40% - Accent4 2 8 3 4 2" xfId="32919" xr:uid="{00000000-0005-0000-0000-0000744C0000}"/>
    <cellStyle name="40% - Accent4 2 8 3 5" xfId="23221" xr:uid="{00000000-0005-0000-0000-0000754C0000}"/>
    <cellStyle name="40% - Accent4 2 8 4" xfId="4072" xr:uid="{00000000-0005-0000-0000-0000764C0000}"/>
    <cellStyle name="40% - Accent4 2 8 4 2" xfId="8536" xr:uid="{00000000-0005-0000-0000-0000774C0000}"/>
    <cellStyle name="40% - Accent4 2 8 4 2 2" xfId="18532" xr:uid="{00000000-0005-0000-0000-0000784C0000}"/>
    <cellStyle name="40% - Accent4 2 8 4 2 2 2" xfId="37932" xr:uid="{00000000-0005-0000-0000-0000794C0000}"/>
    <cellStyle name="40% - Accent4 2 8 4 2 3" xfId="28234" xr:uid="{00000000-0005-0000-0000-00007A4C0000}"/>
    <cellStyle name="40% - Accent4 2 8 4 3" xfId="14077" xr:uid="{00000000-0005-0000-0000-00007B4C0000}"/>
    <cellStyle name="40% - Accent4 2 8 4 3 2" xfId="33477" xr:uid="{00000000-0005-0000-0000-00007C4C0000}"/>
    <cellStyle name="40% - Accent4 2 8 4 4" xfId="23779" xr:uid="{00000000-0005-0000-0000-00007D4C0000}"/>
    <cellStyle name="40% - Accent4 2 8 5" xfId="5742" xr:uid="{00000000-0005-0000-0000-00007E4C0000}"/>
    <cellStyle name="40% - Accent4 2 8 5 2" xfId="10206" xr:uid="{00000000-0005-0000-0000-00007F4C0000}"/>
    <cellStyle name="40% - Accent4 2 8 5 2 2" xfId="20202" xr:uid="{00000000-0005-0000-0000-0000804C0000}"/>
    <cellStyle name="40% - Accent4 2 8 5 2 2 2" xfId="39602" xr:uid="{00000000-0005-0000-0000-0000814C0000}"/>
    <cellStyle name="40% - Accent4 2 8 5 2 3" xfId="29904" xr:uid="{00000000-0005-0000-0000-0000824C0000}"/>
    <cellStyle name="40% - Accent4 2 8 5 3" xfId="15747" xr:uid="{00000000-0005-0000-0000-0000834C0000}"/>
    <cellStyle name="40% - Accent4 2 8 5 3 2" xfId="35147" xr:uid="{00000000-0005-0000-0000-0000844C0000}"/>
    <cellStyle name="40% - Accent4 2 8 5 4" xfId="25449" xr:uid="{00000000-0005-0000-0000-0000854C0000}"/>
    <cellStyle name="40% - Accent4 2 8 6" xfId="6308" xr:uid="{00000000-0005-0000-0000-0000864C0000}"/>
    <cellStyle name="40% - Accent4 2 8 6 2" xfId="10763" xr:uid="{00000000-0005-0000-0000-0000874C0000}"/>
    <cellStyle name="40% - Accent4 2 8 6 2 2" xfId="20759" xr:uid="{00000000-0005-0000-0000-0000884C0000}"/>
    <cellStyle name="40% - Accent4 2 8 6 2 2 2" xfId="40159" xr:uid="{00000000-0005-0000-0000-0000894C0000}"/>
    <cellStyle name="40% - Accent4 2 8 6 2 3" xfId="30461" xr:uid="{00000000-0005-0000-0000-00008A4C0000}"/>
    <cellStyle name="40% - Accent4 2 8 6 3" xfId="16304" xr:uid="{00000000-0005-0000-0000-00008B4C0000}"/>
    <cellStyle name="40% - Accent4 2 8 6 3 2" xfId="35704" xr:uid="{00000000-0005-0000-0000-00008C4C0000}"/>
    <cellStyle name="40% - Accent4 2 8 6 4" xfId="26006" xr:uid="{00000000-0005-0000-0000-00008D4C0000}"/>
    <cellStyle name="40% - Accent4 2 8 7" xfId="6865" xr:uid="{00000000-0005-0000-0000-00008E4C0000}"/>
    <cellStyle name="40% - Accent4 2 8 7 2" xfId="16861" xr:uid="{00000000-0005-0000-0000-00008F4C0000}"/>
    <cellStyle name="40% - Accent4 2 8 7 2 2" xfId="36261" xr:uid="{00000000-0005-0000-0000-0000904C0000}"/>
    <cellStyle name="40% - Accent4 2 8 7 3" xfId="26563" xr:uid="{00000000-0005-0000-0000-0000914C0000}"/>
    <cellStyle name="40% - Accent4 2 8 8" xfId="12405" xr:uid="{00000000-0005-0000-0000-0000924C0000}"/>
    <cellStyle name="40% - Accent4 2 8 8 2" xfId="31806" xr:uid="{00000000-0005-0000-0000-0000934C0000}"/>
    <cellStyle name="40% - Accent4 2 8 9" xfId="22108" xr:uid="{00000000-0005-0000-0000-0000944C0000}"/>
    <cellStyle name="40% - Accent4 2 9" xfId="2224" xr:uid="{00000000-0005-0000-0000-0000954C0000}"/>
    <cellStyle name="40% - Accent4 20" xfId="1086" xr:uid="{00000000-0005-0000-0000-0000964C0000}"/>
    <cellStyle name="40% - Accent4 20 2" xfId="11957" xr:uid="{00000000-0005-0000-0000-0000974C0000}"/>
    <cellStyle name="40% - Accent4 20 2 2" xfId="21661" xr:uid="{00000000-0005-0000-0000-0000984C0000}"/>
    <cellStyle name="40% - Accent4 20 2 2 2" xfId="41061" xr:uid="{00000000-0005-0000-0000-0000994C0000}"/>
    <cellStyle name="40% - Accent4 20 2 3" xfId="31363" xr:uid="{00000000-0005-0000-0000-00009A4C0000}"/>
    <cellStyle name="40% - Accent4 20 3" xfId="12313" xr:uid="{00000000-0005-0000-0000-00009B4C0000}"/>
    <cellStyle name="40% - Accent4 20 3 2" xfId="31716" xr:uid="{00000000-0005-0000-0000-00009C4C0000}"/>
    <cellStyle name="40% - Accent4 20 4" xfId="22018" xr:uid="{00000000-0005-0000-0000-00009D4C0000}"/>
    <cellStyle name="40% - Accent4 21" xfId="11840" xr:uid="{00000000-0005-0000-0000-00009E4C0000}"/>
    <cellStyle name="40% - Accent4 21 2" xfId="21544" xr:uid="{00000000-0005-0000-0000-00009F4C0000}"/>
    <cellStyle name="40% - Accent4 21 2 2" xfId="40944" xr:uid="{00000000-0005-0000-0000-0000A04C0000}"/>
    <cellStyle name="40% - Accent4 21 3" xfId="31246" xr:uid="{00000000-0005-0000-0000-0000A14C0000}"/>
    <cellStyle name="40% - Accent4 22" xfId="12196" xr:uid="{00000000-0005-0000-0000-0000A24C0000}"/>
    <cellStyle name="40% - Accent4 22 2" xfId="31599" xr:uid="{00000000-0005-0000-0000-0000A34C0000}"/>
    <cellStyle name="40% - Accent4 23" xfId="21901" xr:uid="{00000000-0005-0000-0000-0000A44C0000}"/>
    <cellStyle name="40% - Accent4 3" xfId="134" xr:uid="{00000000-0005-0000-0000-0000A54C0000}"/>
    <cellStyle name="40% - Accent4 3 2" xfId="2225" xr:uid="{00000000-0005-0000-0000-0000A64C0000}"/>
    <cellStyle name="40% - Accent4 3 3" xfId="2613" xr:uid="{00000000-0005-0000-0000-0000A74C0000}"/>
    <cellStyle name="40% - Accent4 3 4" xfId="11407" xr:uid="{00000000-0005-0000-0000-0000A84C0000}"/>
    <cellStyle name="40% - Accent4 3 5" xfId="1299" xr:uid="{00000000-0005-0000-0000-0000A94C0000}"/>
    <cellStyle name="40% - Accent4 4" xfId="135" xr:uid="{00000000-0005-0000-0000-0000AA4C0000}"/>
    <cellStyle name="40% - Accent4 4 2" xfId="2779" xr:uid="{00000000-0005-0000-0000-0000AB4C0000}"/>
    <cellStyle name="40% - Accent4 4 3" xfId="11408" xr:uid="{00000000-0005-0000-0000-0000AC4C0000}"/>
    <cellStyle name="40% - Accent4 4 4" xfId="1300" xr:uid="{00000000-0005-0000-0000-0000AD4C0000}"/>
    <cellStyle name="40% - Accent4 5" xfId="136" xr:uid="{00000000-0005-0000-0000-0000AE4C0000}"/>
    <cellStyle name="40% - Accent4 5 2" xfId="11409" xr:uid="{00000000-0005-0000-0000-0000AF4C0000}"/>
    <cellStyle name="40% - Accent4 5 3" xfId="1671" xr:uid="{00000000-0005-0000-0000-0000B04C0000}"/>
    <cellStyle name="40% - Accent4 6" xfId="137" xr:uid="{00000000-0005-0000-0000-0000B14C0000}"/>
    <cellStyle name="40% - Accent4 6 2" xfId="11410" xr:uid="{00000000-0005-0000-0000-0000B24C0000}"/>
    <cellStyle name="40% - Accent4 6 3" xfId="1841" xr:uid="{00000000-0005-0000-0000-0000B34C0000}"/>
    <cellStyle name="40% - Accent4 7" xfId="138" xr:uid="{00000000-0005-0000-0000-0000B44C0000}"/>
    <cellStyle name="40% - Accent4 8" xfId="139" xr:uid="{00000000-0005-0000-0000-0000B54C0000}"/>
    <cellStyle name="40% - Accent4 9" xfId="140" xr:uid="{00000000-0005-0000-0000-0000B64C0000}"/>
    <cellStyle name="40% - Accent5" xfId="958" builtinId="47" customBuiltin="1"/>
    <cellStyle name="40% - Accent5 10" xfId="141" xr:uid="{00000000-0005-0000-0000-0000B84C0000}"/>
    <cellStyle name="40% - Accent5 11" xfId="142" xr:uid="{00000000-0005-0000-0000-0000B94C0000}"/>
    <cellStyle name="40% - Accent5 12" xfId="143" xr:uid="{00000000-0005-0000-0000-0000BA4C0000}"/>
    <cellStyle name="40% - Accent5 13" xfId="144" xr:uid="{00000000-0005-0000-0000-0000BB4C0000}"/>
    <cellStyle name="40% - Accent5 14" xfId="145" xr:uid="{00000000-0005-0000-0000-0000BC4C0000}"/>
    <cellStyle name="40% - Accent5 15" xfId="146" xr:uid="{00000000-0005-0000-0000-0000BD4C0000}"/>
    <cellStyle name="40% - Accent5 16" xfId="680" xr:uid="{00000000-0005-0000-0000-0000BE4C0000}"/>
    <cellStyle name="40% - Accent5 17" xfId="998" xr:uid="{00000000-0005-0000-0000-0000BF4C0000}"/>
    <cellStyle name="40% - Accent5 17 2" xfId="11869" xr:uid="{00000000-0005-0000-0000-0000C04C0000}"/>
    <cellStyle name="40% - Accent5 17 2 2" xfId="21573" xr:uid="{00000000-0005-0000-0000-0000C14C0000}"/>
    <cellStyle name="40% - Accent5 17 2 2 2" xfId="40973" xr:uid="{00000000-0005-0000-0000-0000C24C0000}"/>
    <cellStyle name="40% - Accent5 17 2 3" xfId="31275" xr:uid="{00000000-0005-0000-0000-0000C34C0000}"/>
    <cellStyle name="40% - Accent5 17 3" xfId="12225" xr:uid="{00000000-0005-0000-0000-0000C44C0000}"/>
    <cellStyle name="40% - Accent5 17 3 2" xfId="31628" xr:uid="{00000000-0005-0000-0000-0000C54C0000}"/>
    <cellStyle name="40% - Accent5 17 4" xfId="21930" xr:uid="{00000000-0005-0000-0000-0000C64C0000}"/>
    <cellStyle name="40% - Accent5 18" xfId="1028" xr:uid="{00000000-0005-0000-0000-0000C74C0000}"/>
    <cellStyle name="40% - Accent5 18 2" xfId="11899" xr:uid="{00000000-0005-0000-0000-0000C84C0000}"/>
    <cellStyle name="40% - Accent5 18 2 2" xfId="21603" xr:uid="{00000000-0005-0000-0000-0000C94C0000}"/>
    <cellStyle name="40% - Accent5 18 2 2 2" xfId="41003" xr:uid="{00000000-0005-0000-0000-0000CA4C0000}"/>
    <cellStyle name="40% - Accent5 18 2 3" xfId="31305" xr:uid="{00000000-0005-0000-0000-0000CB4C0000}"/>
    <cellStyle name="40% - Accent5 18 3" xfId="12255" xr:uid="{00000000-0005-0000-0000-0000CC4C0000}"/>
    <cellStyle name="40% - Accent5 18 3 2" xfId="31658" xr:uid="{00000000-0005-0000-0000-0000CD4C0000}"/>
    <cellStyle name="40% - Accent5 18 4" xfId="21960" xr:uid="{00000000-0005-0000-0000-0000CE4C0000}"/>
    <cellStyle name="40% - Accent5 19" xfId="1073" xr:uid="{00000000-0005-0000-0000-0000CF4C0000}"/>
    <cellStyle name="40% - Accent5 19 2" xfId="11944" xr:uid="{00000000-0005-0000-0000-0000D04C0000}"/>
    <cellStyle name="40% - Accent5 19 2 2" xfId="21648" xr:uid="{00000000-0005-0000-0000-0000D14C0000}"/>
    <cellStyle name="40% - Accent5 19 2 2 2" xfId="41048" xr:uid="{00000000-0005-0000-0000-0000D24C0000}"/>
    <cellStyle name="40% - Accent5 19 2 3" xfId="31350" xr:uid="{00000000-0005-0000-0000-0000D34C0000}"/>
    <cellStyle name="40% - Accent5 19 3" xfId="12300" xr:uid="{00000000-0005-0000-0000-0000D44C0000}"/>
    <cellStyle name="40% - Accent5 19 3 2" xfId="31703" xr:uid="{00000000-0005-0000-0000-0000D54C0000}"/>
    <cellStyle name="40% - Accent5 19 4" xfId="22005" xr:uid="{00000000-0005-0000-0000-0000D64C0000}"/>
    <cellStyle name="40% - Accent5 2" xfId="147" xr:uid="{00000000-0005-0000-0000-0000D74C0000}"/>
    <cellStyle name="40% - Accent5 2 10" xfId="2226" xr:uid="{00000000-0005-0000-0000-0000D84C0000}"/>
    <cellStyle name="40% - Accent5 2 10 2" xfId="3209" xr:uid="{00000000-0005-0000-0000-0000D94C0000}"/>
    <cellStyle name="40% - Accent5 2 10 2 2" xfId="5478" xr:uid="{00000000-0005-0000-0000-0000DA4C0000}"/>
    <cellStyle name="40% - Accent5 2 10 2 2 2" xfId="9942" xr:uid="{00000000-0005-0000-0000-0000DB4C0000}"/>
    <cellStyle name="40% - Accent5 2 10 2 2 2 2" xfId="19938" xr:uid="{00000000-0005-0000-0000-0000DC4C0000}"/>
    <cellStyle name="40% - Accent5 2 10 2 2 2 2 2" xfId="39338" xr:uid="{00000000-0005-0000-0000-0000DD4C0000}"/>
    <cellStyle name="40% - Accent5 2 10 2 2 2 3" xfId="29640" xr:uid="{00000000-0005-0000-0000-0000DE4C0000}"/>
    <cellStyle name="40% - Accent5 2 10 2 2 3" xfId="15483" xr:uid="{00000000-0005-0000-0000-0000DF4C0000}"/>
    <cellStyle name="40% - Accent5 2 10 2 2 3 2" xfId="34883" xr:uid="{00000000-0005-0000-0000-0000E04C0000}"/>
    <cellStyle name="40% - Accent5 2 10 2 2 4" xfId="25185" xr:uid="{00000000-0005-0000-0000-0000E14C0000}"/>
    <cellStyle name="40% - Accent5 2 10 2 3" xfId="7714" xr:uid="{00000000-0005-0000-0000-0000E24C0000}"/>
    <cellStyle name="40% - Accent5 2 10 2 3 2" xfId="17710" xr:uid="{00000000-0005-0000-0000-0000E34C0000}"/>
    <cellStyle name="40% - Accent5 2 10 2 3 2 2" xfId="37110" xr:uid="{00000000-0005-0000-0000-0000E44C0000}"/>
    <cellStyle name="40% - Accent5 2 10 2 3 3" xfId="27412" xr:uid="{00000000-0005-0000-0000-0000E54C0000}"/>
    <cellStyle name="40% - Accent5 2 10 2 4" xfId="13255" xr:uid="{00000000-0005-0000-0000-0000E64C0000}"/>
    <cellStyle name="40% - Accent5 2 10 2 4 2" xfId="32655" xr:uid="{00000000-0005-0000-0000-0000E74C0000}"/>
    <cellStyle name="40% - Accent5 2 10 2 5" xfId="22957" xr:uid="{00000000-0005-0000-0000-0000E84C0000}"/>
    <cellStyle name="40% - Accent5 2 10 3" xfId="3792" xr:uid="{00000000-0005-0000-0000-0000E94C0000}"/>
    <cellStyle name="40% - Accent5 2 10 3 2" xfId="4922" xr:uid="{00000000-0005-0000-0000-0000EA4C0000}"/>
    <cellStyle name="40% - Accent5 2 10 3 2 2" xfId="9386" xr:uid="{00000000-0005-0000-0000-0000EB4C0000}"/>
    <cellStyle name="40% - Accent5 2 10 3 2 2 2" xfId="19382" xr:uid="{00000000-0005-0000-0000-0000EC4C0000}"/>
    <cellStyle name="40% - Accent5 2 10 3 2 2 2 2" xfId="38782" xr:uid="{00000000-0005-0000-0000-0000ED4C0000}"/>
    <cellStyle name="40% - Accent5 2 10 3 2 2 3" xfId="29084" xr:uid="{00000000-0005-0000-0000-0000EE4C0000}"/>
    <cellStyle name="40% - Accent5 2 10 3 2 3" xfId="14927" xr:uid="{00000000-0005-0000-0000-0000EF4C0000}"/>
    <cellStyle name="40% - Accent5 2 10 3 2 3 2" xfId="34327" xr:uid="{00000000-0005-0000-0000-0000F04C0000}"/>
    <cellStyle name="40% - Accent5 2 10 3 2 4" xfId="24629" xr:uid="{00000000-0005-0000-0000-0000F14C0000}"/>
    <cellStyle name="40% - Accent5 2 10 3 3" xfId="8271" xr:uid="{00000000-0005-0000-0000-0000F24C0000}"/>
    <cellStyle name="40% - Accent5 2 10 3 3 2" xfId="18267" xr:uid="{00000000-0005-0000-0000-0000F34C0000}"/>
    <cellStyle name="40% - Accent5 2 10 3 3 2 2" xfId="37667" xr:uid="{00000000-0005-0000-0000-0000F44C0000}"/>
    <cellStyle name="40% - Accent5 2 10 3 3 3" xfId="27969" xr:uid="{00000000-0005-0000-0000-0000F54C0000}"/>
    <cellStyle name="40% - Accent5 2 10 3 4" xfId="13812" xr:uid="{00000000-0005-0000-0000-0000F64C0000}"/>
    <cellStyle name="40% - Accent5 2 10 3 4 2" xfId="33212" xr:uid="{00000000-0005-0000-0000-0000F74C0000}"/>
    <cellStyle name="40% - Accent5 2 10 3 5" xfId="23514" xr:uid="{00000000-0005-0000-0000-0000F84C0000}"/>
    <cellStyle name="40% - Accent5 2 10 4" xfId="4365" xr:uid="{00000000-0005-0000-0000-0000F94C0000}"/>
    <cellStyle name="40% - Accent5 2 10 4 2" xfId="8829" xr:uid="{00000000-0005-0000-0000-0000FA4C0000}"/>
    <cellStyle name="40% - Accent5 2 10 4 2 2" xfId="18825" xr:uid="{00000000-0005-0000-0000-0000FB4C0000}"/>
    <cellStyle name="40% - Accent5 2 10 4 2 2 2" xfId="38225" xr:uid="{00000000-0005-0000-0000-0000FC4C0000}"/>
    <cellStyle name="40% - Accent5 2 10 4 2 3" xfId="28527" xr:uid="{00000000-0005-0000-0000-0000FD4C0000}"/>
    <cellStyle name="40% - Accent5 2 10 4 3" xfId="14370" xr:uid="{00000000-0005-0000-0000-0000FE4C0000}"/>
    <cellStyle name="40% - Accent5 2 10 4 3 2" xfId="33770" xr:uid="{00000000-0005-0000-0000-0000FF4C0000}"/>
    <cellStyle name="40% - Accent5 2 10 4 4" xfId="24072" xr:uid="{00000000-0005-0000-0000-0000004D0000}"/>
    <cellStyle name="40% - Accent5 2 10 5" xfId="6035" xr:uid="{00000000-0005-0000-0000-0000014D0000}"/>
    <cellStyle name="40% - Accent5 2 10 5 2" xfId="10499" xr:uid="{00000000-0005-0000-0000-0000024D0000}"/>
    <cellStyle name="40% - Accent5 2 10 5 2 2" xfId="20495" xr:uid="{00000000-0005-0000-0000-0000034D0000}"/>
    <cellStyle name="40% - Accent5 2 10 5 2 2 2" xfId="39895" xr:uid="{00000000-0005-0000-0000-0000044D0000}"/>
    <cellStyle name="40% - Accent5 2 10 5 2 3" xfId="30197" xr:uid="{00000000-0005-0000-0000-0000054D0000}"/>
    <cellStyle name="40% - Accent5 2 10 5 3" xfId="16040" xr:uid="{00000000-0005-0000-0000-0000064D0000}"/>
    <cellStyle name="40% - Accent5 2 10 5 3 2" xfId="35440" xr:uid="{00000000-0005-0000-0000-0000074D0000}"/>
    <cellStyle name="40% - Accent5 2 10 5 4" xfId="25742" xr:uid="{00000000-0005-0000-0000-0000084D0000}"/>
    <cellStyle name="40% - Accent5 2 10 6" xfId="6601" xr:uid="{00000000-0005-0000-0000-0000094D0000}"/>
    <cellStyle name="40% - Accent5 2 10 6 2" xfId="11056" xr:uid="{00000000-0005-0000-0000-00000A4D0000}"/>
    <cellStyle name="40% - Accent5 2 10 6 2 2" xfId="21052" xr:uid="{00000000-0005-0000-0000-00000B4D0000}"/>
    <cellStyle name="40% - Accent5 2 10 6 2 2 2" xfId="40452" xr:uid="{00000000-0005-0000-0000-00000C4D0000}"/>
    <cellStyle name="40% - Accent5 2 10 6 2 3" xfId="30754" xr:uid="{00000000-0005-0000-0000-00000D4D0000}"/>
    <cellStyle name="40% - Accent5 2 10 6 3" xfId="16597" xr:uid="{00000000-0005-0000-0000-00000E4D0000}"/>
    <cellStyle name="40% - Accent5 2 10 6 3 2" xfId="35997" xr:uid="{00000000-0005-0000-0000-00000F4D0000}"/>
    <cellStyle name="40% - Accent5 2 10 6 4" xfId="26299" xr:uid="{00000000-0005-0000-0000-0000104D0000}"/>
    <cellStyle name="40% - Accent5 2 10 7" xfId="7158" xr:uid="{00000000-0005-0000-0000-0000114D0000}"/>
    <cellStyle name="40% - Accent5 2 10 7 2" xfId="17154" xr:uid="{00000000-0005-0000-0000-0000124D0000}"/>
    <cellStyle name="40% - Accent5 2 10 7 2 2" xfId="36554" xr:uid="{00000000-0005-0000-0000-0000134D0000}"/>
    <cellStyle name="40% - Accent5 2 10 7 3" xfId="26856" xr:uid="{00000000-0005-0000-0000-0000144D0000}"/>
    <cellStyle name="40% - Accent5 2 10 8" xfId="12698" xr:uid="{00000000-0005-0000-0000-0000154D0000}"/>
    <cellStyle name="40% - Accent5 2 10 8 2" xfId="32099" xr:uid="{00000000-0005-0000-0000-0000164D0000}"/>
    <cellStyle name="40% - Accent5 2 10 9" xfId="22401" xr:uid="{00000000-0005-0000-0000-0000174D0000}"/>
    <cellStyle name="40% - Accent5 2 11" xfId="11313" xr:uid="{00000000-0005-0000-0000-0000184D0000}"/>
    <cellStyle name="40% - Accent5 2 11 2" xfId="21298" xr:uid="{00000000-0005-0000-0000-0000194D0000}"/>
    <cellStyle name="40% - Accent5 2 11 2 2" xfId="40698" xr:uid="{00000000-0005-0000-0000-00001A4D0000}"/>
    <cellStyle name="40% - Accent5 2 11 3" xfId="31000" xr:uid="{00000000-0005-0000-0000-00001B4D0000}"/>
    <cellStyle name="40% - Accent5 2 12" xfId="11342" xr:uid="{00000000-0005-0000-0000-00001C4D0000}"/>
    <cellStyle name="40% - Accent5 2 12 2" xfId="21324" xr:uid="{00000000-0005-0000-0000-00001D4D0000}"/>
    <cellStyle name="40% - Accent5 2 12 2 2" xfId="40724" xr:uid="{00000000-0005-0000-0000-00001E4D0000}"/>
    <cellStyle name="40% - Accent5 2 12 3" xfId="31026" xr:uid="{00000000-0005-0000-0000-00001F4D0000}"/>
    <cellStyle name="40% - Accent5 2 13" xfId="1301" xr:uid="{00000000-0005-0000-0000-0000204D0000}"/>
    <cellStyle name="40% - Accent5 2 14" xfId="1138" xr:uid="{00000000-0005-0000-0000-0000214D0000}"/>
    <cellStyle name="40% - Accent5 2 14 2" xfId="12357" xr:uid="{00000000-0005-0000-0000-0000224D0000}"/>
    <cellStyle name="40% - Accent5 2 14 2 2" xfId="31759" xr:uid="{00000000-0005-0000-0000-0000234D0000}"/>
    <cellStyle name="40% - Accent5 2 14 3" xfId="22061" xr:uid="{00000000-0005-0000-0000-0000244D0000}"/>
    <cellStyle name="40% - Accent5 2 2" xfId="734" xr:uid="{00000000-0005-0000-0000-0000254D0000}"/>
    <cellStyle name="40% - Accent5 2 2 2" xfId="1754" xr:uid="{00000000-0005-0000-0000-0000264D0000}"/>
    <cellStyle name="40% - Accent5 2 2 3" xfId="1302" xr:uid="{00000000-0005-0000-0000-0000274D0000}"/>
    <cellStyle name="40% - Accent5 2 2 4" xfId="11691" xr:uid="{00000000-0005-0000-0000-0000284D0000}"/>
    <cellStyle name="40% - Accent5 2 2 4 2" xfId="21407" xr:uid="{00000000-0005-0000-0000-0000294D0000}"/>
    <cellStyle name="40% - Accent5 2 2 4 2 2" xfId="40807" xr:uid="{00000000-0005-0000-0000-00002A4D0000}"/>
    <cellStyle name="40% - Accent5 2 2 4 3" xfId="31109" xr:uid="{00000000-0005-0000-0000-00002B4D0000}"/>
    <cellStyle name="40% - Accent5 2 2 5" xfId="1179" xr:uid="{00000000-0005-0000-0000-00002C4D0000}"/>
    <cellStyle name="40% - Accent5 2 2 6" xfId="12059" xr:uid="{00000000-0005-0000-0000-00002D4D0000}"/>
    <cellStyle name="40% - Accent5 2 2 6 2" xfId="31462" xr:uid="{00000000-0005-0000-0000-00002E4D0000}"/>
    <cellStyle name="40% - Accent5 2 2 7" xfId="21764" xr:uid="{00000000-0005-0000-0000-00002F4D0000}"/>
    <cellStyle name="40% - Accent5 2 3" xfId="1108" xr:uid="{00000000-0005-0000-0000-0000304D0000}"/>
    <cellStyle name="40% - Accent5 2 3 2" xfId="2227" xr:uid="{00000000-0005-0000-0000-0000314D0000}"/>
    <cellStyle name="40% - Accent5 2 3 2 10" xfId="7159" xr:uid="{00000000-0005-0000-0000-0000324D0000}"/>
    <cellStyle name="40% - Accent5 2 3 2 10 2" xfId="17155" xr:uid="{00000000-0005-0000-0000-0000334D0000}"/>
    <cellStyle name="40% - Accent5 2 3 2 10 2 2" xfId="36555" xr:uid="{00000000-0005-0000-0000-0000344D0000}"/>
    <cellStyle name="40% - Accent5 2 3 2 10 3" xfId="26857" xr:uid="{00000000-0005-0000-0000-0000354D0000}"/>
    <cellStyle name="40% - Accent5 2 3 2 11" xfId="12699" xr:uid="{00000000-0005-0000-0000-0000364D0000}"/>
    <cellStyle name="40% - Accent5 2 3 2 11 2" xfId="32100" xr:uid="{00000000-0005-0000-0000-0000374D0000}"/>
    <cellStyle name="40% - Accent5 2 3 2 12" xfId="22402" xr:uid="{00000000-0005-0000-0000-0000384D0000}"/>
    <cellStyle name="40% - Accent5 2 3 2 2" xfId="2228" xr:uid="{00000000-0005-0000-0000-0000394D0000}"/>
    <cellStyle name="40% - Accent5 2 3 2 2 10" xfId="12700" xr:uid="{00000000-0005-0000-0000-00003A4D0000}"/>
    <cellStyle name="40% - Accent5 2 3 2 2 10 2" xfId="32101" xr:uid="{00000000-0005-0000-0000-00003B4D0000}"/>
    <cellStyle name="40% - Accent5 2 3 2 2 11" xfId="22403" xr:uid="{00000000-0005-0000-0000-00003C4D0000}"/>
    <cellStyle name="40% - Accent5 2 3 2 2 2" xfId="2229" xr:uid="{00000000-0005-0000-0000-00003D4D0000}"/>
    <cellStyle name="40% - Accent5 2 3 2 2 2 2" xfId="3212" xr:uid="{00000000-0005-0000-0000-00003E4D0000}"/>
    <cellStyle name="40% - Accent5 2 3 2 2 2 2 2" xfId="5481" xr:uid="{00000000-0005-0000-0000-00003F4D0000}"/>
    <cellStyle name="40% - Accent5 2 3 2 2 2 2 2 2" xfId="9945" xr:uid="{00000000-0005-0000-0000-0000404D0000}"/>
    <cellStyle name="40% - Accent5 2 3 2 2 2 2 2 2 2" xfId="19941" xr:uid="{00000000-0005-0000-0000-0000414D0000}"/>
    <cellStyle name="40% - Accent5 2 3 2 2 2 2 2 2 2 2" xfId="39341" xr:uid="{00000000-0005-0000-0000-0000424D0000}"/>
    <cellStyle name="40% - Accent5 2 3 2 2 2 2 2 2 3" xfId="29643" xr:uid="{00000000-0005-0000-0000-0000434D0000}"/>
    <cellStyle name="40% - Accent5 2 3 2 2 2 2 2 3" xfId="15486" xr:uid="{00000000-0005-0000-0000-0000444D0000}"/>
    <cellStyle name="40% - Accent5 2 3 2 2 2 2 2 3 2" xfId="34886" xr:uid="{00000000-0005-0000-0000-0000454D0000}"/>
    <cellStyle name="40% - Accent5 2 3 2 2 2 2 2 4" xfId="25188" xr:uid="{00000000-0005-0000-0000-0000464D0000}"/>
    <cellStyle name="40% - Accent5 2 3 2 2 2 2 3" xfId="7717" xr:uid="{00000000-0005-0000-0000-0000474D0000}"/>
    <cellStyle name="40% - Accent5 2 3 2 2 2 2 3 2" xfId="17713" xr:uid="{00000000-0005-0000-0000-0000484D0000}"/>
    <cellStyle name="40% - Accent5 2 3 2 2 2 2 3 2 2" xfId="37113" xr:uid="{00000000-0005-0000-0000-0000494D0000}"/>
    <cellStyle name="40% - Accent5 2 3 2 2 2 2 3 3" xfId="27415" xr:uid="{00000000-0005-0000-0000-00004A4D0000}"/>
    <cellStyle name="40% - Accent5 2 3 2 2 2 2 4" xfId="13258" xr:uid="{00000000-0005-0000-0000-00004B4D0000}"/>
    <cellStyle name="40% - Accent5 2 3 2 2 2 2 4 2" xfId="32658" xr:uid="{00000000-0005-0000-0000-00004C4D0000}"/>
    <cellStyle name="40% - Accent5 2 3 2 2 2 2 5" xfId="22960" xr:uid="{00000000-0005-0000-0000-00004D4D0000}"/>
    <cellStyle name="40% - Accent5 2 3 2 2 2 3" xfId="3795" xr:uid="{00000000-0005-0000-0000-00004E4D0000}"/>
    <cellStyle name="40% - Accent5 2 3 2 2 2 3 2" xfId="4925" xr:uid="{00000000-0005-0000-0000-00004F4D0000}"/>
    <cellStyle name="40% - Accent5 2 3 2 2 2 3 2 2" xfId="9389" xr:uid="{00000000-0005-0000-0000-0000504D0000}"/>
    <cellStyle name="40% - Accent5 2 3 2 2 2 3 2 2 2" xfId="19385" xr:uid="{00000000-0005-0000-0000-0000514D0000}"/>
    <cellStyle name="40% - Accent5 2 3 2 2 2 3 2 2 2 2" xfId="38785" xr:uid="{00000000-0005-0000-0000-0000524D0000}"/>
    <cellStyle name="40% - Accent5 2 3 2 2 2 3 2 2 3" xfId="29087" xr:uid="{00000000-0005-0000-0000-0000534D0000}"/>
    <cellStyle name="40% - Accent5 2 3 2 2 2 3 2 3" xfId="14930" xr:uid="{00000000-0005-0000-0000-0000544D0000}"/>
    <cellStyle name="40% - Accent5 2 3 2 2 2 3 2 3 2" xfId="34330" xr:uid="{00000000-0005-0000-0000-0000554D0000}"/>
    <cellStyle name="40% - Accent5 2 3 2 2 2 3 2 4" xfId="24632" xr:uid="{00000000-0005-0000-0000-0000564D0000}"/>
    <cellStyle name="40% - Accent5 2 3 2 2 2 3 3" xfId="8274" xr:uid="{00000000-0005-0000-0000-0000574D0000}"/>
    <cellStyle name="40% - Accent5 2 3 2 2 2 3 3 2" xfId="18270" xr:uid="{00000000-0005-0000-0000-0000584D0000}"/>
    <cellStyle name="40% - Accent5 2 3 2 2 2 3 3 2 2" xfId="37670" xr:uid="{00000000-0005-0000-0000-0000594D0000}"/>
    <cellStyle name="40% - Accent5 2 3 2 2 2 3 3 3" xfId="27972" xr:uid="{00000000-0005-0000-0000-00005A4D0000}"/>
    <cellStyle name="40% - Accent5 2 3 2 2 2 3 4" xfId="13815" xr:uid="{00000000-0005-0000-0000-00005B4D0000}"/>
    <cellStyle name="40% - Accent5 2 3 2 2 2 3 4 2" xfId="33215" xr:uid="{00000000-0005-0000-0000-00005C4D0000}"/>
    <cellStyle name="40% - Accent5 2 3 2 2 2 3 5" xfId="23517" xr:uid="{00000000-0005-0000-0000-00005D4D0000}"/>
    <cellStyle name="40% - Accent5 2 3 2 2 2 4" xfId="4368" xr:uid="{00000000-0005-0000-0000-00005E4D0000}"/>
    <cellStyle name="40% - Accent5 2 3 2 2 2 4 2" xfId="8832" xr:uid="{00000000-0005-0000-0000-00005F4D0000}"/>
    <cellStyle name="40% - Accent5 2 3 2 2 2 4 2 2" xfId="18828" xr:uid="{00000000-0005-0000-0000-0000604D0000}"/>
    <cellStyle name="40% - Accent5 2 3 2 2 2 4 2 2 2" xfId="38228" xr:uid="{00000000-0005-0000-0000-0000614D0000}"/>
    <cellStyle name="40% - Accent5 2 3 2 2 2 4 2 3" xfId="28530" xr:uid="{00000000-0005-0000-0000-0000624D0000}"/>
    <cellStyle name="40% - Accent5 2 3 2 2 2 4 3" xfId="14373" xr:uid="{00000000-0005-0000-0000-0000634D0000}"/>
    <cellStyle name="40% - Accent5 2 3 2 2 2 4 3 2" xfId="33773" xr:uid="{00000000-0005-0000-0000-0000644D0000}"/>
    <cellStyle name="40% - Accent5 2 3 2 2 2 4 4" xfId="24075" xr:uid="{00000000-0005-0000-0000-0000654D0000}"/>
    <cellStyle name="40% - Accent5 2 3 2 2 2 5" xfId="6038" xr:uid="{00000000-0005-0000-0000-0000664D0000}"/>
    <cellStyle name="40% - Accent5 2 3 2 2 2 5 2" xfId="10502" xr:uid="{00000000-0005-0000-0000-0000674D0000}"/>
    <cellStyle name="40% - Accent5 2 3 2 2 2 5 2 2" xfId="20498" xr:uid="{00000000-0005-0000-0000-0000684D0000}"/>
    <cellStyle name="40% - Accent5 2 3 2 2 2 5 2 2 2" xfId="39898" xr:uid="{00000000-0005-0000-0000-0000694D0000}"/>
    <cellStyle name="40% - Accent5 2 3 2 2 2 5 2 3" xfId="30200" xr:uid="{00000000-0005-0000-0000-00006A4D0000}"/>
    <cellStyle name="40% - Accent5 2 3 2 2 2 5 3" xfId="16043" xr:uid="{00000000-0005-0000-0000-00006B4D0000}"/>
    <cellStyle name="40% - Accent5 2 3 2 2 2 5 3 2" xfId="35443" xr:uid="{00000000-0005-0000-0000-00006C4D0000}"/>
    <cellStyle name="40% - Accent5 2 3 2 2 2 5 4" xfId="25745" xr:uid="{00000000-0005-0000-0000-00006D4D0000}"/>
    <cellStyle name="40% - Accent5 2 3 2 2 2 6" xfId="6604" xr:uid="{00000000-0005-0000-0000-00006E4D0000}"/>
    <cellStyle name="40% - Accent5 2 3 2 2 2 6 2" xfId="11059" xr:uid="{00000000-0005-0000-0000-00006F4D0000}"/>
    <cellStyle name="40% - Accent5 2 3 2 2 2 6 2 2" xfId="21055" xr:uid="{00000000-0005-0000-0000-0000704D0000}"/>
    <cellStyle name="40% - Accent5 2 3 2 2 2 6 2 2 2" xfId="40455" xr:uid="{00000000-0005-0000-0000-0000714D0000}"/>
    <cellStyle name="40% - Accent5 2 3 2 2 2 6 2 3" xfId="30757" xr:uid="{00000000-0005-0000-0000-0000724D0000}"/>
    <cellStyle name="40% - Accent5 2 3 2 2 2 6 3" xfId="16600" xr:uid="{00000000-0005-0000-0000-0000734D0000}"/>
    <cellStyle name="40% - Accent5 2 3 2 2 2 6 3 2" xfId="36000" xr:uid="{00000000-0005-0000-0000-0000744D0000}"/>
    <cellStyle name="40% - Accent5 2 3 2 2 2 6 4" xfId="26302" xr:uid="{00000000-0005-0000-0000-0000754D0000}"/>
    <cellStyle name="40% - Accent5 2 3 2 2 2 7" xfId="7161" xr:uid="{00000000-0005-0000-0000-0000764D0000}"/>
    <cellStyle name="40% - Accent5 2 3 2 2 2 7 2" xfId="17157" xr:uid="{00000000-0005-0000-0000-0000774D0000}"/>
    <cellStyle name="40% - Accent5 2 3 2 2 2 7 2 2" xfId="36557" xr:uid="{00000000-0005-0000-0000-0000784D0000}"/>
    <cellStyle name="40% - Accent5 2 3 2 2 2 7 3" xfId="26859" xr:uid="{00000000-0005-0000-0000-0000794D0000}"/>
    <cellStyle name="40% - Accent5 2 3 2 2 2 8" xfId="12701" xr:uid="{00000000-0005-0000-0000-00007A4D0000}"/>
    <cellStyle name="40% - Accent5 2 3 2 2 2 8 2" xfId="32102" xr:uid="{00000000-0005-0000-0000-00007B4D0000}"/>
    <cellStyle name="40% - Accent5 2 3 2 2 2 9" xfId="22404" xr:uid="{00000000-0005-0000-0000-00007C4D0000}"/>
    <cellStyle name="40% - Accent5 2 3 2 2 3" xfId="2230" xr:uid="{00000000-0005-0000-0000-00007D4D0000}"/>
    <cellStyle name="40% - Accent5 2 3 2 2 3 2" xfId="3213" xr:uid="{00000000-0005-0000-0000-00007E4D0000}"/>
    <cellStyle name="40% - Accent5 2 3 2 2 3 2 2" xfId="5482" xr:uid="{00000000-0005-0000-0000-00007F4D0000}"/>
    <cellStyle name="40% - Accent5 2 3 2 2 3 2 2 2" xfId="9946" xr:uid="{00000000-0005-0000-0000-0000804D0000}"/>
    <cellStyle name="40% - Accent5 2 3 2 2 3 2 2 2 2" xfId="19942" xr:uid="{00000000-0005-0000-0000-0000814D0000}"/>
    <cellStyle name="40% - Accent5 2 3 2 2 3 2 2 2 2 2" xfId="39342" xr:uid="{00000000-0005-0000-0000-0000824D0000}"/>
    <cellStyle name="40% - Accent5 2 3 2 2 3 2 2 2 3" xfId="29644" xr:uid="{00000000-0005-0000-0000-0000834D0000}"/>
    <cellStyle name="40% - Accent5 2 3 2 2 3 2 2 3" xfId="15487" xr:uid="{00000000-0005-0000-0000-0000844D0000}"/>
    <cellStyle name="40% - Accent5 2 3 2 2 3 2 2 3 2" xfId="34887" xr:uid="{00000000-0005-0000-0000-0000854D0000}"/>
    <cellStyle name="40% - Accent5 2 3 2 2 3 2 2 4" xfId="25189" xr:uid="{00000000-0005-0000-0000-0000864D0000}"/>
    <cellStyle name="40% - Accent5 2 3 2 2 3 2 3" xfId="7718" xr:uid="{00000000-0005-0000-0000-0000874D0000}"/>
    <cellStyle name="40% - Accent5 2 3 2 2 3 2 3 2" xfId="17714" xr:uid="{00000000-0005-0000-0000-0000884D0000}"/>
    <cellStyle name="40% - Accent5 2 3 2 2 3 2 3 2 2" xfId="37114" xr:uid="{00000000-0005-0000-0000-0000894D0000}"/>
    <cellStyle name="40% - Accent5 2 3 2 2 3 2 3 3" xfId="27416" xr:uid="{00000000-0005-0000-0000-00008A4D0000}"/>
    <cellStyle name="40% - Accent5 2 3 2 2 3 2 4" xfId="13259" xr:uid="{00000000-0005-0000-0000-00008B4D0000}"/>
    <cellStyle name="40% - Accent5 2 3 2 2 3 2 4 2" xfId="32659" xr:uid="{00000000-0005-0000-0000-00008C4D0000}"/>
    <cellStyle name="40% - Accent5 2 3 2 2 3 2 5" xfId="22961" xr:uid="{00000000-0005-0000-0000-00008D4D0000}"/>
    <cellStyle name="40% - Accent5 2 3 2 2 3 3" xfId="3796" xr:uid="{00000000-0005-0000-0000-00008E4D0000}"/>
    <cellStyle name="40% - Accent5 2 3 2 2 3 3 2" xfId="4926" xr:uid="{00000000-0005-0000-0000-00008F4D0000}"/>
    <cellStyle name="40% - Accent5 2 3 2 2 3 3 2 2" xfId="9390" xr:uid="{00000000-0005-0000-0000-0000904D0000}"/>
    <cellStyle name="40% - Accent5 2 3 2 2 3 3 2 2 2" xfId="19386" xr:uid="{00000000-0005-0000-0000-0000914D0000}"/>
    <cellStyle name="40% - Accent5 2 3 2 2 3 3 2 2 2 2" xfId="38786" xr:uid="{00000000-0005-0000-0000-0000924D0000}"/>
    <cellStyle name="40% - Accent5 2 3 2 2 3 3 2 2 3" xfId="29088" xr:uid="{00000000-0005-0000-0000-0000934D0000}"/>
    <cellStyle name="40% - Accent5 2 3 2 2 3 3 2 3" xfId="14931" xr:uid="{00000000-0005-0000-0000-0000944D0000}"/>
    <cellStyle name="40% - Accent5 2 3 2 2 3 3 2 3 2" xfId="34331" xr:uid="{00000000-0005-0000-0000-0000954D0000}"/>
    <cellStyle name="40% - Accent5 2 3 2 2 3 3 2 4" xfId="24633" xr:uid="{00000000-0005-0000-0000-0000964D0000}"/>
    <cellStyle name="40% - Accent5 2 3 2 2 3 3 3" xfId="8275" xr:uid="{00000000-0005-0000-0000-0000974D0000}"/>
    <cellStyle name="40% - Accent5 2 3 2 2 3 3 3 2" xfId="18271" xr:uid="{00000000-0005-0000-0000-0000984D0000}"/>
    <cellStyle name="40% - Accent5 2 3 2 2 3 3 3 2 2" xfId="37671" xr:uid="{00000000-0005-0000-0000-0000994D0000}"/>
    <cellStyle name="40% - Accent5 2 3 2 2 3 3 3 3" xfId="27973" xr:uid="{00000000-0005-0000-0000-00009A4D0000}"/>
    <cellStyle name="40% - Accent5 2 3 2 2 3 3 4" xfId="13816" xr:uid="{00000000-0005-0000-0000-00009B4D0000}"/>
    <cellStyle name="40% - Accent5 2 3 2 2 3 3 4 2" xfId="33216" xr:uid="{00000000-0005-0000-0000-00009C4D0000}"/>
    <cellStyle name="40% - Accent5 2 3 2 2 3 3 5" xfId="23518" xr:uid="{00000000-0005-0000-0000-00009D4D0000}"/>
    <cellStyle name="40% - Accent5 2 3 2 2 3 4" xfId="4369" xr:uid="{00000000-0005-0000-0000-00009E4D0000}"/>
    <cellStyle name="40% - Accent5 2 3 2 2 3 4 2" xfId="8833" xr:uid="{00000000-0005-0000-0000-00009F4D0000}"/>
    <cellStyle name="40% - Accent5 2 3 2 2 3 4 2 2" xfId="18829" xr:uid="{00000000-0005-0000-0000-0000A04D0000}"/>
    <cellStyle name="40% - Accent5 2 3 2 2 3 4 2 2 2" xfId="38229" xr:uid="{00000000-0005-0000-0000-0000A14D0000}"/>
    <cellStyle name="40% - Accent5 2 3 2 2 3 4 2 3" xfId="28531" xr:uid="{00000000-0005-0000-0000-0000A24D0000}"/>
    <cellStyle name="40% - Accent5 2 3 2 2 3 4 3" xfId="14374" xr:uid="{00000000-0005-0000-0000-0000A34D0000}"/>
    <cellStyle name="40% - Accent5 2 3 2 2 3 4 3 2" xfId="33774" xr:uid="{00000000-0005-0000-0000-0000A44D0000}"/>
    <cellStyle name="40% - Accent5 2 3 2 2 3 4 4" xfId="24076" xr:uid="{00000000-0005-0000-0000-0000A54D0000}"/>
    <cellStyle name="40% - Accent5 2 3 2 2 3 5" xfId="6039" xr:uid="{00000000-0005-0000-0000-0000A64D0000}"/>
    <cellStyle name="40% - Accent5 2 3 2 2 3 5 2" xfId="10503" xr:uid="{00000000-0005-0000-0000-0000A74D0000}"/>
    <cellStyle name="40% - Accent5 2 3 2 2 3 5 2 2" xfId="20499" xr:uid="{00000000-0005-0000-0000-0000A84D0000}"/>
    <cellStyle name="40% - Accent5 2 3 2 2 3 5 2 2 2" xfId="39899" xr:uid="{00000000-0005-0000-0000-0000A94D0000}"/>
    <cellStyle name="40% - Accent5 2 3 2 2 3 5 2 3" xfId="30201" xr:uid="{00000000-0005-0000-0000-0000AA4D0000}"/>
    <cellStyle name="40% - Accent5 2 3 2 2 3 5 3" xfId="16044" xr:uid="{00000000-0005-0000-0000-0000AB4D0000}"/>
    <cellStyle name="40% - Accent5 2 3 2 2 3 5 3 2" xfId="35444" xr:uid="{00000000-0005-0000-0000-0000AC4D0000}"/>
    <cellStyle name="40% - Accent5 2 3 2 2 3 5 4" xfId="25746" xr:uid="{00000000-0005-0000-0000-0000AD4D0000}"/>
    <cellStyle name="40% - Accent5 2 3 2 2 3 6" xfId="6605" xr:uid="{00000000-0005-0000-0000-0000AE4D0000}"/>
    <cellStyle name="40% - Accent5 2 3 2 2 3 6 2" xfId="11060" xr:uid="{00000000-0005-0000-0000-0000AF4D0000}"/>
    <cellStyle name="40% - Accent5 2 3 2 2 3 6 2 2" xfId="21056" xr:uid="{00000000-0005-0000-0000-0000B04D0000}"/>
    <cellStyle name="40% - Accent5 2 3 2 2 3 6 2 2 2" xfId="40456" xr:uid="{00000000-0005-0000-0000-0000B14D0000}"/>
    <cellStyle name="40% - Accent5 2 3 2 2 3 6 2 3" xfId="30758" xr:uid="{00000000-0005-0000-0000-0000B24D0000}"/>
    <cellStyle name="40% - Accent5 2 3 2 2 3 6 3" xfId="16601" xr:uid="{00000000-0005-0000-0000-0000B34D0000}"/>
    <cellStyle name="40% - Accent5 2 3 2 2 3 6 3 2" xfId="36001" xr:uid="{00000000-0005-0000-0000-0000B44D0000}"/>
    <cellStyle name="40% - Accent5 2 3 2 2 3 6 4" xfId="26303" xr:uid="{00000000-0005-0000-0000-0000B54D0000}"/>
    <cellStyle name="40% - Accent5 2 3 2 2 3 7" xfId="7162" xr:uid="{00000000-0005-0000-0000-0000B64D0000}"/>
    <cellStyle name="40% - Accent5 2 3 2 2 3 7 2" xfId="17158" xr:uid="{00000000-0005-0000-0000-0000B74D0000}"/>
    <cellStyle name="40% - Accent5 2 3 2 2 3 7 2 2" xfId="36558" xr:uid="{00000000-0005-0000-0000-0000B84D0000}"/>
    <cellStyle name="40% - Accent5 2 3 2 2 3 7 3" xfId="26860" xr:uid="{00000000-0005-0000-0000-0000B94D0000}"/>
    <cellStyle name="40% - Accent5 2 3 2 2 3 8" xfId="12702" xr:uid="{00000000-0005-0000-0000-0000BA4D0000}"/>
    <cellStyle name="40% - Accent5 2 3 2 2 3 8 2" xfId="32103" xr:uid="{00000000-0005-0000-0000-0000BB4D0000}"/>
    <cellStyle name="40% - Accent5 2 3 2 2 3 9" xfId="22405" xr:uid="{00000000-0005-0000-0000-0000BC4D0000}"/>
    <cellStyle name="40% - Accent5 2 3 2 2 4" xfId="3211" xr:uid="{00000000-0005-0000-0000-0000BD4D0000}"/>
    <cellStyle name="40% - Accent5 2 3 2 2 4 2" xfId="5480" xr:uid="{00000000-0005-0000-0000-0000BE4D0000}"/>
    <cellStyle name="40% - Accent5 2 3 2 2 4 2 2" xfId="9944" xr:uid="{00000000-0005-0000-0000-0000BF4D0000}"/>
    <cellStyle name="40% - Accent5 2 3 2 2 4 2 2 2" xfId="19940" xr:uid="{00000000-0005-0000-0000-0000C04D0000}"/>
    <cellStyle name="40% - Accent5 2 3 2 2 4 2 2 2 2" xfId="39340" xr:uid="{00000000-0005-0000-0000-0000C14D0000}"/>
    <cellStyle name="40% - Accent5 2 3 2 2 4 2 2 3" xfId="29642" xr:uid="{00000000-0005-0000-0000-0000C24D0000}"/>
    <cellStyle name="40% - Accent5 2 3 2 2 4 2 3" xfId="15485" xr:uid="{00000000-0005-0000-0000-0000C34D0000}"/>
    <cellStyle name="40% - Accent5 2 3 2 2 4 2 3 2" xfId="34885" xr:uid="{00000000-0005-0000-0000-0000C44D0000}"/>
    <cellStyle name="40% - Accent5 2 3 2 2 4 2 4" xfId="25187" xr:uid="{00000000-0005-0000-0000-0000C54D0000}"/>
    <cellStyle name="40% - Accent5 2 3 2 2 4 3" xfId="7716" xr:uid="{00000000-0005-0000-0000-0000C64D0000}"/>
    <cellStyle name="40% - Accent5 2 3 2 2 4 3 2" xfId="17712" xr:uid="{00000000-0005-0000-0000-0000C74D0000}"/>
    <cellStyle name="40% - Accent5 2 3 2 2 4 3 2 2" xfId="37112" xr:uid="{00000000-0005-0000-0000-0000C84D0000}"/>
    <cellStyle name="40% - Accent5 2 3 2 2 4 3 3" xfId="27414" xr:uid="{00000000-0005-0000-0000-0000C94D0000}"/>
    <cellStyle name="40% - Accent5 2 3 2 2 4 4" xfId="13257" xr:uid="{00000000-0005-0000-0000-0000CA4D0000}"/>
    <cellStyle name="40% - Accent5 2 3 2 2 4 4 2" xfId="32657" xr:uid="{00000000-0005-0000-0000-0000CB4D0000}"/>
    <cellStyle name="40% - Accent5 2 3 2 2 4 5" xfId="22959" xr:uid="{00000000-0005-0000-0000-0000CC4D0000}"/>
    <cellStyle name="40% - Accent5 2 3 2 2 5" xfId="3794" xr:uid="{00000000-0005-0000-0000-0000CD4D0000}"/>
    <cellStyle name="40% - Accent5 2 3 2 2 5 2" xfId="4924" xr:uid="{00000000-0005-0000-0000-0000CE4D0000}"/>
    <cellStyle name="40% - Accent5 2 3 2 2 5 2 2" xfId="9388" xr:uid="{00000000-0005-0000-0000-0000CF4D0000}"/>
    <cellStyle name="40% - Accent5 2 3 2 2 5 2 2 2" xfId="19384" xr:uid="{00000000-0005-0000-0000-0000D04D0000}"/>
    <cellStyle name="40% - Accent5 2 3 2 2 5 2 2 2 2" xfId="38784" xr:uid="{00000000-0005-0000-0000-0000D14D0000}"/>
    <cellStyle name="40% - Accent5 2 3 2 2 5 2 2 3" xfId="29086" xr:uid="{00000000-0005-0000-0000-0000D24D0000}"/>
    <cellStyle name="40% - Accent5 2 3 2 2 5 2 3" xfId="14929" xr:uid="{00000000-0005-0000-0000-0000D34D0000}"/>
    <cellStyle name="40% - Accent5 2 3 2 2 5 2 3 2" xfId="34329" xr:uid="{00000000-0005-0000-0000-0000D44D0000}"/>
    <cellStyle name="40% - Accent5 2 3 2 2 5 2 4" xfId="24631" xr:uid="{00000000-0005-0000-0000-0000D54D0000}"/>
    <cellStyle name="40% - Accent5 2 3 2 2 5 3" xfId="8273" xr:uid="{00000000-0005-0000-0000-0000D64D0000}"/>
    <cellStyle name="40% - Accent5 2 3 2 2 5 3 2" xfId="18269" xr:uid="{00000000-0005-0000-0000-0000D74D0000}"/>
    <cellStyle name="40% - Accent5 2 3 2 2 5 3 2 2" xfId="37669" xr:uid="{00000000-0005-0000-0000-0000D84D0000}"/>
    <cellStyle name="40% - Accent5 2 3 2 2 5 3 3" xfId="27971" xr:uid="{00000000-0005-0000-0000-0000D94D0000}"/>
    <cellStyle name="40% - Accent5 2 3 2 2 5 4" xfId="13814" xr:uid="{00000000-0005-0000-0000-0000DA4D0000}"/>
    <cellStyle name="40% - Accent5 2 3 2 2 5 4 2" xfId="33214" xr:uid="{00000000-0005-0000-0000-0000DB4D0000}"/>
    <cellStyle name="40% - Accent5 2 3 2 2 5 5" xfId="23516" xr:uid="{00000000-0005-0000-0000-0000DC4D0000}"/>
    <cellStyle name="40% - Accent5 2 3 2 2 6" xfId="4367" xr:uid="{00000000-0005-0000-0000-0000DD4D0000}"/>
    <cellStyle name="40% - Accent5 2 3 2 2 6 2" xfId="8831" xr:uid="{00000000-0005-0000-0000-0000DE4D0000}"/>
    <cellStyle name="40% - Accent5 2 3 2 2 6 2 2" xfId="18827" xr:uid="{00000000-0005-0000-0000-0000DF4D0000}"/>
    <cellStyle name="40% - Accent5 2 3 2 2 6 2 2 2" xfId="38227" xr:uid="{00000000-0005-0000-0000-0000E04D0000}"/>
    <cellStyle name="40% - Accent5 2 3 2 2 6 2 3" xfId="28529" xr:uid="{00000000-0005-0000-0000-0000E14D0000}"/>
    <cellStyle name="40% - Accent5 2 3 2 2 6 3" xfId="14372" xr:uid="{00000000-0005-0000-0000-0000E24D0000}"/>
    <cellStyle name="40% - Accent5 2 3 2 2 6 3 2" xfId="33772" xr:uid="{00000000-0005-0000-0000-0000E34D0000}"/>
    <cellStyle name="40% - Accent5 2 3 2 2 6 4" xfId="24074" xr:uid="{00000000-0005-0000-0000-0000E44D0000}"/>
    <cellStyle name="40% - Accent5 2 3 2 2 7" xfId="6037" xr:uid="{00000000-0005-0000-0000-0000E54D0000}"/>
    <cellStyle name="40% - Accent5 2 3 2 2 7 2" xfId="10501" xr:uid="{00000000-0005-0000-0000-0000E64D0000}"/>
    <cellStyle name="40% - Accent5 2 3 2 2 7 2 2" xfId="20497" xr:uid="{00000000-0005-0000-0000-0000E74D0000}"/>
    <cellStyle name="40% - Accent5 2 3 2 2 7 2 2 2" xfId="39897" xr:uid="{00000000-0005-0000-0000-0000E84D0000}"/>
    <cellStyle name="40% - Accent5 2 3 2 2 7 2 3" xfId="30199" xr:uid="{00000000-0005-0000-0000-0000E94D0000}"/>
    <cellStyle name="40% - Accent5 2 3 2 2 7 3" xfId="16042" xr:uid="{00000000-0005-0000-0000-0000EA4D0000}"/>
    <cellStyle name="40% - Accent5 2 3 2 2 7 3 2" xfId="35442" xr:uid="{00000000-0005-0000-0000-0000EB4D0000}"/>
    <cellStyle name="40% - Accent5 2 3 2 2 7 4" xfId="25744" xr:uid="{00000000-0005-0000-0000-0000EC4D0000}"/>
    <cellStyle name="40% - Accent5 2 3 2 2 8" xfId="6603" xr:uid="{00000000-0005-0000-0000-0000ED4D0000}"/>
    <cellStyle name="40% - Accent5 2 3 2 2 8 2" xfId="11058" xr:uid="{00000000-0005-0000-0000-0000EE4D0000}"/>
    <cellStyle name="40% - Accent5 2 3 2 2 8 2 2" xfId="21054" xr:uid="{00000000-0005-0000-0000-0000EF4D0000}"/>
    <cellStyle name="40% - Accent5 2 3 2 2 8 2 2 2" xfId="40454" xr:uid="{00000000-0005-0000-0000-0000F04D0000}"/>
    <cellStyle name="40% - Accent5 2 3 2 2 8 2 3" xfId="30756" xr:uid="{00000000-0005-0000-0000-0000F14D0000}"/>
    <cellStyle name="40% - Accent5 2 3 2 2 8 3" xfId="16599" xr:uid="{00000000-0005-0000-0000-0000F24D0000}"/>
    <cellStyle name="40% - Accent5 2 3 2 2 8 3 2" xfId="35999" xr:uid="{00000000-0005-0000-0000-0000F34D0000}"/>
    <cellStyle name="40% - Accent5 2 3 2 2 8 4" xfId="26301" xr:uid="{00000000-0005-0000-0000-0000F44D0000}"/>
    <cellStyle name="40% - Accent5 2 3 2 2 9" xfId="7160" xr:uid="{00000000-0005-0000-0000-0000F54D0000}"/>
    <cellStyle name="40% - Accent5 2 3 2 2 9 2" xfId="17156" xr:uid="{00000000-0005-0000-0000-0000F64D0000}"/>
    <cellStyle name="40% - Accent5 2 3 2 2 9 2 2" xfId="36556" xr:uid="{00000000-0005-0000-0000-0000F74D0000}"/>
    <cellStyle name="40% - Accent5 2 3 2 2 9 3" xfId="26858" xr:uid="{00000000-0005-0000-0000-0000F84D0000}"/>
    <cellStyle name="40% - Accent5 2 3 2 3" xfId="2231" xr:uid="{00000000-0005-0000-0000-0000F94D0000}"/>
    <cellStyle name="40% - Accent5 2 3 2 3 2" xfId="3214" xr:uid="{00000000-0005-0000-0000-0000FA4D0000}"/>
    <cellStyle name="40% - Accent5 2 3 2 3 2 2" xfId="5483" xr:uid="{00000000-0005-0000-0000-0000FB4D0000}"/>
    <cellStyle name="40% - Accent5 2 3 2 3 2 2 2" xfId="9947" xr:uid="{00000000-0005-0000-0000-0000FC4D0000}"/>
    <cellStyle name="40% - Accent5 2 3 2 3 2 2 2 2" xfId="19943" xr:uid="{00000000-0005-0000-0000-0000FD4D0000}"/>
    <cellStyle name="40% - Accent5 2 3 2 3 2 2 2 2 2" xfId="39343" xr:uid="{00000000-0005-0000-0000-0000FE4D0000}"/>
    <cellStyle name="40% - Accent5 2 3 2 3 2 2 2 3" xfId="29645" xr:uid="{00000000-0005-0000-0000-0000FF4D0000}"/>
    <cellStyle name="40% - Accent5 2 3 2 3 2 2 3" xfId="15488" xr:uid="{00000000-0005-0000-0000-0000004E0000}"/>
    <cellStyle name="40% - Accent5 2 3 2 3 2 2 3 2" xfId="34888" xr:uid="{00000000-0005-0000-0000-0000014E0000}"/>
    <cellStyle name="40% - Accent5 2 3 2 3 2 2 4" xfId="25190" xr:uid="{00000000-0005-0000-0000-0000024E0000}"/>
    <cellStyle name="40% - Accent5 2 3 2 3 2 3" xfId="7719" xr:uid="{00000000-0005-0000-0000-0000034E0000}"/>
    <cellStyle name="40% - Accent5 2 3 2 3 2 3 2" xfId="17715" xr:uid="{00000000-0005-0000-0000-0000044E0000}"/>
    <cellStyle name="40% - Accent5 2 3 2 3 2 3 2 2" xfId="37115" xr:uid="{00000000-0005-0000-0000-0000054E0000}"/>
    <cellStyle name="40% - Accent5 2 3 2 3 2 3 3" xfId="27417" xr:uid="{00000000-0005-0000-0000-0000064E0000}"/>
    <cellStyle name="40% - Accent5 2 3 2 3 2 4" xfId="13260" xr:uid="{00000000-0005-0000-0000-0000074E0000}"/>
    <cellStyle name="40% - Accent5 2 3 2 3 2 4 2" xfId="32660" xr:uid="{00000000-0005-0000-0000-0000084E0000}"/>
    <cellStyle name="40% - Accent5 2 3 2 3 2 5" xfId="22962" xr:uid="{00000000-0005-0000-0000-0000094E0000}"/>
    <cellStyle name="40% - Accent5 2 3 2 3 3" xfId="3797" xr:uid="{00000000-0005-0000-0000-00000A4E0000}"/>
    <cellStyle name="40% - Accent5 2 3 2 3 3 2" xfId="4927" xr:uid="{00000000-0005-0000-0000-00000B4E0000}"/>
    <cellStyle name="40% - Accent5 2 3 2 3 3 2 2" xfId="9391" xr:uid="{00000000-0005-0000-0000-00000C4E0000}"/>
    <cellStyle name="40% - Accent5 2 3 2 3 3 2 2 2" xfId="19387" xr:uid="{00000000-0005-0000-0000-00000D4E0000}"/>
    <cellStyle name="40% - Accent5 2 3 2 3 3 2 2 2 2" xfId="38787" xr:uid="{00000000-0005-0000-0000-00000E4E0000}"/>
    <cellStyle name="40% - Accent5 2 3 2 3 3 2 2 3" xfId="29089" xr:uid="{00000000-0005-0000-0000-00000F4E0000}"/>
    <cellStyle name="40% - Accent5 2 3 2 3 3 2 3" xfId="14932" xr:uid="{00000000-0005-0000-0000-0000104E0000}"/>
    <cellStyle name="40% - Accent5 2 3 2 3 3 2 3 2" xfId="34332" xr:uid="{00000000-0005-0000-0000-0000114E0000}"/>
    <cellStyle name="40% - Accent5 2 3 2 3 3 2 4" xfId="24634" xr:uid="{00000000-0005-0000-0000-0000124E0000}"/>
    <cellStyle name="40% - Accent5 2 3 2 3 3 3" xfId="8276" xr:uid="{00000000-0005-0000-0000-0000134E0000}"/>
    <cellStyle name="40% - Accent5 2 3 2 3 3 3 2" xfId="18272" xr:uid="{00000000-0005-0000-0000-0000144E0000}"/>
    <cellStyle name="40% - Accent5 2 3 2 3 3 3 2 2" xfId="37672" xr:uid="{00000000-0005-0000-0000-0000154E0000}"/>
    <cellStyle name="40% - Accent5 2 3 2 3 3 3 3" xfId="27974" xr:uid="{00000000-0005-0000-0000-0000164E0000}"/>
    <cellStyle name="40% - Accent5 2 3 2 3 3 4" xfId="13817" xr:uid="{00000000-0005-0000-0000-0000174E0000}"/>
    <cellStyle name="40% - Accent5 2 3 2 3 3 4 2" xfId="33217" xr:uid="{00000000-0005-0000-0000-0000184E0000}"/>
    <cellStyle name="40% - Accent5 2 3 2 3 3 5" xfId="23519" xr:uid="{00000000-0005-0000-0000-0000194E0000}"/>
    <cellStyle name="40% - Accent5 2 3 2 3 4" xfId="4370" xr:uid="{00000000-0005-0000-0000-00001A4E0000}"/>
    <cellStyle name="40% - Accent5 2 3 2 3 4 2" xfId="8834" xr:uid="{00000000-0005-0000-0000-00001B4E0000}"/>
    <cellStyle name="40% - Accent5 2 3 2 3 4 2 2" xfId="18830" xr:uid="{00000000-0005-0000-0000-00001C4E0000}"/>
    <cellStyle name="40% - Accent5 2 3 2 3 4 2 2 2" xfId="38230" xr:uid="{00000000-0005-0000-0000-00001D4E0000}"/>
    <cellStyle name="40% - Accent5 2 3 2 3 4 2 3" xfId="28532" xr:uid="{00000000-0005-0000-0000-00001E4E0000}"/>
    <cellStyle name="40% - Accent5 2 3 2 3 4 3" xfId="14375" xr:uid="{00000000-0005-0000-0000-00001F4E0000}"/>
    <cellStyle name="40% - Accent5 2 3 2 3 4 3 2" xfId="33775" xr:uid="{00000000-0005-0000-0000-0000204E0000}"/>
    <cellStyle name="40% - Accent5 2 3 2 3 4 4" xfId="24077" xr:uid="{00000000-0005-0000-0000-0000214E0000}"/>
    <cellStyle name="40% - Accent5 2 3 2 3 5" xfId="6040" xr:uid="{00000000-0005-0000-0000-0000224E0000}"/>
    <cellStyle name="40% - Accent5 2 3 2 3 5 2" xfId="10504" xr:uid="{00000000-0005-0000-0000-0000234E0000}"/>
    <cellStyle name="40% - Accent5 2 3 2 3 5 2 2" xfId="20500" xr:uid="{00000000-0005-0000-0000-0000244E0000}"/>
    <cellStyle name="40% - Accent5 2 3 2 3 5 2 2 2" xfId="39900" xr:uid="{00000000-0005-0000-0000-0000254E0000}"/>
    <cellStyle name="40% - Accent5 2 3 2 3 5 2 3" xfId="30202" xr:uid="{00000000-0005-0000-0000-0000264E0000}"/>
    <cellStyle name="40% - Accent5 2 3 2 3 5 3" xfId="16045" xr:uid="{00000000-0005-0000-0000-0000274E0000}"/>
    <cellStyle name="40% - Accent5 2 3 2 3 5 3 2" xfId="35445" xr:uid="{00000000-0005-0000-0000-0000284E0000}"/>
    <cellStyle name="40% - Accent5 2 3 2 3 5 4" xfId="25747" xr:uid="{00000000-0005-0000-0000-0000294E0000}"/>
    <cellStyle name="40% - Accent5 2 3 2 3 6" xfId="6606" xr:uid="{00000000-0005-0000-0000-00002A4E0000}"/>
    <cellStyle name="40% - Accent5 2 3 2 3 6 2" xfId="11061" xr:uid="{00000000-0005-0000-0000-00002B4E0000}"/>
    <cellStyle name="40% - Accent5 2 3 2 3 6 2 2" xfId="21057" xr:uid="{00000000-0005-0000-0000-00002C4E0000}"/>
    <cellStyle name="40% - Accent5 2 3 2 3 6 2 2 2" xfId="40457" xr:uid="{00000000-0005-0000-0000-00002D4E0000}"/>
    <cellStyle name="40% - Accent5 2 3 2 3 6 2 3" xfId="30759" xr:uid="{00000000-0005-0000-0000-00002E4E0000}"/>
    <cellStyle name="40% - Accent5 2 3 2 3 6 3" xfId="16602" xr:uid="{00000000-0005-0000-0000-00002F4E0000}"/>
    <cellStyle name="40% - Accent5 2 3 2 3 6 3 2" xfId="36002" xr:uid="{00000000-0005-0000-0000-0000304E0000}"/>
    <cellStyle name="40% - Accent5 2 3 2 3 6 4" xfId="26304" xr:uid="{00000000-0005-0000-0000-0000314E0000}"/>
    <cellStyle name="40% - Accent5 2 3 2 3 7" xfId="7163" xr:uid="{00000000-0005-0000-0000-0000324E0000}"/>
    <cellStyle name="40% - Accent5 2 3 2 3 7 2" xfId="17159" xr:uid="{00000000-0005-0000-0000-0000334E0000}"/>
    <cellStyle name="40% - Accent5 2 3 2 3 7 2 2" xfId="36559" xr:uid="{00000000-0005-0000-0000-0000344E0000}"/>
    <cellStyle name="40% - Accent5 2 3 2 3 7 3" xfId="26861" xr:uid="{00000000-0005-0000-0000-0000354E0000}"/>
    <cellStyle name="40% - Accent5 2 3 2 3 8" xfId="12703" xr:uid="{00000000-0005-0000-0000-0000364E0000}"/>
    <cellStyle name="40% - Accent5 2 3 2 3 8 2" xfId="32104" xr:uid="{00000000-0005-0000-0000-0000374E0000}"/>
    <cellStyle name="40% - Accent5 2 3 2 3 9" xfId="22406" xr:uid="{00000000-0005-0000-0000-0000384E0000}"/>
    <cellStyle name="40% - Accent5 2 3 2 4" xfId="2232" xr:uid="{00000000-0005-0000-0000-0000394E0000}"/>
    <cellStyle name="40% - Accent5 2 3 2 4 2" xfId="3215" xr:uid="{00000000-0005-0000-0000-00003A4E0000}"/>
    <cellStyle name="40% - Accent5 2 3 2 4 2 2" xfId="5484" xr:uid="{00000000-0005-0000-0000-00003B4E0000}"/>
    <cellStyle name="40% - Accent5 2 3 2 4 2 2 2" xfId="9948" xr:uid="{00000000-0005-0000-0000-00003C4E0000}"/>
    <cellStyle name="40% - Accent5 2 3 2 4 2 2 2 2" xfId="19944" xr:uid="{00000000-0005-0000-0000-00003D4E0000}"/>
    <cellStyle name="40% - Accent5 2 3 2 4 2 2 2 2 2" xfId="39344" xr:uid="{00000000-0005-0000-0000-00003E4E0000}"/>
    <cellStyle name="40% - Accent5 2 3 2 4 2 2 2 3" xfId="29646" xr:uid="{00000000-0005-0000-0000-00003F4E0000}"/>
    <cellStyle name="40% - Accent5 2 3 2 4 2 2 3" xfId="15489" xr:uid="{00000000-0005-0000-0000-0000404E0000}"/>
    <cellStyle name="40% - Accent5 2 3 2 4 2 2 3 2" xfId="34889" xr:uid="{00000000-0005-0000-0000-0000414E0000}"/>
    <cellStyle name="40% - Accent5 2 3 2 4 2 2 4" xfId="25191" xr:uid="{00000000-0005-0000-0000-0000424E0000}"/>
    <cellStyle name="40% - Accent5 2 3 2 4 2 3" xfId="7720" xr:uid="{00000000-0005-0000-0000-0000434E0000}"/>
    <cellStyle name="40% - Accent5 2 3 2 4 2 3 2" xfId="17716" xr:uid="{00000000-0005-0000-0000-0000444E0000}"/>
    <cellStyle name="40% - Accent5 2 3 2 4 2 3 2 2" xfId="37116" xr:uid="{00000000-0005-0000-0000-0000454E0000}"/>
    <cellStyle name="40% - Accent5 2 3 2 4 2 3 3" xfId="27418" xr:uid="{00000000-0005-0000-0000-0000464E0000}"/>
    <cellStyle name="40% - Accent5 2 3 2 4 2 4" xfId="13261" xr:uid="{00000000-0005-0000-0000-0000474E0000}"/>
    <cellStyle name="40% - Accent5 2 3 2 4 2 4 2" xfId="32661" xr:uid="{00000000-0005-0000-0000-0000484E0000}"/>
    <cellStyle name="40% - Accent5 2 3 2 4 2 5" xfId="22963" xr:uid="{00000000-0005-0000-0000-0000494E0000}"/>
    <cellStyle name="40% - Accent5 2 3 2 4 3" xfId="3798" xr:uid="{00000000-0005-0000-0000-00004A4E0000}"/>
    <cellStyle name="40% - Accent5 2 3 2 4 3 2" xfId="4928" xr:uid="{00000000-0005-0000-0000-00004B4E0000}"/>
    <cellStyle name="40% - Accent5 2 3 2 4 3 2 2" xfId="9392" xr:uid="{00000000-0005-0000-0000-00004C4E0000}"/>
    <cellStyle name="40% - Accent5 2 3 2 4 3 2 2 2" xfId="19388" xr:uid="{00000000-0005-0000-0000-00004D4E0000}"/>
    <cellStyle name="40% - Accent5 2 3 2 4 3 2 2 2 2" xfId="38788" xr:uid="{00000000-0005-0000-0000-00004E4E0000}"/>
    <cellStyle name="40% - Accent5 2 3 2 4 3 2 2 3" xfId="29090" xr:uid="{00000000-0005-0000-0000-00004F4E0000}"/>
    <cellStyle name="40% - Accent5 2 3 2 4 3 2 3" xfId="14933" xr:uid="{00000000-0005-0000-0000-0000504E0000}"/>
    <cellStyle name="40% - Accent5 2 3 2 4 3 2 3 2" xfId="34333" xr:uid="{00000000-0005-0000-0000-0000514E0000}"/>
    <cellStyle name="40% - Accent5 2 3 2 4 3 2 4" xfId="24635" xr:uid="{00000000-0005-0000-0000-0000524E0000}"/>
    <cellStyle name="40% - Accent5 2 3 2 4 3 3" xfId="8277" xr:uid="{00000000-0005-0000-0000-0000534E0000}"/>
    <cellStyle name="40% - Accent5 2 3 2 4 3 3 2" xfId="18273" xr:uid="{00000000-0005-0000-0000-0000544E0000}"/>
    <cellStyle name="40% - Accent5 2 3 2 4 3 3 2 2" xfId="37673" xr:uid="{00000000-0005-0000-0000-0000554E0000}"/>
    <cellStyle name="40% - Accent5 2 3 2 4 3 3 3" xfId="27975" xr:uid="{00000000-0005-0000-0000-0000564E0000}"/>
    <cellStyle name="40% - Accent5 2 3 2 4 3 4" xfId="13818" xr:uid="{00000000-0005-0000-0000-0000574E0000}"/>
    <cellStyle name="40% - Accent5 2 3 2 4 3 4 2" xfId="33218" xr:uid="{00000000-0005-0000-0000-0000584E0000}"/>
    <cellStyle name="40% - Accent5 2 3 2 4 3 5" xfId="23520" xr:uid="{00000000-0005-0000-0000-0000594E0000}"/>
    <cellStyle name="40% - Accent5 2 3 2 4 4" xfId="4371" xr:uid="{00000000-0005-0000-0000-00005A4E0000}"/>
    <cellStyle name="40% - Accent5 2 3 2 4 4 2" xfId="8835" xr:uid="{00000000-0005-0000-0000-00005B4E0000}"/>
    <cellStyle name="40% - Accent5 2 3 2 4 4 2 2" xfId="18831" xr:uid="{00000000-0005-0000-0000-00005C4E0000}"/>
    <cellStyle name="40% - Accent5 2 3 2 4 4 2 2 2" xfId="38231" xr:uid="{00000000-0005-0000-0000-00005D4E0000}"/>
    <cellStyle name="40% - Accent5 2 3 2 4 4 2 3" xfId="28533" xr:uid="{00000000-0005-0000-0000-00005E4E0000}"/>
    <cellStyle name="40% - Accent5 2 3 2 4 4 3" xfId="14376" xr:uid="{00000000-0005-0000-0000-00005F4E0000}"/>
    <cellStyle name="40% - Accent5 2 3 2 4 4 3 2" xfId="33776" xr:uid="{00000000-0005-0000-0000-0000604E0000}"/>
    <cellStyle name="40% - Accent5 2 3 2 4 4 4" xfId="24078" xr:uid="{00000000-0005-0000-0000-0000614E0000}"/>
    <cellStyle name="40% - Accent5 2 3 2 4 5" xfId="6041" xr:uid="{00000000-0005-0000-0000-0000624E0000}"/>
    <cellStyle name="40% - Accent5 2 3 2 4 5 2" xfId="10505" xr:uid="{00000000-0005-0000-0000-0000634E0000}"/>
    <cellStyle name="40% - Accent5 2 3 2 4 5 2 2" xfId="20501" xr:uid="{00000000-0005-0000-0000-0000644E0000}"/>
    <cellStyle name="40% - Accent5 2 3 2 4 5 2 2 2" xfId="39901" xr:uid="{00000000-0005-0000-0000-0000654E0000}"/>
    <cellStyle name="40% - Accent5 2 3 2 4 5 2 3" xfId="30203" xr:uid="{00000000-0005-0000-0000-0000664E0000}"/>
    <cellStyle name="40% - Accent5 2 3 2 4 5 3" xfId="16046" xr:uid="{00000000-0005-0000-0000-0000674E0000}"/>
    <cellStyle name="40% - Accent5 2 3 2 4 5 3 2" xfId="35446" xr:uid="{00000000-0005-0000-0000-0000684E0000}"/>
    <cellStyle name="40% - Accent5 2 3 2 4 5 4" xfId="25748" xr:uid="{00000000-0005-0000-0000-0000694E0000}"/>
    <cellStyle name="40% - Accent5 2 3 2 4 6" xfId="6607" xr:uid="{00000000-0005-0000-0000-00006A4E0000}"/>
    <cellStyle name="40% - Accent5 2 3 2 4 6 2" xfId="11062" xr:uid="{00000000-0005-0000-0000-00006B4E0000}"/>
    <cellStyle name="40% - Accent5 2 3 2 4 6 2 2" xfId="21058" xr:uid="{00000000-0005-0000-0000-00006C4E0000}"/>
    <cellStyle name="40% - Accent5 2 3 2 4 6 2 2 2" xfId="40458" xr:uid="{00000000-0005-0000-0000-00006D4E0000}"/>
    <cellStyle name="40% - Accent5 2 3 2 4 6 2 3" xfId="30760" xr:uid="{00000000-0005-0000-0000-00006E4E0000}"/>
    <cellStyle name="40% - Accent5 2 3 2 4 6 3" xfId="16603" xr:uid="{00000000-0005-0000-0000-00006F4E0000}"/>
    <cellStyle name="40% - Accent5 2 3 2 4 6 3 2" xfId="36003" xr:uid="{00000000-0005-0000-0000-0000704E0000}"/>
    <cellStyle name="40% - Accent5 2 3 2 4 6 4" xfId="26305" xr:uid="{00000000-0005-0000-0000-0000714E0000}"/>
    <cellStyle name="40% - Accent5 2 3 2 4 7" xfId="7164" xr:uid="{00000000-0005-0000-0000-0000724E0000}"/>
    <cellStyle name="40% - Accent5 2 3 2 4 7 2" xfId="17160" xr:uid="{00000000-0005-0000-0000-0000734E0000}"/>
    <cellStyle name="40% - Accent5 2 3 2 4 7 2 2" xfId="36560" xr:uid="{00000000-0005-0000-0000-0000744E0000}"/>
    <cellStyle name="40% - Accent5 2 3 2 4 7 3" xfId="26862" xr:uid="{00000000-0005-0000-0000-0000754E0000}"/>
    <cellStyle name="40% - Accent5 2 3 2 4 8" xfId="12704" xr:uid="{00000000-0005-0000-0000-0000764E0000}"/>
    <cellStyle name="40% - Accent5 2 3 2 4 8 2" xfId="32105" xr:uid="{00000000-0005-0000-0000-0000774E0000}"/>
    <cellStyle name="40% - Accent5 2 3 2 4 9" xfId="22407" xr:uid="{00000000-0005-0000-0000-0000784E0000}"/>
    <cellStyle name="40% - Accent5 2 3 2 5" xfId="3210" xr:uid="{00000000-0005-0000-0000-0000794E0000}"/>
    <cellStyle name="40% - Accent5 2 3 2 5 2" xfId="5479" xr:uid="{00000000-0005-0000-0000-00007A4E0000}"/>
    <cellStyle name="40% - Accent5 2 3 2 5 2 2" xfId="9943" xr:uid="{00000000-0005-0000-0000-00007B4E0000}"/>
    <cellStyle name="40% - Accent5 2 3 2 5 2 2 2" xfId="19939" xr:uid="{00000000-0005-0000-0000-00007C4E0000}"/>
    <cellStyle name="40% - Accent5 2 3 2 5 2 2 2 2" xfId="39339" xr:uid="{00000000-0005-0000-0000-00007D4E0000}"/>
    <cellStyle name="40% - Accent5 2 3 2 5 2 2 3" xfId="29641" xr:uid="{00000000-0005-0000-0000-00007E4E0000}"/>
    <cellStyle name="40% - Accent5 2 3 2 5 2 3" xfId="15484" xr:uid="{00000000-0005-0000-0000-00007F4E0000}"/>
    <cellStyle name="40% - Accent5 2 3 2 5 2 3 2" xfId="34884" xr:uid="{00000000-0005-0000-0000-0000804E0000}"/>
    <cellStyle name="40% - Accent5 2 3 2 5 2 4" xfId="25186" xr:uid="{00000000-0005-0000-0000-0000814E0000}"/>
    <cellStyle name="40% - Accent5 2 3 2 5 3" xfId="7715" xr:uid="{00000000-0005-0000-0000-0000824E0000}"/>
    <cellStyle name="40% - Accent5 2 3 2 5 3 2" xfId="17711" xr:uid="{00000000-0005-0000-0000-0000834E0000}"/>
    <cellStyle name="40% - Accent5 2 3 2 5 3 2 2" xfId="37111" xr:uid="{00000000-0005-0000-0000-0000844E0000}"/>
    <cellStyle name="40% - Accent5 2 3 2 5 3 3" xfId="27413" xr:uid="{00000000-0005-0000-0000-0000854E0000}"/>
    <cellStyle name="40% - Accent5 2 3 2 5 4" xfId="13256" xr:uid="{00000000-0005-0000-0000-0000864E0000}"/>
    <cellStyle name="40% - Accent5 2 3 2 5 4 2" xfId="32656" xr:uid="{00000000-0005-0000-0000-0000874E0000}"/>
    <cellStyle name="40% - Accent5 2 3 2 5 5" xfId="22958" xr:uid="{00000000-0005-0000-0000-0000884E0000}"/>
    <cellStyle name="40% - Accent5 2 3 2 6" xfId="3793" xr:uid="{00000000-0005-0000-0000-0000894E0000}"/>
    <cellStyle name="40% - Accent5 2 3 2 6 2" xfId="4923" xr:uid="{00000000-0005-0000-0000-00008A4E0000}"/>
    <cellStyle name="40% - Accent5 2 3 2 6 2 2" xfId="9387" xr:uid="{00000000-0005-0000-0000-00008B4E0000}"/>
    <cellStyle name="40% - Accent5 2 3 2 6 2 2 2" xfId="19383" xr:uid="{00000000-0005-0000-0000-00008C4E0000}"/>
    <cellStyle name="40% - Accent5 2 3 2 6 2 2 2 2" xfId="38783" xr:uid="{00000000-0005-0000-0000-00008D4E0000}"/>
    <cellStyle name="40% - Accent5 2 3 2 6 2 2 3" xfId="29085" xr:uid="{00000000-0005-0000-0000-00008E4E0000}"/>
    <cellStyle name="40% - Accent5 2 3 2 6 2 3" xfId="14928" xr:uid="{00000000-0005-0000-0000-00008F4E0000}"/>
    <cellStyle name="40% - Accent5 2 3 2 6 2 3 2" xfId="34328" xr:uid="{00000000-0005-0000-0000-0000904E0000}"/>
    <cellStyle name="40% - Accent5 2 3 2 6 2 4" xfId="24630" xr:uid="{00000000-0005-0000-0000-0000914E0000}"/>
    <cellStyle name="40% - Accent5 2 3 2 6 3" xfId="8272" xr:uid="{00000000-0005-0000-0000-0000924E0000}"/>
    <cellStyle name="40% - Accent5 2 3 2 6 3 2" xfId="18268" xr:uid="{00000000-0005-0000-0000-0000934E0000}"/>
    <cellStyle name="40% - Accent5 2 3 2 6 3 2 2" xfId="37668" xr:uid="{00000000-0005-0000-0000-0000944E0000}"/>
    <cellStyle name="40% - Accent5 2 3 2 6 3 3" xfId="27970" xr:uid="{00000000-0005-0000-0000-0000954E0000}"/>
    <cellStyle name="40% - Accent5 2 3 2 6 4" xfId="13813" xr:uid="{00000000-0005-0000-0000-0000964E0000}"/>
    <cellStyle name="40% - Accent5 2 3 2 6 4 2" xfId="33213" xr:uid="{00000000-0005-0000-0000-0000974E0000}"/>
    <cellStyle name="40% - Accent5 2 3 2 6 5" xfId="23515" xr:uid="{00000000-0005-0000-0000-0000984E0000}"/>
    <cellStyle name="40% - Accent5 2 3 2 7" xfId="4366" xr:uid="{00000000-0005-0000-0000-0000994E0000}"/>
    <cellStyle name="40% - Accent5 2 3 2 7 2" xfId="8830" xr:uid="{00000000-0005-0000-0000-00009A4E0000}"/>
    <cellStyle name="40% - Accent5 2 3 2 7 2 2" xfId="18826" xr:uid="{00000000-0005-0000-0000-00009B4E0000}"/>
    <cellStyle name="40% - Accent5 2 3 2 7 2 2 2" xfId="38226" xr:uid="{00000000-0005-0000-0000-00009C4E0000}"/>
    <cellStyle name="40% - Accent5 2 3 2 7 2 3" xfId="28528" xr:uid="{00000000-0005-0000-0000-00009D4E0000}"/>
    <cellStyle name="40% - Accent5 2 3 2 7 3" xfId="14371" xr:uid="{00000000-0005-0000-0000-00009E4E0000}"/>
    <cellStyle name="40% - Accent5 2 3 2 7 3 2" xfId="33771" xr:uid="{00000000-0005-0000-0000-00009F4E0000}"/>
    <cellStyle name="40% - Accent5 2 3 2 7 4" xfId="24073" xr:uid="{00000000-0005-0000-0000-0000A04E0000}"/>
    <cellStyle name="40% - Accent5 2 3 2 8" xfId="6036" xr:uid="{00000000-0005-0000-0000-0000A14E0000}"/>
    <cellStyle name="40% - Accent5 2 3 2 8 2" xfId="10500" xr:uid="{00000000-0005-0000-0000-0000A24E0000}"/>
    <cellStyle name="40% - Accent5 2 3 2 8 2 2" xfId="20496" xr:uid="{00000000-0005-0000-0000-0000A34E0000}"/>
    <cellStyle name="40% - Accent5 2 3 2 8 2 2 2" xfId="39896" xr:uid="{00000000-0005-0000-0000-0000A44E0000}"/>
    <cellStyle name="40% - Accent5 2 3 2 8 2 3" xfId="30198" xr:uid="{00000000-0005-0000-0000-0000A54E0000}"/>
    <cellStyle name="40% - Accent5 2 3 2 8 3" xfId="16041" xr:uid="{00000000-0005-0000-0000-0000A64E0000}"/>
    <cellStyle name="40% - Accent5 2 3 2 8 3 2" xfId="35441" xr:uid="{00000000-0005-0000-0000-0000A74E0000}"/>
    <cellStyle name="40% - Accent5 2 3 2 8 4" xfId="25743" xr:uid="{00000000-0005-0000-0000-0000A84E0000}"/>
    <cellStyle name="40% - Accent5 2 3 2 9" xfId="6602" xr:uid="{00000000-0005-0000-0000-0000A94E0000}"/>
    <cellStyle name="40% - Accent5 2 3 2 9 2" xfId="11057" xr:uid="{00000000-0005-0000-0000-0000AA4E0000}"/>
    <cellStyle name="40% - Accent5 2 3 2 9 2 2" xfId="21053" xr:uid="{00000000-0005-0000-0000-0000AB4E0000}"/>
    <cellStyle name="40% - Accent5 2 3 2 9 2 2 2" xfId="40453" xr:uid="{00000000-0005-0000-0000-0000AC4E0000}"/>
    <cellStyle name="40% - Accent5 2 3 2 9 2 3" xfId="30755" xr:uid="{00000000-0005-0000-0000-0000AD4E0000}"/>
    <cellStyle name="40% - Accent5 2 3 2 9 3" xfId="16598" xr:uid="{00000000-0005-0000-0000-0000AE4E0000}"/>
    <cellStyle name="40% - Accent5 2 3 2 9 3 2" xfId="35998" xr:uid="{00000000-0005-0000-0000-0000AF4E0000}"/>
    <cellStyle name="40% - Accent5 2 3 2 9 4" xfId="26300" xr:uid="{00000000-0005-0000-0000-0000B04E0000}"/>
    <cellStyle name="40% - Accent5 2 3 3" xfId="2233" xr:uid="{00000000-0005-0000-0000-0000B14E0000}"/>
    <cellStyle name="40% - Accent5 2 3 3 10" xfId="12705" xr:uid="{00000000-0005-0000-0000-0000B24E0000}"/>
    <cellStyle name="40% - Accent5 2 3 3 10 2" xfId="32106" xr:uid="{00000000-0005-0000-0000-0000B34E0000}"/>
    <cellStyle name="40% - Accent5 2 3 3 11" xfId="22408" xr:uid="{00000000-0005-0000-0000-0000B44E0000}"/>
    <cellStyle name="40% - Accent5 2 3 3 2" xfId="2234" xr:uid="{00000000-0005-0000-0000-0000B54E0000}"/>
    <cellStyle name="40% - Accent5 2 3 3 2 2" xfId="3217" xr:uid="{00000000-0005-0000-0000-0000B64E0000}"/>
    <cellStyle name="40% - Accent5 2 3 3 2 2 2" xfId="5486" xr:uid="{00000000-0005-0000-0000-0000B74E0000}"/>
    <cellStyle name="40% - Accent5 2 3 3 2 2 2 2" xfId="9950" xr:uid="{00000000-0005-0000-0000-0000B84E0000}"/>
    <cellStyle name="40% - Accent5 2 3 3 2 2 2 2 2" xfId="19946" xr:uid="{00000000-0005-0000-0000-0000B94E0000}"/>
    <cellStyle name="40% - Accent5 2 3 3 2 2 2 2 2 2" xfId="39346" xr:uid="{00000000-0005-0000-0000-0000BA4E0000}"/>
    <cellStyle name="40% - Accent5 2 3 3 2 2 2 2 3" xfId="29648" xr:uid="{00000000-0005-0000-0000-0000BB4E0000}"/>
    <cellStyle name="40% - Accent5 2 3 3 2 2 2 3" xfId="15491" xr:uid="{00000000-0005-0000-0000-0000BC4E0000}"/>
    <cellStyle name="40% - Accent5 2 3 3 2 2 2 3 2" xfId="34891" xr:uid="{00000000-0005-0000-0000-0000BD4E0000}"/>
    <cellStyle name="40% - Accent5 2 3 3 2 2 2 4" xfId="25193" xr:uid="{00000000-0005-0000-0000-0000BE4E0000}"/>
    <cellStyle name="40% - Accent5 2 3 3 2 2 3" xfId="7722" xr:uid="{00000000-0005-0000-0000-0000BF4E0000}"/>
    <cellStyle name="40% - Accent5 2 3 3 2 2 3 2" xfId="17718" xr:uid="{00000000-0005-0000-0000-0000C04E0000}"/>
    <cellStyle name="40% - Accent5 2 3 3 2 2 3 2 2" xfId="37118" xr:uid="{00000000-0005-0000-0000-0000C14E0000}"/>
    <cellStyle name="40% - Accent5 2 3 3 2 2 3 3" xfId="27420" xr:uid="{00000000-0005-0000-0000-0000C24E0000}"/>
    <cellStyle name="40% - Accent5 2 3 3 2 2 4" xfId="13263" xr:uid="{00000000-0005-0000-0000-0000C34E0000}"/>
    <cellStyle name="40% - Accent5 2 3 3 2 2 4 2" xfId="32663" xr:uid="{00000000-0005-0000-0000-0000C44E0000}"/>
    <cellStyle name="40% - Accent5 2 3 3 2 2 5" xfId="22965" xr:uid="{00000000-0005-0000-0000-0000C54E0000}"/>
    <cellStyle name="40% - Accent5 2 3 3 2 3" xfId="3800" xr:uid="{00000000-0005-0000-0000-0000C64E0000}"/>
    <cellStyle name="40% - Accent5 2 3 3 2 3 2" xfId="4930" xr:uid="{00000000-0005-0000-0000-0000C74E0000}"/>
    <cellStyle name="40% - Accent5 2 3 3 2 3 2 2" xfId="9394" xr:uid="{00000000-0005-0000-0000-0000C84E0000}"/>
    <cellStyle name="40% - Accent5 2 3 3 2 3 2 2 2" xfId="19390" xr:uid="{00000000-0005-0000-0000-0000C94E0000}"/>
    <cellStyle name="40% - Accent5 2 3 3 2 3 2 2 2 2" xfId="38790" xr:uid="{00000000-0005-0000-0000-0000CA4E0000}"/>
    <cellStyle name="40% - Accent5 2 3 3 2 3 2 2 3" xfId="29092" xr:uid="{00000000-0005-0000-0000-0000CB4E0000}"/>
    <cellStyle name="40% - Accent5 2 3 3 2 3 2 3" xfId="14935" xr:uid="{00000000-0005-0000-0000-0000CC4E0000}"/>
    <cellStyle name="40% - Accent5 2 3 3 2 3 2 3 2" xfId="34335" xr:uid="{00000000-0005-0000-0000-0000CD4E0000}"/>
    <cellStyle name="40% - Accent5 2 3 3 2 3 2 4" xfId="24637" xr:uid="{00000000-0005-0000-0000-0000CE4E0000}"/>
    <cellStyle name="40% - Accent5 2 3 3 2 3 3" xfId="8279" xr:uid="{00000000-0005-0000-0000-0000CF4E0000}"/>
    <cellStyle name="40% - Accent5 2 3 3 2 3 3 2" xfId="18275" xr:uid="{00000000-0005-0000-0000-0000D04E0000}"/>
    <cellStyle name="40% - Accent5 2 3 3 2 3 3 2 2" xfId="37675" xr:uid="{00000000-0005-0000-0000-0000D14E0000}"/>
    <cellStyle name="40% - Accent5 2 3 3 2 3 3 3" xfId="27977" xr:uid="{00000000-0005-0000-0000-0000D24E0000}"/>
    <cellStyle name="40% - Accent5 2 3 3 2 3 4" xfId="13820" xr:uid="{00000000-0005-0000-0000-0000D34E0000}"/>
    <cellStyle name="40% - Accent5 2 3 3 2 3 4 2" xfId="33220" xr:uid="{00000000-0005-0000-0000-0000D44E0000}"/>
    <cellStyle name="40% - Accent5 2 3 3 2 3 5" xfId="23522" xr:uid="{00000000-0005-0000-0000-0000D54E0000}"/>
    <cellStyle name="40% - Accent5 2 3 3 2 4" xfId="4373" xr:uid="{00000000-0005-0000-0000-0000D64E0000}"/>
    <cellStyle name="40% - Accent5 2 3 3 2 4 2" xfId="8837" xr:uid="{00000000-0005-0000-0000-0000D74E0000}"/>
    <cellStyle name="40% - Accent5 2 3 3 2 4 2 2" xfId="18833" xr:uid="{00000000-0005-0000-0000-0000D84E0000}"/>
    <cellStyle name="40% - Accent5 2 3 3 2 4 2 2 2" xfId="38233" xr:uid="{00000000-0005-0000-0000-0000D94E0000}"/>
    <cellStyle name="40% - Accent5 2 3 3 2 4 2 3" xfId="28535" xr:uid="{00000000-0005-0000-0000-0000DA4E0000}"/>
    <cellStyle name="40% - Accent5 2 3 3 2 4 3" xfId="14378" xr:uid="{00000000-0005-0000-0000-0000DB4E0000}"/>
    <cellStyle name="40% - Accent5 2 3 3 2 4 3 2" xfId="33778" xr:uid="{00000000-0005-0000-0000-0000DC4E0000}"/>
    <cellStyle name="40% - Accent5 2 3 3 2 4 4" xfId="24080" xr:uid="{00000000-0005-0000-0000-0000DD4E0000}"/>
    <cellStyle name="40% - Accent5 2 3 3 2 5" xfId="6043" xr:uid="{00000000-0005-0000-0000-0000DE4E0000}"/>
    <cellStyle name="40% - Accent5 2 3 3 2 5 2" xfId="10507" xr:uid="{00000000-0005-0000-0000-0000DF4E0000}"/>
    <cellStyle name="40% - Accent5 2 3 3 2 5 2 2" xfId="20503" xr:uid="{00000000-0005-0000-0000-0000E04E0000}"/>
    <cellStyle name="40% - Accent5 2 3 3 2 5 2 2 2" xfId="39903" xr:uid="{00000000-0005-0000-0000-0000E14E0000}"/>
    <cellStyle name="40% - Accent5 2 3 3 2 5 2 3" xfId="30205" xr:uid="{00000000-0005-0000-0000-0000E24E0000}"/>
    <cellStyle name="40% - Accent5 2 3 3 2 5 3" xfId="16048" xr:uid="{00000000-0005-0000-0000-0000E34E0000}"/>
    <cellStyle name="40% - Accent5 2 3 3 2 5 3 2" xfId="35448" xr:uid="{00000000-0005-0000-0000-0000E44E0000}"/>
    <cellStyle name="40% - Accent5 2 3 3 2 5 4" xfId="25750" xr:uid="{00000000-0005-0000-0000-0000E54E0000}"/>
    <cellStyle name="40% - Accent5 2 3 3 2 6" xfId="6609" xr:uid="{00000000-0005-0000-0000-0000E64E0000}"/>
    <cellStyle name="40% - Accent5 2 3 3 2 6 2" xfId="11064" xr:uid="{00000000-0005-0000-0000-0000E74E0000}"/>
    <cellStyle name="40% - Accent5 2 3 3 2 6 2 2" xfId="21060" xr:uid="{00000000-0005-0000-0000-0000E84E0000}"/>
    <cellStyle name="40% - Accent5 2 3 3 2 6 2 2 2" xfId="40460" xr:uid="{00000000-0005-0000-0000-0000E94E0000}"/>
    <cellStyle name="40% - Accent5 2 3 3 2 6 2 3" xfId="30762" xr:uid="{00000000-0005-0000-0000-0000EA4E0000}"/>
    <cellStyle name="40% - Accent5 2 3 3 2 6 3" xfId="16605" xr:uid="{00000000-0005-0000-0000-0000EB4E0000}"/>
    <cellStyle name="40% - Accent5 2 3 3 2 6 3 2" xfId="36005" xr:uid="{00000000-0005-0000-0000-0000EC4E0000}"/>
    <cellStyle name="40% - Accent5 2 3 3 2 6 4" xfId="26307" xr:uid="{00000000-0005-0000-0000-0000ED4E0000}"/>
    <cellStyle name="40% - Accent5 2 3 3 2 7" xfId="7166" xr:uid="{00000000-0005-0000-0000-0000EE4E0000}"/>
    <cellStyle name="40% - Accent5 2 3 3 2 7 2" xfId="17162" xr:uid="{00000000-0005-0000-0000-0000EF4E0000}"/>
    <cellStyle name="40% - Accent5 2 3 3 2 7 2 2" xfId="36562" xr:uid="{00000000-0005-0000-0000-0000F04E0000}"/>
    <cellStyle name="40% - Accent5 2 3 3 2 7 3" xfId="26864" xr:uid="{00000000-0005-0000-0000-0000F14E0000}"/>
    <cellStyle name="40% - Accent5 2 3 3 2 8" xfId="12706" xr:uid="{00000000-0005-0000-0000-0000F24E0000}"/>
    <cellStyle name="40% - Accent5 2 3 3 2 8 2" xfId="32107" xr:uid="{00000000-0005-0000-0000-0000F34E0000}"/>
    <cellStyle name="40% - Accent5 2 3 3 2 9" xfId="22409" xr:uid="{00000000-0005-0000-0000-0000F44E0000}"/>
    <cellStyle name="40% - Accent5 2 3 3 3" xfId="2235" xr:uid="{00000000-0005-0000-0000-0000F54E0000}"/>
    <cellStyle name="40% - Accent5 2 3 3 3 2" xfId="3218" xr:uid="{00000000-0005-0000-0000-0000F64E0000}"/>
    <cellStyle name="40% - Accent5 2 3 3 3 2 2" xfId="5487" xr:uid="{00000000-0005-0000-0000-0000F74E0000}"/>
    <cellStyle name="40% - Accent5 2 3 3 3 2 2 2" xfId="9951" xr:uid="{00000000-0005-0000-0000-0000F84E0000}"/>
    <cellStyle name="40% - Accent5 2 3 3 3 2 2 2 2" xfId="19947" xr:uid="{00000000-0005-0000-0000-0000F94E0000}"/>
    <cellStyle name="40% - Accent5 2 3 3 3 2 2 2 2 2" xfId="39347" xr:uid="{00000000-0005-0000-0000-0000FA4E0000}"/>
    <cellStyle name="40% - Accent5 2 3 3 3 2 2 2 3" xfId="29649" xr:uid="{00000000-0005-0000-0000-0000FB4E0000}"/>
    <cellStyle name="40% - Accent5 2 3 3 3 2 2 3" xfId="15492" xr:uid="{00000000-0005-0000-0000-0000FC4E0000}"/>
    <cellStyle name="40% - Accent5 2 3 3 3 2 2 3 2" xfId="34892" xr:uid="{00000000-0005-0000-0000-0000FD4E0000}"/>
    <cellStyle name="40% - Accent5 2 3 3 3 2 2 4" xfId="25194" xr:uid="{00000000-0005-0000-0000-0000FE4E0000}"/>
    <cellStyle name="40% - Accent5 2 3 3 3 2 3" xfId="7723" xr:uid="{00000000-0005-0000-0000-0000FF4E0000}"/>
    <cellStyle name="40% - Accent5 2 3 3 3 2 3 2" xfId="17719" xr:uid="{00000000-0005-0000-0000-0000004F0000}"/>
    <cellStyle name="40% - Accent5 2 3 3 3 2 3 2 2" xfId="37119" xr:uid="{00000000-0005-0000-0000-0000014F0000}"/>
    <cellStyle name="40% - Accent5 2 3 3 3 2 3 3" xfId="27421" xr:uid="{00000000-0005-0000-0000-0000024F0000}"/>
    <cellStyle name="40% - Accent5 2 3 3 3 2 4" xfId="13264" xr:uid="{00000000-0005-0000-0000-0000034F0000}"/>
    <cellStyle name="40% - Accent5 2 3 3 3 2 4 2" xfId="32664" xr:uid="{00000000-0005-0000-0000-0000044F0000}"/>
    <cellStyle name="40% - Accent5 2 3 3 3 2 5" xfId="22966" xr:uid="{00000000-0005-0000-0000-0000054F0000}"/>
    <cellStyle name="40% - Accent5 2 3 3 3 3" xfId="3801" xr:uid="{00000000-0005-0000-0000-0000064F0000}"/>
    <cellStyle name="40% - Accent5 2 3 3 3 3 2" xfId="4931" xr:uid="{00000000-0005-0000-0000-0000074F0000}"/>
    <cellStyle name="40% - Accent5 2 3 3 3 3 2 2" xfId="9395" xr:uid="{00000000-0005-0000-0000-0000084F0000}"/>
    <cellStyle name="40% - Accent5 2 3 3 3 3 2 2 2" xfId="19391" xr:uid="{00000000-0005-0000-0000-0000094F0000}"/>
    <cellStyle name="40% - Accent5 2 3 3 3 3 2 2 2 2" xfId="38791" xr:uid="{00000000-0005-0000-0000-00000A4F0000}"/>
    <cellStyle name="40% - Accent5 2 3 3 3 3 2 2 3" xfId="29093" xr:uid="{00000000-0005-0000-0000-00000B4F0000}"/>
    <cellStyle name="40% - Accent5 2 3 3 3 3 2 3" xfId="14936" xr:uid="{00000000-0005-0000-0000-00000C4F0000}"/>
    <cellStyle name="40% - Accent5 2 3 3 3 3 2 3 2" xfId="34336" xr:uid="{00000000-0005-0000-0000-00000D4F0000}"/>
    <cellStyle name="40% - Accent5 2 3 3 3 3 2 4" xfId="24638" xr:uid="{00000000-0005-0000-0000-00000E4F0000}"/>
    <cellStyle name="40% - Accent5 2 3 3 3 3 3" xfId="8280" xr:uid="{00000000-0005-0000-0000-00000F4F0000}"/>
    <cellStyle name="40% - Accent5 2 3 3 3 3 3 2" xfId="18276" xr:uid="{00000000-0005-0000-0000-0000104F0000}"/>
    <cellStyle name="40% - Accent5 2 3 3 3 3 3 2 2" xfId="37676" xr:uid="{00000000-0005-0000-0000-0000114F0000}"/>
    <cellStyle name="40% - Accent5 2 3 3 3 3 3 3" xfId="27978" xr:uid="{00000000-0005-0000-0000-0000124F0000}"/>
    <cellStyle name="40% - Accent5 2 3 3 3 3 4" xfId="13821" xr:uid="{00000000-0005-0000-0000-0000134F0000}"/>
    <cellStyle name="40% - Accent5 2 3 3 3 3 4 2" xfId="33221" xr:uid="{00000000-0005-0000-0000-0000144F0000}"/>
    <cellStyle name="40% - Accent5 2 3 3 3 3 5" xfId="23523" xr:uid="{00000000-0005-0000-0000-0000154F0000}"/>
    <cellStyle name="40% - Accent5 2 3 3 3 4" xfId="4374" xr:uid="{00000000-0005-0000-0000-0000164F0000}"/>
    <cellStyle name="40% - Accent5 2 3 3 3 4 2" xfId="8838" xr:uid="{00000000-0005-0000-0000-0000174F0000}"/>
    <cellStyle name="40% - Accent5 2 3 3 3 4 2 2" xfId="18834" xr:uid="{00000000-0005-0000-0000-0000184F0000}"/>
    <cellStyle name="40% - Accent5 2 3 3 3 4 2 2 2" xfId="38234" xr:uid="{00000000-0005-0000-0000-0000194F0000}"/>
    <cellStyle name="40% - Accent5 2 3 3 3 4 2 3" xfId="28536" xr:uid="{00000000-0005-0000-0000-00001A4F0000}"/>
    <cellStyle name="40% - Accent5 2 3 3 3 4 3" xfId="14379" xr:uid="{00000000-0005-0000-0000-00001B4F0000}"/>
    <cellStyle name="40% - Accent5 2 3 3 3 4 3 2" xfId="33779" xr:uid="{00000000-0005-0000-0000-00001C4F0000}"/>
    <cellStyle name="40% - Accent5 2 3 3 3 4 4" xfId="24081" xr:uid="{00000000-0005-0000-0000-00001D4F0000}"/>
    <cellStyle name="40% - Accent5 2 3 3 3 5" xfId="6044" xr:uid="{00000000-0005-0000-0000-00001E4F0000}"/>
    <cellStyle name="40% - Accent5 2 3 3 3 5 2" xfId="10508" xr:uid="{00000000-0005-0000-0000-00001F4F0000}"/>
    <cellStyle name="40% - Accent5 2 3 3 3 5 2 2" xfId="20504" xr:uid="{00000000-0005-0000-0000-0000204F0000}"/>
    <cellStyle name="40% - Accent5 2 3 3 3 5 2 2 2" xfId="39904" xr:uid="{00000000-0005-0000-0000-0000214F0000}"/>
    <cellStyle name="40% - Accent5 2 3 3 3 5 2 3" xfId="30206" xr:uid="{00000000-0005-0000-0000-0000224F0000}"/>
    <cellStyle name="40% - Accent5 2 3 3 3 5 3" xfId="16049" xr:uid="{00000000-0005-0000-0000-0000234F0000}"/>
    <cellStyle name="40% - Accent5 2 3 3 3 5 3 2" xfId="35449" xr:uid="{00000000-0005-0000-0000-0000244F0000}"/>
    <cellStyle name="40% - Accent5 2 3 3 3 5 4" xfId="25751" xr:uid="{00000000-0005-0000-0000-0000254F0000}"/>
    <cellStyle name="40% - Accent5 2 3 3 3 6" xfId="6610" xr:uid="{00000000-0005-0000-0000-0000264F0000}"/>
    <cellStyle name="40% - Accent5 2 3 3 3 6 2" xfId="11065" xr:uid="{00000000-0005-0000-0000-0000274F0000}"/>
    <cellStyle name="40% - Accent5 2 3 3 3 6 2 2" xfId="21061" xr:uid="{00000000-0005-0000-0000-0000284F0000}"/>
    <cellStyle name="40% - Accent5 2 3 3 3 6 2 2 2" xfId="40461" xr:uid="{00000000-0005-0000-0000-0000294F0000}"/>
    <cellStyle name="40% - Accent5 2 3 3 3 6 2 3" xfId="30763" xr:uid="{00000000-0005-0000-0000-00002A4F0000}"/>
    <cellStyle name="40% - Accent5 2 3 3 3 6 3" xfId="16606" xr:uid="{00000000-0005-0000-0000-00002B4F0000}"/>
    <cellStyle name="40% - Accent5 2 3 3 3 6 3 2" xfId="36006" xr:uid="{00000000-0005-0000-0000-00002C4F0000}"/>
    <cellStyle name="40% - Accent5 2 3 3 3 6 4" xfId="26308" xr:uid="{00000000-0005-0000-0000-00002D4F0000}"/>
    <cellStyle name="40% - Accent5 2 3 3 3 7" xfId="7167" xr:uid="{00000000-0005-0000-0000-00002E4F0000}"/>
    <cellStyle name="40% - Accent5 2 3 3 3 7 2" xfId="17163" xr:uid="{00000000-0005-0000-0000-00002F4F0000}"/>
    <cellStyle name="40% - Accent5 2 3 3 3 7 2 2" xfId="36563" xr:uid="{00000000-0005-0000-0000-0000304F0000}"/>
    <cellStyle name="40% - Accent5 2 3 3 3 7 3" xfId="26865" xr:uid="{00000000-0005-0000-0000-0000314F0000}"/>
    <cellStyle name="40% - Accent5 2 3 3 3 8" xfId="12707" xr:uid="{00000000-0005-0000-0000-0000324F0000}"/>
    <cellStyle name="40% - Accent5 2 3 3 3 8 2" xfId="32108" xr:uid="{00000000-0005-0000-0000-0000334F0000}"/>
    <cellStyle name="40% - Accent5 2 3 3 3 9" xfId="22410" xr:uid="{00000000-0005-0000-0000-0000344F0000}"/>
    <cellStyle name="40% - Accent5 2 3 3 4" xfId="3216" xr:uid="{00000000-0005-0000-0000-0000354F0000}"/>
    <cellStyle name="40% - Accent5 2 3 3 4 2" xfId="5485" xr:uid="{00000000-0005-0000-0000-0000364F0000}"/>
    <cellStyle name="40% - Accent5 2 3 3 4 2 2" xfId="9949" xr:uid="{00000000-0005-0000-0000-0000374F0000}"/>
    <cellStyle name="40% - Accent5 2 3 3 4 2 2 2" xfId="19945" xr:uid="{00000000-0005-0000-0000-0000384F0000}"/>
    <cellStyle name="40% - Accent5 2 3 3 4 2 2 2 2" xfId="39345" xr:uid="{00000000-0005-0000-0000-0000394F0000}"/>
    <cellStyle name="40% - Accent5 2 3 3 4 2 2 3" xfId="29647" xr:uid="{00000000-0005-0000-0000-00003A4F0000}"/>
    <cellStyle name="40% - Accent5 2 3 3 4 2 3" xfId="15490" xr:uid="{00000000-0005-0000-0000-00003B4F0000}"/>
    <cellStyle name="40% - Accent5 2 3 3 4 2 3 2" xfId="34890" xr:uid="{00000000-0005-0000-0000-00003C4F0000}"/>
    <cellStyle name="40% - Accent5 2 3 3 4 2 4" xfId="25192" xr:uid="{00000000-0005-0000-0000-00003D4F0000}"/>
    <cellStyle name="40% - Accent5 2 3 3 4 3" xfId="7721" xr:uid="{00000000-0005-0000-0000-00003E4F0000}"/>
    <cellStyle name="40% - Accent5 2 3 3 4 3 2" xfId="17717" xr:uid="{00000000-0005-0000-0000-00003F4F0000}"/>
    <cellStyle name="40% - Accent5 2 3 3 4 3 2 2" xfId="37117" xr:uid="{00000000-0005-0000-0000-0000404F0000}"/>
    <cellStyle name="40% - Accent5 2 3 3 4 3 3" xfId="27419" xr:uid="{00000000-0005-0000-0000-0000414F0000}"/>
    <cellStyle name="40% - Accent5 2 3 3 4 4" xfId="13262" xr:uid="{00000000-0005-0000-0000-0000424F0000}"/>
    <cellStyle name="40% - Accent5 2 3 3 4 4 2" xfId="32662" xr:uid="{00000000-0005-0000-0000-0000434F0000}"/>
    <cellStyle name="40% - Accent5 2 3 3 4 5" xfId="22964" xr:uid="{00000000-0005-0000-0000-0000444F0000}"/>
    <cellStyle name="40% - Accent5 2 3 3 5" xfId="3799" xr:uid="{00000000-0005-0000-0000-0000454F0000}"/>
    <cellStyle name="40% - Accent5 2 3 3 5 2" xfId="4929" xr:uid="{00000000-0005-0000-0000-0000464F0000}"/>
    <cellStyle name="40% - Accent5 2 3 3 5 2 2" xfId="9393" xr:uid="{00000000-0005-0000-0000-0000474F0000}"/>
    <cellStyle name="40% - Accent5 2 3 3 5 2 2 2" xfId="19389" xr:uid="{00000000-0005-0000-0000-0000484F0000}"/>
    <cellStyle name="40% - Accent5 2 3 3 5 2 2 2 2" xfId="38789" xr:uid="{00000000-0005-0000-0000-0000494F0000}"/>
    <cellStyle name="40% - Accent5 2 3 3 5 2 2 3" xfId="29091" xr:uid="{00000000-0005-0000-0000-00004A4F0000}"/>
    <cellStyle name="40% - Accent5 2 3 3 5 2 3" xfId="14934" xr:uid="{00000000-0005-0000-0000-00004B4F0000}"/>
    <cellStyle name="40% - Accent5 2 3 3 5 2 3 2" xfId="34334" xr:uid="{00000000-0005-0000-0000-00004C4F0000}"/>
    <cellStyle name="40% - Accent5 2 3 3 5 2 4" xfId="24636" xr:uid="{00000000-0005-0000-0000-00004D4F0000}"/>
    <cellStyle name="40% - Accent5 2 3 3 5 3" xfId="8278" xr:uid="{00000000-0005-0000-0000-00004E4F0000}"/>
    <cellStyle name="40% - Accent5 2 3 3 5 3 2" xfId="18274" xr:uid="{00000000-0005-0000-0000-00004F4F0000}"/>
    <cellStyle name="40% - Accent5 2 3 3 5 3 2 2" xfId="37674" xr:uid="{00000000-0005-0000-0000-0000504F0000}"/>
    <cellStyle name="40% - Accent5 2 3 3 5 3 3" xfId="27976" xr:uid="{00000000-0005-0000-0000-0000514F0000}"/>
    <cellStyle name="40% - Accent5 2 3 3 5 4" xfId="13819" xr:uid="{00000000-0005-0000-0000-0000524F0000}"/>
    <cellStyle name="40% - Accent5 2 3 3 5 4 2" xfId="33219" xr:uid="{00000000-0005-0000-0000-0000534F0000}"/>
    <cellStyle name="40% - Accent5 2 3 3 5 5" xfId="23521" xr:uid="{00000000-0005-0000-0000-0000544F0000}"/>
    <cellStyle name="40% - Accent5 2 3 3 6" xfId="4372" xr:uid="{00000000-0005-0000-0000-0000554F0000}"/>
    <cellStyle name="40% - Accent5 2 3 3 6 2" xfId="8836" xr:uid="{00000000-0005-0000-0000-0000564F0000}"/>
    <cellStyle name="40% - Accent5 2 3 3 6 2 2" xfId="18832" xr:uid="{00000000-0005-0000-0000-0000574F0000}"/>
    <cellStyle name="40% - Accent5 2 3 3 6 2 2 2" xfId="38232" xr:uid="{00000000-0005-0000-0000-0000584F0000}"/>
    <cellStyle name="40% - Accent5 2 3 3 6 2 3" xfId="28534" xr:uid="{00000000-0005-0000-0000-0000594F0000}"/>
    <cellStyle name="40% - Accent5 2 3 3 6 3" xfId="14377" xr:uid="{00000000-0005-0000-0000-00005A4F0000}"/>
    <cellStyle name="40% - Accent5 2 3 3 6 3 2" xfId="33777" xr:uid="{00000000-0005-0000-0000-00005B4F0000}"/>
    <cellStyle name="40% - Accent5 2 3 3 6 4" xfId="24079" xr:uid="{00000000-0005-0000-0000-00005C4F0000}"/>
    <cellStyle name="40% - Accent5 2 3 3 7" xfId="6042" xr:uid="{00000000-0005-0000-0000-00005D4F0000}"/>
    <cellStyle name="40% - Accent5 2 3 3 7 2" xfId="10506" xr:uid="{00000000-0005-0000-0000-00005E4F0000}"/>
    <cellStyle name="40% - Accent5 2 3 3 7 2 2" xfId="20502" xr:uid="{00000000-0005-0000-0000-00005F4F0000}"/>
    <cellStyle name="40% - Accent5 2 3 3 7 2 2 2" xfId="39902" xr:uid="{00000000-0005-0000-0000-0000604F0000}"/>
    <cellStyle name="40% - Accent5 2 3 3 7 2 3" xfId="30204" xr:uid="{00000000-0005-0000-0000-0000614F0000}"/>
    <cellStyle name="40% - Accent5 2 3 3 7 3" xfId="16047" xr:uid="{00000000-0005-0000-0000-0000624F0000}"/>
    <cellStyle name="40% - Accent5 2 3 3 7 3 2" xfId="35447" xr:uid="{00000000-0005-0000-0000-0000634F0000}"/>
    <cellStyle name="40% - Accent5 2 3 3 7 4" xfId="25749" xr:uid="{00000000-0005-0000-0000-0000644F0000}"/>
    <cellStyle name="40% - Accent5 2 3 3 8" xfId="6608" xr:uid="{00000000-0005-0000-0000-0000654F0000}"/>
    <cellStyle name="40% - Accent5 2 3 3 8 2" xfId="11063" xr:uid="{00000000-0005-0000-0000-0000664F0000}"/>
    <cellStyle name="40% - Accent5 2 3 3 8 2 2" xfId="21059" xr:uid="{00000000-0005-0000-0000-0000674F0000}"/>
    <cellStyle name="40% - Accent5 2 3 3 8 2 2 2" xfId="40459" xr:uid="{00000000-0005-0000-0000-0000684F0000}"/>
    <cellStyle name="40% - Accent5 2 3 3 8 2 3" xfId="30761" xr:uid="{00000000-0005-0000-0000-0000694F0000}"/>
    <cellStyle name="40% - Accent5 2 3 3 8 3" xfId="16604" xr:uid="{00000000-0005-0000-0000-00006A4F0000}"/>
    <cellStyle name="40% - Accent5 2 3 3 8 3 2" xfId="36004" xr:uid="{00000000-0005-0000-0000-00006B4F0000}"/>
    <cellStyle name="40% - Accent5 2 3 3 8 4" xfId="26306" xr:uid="{00000000-0005-0000-0000-00006C4F0000}"/>
    <cellStyle name="40% - Accent5 2 3 3 9" xfId="7165" xr:uid="{00000000-0005-0000-0000-00006D4F0000}"/>
    <cellStyle name="40% - Accent5 2 3 3 9 2" xfId="17161" xr:uid="{00000000-0005-0000-0000-00006E4F0000}"/>
    <cellStyle name="40% - Accent5 2 3 3 9 2 2" xfId="36561" xr:uid="{00000000-0005-0000-0000-00006F4F0000}"/>
    <cellStyle name="40% - Accent5 2 3 3 9 3" xfId="26863" xr:uid="{00000000-0005-0000-0000-0000704F0000}"/>
    <cellStyle name="40% - Accent5 2 3 4" xfId="2236" xr:uid="{00000000-0005-0000-0000-0000714F0000}"/>
    <cellStyle name="40% - Accent5 2 3 4 2" xfId="3219" xr:uid="{00000000-0005-0000-0000-0000724F0000}"/>
    <cellStyle name="40% - Accent5 2 3 4 2 2" xfId="5488" xr:uid="{00000000-0005-0000-0000-0000734F0000}"/>
    <cellStyle name="40% - Accent5 2 3 4 2 2 2" xfId="9952" xr:uid="{00000000-0005-0000-0000-0000744F0000}"/>
    <cellStyle name="40% - Accent5 2 3 4 2 2 2 2" xfId="19948" xr:uid="{00000000-0005-0000-0000-0000754F0000}"/>
    <cellStyle name="40% - Accent5 2 3 4 2 2 2 2 2" xfId="39348" xr:uid="{00000000-0005-0000-0000-0000764F0000}"/>
    <cellStyle name="40% - Accent5 2 3 4 2 2 2 3" xfId="29650" xr:uid="{00000000-0005-0000-0000-0000774F0000}"/>
    <cellStyle name="40% - Accent5 2 3 4 2 2 3" xfId="15493" xr:uid="{00000000-0005-0000-0000-0000784F0000}"/>
    <cellStyle name="40% - Accent5 2 3 4 2 2 3 2" xfId="34893" xr:uid="{00000000-0005-0000-0000-0000794F0000}"/>
    <cellStyle name="40% - Accent5 2 3 4 2 2 4" xfId="25195" xr:uid="{00000000-0005-0000-0000-00007A4F0000}"/>
    <cellStyle name="40% - Accent5 2 3 4 2 3" xfId="7724" xr:uid="{00000000-0005-0000-0000-00007B4F0000}"/>
    <cellStyle name="40% - Accent5 2 3 4 2 3 2" xfId="17720" xr:uid="{00000000-0005-0000-0000-00007C4F0000}"/>
    <cellStyle name="40% - Accent5 2 3 4 2 3 2 2" xfId="37120" xr:uid="{00000000-0005-0000-0000-00007D4F0000}"/>
    <cellStyle name="40% - Accent5 2 3 4 2 3 3" xfId="27422" xr:uid="{00000000-0005-0000-0000-00007E4F0000}"/>
    <cellStyle name="40% - Accent5 2 3 4 2 4" xfId="13265" xr:uid="{00000000-0005-0000-0000-00007F4F0000}"/>
    <cellStyle name="40% - Accent5 2 3 4 2 4 2" xfId="32665" xr:uid="{00000000-0005-0000-0000-0000804F0000}"/>
    <cellStyle name="40% - Accent5 2 3 4 2 5" xfId="22967" xr:uid="{00000000-0005-0000-0000-0000814F0000}"/>
    <cellStyle name="40% - Accent5 2 3 4 3" xfId="3802" xr:uid="{00000000-0005-0000-0000-0000824F0000}"/>
    <cellStyle name="40% - Accent5 2 3 4 3 2" xfId="4932" xr:uid="{00000000-0005-0000-0000-0000834F0000}"/>
    <cellStyle name="40% - Accent5 2 3 4 3 2 2" xfId="9396" xr:uid="{00000000-0005-0000-0000-0000844F0000}"/>
    <cellStyle name="40% - Accent5 2 3 4 3 2 2 2" xfId="19392" xr:uid="{00000000-0005-0000-0000-0000854F0000}"/>
    <cellStyle name="40% - Accent5 2 3 4 3 2 2 2 2" xfId="38792" xr:uid="{00000000-0005-0000-0000-0000864F0000}"/>
    <cellStyle name="40% - Accent5 2 3 4 3 2 2 3" xfId="29094" xr:uid="{00000000-0005-0000-0000-0000874F0000}"/>
    <cellStyle name="40% - Accent5 2 3 4 3 2 3" xfId="14937" xr:uid="{00000000-0005-0000-0000-0000884F0000}"/>
    <cellStyle name="40% - Accent5 2 3 4 3 2 3 2" xfId="34337" xr:uid="{00000000-0005-0000-0000-0000894F0000}"/>
    <cellStyle name="40% - Accent5 2 3 4 3 2 4" xfId="24639" xr:uid="{00000000-0005-0000-0000-00008A4F0000}"/>
    <cellStyle name="40% - Accent5 2 3 4 3 3" xfId="8281" xr:uid="{00000000-0005-0000-0000-00008B4F0000}"/>
    <cellStyle name="40% - Accent5 2 3 4 3 3 2" xfId="18277" xr:uid="{00000000-0005-0000-0000-00008C4F0000}"/>
    <cellStyle name="40% - Accent5 2 3 4 3 3 2 2" xfId="37677" xr:uid="{00000000-0005-0000-0000-00008D4F0000}"/>
    <cellStyle name="40% - Accent5 2 3 4 3 3 3" xfId="27979" xr:uid="{00000000-0005-0000-0000-00008E4F0000}"/>
    <cellStyle name="40% - Accent5 2 3 4 3 4" xfId="13822" xr:uid="{00000000-0005-0000-0000-00008F4F0000}"/>
    <cellStyle name="40% - Accent5 2 3 4 3 4 2" xfId="33222" xr:uid="{00000000-0005-0000-0000-0000904F0000}"/>
    <cellStyle name="40% - Accent5 2 3 4 3 5" xfId="23524" xr:uid="{00000000-0005-0000-0000-0000914F0000}"/>
    <cellStyle name="40% - Accent5 2 3 4 4" xfId="4375" xr:uid="{00000000-0005-0000-0000-0000924F0000}"/>
    <cellStyle name="40% - Accent5 2 3 4 4 2" xfId="8839" xr:uid="{00000000-0005-0000-0000-0000934F0000}"/>
    <cellStyle name="40% - Accent5 2 3 4 4 2 2" xfId="18835" xr:uid="{00000000-0005-0000-0000-0000944F0000}"/>
    <cellStyle name="40% - Accent5 2 3 4 4 2 2 2" xfId="38235" xr:uid="{00000000-0005-0000-0000-0000954F0000}"/>
    <cellStyle name="40% - Accent5 2 3 4 4 2 3" xfId="28537" xr:uid="{00000000-0005-0000-0000-0000964F0000}"/>
    <cellStyle name="40% - Accent5 2 3 4 4 3" xfId="14380" xr:uid="{00000000-0005-0000-0000-0000974F0000}"/>
    <cellStyle name="40% - Accent5 2 3 4 4 3 2" xfId="33780" xr:uid="{00000000-0005-0000-0000-0000984F0000}"/>
    <cellStyle name="40% - Accent5 2 3 4 4 4" xfId="24082" xr:uid="{00000000-0005-0000-0000-0000994F0000}"/>
    <cellStyle name="40% - Accent5 2 3 4 5" xfId="6045" xr:uid="{00000000-0005-0000-0000-00009A4F0000}"/>
    <cellStyle name="40% - Accent5 2 3 4 5 2" xfId="10509" xr:uid="{00000000-0005-0000-0000-00009B4F0000}"/>
    <cellStyle name="40% - Accent5 2 3 4 5 2 2" xfId="20505" xr:uid="{00000000-0005-0000-0000-00009C4F0000}"/>
    <cellStyle name="40% - Accent5 2 3 4 5 2 2 2" xfId="39905" xr:uid="{00000000-0005-0000-0000-00009D4F0000}"/>
    <cellStyle name="40% - Accent5 2 3 4 5 2 3" xfId="30207" xr:uid="{00000000-0005-0000-0000-00009E4F0000}"/>
    <cellStyle name="40% - Accent5 2 3 4 5 3" xfId="16050" xr:uid="{00000000-0005-0000-0000-00009F4F0000}"/>
    <cellStyle name="40% - Accent5 2 3 4 5 3 2" xfId="35450" xr:uid="{00000000-0005-0000-0000-0000A04F0000}"/>
    <cellStyle name="40% - Accent5 2 3 4 5 4" xfId="25752" xr:uid="{00000000-0005-0000-0000-0000A14F0000}"/>
    <cellStyle name="40% - Accent5 2 3 4 6" xfId="6611" xr:uid="{00000000-0005-0000-0000-0000A24F0000}"/>
    <cellStyle name="40% - Accent5 2 3 4 6 2" xfId="11066" xr:uid="{00000000-0005-0000-0000-0000A34F0000}"/>
    <cellStyle name="40% - Accent5 2 3 4 6 2 2" xfId="21062" xr:uid="{00000000-0005-0000-0000-0000A44F0000}"/>
    <cellStyle name="40% - Accent5 2 3 4 6 2 2 2" xfId="40462" xr:uid="{00000000-0005-0000-0000-0000A54F0000}"/>
    <cellStyle name="40% - Accent5 2 3 4 6 2 3" xfId="30764" xr:uid="{00000000-0005-0000-0000-0000A64F0000}"/>
    <cellStyle name="40% - Accent5 2 3 4 6 3" xfId="16607" xr:uid="{00000000-0005-0000-0000-0000A74F0000}"/>
    <cellStyle name="40% - Accent5 2 3 4 6 3 2" xfId="36007" xr:uid="{00000000-0005-0000-0000-0000A84F0000}"/>
    <cellStyle name="40% - Accent5 2 3 4 6 4" xfId="26309" xr:uid="{00000000-0005-0000-0000-0000A94F0000}"/>
    <cellStyle name="40% - Accent5 2 3 4 7" xfId="7168" xr:uid="{00000000-0005-0000-0000-0000AA4F0000}"/>
    <cellStyle name="40% - Accent5 2 3 4 7 2" xfId="17164" xr:uid="{00000000-0005-0000-0000-0000AB4F0000}"/>
    <cellStyle name="40% - Accent5 2 3 4 7 2 2" xfId="36564" xr:uid="{00000000-0005-0000-0000-0000AC4F0000}"/>
    <cellStyle name="40% - Accent5 2 3 4 7 3" xfId="26866" xr:uid="{00000000-0005-0000-0000-0000AD4F0000}"/>
    <cellStyle name="40% - Accent5 2 3 4 8" xfId="12708" xr:uid="{00000000-0005-0000-0000-0000AE4F0000}"/>
    <cellStyle name="40% - Accent5 2 3 4 8 2" xfId="32109" xr:uid="{00000000-0005-0000-0000-0000AF4F0000}"/>
    <cellStyle name="40% - Accent5 2 3 4 9" xfId="22411" xr:uid="{00000000-0005-0000-0000-0000B04F0000}"/>
    <cellStyle name="40% - Accent5 2 3 5" xfId="2237" xr:uid="{00000000-0005-0000-0000-0000B14F0000}"/>
    <cellStyle name="40% - Accent5 2 3 5 2" xfId="3220" xr:uid="{00000000-0005-0000-0000-0000B24F0000}"/>
    <cellStyle name="40% - Accent5 2 3 5 2 2" xfId="5489" xr:uid="{00000000-0005-0000-0000-0000B34F0000}"/>
    <cellStyle name="40% - Accent5 2 3 5 2 2 2" xfId="9953" xr:uid="{00000000-0005-0000-0000-0000B44F0000}"/>
    <cellStyle name="40% - Accent5 2 3 5 2 2 2 2" xfId="19949" xr:uid="{00000000-0005-0000-0000-0000B54F0000}"/>
    <cellStyle name="40% - Accent5 2 3 5 2 2 2 2 2" xfId="39349" xr:uid="{00000000-0005-0000-0000-0000B64F0000}"/>
    <cellStyle name="40% - Accent5 2 3 5 2 2 2 3" xfId="29651" xr:uid="{00000000-0005-0000-0000-0000B74F0000}"/>
    <cellStyle name="40% - Accent5 2 3 5 2 2 3" xfId="15494" xr:uid="{00000000-0005-0000-0000-0000B84F0000}"/>
    <cellStyle name="40% - Accent5 2 3 5 2 2 3 2" xfId="34894" xr:uid="{00000000-0005-0000-0000-0000B94F0000}"/>
    <cellStyle name="40% - Accent5 2 3 5 2 2 4" xfId="25196" xr:uid="{00000000-0005-0000-0000-0000BA4F0000}"/>
    <cellStyle name="40% - Accent5 2 3 5 2 3" xfId="7725" xr:uid="{00000000-0005-0000-0000-0000BB4F0000}"/>
    <cellStyle name="40% - Accent5 2 3 5 2 3 2" xfId="17721" xr:uid="{00000000-0005-0000-0000-0000BC4F0000}"/>
    <cellStyle name="40% - Accent5 2 3 5 2 3 2 2" xfId="37121" xr:uid="{00000000-0005-0000-0000-0000BD4F0000}"/>
    <cellStyle name="40% - Accent5 2 3 5 2 3 3" xfId="27423" xr:uid="{00000000-0005-0000-0000-0000BE4F0000}"/>
    <cellStyle name="40% - Accent5 2 3 5 2 4" xfId="13266" xr:uid="{00000000-0005-0000-0000-0000BF4F0000}"/>
    <cellStyle name="40% - Accent5 2 3 5 2 4 2" xfId="32666" xr:uid="{00000000-0005-0000-0000-0000C04F0000}"/>
    <cellStyle name="40% - Accent5 2 3 5 2 5" xfId="22968" xr:uid="{00000000-0005-0000-0000-0000C14F0000}"/>
    <cellStyle name="40% - Accent5 2 3 5 3" xfId="3803" xr:uid="{00000000-0005-0000-0000-0000C24F0000}"/>
    <cellStyle name="40% - Accent5 2 3 5 3 2" xfId="4933" xr:uid="{00000000-0005-0000-0000-0000C34F0000}"/>
    <cellStyle name="40% - Accent5 2 3 5 3 2 2" xfId="9397" xr:uid="{00000000-0005-0000-0000-0000C44F0000}"/>
    <cellStyle name="40% - Accent5 2 3 5 3 2 2 2" xfId="19393" xr:uid="{00000000-0005-0000-0000-0000C54F0000}"/>
    <cellStyle name="40% - Accent5 2 3 5 3 2 2 2 2" xfId="38793" xr:uid="{00000000-0005-0000-0000-0000C64F0000}"/>
    <cellStyle name="40% - Accent5 2 3 5 3 2 2 3" xfId="29095" xr:uid="{00000000-0005-0000-0000-0000C74F0000}"/>
    <cellStyle name="40% - Accent5 2 3 5 3 2 3" xfId="14938" xr:uid="{00000000-0005-0000-0000-0000C84F0000}"/>
    <cellStyle name="40% - Accent5 2 3 5 3 2 3 2" xfId="34338" xr:uid="{00000000-0005-0000-0000-0000C94F0000}"/>
    <cellStyle name="40% - Accent5 2 3 5 3 2 4" xfId="24640" xr:uid="{00000000-0005-0000-0000-0000CA4F0000}"/>
    <cellStyle name="40% - Accent5 2 3 5 3 3" xfId="8282" xr:uid="{00000000-0005-0000-0000-0000CB4F0000}"/>
    <cellStyle name="40% - Accent5 2 3 5 3 3 2" xfId="18278" xr:uid="{00000000-0005-0000-0000-0000CC4F0000}"/>
    <cellStyle name="40% - Accent5 2 3 5 3 3 2 2" xfId="37678" xr:uid="{00000000-0005-0000-0000-0000CD4F0000}"/>
    <cellStyle name="40% - Accent5 2 3 5 3 3 3" xfId="27980" xr:uid="{00000000-0005-0000-0000-0000CE4F0000}"/>
    <cellStyle name="40% - Accent5 2 3 5 3 4" xfId="13823" xr:uid="{00000000-0005-0000-0000-0000CF4F0000}"/>
    <cellStyle name="40% - Accent5 2 3 5 3 4 2" xfId="33223" xr:uid="{00000000-0005-0000-0000-0000D04F0000}"/>
    <cellStyle name="40% - Accent5 2 3 5 3 5" xfId="23525" xr:uid="{00000000-0005-0000-0000-0000D14F0000}"/>
    <cellStyle name="40% - Accent5 2 3 5 4" xfId="4376" xr:uid="{00000000-0005-0000-0000-0000D24F0000}"/>
    <cellStyle name="40% - Accent5 2 3 5 4 2" xfId="8840" xr:uid="{00000000-0005-0000-0000-0000D34F0000}"/>
    <cellStyle name="40% - Accent5 2 3 5 4 2 2" xfId="18836" xr:uid="{00000000-0005-0000-0000-0000D44F0000}"/>
    <cellStyle name="40% - Accent5 2 3 5 4 2 2 2" xfId="38236" xr:uid="{00000000-0005-0000-0000-0000D54F0000}"/>
    <cellStyle name="40% - Accent5 2 3 5 4 2 3" xfId="28538" xr:uid="{00000000-0005-0000-0000-0000D64F0000}"/>
    <cellStyle name="40% - Accent5 2 3 5 4 3" xfId="14381" xr:uid="{00000000-0005-0000-0000-0000D74F0000}"/>
    <cellStyle name="40% - Accent5 2 3 5 4 3 2" xfId="33781" xr:uid="{00000000-0005-0000-0000-0000D84F0000}"/>
    <cellStyle name="40% - Accent5 2 3 5 4 4" xfId="24083" xr:uid="{00000000-0005-0000-0000-0000D94F0000}"/>
    <cellStyle name="40% - Accent5 2 3 5 5" xfId="6046" xr:uid="{00000000-0005-0000-0000-0000DA4F0000}"/>
    <cellStyle name="40% - Accent5 2 3 5 5 2" xfId="10510" xr:uid="{00000000-0005-0000-0000-0000DB4F0000}"/>
    <cellStyle name="40% - Accent5 2 3 5 5 2 2" xfId="20506" xr:uid="{00000000-0005-0000-0000-0000DC4F0000}"/>
    <cellStyle name="40% - Accent5 2 3 5 5 2 2 2" xfId="39906" xr:uid="{00000000-0005-0000-0000-0000DD4F0000}"/>
    <cellStyle name="40% - Accent5 2 3 5 5 2 3" xfId="30208" xr:uid="{00000000-0005-0000-0000-0000DE4F0000}"/>
    <cellStyle name="40% - Accent5 2 3 5 5 3" xfId="16051" xr:uid="{00000000-0005-0000-0000-0000DF4F0000}"/>
    <cellStyle name="40% - Accent5 2 3 5 5 3 2" xfId="35451" xr:uid="{00000000-0005-0000-0000-0000E04F0000}"/>
    <cellStyle name="40% - Accent5 2 3 5 5 4" xfId="25753" xr:uid="{00000000-0005-0000-0000-0000E14F0000}"/>
    <cellStyle name="40% - Accent5 2 3 5 6" xfId="6612" xr:uid="{00000000-0005-0000-0000-0000E24F0000}"/>
    <cellStyle name="40% - Accent5 2 3 5 6 2" xfId="11067" xr:uid="{00000000-0005-0000-0000-0000E34F0000}"/>
    <cellStyle name="40% - Accent5 2 3 5 6 2 2" xfId="21063" xr:uid="{00000000-0005-0000-0000-0000E44F0000}"/>
    <cellStyle name="40% - Accent5 2 3 5 6 2 2 2" xfId="40463" xr:uid="{00000000-0005-0000-0000-0000E54F0000}"/>
    <cellStyle name="40% - Accent5 2 3 5 6 2 3" xfId="30765" xr:uid="{00000000-0005-0000-0000-0000E64F0000}"/>
    <cellStyle name="40% - Accent5 2 3 5 6 3" xfId="16608" xr:uid="{00000000-0005-0000-0000-0000E74F0000}"/>
    <cellStyle name="40% - Accent5 2 3 5 6 3 2" xfId="36008" xr:uid="{00000000-0005-0000-0000-0000E84F0000}"/>
    <cellStyle name="40% - Accent5 2 3 5 6 4" xfId="26310" xr:uid="{00000000-0005-0000-0000-0000E94F0000}"/>
    <cellStyle name="40% - Accent5 2 3 5 7" xfId="7169" xr:uid="{00000000-0005-0000-0000-0000EA4F0000}"/>
    <cellStyle name="40% - Accent5 2 3 5 7 2" xfId="17165" xr:uid="{00000000-0005-0000-0000-0000EB4F0000}"/>
    <cellStyle name="40% - Accent5 2 3 5 7 2 2" xfId="36565" xr:uid="{00000000-0005-0000-0000-0000EC4F0000}"/>
    <cellStyle name="40% - Accent5 2 3 5 7 3" xfId="26867" xr:uid="{00000000-0005-0000-0000-0000ED4F0000}"/>
    <cellStyle name="40% - Accent5 2 3 5 8" xfId="12709" xr:uid="{00000000-0005-0000-0000-0000EE4F0000}"/>
    <cellStyle name="40% - Accent5 2 3 5 8 2" xfId="32110" xr:uid="{00000000-0005-0000-0000-0000EF4F0000}"/>
    <cellStyle name="40% - Accent5 2 3 5 9" xfId="22412" xr:uid="{00000000-0005-0000-0000-0000F04F0000}"/>
    <cellStyle name="40% - Accent5 2 3 6" xfId="11973" xr:uid="{00000000-0005-0000-0000-0000F14F0000}"/>
    <cellStyle name="40% - Accent5 2 3 6 2" xfId="21677" xr:uid="{00000000-0005-0000-0000-0000F24F0000}"/>
    <cellStyle name="40% - Accent5 2 3 6 2 2" xfId="41077" xr:uid="{00000000-0005-0000-0000-0000F34F0000}"/>
    <cellStyle name="40% - Accent5 2 3 6 3" xfId="31379" xr:uid="{00000000-0005-0000-0000-0000F44F0000}"/>
    <cellStyle name="40% - Accent5 2 3 7" xfId="1303" xr:uid="{00000000-0005-0000-0000-0000F54F0000}"/>
    <cellStyle name="40% - Accent5 2 3 8" xfId="12329" xr:uid="{00000000-0005-0000-0000-0000F64F0000}"/>
    <cellStyle name="40% - Accent5 2 3 8 2" xfId="31732" xr:uid="{00000000-0005-0000-0000-0000F74F0000}"/>
    <cellStyle name="40% - Accent5 2 3 9" xfId="22034" xr:uid="{00000000-0005-0000-0000-0000F84F0000}"/>
    <cellStyle name="40% - Accent5 2 4" xfId="1304" xr:uid="{00000000-0005-0000-0000-0000F94F0000}"/>
    <cellStyle name="40% - Accent5 2 4 2" xfId="2238" xr:uid="{00000000-0005-0000-0000-0000FA4F0000}"/>
    <cellStyle name="40% - Accent5 2 4 2 10" xfId="12710" xr:uid="{00000000-0005-0000-0000-0000FB4F0000}"/>
    <cellStyle name="40% - Accent5 2 4 2 10 2" xfId="32111" xr:uid="{00000000-0005-0000-0000-0000FC4F0000}"/>
    <cellStyle name="40% - Accent5 2 4 2 11" xfId="22413" xr:uid="{00000000-0005-0000-0000-0000FD4F0000}"/>
    <cellStyle name="40% - Accent5 2 4 2 2" xfId="2239" xr:uid="{00000000-0005-0000-0000-0000FE4F0000}"/>
    <cellStyle name="40% - Accent5 2 4 2 2 2" xfId="3222" xr:uid="{00000000-0005-0000-0000-0000FF4F0000}"/>
    <cellStyle name="40% - Accent5 2 4 2 2 2 2" xfId="5491" xr:uid="{00000000-0005-0000-0000-000000500000}"/>
    <cellStyle name="40% - Accent5 2 4 2 2 2 2 2" xfId="9955" xr:uid="{00000000-0005-0000-0000-000001500000}"/>
    <cellStyle name="40% - Accent5 2 4 2 2 2 2 2 2" xfId="19951" xr:uid="{00000000-0005-0000-0000-000002500000}"/>
    <cellStyle name="40% - Accent5 2 4 2 2 2 2 2 2 2" xfId="39351" xr:uid="{00000000-0005-0000-0000-000003500000}"/>
    <cellStyle name="40% - Accent5 2 4 2 2 2 2 2 3" xfId="29653" xr:uid="{00000000-0005-0000-0000-000004500000}"/>
    <cellStyle name="40% - Accent5 2 4 2 2 2 2 3" xfId="15496" xr:uid="{00000000-0005-0000-0000-000005500000}"/>
    <cellStyle name="40% - Accent5 2 4 2 2 2 2 3 2" xfId="34896" xr:uid="{00000000-0005-0000-0000-000006500000}"/>
    <cellStyle name="40% - Accent5 2 4 2 2 2 2 4" xfId="25198" xr:uid="{00000000-0005-0000-0000-000007500000}"/>
    <cellStyle name="40% - Accent5 2 4 2 2 2 3" xfId="7727" xr:uid="{00000000-0005-0000-0000-000008500000}"/>
    <cellStyle name="40% - Accent5 2 4 2 2 2 3 2" xfId="17723" xr:uid="{00000000-0005-0000-0000-000009500000}"/>
    <cellStyle name="40% - Accent5 2 4 2 2 2 3 2 2" xfId="37123" xr:uid="{00000000-0005-0000-0000-00000A500000}"/>
    <cellStyle name="40% - Accent5 2 4 2 2 2 3 3" xfId="27425" xr:uid="{00000000-0005-0000-0000-00000B500000}"/>
    <cellStyle name="40% - Accent5 2 4 2 2 2 4" xfId="13268" xr:uid="{00000000-0005-0000-0000-00000C500000}"/>
    <cellStyle name="40% - Accent5 2 4 2 2 2 4 2" xfId="32668" xr:uid="{00000000-0005-0000-0000-00000D500000}"/>
    <cellStyle name="40% - Accent5 2 4 2 2 2 5" xfId="22970" xr:uid="{00000000-0005-0000-0000-00000E500000}"/>
    <cellStyle name="40% - Accent5 2 4 2 2 3" xfId="3805" xr:uid="{00000000-0005-0000-0000-00000F500000}"/>
    <cellStyle name="40% - Accent5 2 4 2 2 3 2" xfId="4935" xr:uid="{00000000-0005-0000-0000-000010500000}"/>
    <cellStyle name="40% - Accent5 2 4 2 2 3 2 2" xfId="9399" xr:uid="{00000000-0005-0000-0000-000011500000}"/>
    <cellStyle name="40% - Accent5 2 4 2 2 3 2 2 2" xfId="19395" xr:uid="{00000000-0005-0000-0000-000012500000}"/>
    <cellStyle name="40% - Accent5 2 4 2 2 3 2 2 2 2" xfId="38795" xr:uid="{00000000-0005-0000-0000-000013500000}"/>
    <cellStyle name="40% - Accent5 2 4 2 2 3 2 2 3" xfId="29097" xr:uid="{00000000-0005-0000-0000-000014500000}"/>
    <cellStyle name="40% - Accent5 2 4 2 2 3 2 3" xfId="14940" xr:uid="{00000000-0005-0000-0000-000015500000}"/>
    <cellStyle name="40% - Accent5 2 4 2 2 3 2 3 2" xfId="34340" xr:uid="{00000000-0005-0000-0000-000016500000}"/>
    <cellStyle name="40% - Accent5 2 4 2 2 3 2 4" xfId="24642" xr:uid="{00000000-0005-0000-0000-000017500000}"/>
    <cellStyle name="40% - Accent5 2 4 2 2 3 3" xfId="8284" xr:uid="{00000000-0005-0000-0000-000018500000}"/>
    <cellStyle name="40% - Accent5 2 4 2 2 3 3 2" xfId="18280" xr:uid="{00000000-0005-0000-0000-000019500000}"/>
    <cellStyle name="40% - Accent5 2 4 2 2 3 3 2 2" xfId="37680" xr:uid="{00000000-0005-0000-0000-00001A500000}"/>
    <cellStyle name="40% - Accent5 2 4 2 2 3 3 3" xfId="27982" xr:uid="{00000000-0005-0000-0000-00001B500000}"/>
    <cellStyle name="40% - Accent5 2 4 2 2 3 4" xfId="13825" xr:uid="{00000000-0005-0000-0000-00001C500000}"/>
    <cellStyle name="40% - Accent5 2 4 2 2 3 4 2" xfId="33225" xr:uid="{00000000-0005-0000-0000-00001D500000}"/>
    <cellStyle name="40% - Accent5 2 4 2 2 3 5" xfId="23527" xr:uid="{00000000-0005-0000-0000-00001E500000}"/>
    <cellStyle name="40% - Accent5 2 4 2 2 4" xfId="4378" xr:uid="{00000000-0005-0000-0000-00001F500000}"/>
    <cellStyle name="40% - Accent5 2 4 2 2 4 2" xfId="8842" xr:uid="{00000000-0005-0000-0000-000020500000}"/>
    <cellStyle name="40% - Accent5 2 4 2 2 4 2 2" xfId="18838" xr:uid="{00000000-0005-0000-0000-000021500000}"/>
    <cellStyle name="40% - Accent5 2 4 2 2 4 2 2 2" xfId="38238" xr:uid="{00000000-0005-0000-0000-000022500000}"/>
    <cellStyle name="40% - Accent5 2 4 2 2 4 2 3" xfId="28540" xr:uid="{00000000-0005-0000-0000-000023500000}"/>
    <cellStyle name="40% - Accent5 2 4 2 2 4 3" xfId="14383" xr:uid="{00000000-0005-0000-0000-000024500000}"/>
    <cellStyle name="40% - Accent5 2 4 2 2 4 3 2" xfId="33783" xr:uid="{00000000-0005-0000-0000-000025500000}"/>
    <cellStyle name="40% - Accent5 2 4 2 2 4 4" xfId="24085" xr:uid="{00000000-0005-0000-0000-000026500000}"/>
    <cellStyle name="40% - Accent5 2 4 2 2 5" xfId="6048" xr:uid="{00000000-0005-0000-0000-000027500000}"/>
    <cellStyle name="40% - Accent5 2 4 2 2 5 2" xfId="10512" xr:uid="{00000000-0005-0000-0000-000028500000}"/>
    <cellStyle name="40% - Accent5 2 4 2 2 5 2 2" xfId="20508" xr:uid="{00000000-0005-0000-0000-000029500000}"/>
    <cellStyle name="40% - Accent5 2 4 2 2 5 2 2 2" xfId="39908" xr:uid="{00000000-0005-0000-0000-00002A500000}"/>
    <cellStyle name="40% - Accent5 2 4 2 2 5 2 3" xfId="30210" xr:uid="{00000000-0005-0000-0000-00002B500000}"/>
    <cellStyle name="40% - Accent5 2 4 2 2 5 3" xfId="16053" xr:uid="{00000000-0005-0000-0000-00002C500000}"/>
    <cellStyle name="40% - Accent5 2 4 2 2 5 3 2" xfId="35453" xr:uid="{00000000-0005-0000-0000-00002D500000}"/>
    <cellStyle name="40% - Accent5 2 4 2 2 5 4" xfId="25755" xr:uid="{00000000-0005-0000-0000-00002E500000}"/>
    <cellStyle name="40% - Accent5 2 4 2 2 6" xfId="6614" xr:uid="{00000000-0005-0000-0000-00002F500000}"/>
    <cellStyle name="40% - Accent5 2 4 2 2 6 2" xfId="11069" xr:uid="{00000000-0005-0000-0000-000030500000}"/>
    <cellStyle name="40% - Accent5 2 4 2 2 6 2 2" xfId="21065" xr:uid="{00000000-0005-0000-0000-000031500000}"/>
    <cellStyle name="40% - Accent5 2 4 2 2 6 2 2 2" xfId="40465" xr:uid="{00000000-0005-0000-0000-000032500000}"/>
    <cellStyle name="40% - Accent5 2 4 2 2 6 2 3" xfId="30767" xr:uid="{00000000-0005-0000-0000-000033500000}"/>
    <cellStyle name="40% - Accent5 2 4 2 2 6 3" xfId="16610" xr:uid="{00000000-0005-0000-0000-000034500000}"/>
    <cellStyle name="40% - Accent5 2 4 2 2 6 3 2" xfId="36010" xr:uid="{00000000-0005-0000-0000-000035500000}"/>
    <cellStyle name="40% - Accent5 2 4 2 2 6 4" xfId="26312" xr:uid="{00000000-0005-0000-0000-000036500000}"/>
    <cellStyle name="40% - Accent5 2 4 2 2 7" xfId="7171" xr:uid="{00000000-0005-0000-0000-000037500000}"/>
    <cellStyle name="40% - Accent5 2 4 2 2 7 2" xfId="17167" xr:uid="{00000000-0005-0000-0000-000038500000}"/>
    <cellStyle name="40% - Accent5 2 4 2 2 7 2 2" xfId="36567" xr:uid="{00000000-0005-0000-0000-000039500000}"/>
    <cellStyle name="40% - Accent5 2 4 2 2 7 3" xfId="26869" xr:uid="{00000000-0005-0000-0000-00003A500000}"/>
    <cellStyle name="40% - Accent5 2 4 2 2 8" xfId="12711" xr:uid="{00000000-0005-0000-0000-00003B500000}"/>
    <cellStyle name="40% - Accent5 2 4 2 2 8 2" xfId="32112" xr:uid="{00000000-0005-0000-0000-00003C500000}"/>
    <cellStyle name="40% - Accent5 2 4 2 2 9" xfId="22414" xr:uid="{00000000-0005-0000-0000-00003D500000}"/>
    <cellStyle name="40% - Accent5 2 4 2 3" xfId="2240" xr:uid="{00000000-0005-0000-0000-00003E500000}"/>
    <cellStyle name="40% - Accent5 2 4 2 3 2" xfId="3223" xr:uid="{00000000-0005-0000-0000-00003F500000}"/>
    <cellStyle name="40% - Accent5 2 4 2 3 2 2" xfId="5492" xr:uid="{00000000-0005-0000-0000-000040500000}"/>
    <cellStyle name="40% - Accent5 2 4 2 3 2 2 2" xfId="9956" xr:uid="{00000000-0005-0000-0000-000041500000}"/>
    <cellStyle name="40% - Accent5 2 4 2 3 2 2 2 2" xfId="19952" xr:uid="{00000000-0005-0000-0000-000042500000}"/>
    <cellStyle name="40% - Accent5 2 4 2 3 2 2 2 2 2" xfId="39352" xr:uid="{00000000-0005-0000-0000-000043500000}"/>
    <cellStyle name="40% - Accent5 2 4 2 3 2 2 2 3" xfId="29654" xr:uid="{00000000-0005-0000-0000-000044500000}"/>
    <cellStyle name="40% - Accent5 2 4 2 3 2 2 3" xfId="15497" xr:uid="{00000000-0005-0000-0000-000045500000}"/>
    <cellStyle name="40% - Accent5 2 4 2 3 2 2 3 2" xfId="34897" xr:uid="{00000000-0005-0000-0000-000046500000}"/>
    <cellStyle name="40% - Accent5 2 4 2 3 2 2 4" xfId="25199" xr:uid="{00000000-0005-0000-0000-000047500000}"/>
    <cellStyle name="40% - Accent5 2 4 2 3 2 3" xfId="7728" xr:uid="{00000000-0005-0000-0000-000048500000}"/>
    <cellStyle name="40% - Accent5 2 4 2 3 2 3 2" xfId="17724" xr:uid="{00000000-0005-0000-0000-000049500000}"/>
    <cellStyle name="40% - Accent5 2 4 2 3 2 3 2 2" xfId="37124" xr:uid="{00000000-0005-0000-0000-00004A500000}"/>
    <cellStyle name="40% - Accent5 2 4 2 3 2 3 3" xfId="27426" xr:uid="{00000000-0005-0000-0000-00004B500000}"/>
    <cellStyle name="40% - Accent5 2 4 2 3 2 4" xfId="13269" xr:uid="{00000000-0005-0000-0000-00004C500000}"/>
    <cellStyle name="40% - Accent5 2 4 2 3 2 4 2" xfId="32669" xr:uid="{00000000-0005-0000-0000-00004D500000}"/>
    <cellStyle name="40% - Accent5 2 4 2 3 2 5" xfId="22971" xr:uid="{00000000-0005-0000-0000-00004E500000}"/>
    <cellStyle name="40% - Accent5 2 4 2 3 3" xfId="3806" xr:uid="{00000000-0005-0000-0000-00004F500000}"/>
    <cellStyle name="40% - Accent5 2 4 2 3 3 2" xfId="4936" xr:uid="{00000000-0005-0000-0000-000050500000}"/>
    <cellStyle name="40% - Accent5 2 4 2 3 3 2 2" xfId="9400" xr:uid="{00000000-0005-0000-0000-000051500000}"/>
    <cellStyle name="40% - Accent5 2 4 2 3 3 2 2 2" xfId="19396" xr:uid="{00000000-0005-0000-0000-000052500000}"/>
    <cellStyle name="40% - Accent5 2 4 2 3 3 2 2 2 2" xfId="38796" xr:uid="{00000000-0005-0000-0000-000053500000}"/>
    <cellStyle name="40% - Accent5 2 4 2 3 3 2 2 3" xfId="29098" xr:uid="{00000000-0005-0000-0000-000054500000}"/>
    <cellStyle name="40% - Accent5 2 4 2 3 3 2 3" xfId="14941" xr:uid="{00000000-0005-0000-0000-000055500000}"/>
    <cellStyle name="40% - Accent5 2 4 2 3 3 2 3 2" xfId="34341" xr:uid="{00000000-0005-0000-0000-000056500000}"/>
    <cellStyle name="40% - Accent5 2 4 2 3 3 2 4" xfId="24643" xr:uid="{00000000-0005-0000-0000-000057500000}"/>
    <cellStyle name="40% - Accent5 2 4 2 3 3 3" xfId="8285" xr:uid="{00000000-0005-0000-0000-000058500000}"/>
    <cellStyle name="40% - Accent5 2 4 2 3 3 3 2" xfId="18281" xr:uid="{00000000-0005-0000-0000-000059500000}"/>
    <cellStyle name="40% - Accent5 2 4 2 3 3 3 2 2" xfId="37681" xr:uid="{00000000-0005-0000-0000-00005A500000}"/>
    <cellStyle name="40% - Accent5 2 4 2 3 3 3 3" xfId="27983" xr:uid="{00000000-0005-0000-0000-00005B500000}"/>
    <cellStyle name="40% - Accent5 2 4 2 3 3 4" xfId="13826" xr:uid="{00000000-0005-0000-0000-00005C500000}"/>
    <cellStyle name="40% - Accent5 2 4 2 3 3 4 2" xfId="33226" xr:uid="{00000000-0005-0000-0000-00005D500000}"/>
    <cellStyle name="40% - Accent5 2 4 2 3 3 5" xfId="23528" xr:uid="{00000000-0005-0000-0000-00005E500000}"/>
    <cellStyle name="40% - Accent5 2 4 2 3 4" xfId="4379" xr:uid="{00000000-0005-0000-0000-00005F500000}"/>
    <cellStyle name="40% - Accent5 2 4 2 3 4 2" xfId="8843" xr:uid="{00000000-0005-0000-0000-000060500000}"/>
    <cellStyle name="40% - Accent5 2 4 2 3 4 2 2" xfId="18839" xr:uid="{00000000-0005-0000-0000-000061500000}"/>
    <cellStyle name="40% - Accent5 2 4 2 3 4 2 2 2" xfId="38239" xr:uid="{00000000-0005-0000-0000-000062500000}"/>
    <cellStyle name="40% - Accent5 2 4 2 3 4 2 3" xfId="28541" xr:uid="{00000000-0005-0000-0000-000063500000}"/>
    <cellStyle name="40% - Accent5 2 4 2 3 4 3" xfId="14384" xr:uid="{00000000-0005-0000-0000-000064500000}"/>
    <cellStyle name="40% - Accent5 2 4 2 3 4 3 2" xfId="33784" xr:uid="{00000000-0005-0000-0000-000065500000}"/>
    <cellStyle name="40% - Accent5 2 4 2 3 4 4" xfId="24086" xr:uid="{00000000-0005-0000-0000-000066500000}"/>
    <cellStyle name="40% - Accent5 2 4 2 3 5" xfId="6049" xr:uid="{00000000-0005-0000-0000-000067500000}"/>
    <cellStyle name="40% - Accent5 2 4 2 3 5 2" xfId="10513" xr:uid="{00000000-0005-0000-0000-000068500000}"/>
    <cellStyle name="40% - Accent5 2 4 2 3 5 2 2" xfId="20509" xr:uid="{00000000-0005-0000-0000-000069500000}"/>
    <cellStyle name="40% - Accent5 2 4 2 3 5 2 2 2" xfId="39909" xr:uid="{00000000-0005-0000-0000-00006A500000}"/>
    <cellStyle name="40% - Accent5 2 4 2 3 5 2 3" xfId="30211" xr:uid="{00000000-0005-0000-0000-00006B500000}"/>
    <cellStyle name="40% - Accent5 2 4 2 3 5 3" xfId="16054" xr:uid="{00000000-0005-0000-0000-00006C500000}"/>
    <cellStyle name="40% - Accent5 2 4 2 3 5 3 2" xfId="35454" xr:uid="{00000000-0005-0000-0000-00006D500000}"/>
    <cellStyle name="40% - Accent5 2 4 2 3 5 4" xfId="25756" xr:uid="{00000000-0005-0000-0000-00006E500000}"/>
    <cellStyle name="40% - Accent5 2 4 2 3 6" xfId="6615" xr:uid="{00000000-0005-0000-0000-00006F500000}"/>
    <cellStyle name="40% - Accent5 2 4 2 3 6 2" xfId="11070" xr:uid="{00000000-0005-0000-0000-000070500000}"/>
    <cellStyle name="40% - Accent5 2 4 2 3 6 2 2" xfId="21066" xr:uid="{00000000-0005-0000-0000-000071500000}"/>
    <cellStyle name="40% - Accent5 2 4 2 3 6 2 2 2" xfId="40466" xr:uid="{00000000-0005-0000-0000-000072500000}"/>
    <cellStyle name="40% - Accent5 2 4 2 3 6 2 3" xfId="30768" xr:uid="{00000000-0005-0000-0000-000073500000}"/>
    <cellStyle name="40% - Accent5 2 4 2 3 6 3" xfId="16611" xr:uid="{00000000-0005-0000-0000-000074500000}"/>
    <cellStyle name="40% - Accent5 2 4 2 3 6 3 2" xfId="36011" xr:uid="{00000000-0005-0000-0000-000075500000}"/>
    <cellStyle name="40% - Accent5 2 4 2 3 6 4" xfId="26313" xr:uid="{00000000-0005-0000-0000-000076500000}"/>
    <cellStyle name="40% - Accent5 2 4 2 3 7" xfId="7172" xr:uid="{00000000-0005-0000-0000-000077500000}"/>
    <cellStyle name="40% - Accent5 2 4 2 3 7 2" xfId="17168" xr:uid="{00000000-0005-0000-0000-000078500000}"/>
    <cellStyle name="40% - Accent5 2 4 2 3 7 2 2" xfId="36568" xr:uid="{00000000-0005-0000-0000-000079500000}"/>
    <cellStyle name="40% - Accent5 2 4 2 3 7 3" xfId="26870" xr:uid="{00000000-0005-0000-0000-00007A500000}"/>
    <cellStyle name="40% - Accent5 2 4 2 3 8" xfId="12712" xr:uid="{00000000-0005-0000-0000-00007B500000}"/>
    <cellStyle name="40% - Accent5 2 4 2 3 8 2" xfId="32113" xr:uid="{00000000-0005-0000-0000-00007C500000}"/>
    <cellStyle name="40% - Accent5 2 4 2 3 9" xfId="22415" xr:uid="{00000000-0005-0000-0000-00007D500000}"/>
    <cellStyle name="40% - Accent5 2 4 2 4" xfId="3221" xr:uid="{00000000-0005-0000-0000-00007E500000}"/>
    <cellStyle name="40% - Accent5 2 4 2 4 2" xfId="5490" xr:uid="{00000000-0005-0000-0000-00007F500000}"/>
    <cellStyle name="40% - Accent5 2 4 2 4 2 2" xfId="9954" xr:uid="{00000000-0005-0000-0000-000080500000}"/>
    <cellStyle name="40% - Accent5 2 4 2 4 2 2 2" xfId="19950" xr:uid="{00000000-0005-0000-0000-000081500000}"/>
    <cellStyle name="40% - Accent5 2 4 2 4 2 2 2 2" xfId="39350" xr:uid="{00000000-0005-0000-0000-000082500000}"/>
    <cellStyle name="40% - Accent5 2 4 2 4 2 2 3" xfId="29652" xr:uid="{00000000-0005-0000-0000-000083500000}"/>
    <cellStyle name="40% - Accent5 2 4 2 4 2 3" xfId="15495" xr:uid="{00000000-0005-0000-0000-000084500000}"/>
    <cellStyle name="40% - Accent5 2 4 2 4 2 3 2" xfId="34895" xr:uid="{00000000-0005-0000-0000-000085500000}"/>
    <cellStyle name="40% - Accent5 2 4 2 4 2 4" xfId="25197" xr:uid="{00000000-0005-0000-0000-000086500000}"/>
    <cellStyle name="40% - Accent5 2 4 2 4 3" xfId="7726" xr:uid="{00000000-0005-0000-0000-000087500000}"/>
    <cellStyle name="40% - Accent5 2 4 2 4 3 2" xfId="17722" xr:uid="{00000000-0005-0000-0000-000088500000}"/>
    <cellStyle name="40% - Accent5 2 4 2 4 3 2 2" xfId="37122" xr:uid="{00000000-0005-0000-0000-000089500000}"/>
    <cellStyle name="40% - Accent5 2 4 2 4 3 3" xfId="27424" xr:uid="{00000000-0005-0000-0000-00008A500000}"/>
    <cellStyle name="40% - Accent5 2 4 2 4 4" xfId="13267" xr:uid="{00000000-0005-0000-0000-00008B500000}"/>
    <cellStyle name="40% - Accent5 2 4 2 4 4 2" xfId="32667" xr:uid="{00000000-0005-0000-0000-00008C500000}"/>
    <cellStyle name="40% - Accent5 2 4 2 4 5" xfId="22969" xr:uid="{00000000-0005-0000-0000-00008D500000}"/>
    <cellStyle name="40% - Accent5 2 4 2 5" xfId="3804" xr:uid="{00000000-0005-0000-0000-00008E500000}"/>
    <cellStyle name="40% - Accent5 2 4 2 5 2" xfId="4934" xr:uid="{00000000-0005-0000-0000-00008F500000}"/>
    <cellStyle name="40% - Accent5 2 4 2 5 2 2" xfId="9398" xr:uid="{00000000-0005-0000-0000-000090500000}"/>
    <cellStyle name="40% - Accent5 2 4 2 5 2 2 2" xfId="19394" xr:uid="{00000000-0005-0000-0000-000091500000}"/>
    <cellStyle name="40% - Accent5 2 4 2 5 2 2 2 2" xfId="38794" xr:uid="{00000000-0005-0000-0000-000092500000}"/>
    <cellStyle name="40% - Accent5 2 4 2 5 2 2 3" xfId="29096" xr:uid="{00000000-0005-0000-0000-000093500000}"/>
    <cellStyle name="40% - Accent5 2 4 2 5 2 3" xfId="14939" xr:uid="{00000000-0005-0000-0000-000094500000}"/>
    <cellStyle name="40% - Accent5 2 4 2 5 2 3 2" xfId="34339" xr:uid="{00000000-0005-0000-0000-000095500000}"/>
    <cellStyle name="40% - Accent5 2 4 2 5 2 4" xfId="24641" xr:uid="{00000000-0005-0000-0000-000096500000}"/>
    <cellStyle name="40% - Accent5 2 4 2 5 3" xfId="8283" xr:uid="{00000000-0005-0000-0000-000097500000}"/>
    <cellStyle name="40% - Accent5 2 4 2 5 3 2" xfId="18279" xr:uid="{00000000-0005-0000-0000-000098500000}"/>
    <cellStyle name="40% - Accent5 2 4 2 5 3 2 2" xfId="37679" xr:uid="{00000000-0005-0000-0000-000099500000}"/>
    <cellStyle name="40% - Accent5 2 4 2 5 3 3" xfId="27981" xr:uid="{00000000-0005-0000-0000-00009A500000}"/>
    <cellStyle name="40% - Accent5 2 4 2 5 4" xfId="13824" xr:uid="{00000000-0005-0000-0000-00009B500000}"/>
    <cellStyle name="40% - Accent5 2 4 2 5 4 2" xfId="33224" xr:uid="{00000000-0005-0000-0000-00009C500000}"/>
    <cellStyle name="40% - Accent5 2 4 2 5 5" xfId="23526" xr:uid="{00000000-0005-0000-0000-00009D500000}"/>
    <cellStyle name="40% - Accent5 2 4 2 6" xfId="4377" xr:uid="{00000000-0005-0000-0000-00009E500000}"/>
    <cellStyle name="40% - Accent5 2 4 2 6 2" xfId="8841" xr:uid="{00000000-0005-0000-0000-00009F500000}"/>
    <cellStyle name="40% - Accent5 2 4 2 6 2 2" xfId="18837" xr:uid="{00000000-0005-0000-0000-0000A0500000}"/>
    <cellStyle name="40% - Accent5 2 4 2 6 2 2 2" xfId="38237" xr:uid="{00000000-0005-0000-0000-0000A1500000}"/>
    <cellStyle name="40% - Accent5 2 4 2 6 2 3" xfId="28539" xr:uid="{00000000-0005-0000-0000-0000A2500000}"/>
    <cellStyle name="40% - Accent5 2 4 2 6 3" xfId="14382" xr:uid="{00000000-0005-0000-0000-0000A3500000}"/>
    <cellStyle name="40% - Accent5 2 4 2 6 3 2" xfId="33782" xr:uid="{00000000-0005-0000-0000-0000A4500000}"/>
    <cellStyle name="40% - Accent5 2 4 2 6 4" xfId="24084" xr:uid="{00000000-0005-0000-0000-0000A5500000}"/>
    <cellStyle name="40% - Accent5 2 4 2 7" xfId="6047" xr:uid="{00000000-0005-0000-0000-0000A6500000}"/>
    <cellStyle name="40% - Accent5 2 4 2 7 2" xfId="10511" xr:uid="{00000000-0005-0000-0000-0000A7500000}"/>
    <cellStyle name="40% - Accent5 2 4 2 7 2 2" xfId="20507" xr:uid="{00000000-0005-0000-0000-0000A8500000}"/>
    <cellStyle name="40% - Accent5 2 4 2 7 2 2 2" xfId="39907" xr:uid="{00000000-0005-0000-0000-0000A9500000}"/>
    <cellStyle name="40% - Accent5 2 4 2 7 2 3" xfId="30209" xr:uid="{00000000-0005-0000-0000-0000AA500000}"/>
    <cellStyle name="40% - Accent5 2 4 2 7 3" xfId="16052" xr:uid="{00000000-0005-0000-0000-0000AB500000}"/>
    <cellStyle name="40% - Accent5 2 4 2 7 3 2" xfId="35452" xr:uid="{00000000-0005-0000-0000-0000AC500000}"/>
    <cellStyle name="40% - Accent5 2 4 2 7 4" xfId="25754" xr:uid="{00000000-0005-0000-0000-0000AD500000}"/>
    <cellStyle name="40% - Accent5 2 4 2 8" xfId="6613" xr:uid="{00000000-0005-0000-0000-0000AE500000}"/>
    <cellStyle name="40% - Accent5 2 4 2 8 2" xfId="11068" xr:uid="{00000000-0005-0000-0000-0000AF500000}"/>
    <cellStyle name="40% - Accent5 2 4 2 8 2 2" xfId="21064" xr:uid="{00000000-0005-0000-0000-0000B0500000}"/>
    <cellStyle name="40% - Accent5 2 4 2 8 2 2 2" xfId="40464" xr:uid="{00000000-0005-0000-0000-0000B1500000}"/>
    <cellStyle name="40% - Accent5 2 4 2 8 2 3" xfId="30766" xr:uid="{00000000-0005-0000-0000-0000B2500000}"/>
    <cellStyle name="40% - Accent5 2 4 2 8 3" xfId="16609" xr:uid="{00000000-0005-0000-0000-0000B3500000}"/>
    <cellStyle name="40% - Accent5 2 4 2 8 3 2" xfId="36009" xr:uid="{00000000-0005-0000-0000-0000B4500000}"/>
    <cellStyle name="40% - Accent5 2 4 2 8 4" xfId="26311" xr:uid="{00000000-0005-0000-0000-0000B5500000}"/>
    <cellStyle name="40% - Accent5 2 4 2 9" xfId="7170" xr:uid="{00000000-0005-0000-0000-0000B6500000}"/>
    <cellStyle name="40% - Accent5 2 4 2 9 2" xfId="17166" xr:uid="{00000000-0005-0000-0000-0000B7500000}"/>
    <cellStyle name="40% - Accent5 2 4 2 9 2 2" xfId="36566" xr:uid="{00000000-0005-0000-0000-0000B8500000}"/>
    <cellStyle name="40% - Accent5 2 4 2 9 3" xfId="26868" xr:uid="{00000000-0005-0000-0000-0000B9500000}"/>
    <cellStyle name="40% - Accent5 2 4 3" xfId="2241" xr:uid="{00000000-0005-0000-0000-0000BA500000}"/>
    <cellStyle name="40% - Accent5 2 4 3 10" xfId="12713" xr:uid="{00000000-0005-0000-0000-0000BB500000}"/>
    <cellStyle name="40% - Accent5 2 4 3 10 2" xfId="32114" xr:uid="{00000000-0005-0000-0000-0000BC500000}"/>
    <cellStyle name="40% - Accent5 2 4 3 11" xfId="22416" xr:uid="{00000000-0005-0000-0000-0000BD500000}"/>
    <cellStyle name="40% - Accent5 2 4 3 2" xfId="2242" xr:uid="{00000000-0005-0000-0000-0000BE500000}"/>
    <cellStyle name="40% - Accent5 2 4 3 2 2" xfId="3225" xr:uid="{00000000-0005-0000-0000-0000BF500000}"/>
    <cellStyle name="40% - Accent5 2 4 3 2 2 2" xfId="5494" xr:uid="{00000000-0005-0000-0000-0000C0500000}"/>
    <cellStyle name="40% - Accent5 2 4 3 2 2 2 2" xfId="9958" xr:uid="{00000000-0005-0000-0000-0000C1500000}"/>
    <cellStyle name="40% - Accent5 2 4 3 2 2 2 2 2" xfId="19954" xr:uid="{00000000-0005-0000-0000-0000C2500000}"/>
    <cellStyle name="40% - Accent5 2 4 3 2 2 2 2 2 2" xfId="39354" xr:uid="{00000000-0005-0000-0000-0000C3500000}"/>
    <cellStyle name="40% - Accent5 2 4 3 2 2 2 2 3" xfId="29656" xr:uid="{00000000-0005-0000-0000-0000C4500000}"/>
    <cellStyle name="40% - Accent5 2 4 3 2 2 2 3" xfId="15499" xr:uid="{00000000-0005-0000-0000-0000C5500000}"/>
    <cellStyle name="40% - Accent5 2 4 3 2 2 2 3 2" xfId="34899" xr:uid="{00000000-0005-0000-0000-0000C6500000}"/>
    <cellStyle name="40% - Accent5 2 4 3 2 2 2 4" xfId="25201" xr:uid="{00000000-0005-0000-0000-0000C7500000}"/>
    <cellStyle name="40% - Accent5 2 4 3 2 2 3" xfId="7730" xr:uid="{00000000-0005-0000-0000-0000C8500000}"/>
    <cellStyle name="40% - Accent5 2 4 3 2 2 3 2" xfId="17726" xr:uid="{00000000-0005-0000-0000-0000C9500000}"/>
    <cellStyle name="40% - Accent5 2 4 3 2 2 3 2 2" xfId="37126" xr:uid="{00000000-0005-0000-0000-0000CA500000}"/>
    <cellStyle name="40% - Accent5 2 4 3 2 2 3 3" xfId="27428" xr:uid="{00000000-0005-0000-0000-0000CB500000}"/>
    <cellStyle name="40% - Accent5 2 4 3 2 2 4" xfId="13271" xr:uid="{00000000-0005-0000-0000-0000CC500000}"/>
    <cellStyle name="40% - Accent5 2 4 3 2 2 4 2" xfId="32671" xr:uid="{00000000-0005-0000-0000-0000CD500000}"/>
    <cellStyle name="40% - Accent5 2 4 3 2 2 5" xfId="22973" xr:uid="{00000000-0005-0000-0000-0000CE500000}"/>
    <cellStyle name="40% - Accent5 2 4 3 2 3" xfId="3808" xr:uid="{00000000-0005-0000-0000-0000CF500000}"/>
    <cellStyle name="40% - Accent5 2 4 3 2 3 2" xfId="4938" xr:uid="{00000000-0005-0000-0000-0000D0500000}"/>
    <cellStyle name="40% - Accent5 2 4 3 2 3 2 2" xfId="9402" xr:uid="{00000000-0005-0000-0000-0000D1500000}"/>
    <cellStyle name="40% - Accent5 2 4 3 2 3 2 2 2" xfId="19398" xr:uid="{00000000-0005-0000-0000-0000D2500000}"/>
    <cellStyle name="40% - Accent5 2 4 3 2 3 2 2 2 2" xfId="38798" xr:uid="{00000000-0005-0000-0000-0000D3500000}"/>
    <cellStyle name="40% - Accent5 2 4 3 2 3 2 2 3" xfId="29100" xr:uid="{00000000-0005-0000-0000-0000D4500000}"/>
    <cellStyle name="40% - Accent5 2 4 3 2 3 2 3" xfId="14943" xr:uid="{00000000-0005-0000-0000-0000D5500000}"/>
    <cellStyle name="40% - Accent5 2 4 3 2 3 2 3 2" xfId="34343" xr:uid="{00000000-0005-0000-0000-0000D6500000}"/>
    <cellStyle name="40% - Accent5 2 4 3 2 3 2 4" xfId="24645" xr:uid="{00000000-0005-0000-0000-0000D7500000}"/>
    <cellStyle name="40% - Accent5 2 4 3 2 3 3" xfId="8287" xr:uid="{00000000-0005-0000-0000-0000D8500000}"/>
    <cellStyle name="40% - Accent5 2 4 3 2 3 3 2" xfId="18283" xr:uid="{00000000-0005-0000-0000-0000D9500000}"/>
    <cellStyle name="40% - Accent5 2 4 3 2 3 3 2 2" xfId="37683" xr:uid="{00000000-0005-0000-0000-0000DA500000}"/>
    <cellStyle name="40% - Accent5 2 4 3 2 3 3 3" xfId="27985" xr:uid="{00000000-0005-0000-0000-0000DB500000}"/>
    <cellStyle name="40% - Accent5 2 4 3 2 3 4" xfId="13828" xr:uid="{00000000-0005-0000-0000-0000DC500000}"/>
    <cellStyle name="40% - Accent5 2 4 3 2 3 4 2" xfId="33228" xr:uid="{00000000-0005-0000-0000-0000DD500000}"/>
    <cellStyle name="40% - Accent5 2 4 3 2 3 5" xfId="23530" xr:uid="{00000000-0005-0000-0000-0000DE500000}"/>
    <cellStyle name="40% - Accent5 2 4 3 2 4" xfId="4381" xr:uid="{00000000-0005-0000-0000-0000DF500000}"/>
    <cellStyle name="40% - Accent5 2 4 3 2 4 2" xfId="8845" xr:uid="{00000000-0005-0000-0000-0000E0500000}"/>
    <cellStyle name="40% - Accent5 2 4 3 2 4 2 2" xfId="18841" xr:uid="{00000000-0005-0000-0000-0000E1500000}"/>
    <cellStyle name="40% - Accent5 2 4 3 2 4 2 2 2" xfId="38241" xr:uid="{00000000-0005-0000-0000-0000E2500000}"/>
    <cellStyle name="40% - Accent5 2 4 3 2 4 2 3" xfId="28543" xr:uid="{00000000-0005-0000-0000-0000E3500000}"/>
    <cellStyle name="40% - Accent5 2 4 3 2 4 3" xfId="14386" xr:uid="{00000000-0005-0000-0000-0000E4500000}"/>
    <cellStyle name="40% - Accent5 2 4 3 2 4 3 2" xfId="33786" xr:uid="{00000000-0005-0000-0000-0000E5500000}"/>
    <cellStyle name="40% - Accent5 2 4 3 2 4 4" xfId="24088" xr:uid="{00000000-0005-0000-0000-0000E6500000}"/>
    <cellStyle name="40% - Accent5 2 4 3 2 5" xfId="6051" xr:uid="{00000000-0005-0000-0000-0000E7500000}"/>
    <cellStyle name="40% - Accent5 2 4 3 2 5 2" xfId="10515" xr:uid="{00000000-0005-0000-0000-0000E8500000}"/>
    <cellStyle name="40% - Accent5 2 4 3 2 5 2 2" xfId="20511" xr:uid="{00000000-0005-0000-0000-0000E9500000}"/>
    <cellStyle name="40% - Accent5 2 4 3 2 5 2 2 2" xfId="39911" xr:uid="{00000000-0005-0000-0000-0000EA500000}"/>
    <cellStyle name="40% - Accent5 2 4 3 2 5 2 3" xfId="30213" xr:uid="{00000000-0005-0000-0000-0000EB500000}"/>
    <cellStyle name="40% - Accent5 2 4 3 2 5 3" xfId="16056" xr:uid="{00000000-0005-0000-0000-0000EC500000}"/>
    <cellStyle name="40% - Accent5 2 4 3 2 5 3 2" xfId="35456" xr:uid="{00000000-0005-0000-0000-0000ED500000}"/>
    <cellStyle name="40% - Accent5 2 4 3 2 5 4" xfId="25758" xr:uid="{00000000-0005-0000-0000-0000EE500000}"/>
    <cellStyle name="40% - Accent5 2 4 3 2 6" xfId="6617" xr:uid="{00000000-0005-0000-0000-0000EF500000}"/>
    <cellStyle name="40% - Accent5 2 4 3 2 6 2" xfId="11072" xr:uid="{00000000-0005-0000-0000-0000F0500000}"/>
    <cellStyle name="40% - Accent5 2 4 3 2 6 2 2" xfId="21068" xr:uid="{00000000-0005-0000-0000-0000F1500000}"/>
    <cellStyle name="40% - Accent5 2 4 3 2 6 2 2 2" xfId="40468" xr:uid="{00000000-0005-0000-0000-0000F2500000}"/>
    <cellStyle name="40% - Accent5 2 4 3 2 6 2 3" xfId="30770" xr:uid="{00000000-0005-0000-0000-0000F3500000}"/>
    <cellStyle name="40% - Accent5 2 4 3 2 6 3" xfId="16613" xr:uid="{00000000-0005-0000-0000-0000F4500000}"/>
    <cellStyle name="40% - Accent5 2 4 3 2 6 3 2" xfId="36013" xr:uid="{00000000-0005-0000-0000-0000F5500000}"/>
    <cellStyle name="40% - Accent5 2 4 3 2 6 4" xfId="26315" xr:uid="{00000000-0005-0000-0000-0000F6500000}"/>
    <cellStyle name="40% - Accent5 2 4 3 2 7" xfId="7174" xr:uid="{00000000-0005-0000-0000-0000F7500000}"/>
    <cellStyle name="40% - Accent5 2 4 3 2 7 2" xfId="17170" xr:uid="{00000000-0005-0000-0000-0000F8500000}"/>
    <cellStyle name="40% - Accent5 2 4 3 2 7 2 2" xfId="36570" xr:uid="{00000000-0005-0000-0000-0000F9500000}"/>
    <cellStyle name="40% - Accent5 2 4 3 2 7 3" xfId="26872" xr:uid="{00000000-0005-0000-0000-0000FA500000}"/>
    <cellStyle name="40% - Accent5 2 4 3 2 8" xfId="12714" xr:uid="{00000000-0005-0000-0000-0000FB500000}"/>
    <cellStyle name="40% - Accent5 2 4 3 2 8 2" xfId="32115" xr:uid="{00000000-0005-0000-0000-0000FC500000}"/>
    <cellStyle name="40% - Accent5 2 4 3 2 9" xfId="22417" xr:uid="{00000000-0005-0000-0000-0000FD500000}"/>
    <cellStyle name="40% - Accent5 2 4 3 3" xfId="2243" xr:uid="{00000000-0005-0000-0000-0000FE500000}"/>
    <cellStyle name="40% - Accent5 2 4 3 3 2" xfId="3226" xr:uid="{00000000-0005-0000-0000-0000FF500000}"/>
    <cellStyle name="40% - Accent5 2 4 3 3 2 2" xfId="5495" xr:uid="{00000000-0005-0000-0000-000000510000}"/>
    <cellStyle name="40% - Accent5 2 4 3 3 2 2 2" xfId="9959" xr:uid="{00000000-0005-0000-0000-000001510000}"/>
    <cellStyle name="40% - Accent5 2 4 3 3 2 2 2 2" xfId="19955" xr:uid="{00000000-0005-0000-0000-000002510000}"/>
    <cellStyle name="40% - Accent5 2 4 3 3 2 2 2 2 2" xfId="39355" xr:uid="{00000000-0005-0000-0000-000003510000}"/>
    <cellStyle name="40% - Accent5 2 4 3 3 2 2 2 3" xfId="29657" xr:uid="{00000000-0005-0000-0000-000004510000}"/>
    <cellStyle name="40% - Accent5 2 4 3 3 2 2 3" xfId="15500" xr:uid="{00000000-0005-0000-0000-000005510000}"/>
    <cellStyle name="40% - Accent5 2 4 3 3 2 2 3 2" xfId="34900" xr:uid="{00000000-0005-0000-0000-000006510000}"/>
    <cellStyle name="40% - Accent5 2 4 3 3 2 2 4" xfId="25202" xr:uid="{00000000-0005-0000-0000-000007510000}"/>
    <cellStyle name="40% - Accent5 2 4 3 3 2 3" xfId="7731" xr:uid="{00000000-0005-0000-0000-000008510000}"/>
    <cellStyle name="40% - Accent5 2 4 3 3 2 3 2" xfId="17727" xr:uid="{00000000-0005-0000-0000-000009510000}"/>
    <cellStyle name="40% - Accent5 2 4 3 3 2 3 2 2" xfId="37127" xr:uid="{00000000-0005-0000-0000-00000A510000}"/>
    <cellStyle name="40% - Accent5 2 4 3 3 2 3 3" xfId="27429" xr:uid="{00000000-0005-0000-0000-00000B510000}"/>
    <cellStyle name="40% - Accent5 2 4 3 3 2 4" xfId="13272" xr:uid="{00000000-0005-0000-0000-00000C510000}"/>
    <cellStyle name="40% - Accent5 2 4 3 3 2 4 2" xfId="32672" xr:uid="{00000000-0005-0000-0000-00000D510000}"/>
    <cellStyle name="40% - Accent5 2 4 3 3 2 5" xfId="22974" xr:uid="{00000000-0005-0000-0000-00000E510000}"/>
    <cellStyle name="40% - Accent5 2 4 3 3 3" xfId="3809" xr:uid="{00000000-0005-0000-0000-00000F510000}"/>
    <cellStyle name="40% - Accent5 2 4 3 3 3 2" xfId="4939" xr:uid="{00000000-0005-0000-0000-000010510000}"/>
    <cellStyle name="40% - Accent5 2 4 3 3 3 2 2" xfId="9403" xr:uid="{00000000-0005-0000-0000-000011510000}"/>
    <cellStyle name="40% - Accent5 2 4 3 3 3 2 2 2" xfId="19399" xr:uid="{00000000-0005-0000-0000-000012510000}"/>
    <cellStyle name="40% - Accent5 2 4 3 3 3 2 2 2 2" xfId="38799" xr:uid="{00000000-0005-0000-0000-000013510000}"/>
    <cellStyle name="40% - Accent5 2 4 3 3 3 2 2 3" xfId="29101" xr:uid="{00000000-0005-0000-0000-000014510000}"/>
    <cellStyle name="40% - Accent5 2 4 3 3 3 2 3" xfId="14944" xr:uid="{00000000-0005-0000-0000-000015510000}"/>
    <cellStyle name="40% - Accent5 2 4 3 3 3 2 3 2" xfId="34344" xr:uid="{00000000-0005-0000-0000-000016510000}"/>
    <cellStyle name="40% - Accent5 2 4 3 3 3 2 4" xfId="24646" xr:uid="{00000000-0005-0000-0000-000017510000}"/>
    <cellStyle name="40% - Accent5 2 4 3 3 3 3" xfId="8288" xr:uid="{00000000-0005-0000-0000-000018510000}"/>
    <cellStyle name="40% - Accent5 2 4 3 3 3 3 2" xfId="18284" xr:uid="{00000000-0005-0000-0000-000019510000}"/>
    <cellStyle name="40% - Accent5 2 4 3 3 3 3 2 2" xfId="37684" xr:uid="{00000000-0005-0000-0000-00001A510000}"/>
    <cellStyle name="40% - Accent5 2 4 3 3 3 3 3" xfId="27986" xr:uid="{00000000-0005-0000-0000-00001B510000}"/>
    <cellStyle name="40% - Accent5 2 4 3 3 3 4" xfId="13829" xr:uid="{00000000-0005-0000-0000-00001C510000}"/>
    <cellStyle name="40% - Accent5 2 4 3 3 3 4 2" xfId="33229" xr:uid="{00000000-0005-0000-0000-00001D510000}"/>
    <cellStyle name="40% - Accent5 2 4 3 3 3 5" xfId="23531" xr:uid="{00000000-0005-0000-0000-00001E510000}"/>
    <cellStyle name="40% - Accent5 2 4 3 3 4" xfId="4382" xr:uid="{00000000-0005-0000-0000-00001F510000}"/>
    <cellStyle name="40% - Accent5 2 4 3 3 4 2" xfId="8846" xr:uid="{00000000-0005-0000-0000-000020510000}"/>
    <cellStyle name="40% - Accent5 2 4 3 3 4 2 2" xfId="18842" xr:uid="{00000000-0005-0000-0000-000021510000}"/>
    <cellStyle name="40% - Accent5 2 4 3 3 4 2 2 2" xfId="38242" xr:uid="{00000000-0005-0000-0000-000022510000}"/>
    <cellStyle name="40% - Accent5 2 4 3 3 4 2 3" xfId="28544" xr:uid="{00000000-0005-0000-0000-000023510000}"/>
    <cellStyle name="40% - Accent5 2 4 3 3 4 3" xfId="14387" xr:uid="{00000000-0005-0000-0000-000024510000}"/>
    <cellStyle name="40% - Accent5 2 4 3 3 4 3 2" xfId="33787" xr:uid="{00000000-0005-0000-0000-000025510000}"/>
    <cellStyle name="40% - Accent5 2 4 3 3 4 4" xfId="24089" xr:uid="{00000000-0005-0000-0000-000026510000}"/>
    <cellStyle name="40% - Accent5 2 4 3 3 5" xfId="6052" xr:uid="{00000000-0005-0000-0000-000027510000}"/>
    <cellStyle name="40% - Accent5 2 4 3 3 5 2" xfId="10516" xr:uid="{00000000-0005-0000-0000-000028510000}"/>
    <cellStyle name="40% - Accent5 2 4 3 3 5 2 2" xfId="20512" xr:uid="{00000000-0005-0000-0000-000029510000}"/>
    <cellStyle name="40% - Accent5 2 4 3 3 5 2 2 2" xfId="39912" xr:uid="{00000000-0005-0000-0000-00002A510000}"/>
    <cellStyle name="40% - Accent5 2 4 3 3 5 2 3" xfId="30214" xr:uid="{00000000-0005-0000-0000-00002B510000}"/>
    <cellStyle name="40% - Accent5 2 4 3 3 5 3" xfId="16057" xr:uid="{00000000-0005-0000-0000-00002C510000}"/>
    <cellStyle name="40% - Accent5 2 4 3 3 5 3 2" xfId="35457" xr:uid="{00000000-0005-0000-0000-00002D510000}"/>
    <cellStyle name="40% - Accent5 2 4 3 3 5 4" xfId="25759" xr:uid="{00000000-0005-0000-0000-00002E510000}"/>
    <cellStyle name="40% - Accent5 2 4 3 3 6" xfId="6618" xr:uid="{00000000-0005-0000-0000-00002F510000}"/>
    <cellStyle name="40% - Accent5 2 4 3 3 6 2" xfId="11073" xr:uid="{00000000-0005-0000-0000-000030510000}"/>
    <cellStyle name="40% - Accent5 2 4 3 3 6 2 2" xfId="21069" xr:uid="{00000000-0005-0000-0000-000031510000}"/>
    <cellStyle name="40% - Accent5 2 4 3 3 6 2 2 2" xfId="40469" xr:uid="{00000000-0005-0000-0000-000032510000}"/>
    <cellStyle name="40% - Accent5 2 4 3 3 6 2 3" xfId="30771" xr:uid="{00000000-0005-0000-0000-000033510000}"/>
    <cellStyle name="40% - Accent5 2 4 3 3 6 3" xfId="16614" xr:uid="{00000000-0005-0000-0000-000034510000}"/>
    <cellStyle name="40% - Accent5 2 4 3 3 6 3 2" xfId="36014" xr:uid="{00000000-0005-0000-0000-000035510000}"/>
    <cellStyle name="40% - Accent5 2 4 3 3 6 4" xfId="26316" xr:uid="{00000000-0005-0000-0000-000036510000}"/>
    <cellStyle name="40% - Accent5 2 4 3 3 7" xfId="7175" xr:uid="{00000000-0005-0000-0000-000037510000}"/>
    <cellStyle name="40% - Accent5 2 4 3 3 7 2" xfId="17171" xr:uid="{00000000-0005-0000-0000-000038510000}"/>
    <cellStyle name="40% - Accent5 2 4 3 3 7 2 2" xfId="36571" xr:uid="{00000000-0005-0000-0000-000039510000}"/>
    <cellStyle name="40% - Accent5 2 4 3 3 7 3" xfId="26873" xr:uid="{00000000-0005-0000-0000-00003A510000}"/>
    <cellStyle name="40% - Accent5 2 4 3 3 8" xfId="12715" xr:uid="{00000000-0005-0000-0000-00003B510000}"/>
    <cellStyle name="40% - Accent5 2 4 3 3 8 2" xfId="32116" xr:uid="{00000000-0005-0000-0000-00003C510000}"/>
    <cellStyle name="40% - Accent5 2 4 3 3 9" xfId="22418" xr:uid="{00000000-0005-0000-0000-00003D510000}"/>
    <cellStyle name="40% - Accent5 2 4 3 4" xfId="3224" xr:uid="{00000000-0005-0000-0000-00003E510000}"/>
    <cellStyle name="40% - Accent5 2 4 3 4 2" xfId="5493" xr:uid="{00000000-0005-0000-0000-00003F510000}"/>
    <cellStyle name="40% - Accent5 2 4 3 4 2 2" xfId="9957" xr:uid="{00000000-0005-0000-0000-000040510000}"/>
    <cellStyle name="40% - Accent5 2 4 3 4 2 2 2" xfId="19953" xr:uid="{00000000-0005-0000-0000-000041510000}"/>
    <cellStyle name="40% - Accent5 2 4 3 4 2 2 2 2" xfId="39353" xr:uid="{00000000-0005-0000-0000-000042510000}"/>
    <cellStyle name="40% - Accent5 2 4 3 4 2 2 3" xfId="29655" xr:uid="{00000000-0005-0000-0000-000043510000}"/>
    <cellStyle name="40% - Accent5 2 4 3 4 2 3" xfId="15498" xr:uid="{00000000-0005-0000-0000-000044510000}"/>
    <cellStyle name="40% - Accent5 2 4 3 4 2 3 2" xfId="34898" xr:uid="{00000000-0005-0000-0000-000045510000}"/>
    <cellStyle name="40% - Accent5 2 4 3 4 2 4" xfId="25200" xr:uid="{00000000-0005-0000-0000-000046510000}"/>
    <cellStyle name="40% - Accent5 2 4 3 4 3" xfId="7729" xr:uid="{00000000-0005-0000-0000-000047510000}"/>
    <cellStyle name="40% - Accent5 2 4 3 4 3 2" xfId="17725" xr:uid="{00000000-0005-0000-0000-000048510000}"/>
    <cellStyle name="40% - Accent5 2 4 3 4 3 2 2" xfId="37125" xr:uid="{00000000-0005-0000-0000-000049510000}"/>
    <cellStyle name="40% - Accent5 2 4 3 4 3 3" xfId="27427" xr:uid="{00000000-0005-0000-0000-00004A510000}"/>
    <cellStyle name="40% - Accent5 2 4 3 4 4" xfId="13270" xr:uid="{00000000-0005-0000-0000-00004B510000}"/>
    <cellStyle name="40% - Accent5 2 4 3 4 4 2" xfId="32670" xr:uid="{00000000-0005-0000-0000-00004C510000}"/>
    <cellStyle name="40% - Accent5 2 4 3 4 5" xfId="22972" xr:uid="{00000000-0005-0000-0000-00004D510000}"/>
    <cellStyle name="40% - Accent5 2 4 3 5" xfId="3807" xr:uid="{00000000-0005-0000-0000-00004E510000}"/>
    <cellStyle name="40% - Accent5 2 4 3 5 2" xfId="4937" xr:uid="{00000000-0005-0000-0000-00004F510000}"/>
    <cellStyle name="40% - Accent5 2 4 3 5 2 2" xfId="9401" xr:uid="{00000000-0005-0000-0000-000050510000}"/>
    <cellStyle name="40% - Accent5 2 4 3 5 2 2 2" xfId="19397" xr:uid="{00000000-0005-0000-0000-000051510000}"/>
    <cellStyle name="40% - Accent5 2 4 3 5 2 2 2 2" xfId="38797" xr:uid="{00000000-0005-0000-0000-000052510000}"/>
    <cellStyle name="40% - Accent5 2 4 3 5 2 2 3" xfId="29099" xr:uid="{00000000-0005-0000-0000-000053510000}"/>
    <cellStyle name="40% - Accent5 2 4 3 5 2 3" xfId="14942" xr:uid="{00000000-0005-0000-0000-000054510000}"/>
    <cellStyle name="40% - Accent5 2 4 3 5 2 3 2" xfId="34342" xr:uid="{00000000-0005-0000-0000-000055510000}"/>
    <cellStyle name="40% - Accent5 2 4 3 5 2 4" xfId="24644" xr:uid="{00000000-0005-0000-0000-000056510000}"/>
    <cellStyle name="40% - Accent5 2 4 3 5 3" xfId="8286" xr:uid="{00000000-0005-0000-0000-000057510000}"/>
    <cellStyle name="40% - Accent5 2 4 3 5 3 2" xfId="18282" xr:uid="{00000000-0005-0000-0000-000058510000}"/>
    <cellStyle name="40% - Accent5 2 4 3 5 3 2 2" xfId="37682" xr:uid="{00000000-0005-0000-0000-000059510000}"/>
    <cellStyle name="40% - Accent5 2 4 3 5 3 3" xfId="27984" xr:uid="{00000000-0005-0000-0000-00005A510000}"/>
    <cellStyle name="40% - Accent5 2 4 3 5 4" xfId="13827" xr:uid="{00000000-0005-0000-0000-00005B510000}"/>
    <cellStyle name="40% - Accent5 2 4 3 5 4 2" xfId="33227" xr:uid="{00000000-0005-0000-0000-00005C510000}"/>
    <cellStyle name="40% - Accent5 2 4 3 5 5" xfId="23529" xr:uid="{00000000-0005-0000-0000-00005D510000}"/>
    <cellStyle name="40% - Accent5 2 4 3 6" xfId="4380" xr:uid="{00000000-0005-0000-0000-00005E510000}"/>
    <cellStyle name="40% - Accent5 2 4 3 6 2" xfId="8844" xr:uid="{00000000-0005-0000-0000-00005F510000}"/>
    <cellStyle name="40% - Accent5 2 4 3 6 2 2" xfId="18840" xr:uid="{00000000-0005-0000-0000-000060510000}"/>
    <cellStyle name="40% - Accent5 2 4 3 6 2 2 2" xfId="38240" xr:uid="{00000000-0005-0000-0000-000061510000}"/>
    <cellStyle name="40% - Accent5 2 4 3 6 2 3" xfId="28542" xr:uid="{00000000-0005-0000-0000-000062510000}"/>
    <cellStyle name="40% - Accent5 2 4 3 6 3" xfId="14385" xr:uid="{00000000-0005-0000-0000-000063510000}"/>
    <cellStyle name="40% - Accent5 2 4 3 6 3 2" xfId="33785" xr:uid="{00000000-0005-0000-0000-000064510000}"/>
    <cellStyle name="40% - Accent5 2 4 3 6 4" xfId="24087" xr:uid="{00000000-0005-0000-0000-000065510000}"/>
    <cellStyle name="40% - Accent5 2 4 3 7" xfId="6050" xr:uid="{00000000-0005-0000-0000-000066510000}"/>
    <cellStyle name="40% - Accent5 2 4 3 7 2" xfId="10514" xr:uid="{00000000-0005-0000-0000-000067510000}"/>
    <cellStyle name="40% - Accent5 2 4 3 7 2 2" xfId="20510" xr:uid="{00000000-0005-0000-0000-000068510000}"/>
    <cellStyle name="40% - Accent5 2 4 3 7 2 2 2" xfId="39910" xr:uid="{00000000-0005-0000-0000-000069510000}"/>
    <cellStyle name="40% - Accent5 2 4 3 7 2 3" xfId="30212" xr:uid="{00000000-0005-0000-0000-00006A510000}"/>
    <cellStyle name="40% - Accent5 2 4 3 7 3" xfId="16055" xr:uid="{00000000-0005-0000-0000-00006B510000}"/>
    <cellStyle name="40% - Accent5 2 4 3 7 3 2" xfId="35455" xr:uid="{00000000-0005-0000-0000-00006C510000}"/>
    <cellStyle name="40% - Accent5 2 4 3 7 4" xfId="25757" xr:uid="{00000000-0005-0000-0000-00006D510000}"/>
    <cellStyle name="40% - Accent5 2 4 3 8" xfId="6616" xr:uid="{00000000-0005-0000-0000-00006E510000}"/>
    <cellStyle name="40% - Accent5 2 4 3 8 2" xfId="11071" xr:uid="{00000000-0005-0000-0000-00006F510000}"/>
    <cellStyle name="40% - Accent5 2 4 3 8 2 2" xfId="21067" xr:uid="{00000000-0005-0000-0000-000070510000}"/>
    <cellStyle name="40% - Accent5 2 4 3 8 2 2 2" xfId="40467" xr:uid="{00000000-0005-0000-0000-000071510000}"/>
    <cellStyle name="40% - Accent5 2 4 3 8 2 3" xfId="30769" xr:uid="{00000000-0005-0000-0000-000072510000}"/>
    <cellStyle name="40% - Accent5 2 4 3 8 3" xfId="16612" xr:uid="{00000000-0005-0000-0000-000073510000}"/>
    <cellStyle name="40% - Accent5 2 4 3 8 3 2" xfId="36012" xr:uid="{00000000-0005-0000-0000-000074510000}"/>
    <cellStyle name="40% - Accent5 2 4 3 8 4" xfId="26314" xr:uid="{00000000-0005-0000-0000-000075510000}"/>
    <cellStyle name="40% - Accent5 2 4 3 9" xfId="7173" xr:uid="{00000000-0005-0000-0000-000076510000}"/>
    <cellStyle name="40% - Accent5 2 4 3 9 2" xfId="17169" xr:uid="{00000000-0005-0000-0000-000077510000}"/>
    <cellStyle name="40% - Accent5 2 4 3 9 2 2" xfId="36569" xr:uid="{00000000-0005-0000-0000-000078510000}"/>
    <cellStyle name="40% - Accent5 2 4 3 9 3" xfId="26871" xr:uid="{00000000-0005-0000-0000-000079510000}"/>
    <cellStyle name="40% - Accent5 2 4 4" xfId="2244" xr:uid="{00000000-0005-0000-0000-00007A510000}"/>
    <cellStyle name="40% - Accent5 2 4 4 2" xfId="3227" xr:uid="{00000000-0005-0000-0000-00007B510000}"/>
    <cellStyle name="40% - Accent5 2 4 4 2 2" xfId="5496" xr:uid="{00000000-0005-0000-0000-00007C510000}"/>
    <cellStyle name="40% - Accent5 2 4 4 2 2 2" xfId="9960" xr:uid="{00000000-0005-0000-0000-00007D510000}"/>
    <cellStyle name="40% - Accent5 2 4 4 2 2 2 2" xfId="19956" xr:uid="{00000000-0005-0000-0000-00007E510000}"/>
    <cellStyle name="40% - Accent5 2 4 4 2 2 2 2 2" xfId="39356" xr:uid="{00000000-0005-0000-0000-00007F510000}"/>
    <cellStyle name="40% - Accent5 2 4 4 2 2 2 3" xfId="29658" xr:uid="{00000000-0005-0000-0000-000080510000}"/>
    <cellStyle name="40% - Accent5 2 4 4 2 2 3" xfId="15501" xr:uid="{00000000-0005-0000-0000-000081510000}"/>
    <cellStyle name="40% - Accent5 2 4 4 2 2 3 2" xfId="34901" xr:uid="{00000000-0005-0000-0000-000082510000}"/>
    <cellStyle name="40% - Accent5 2 4 4 2 2 4" xfId="25203" xr:uid="{00000000-0005-0000-0000-000083510000}"/>
    <cellStyle name="40% - Accent5 2 4 4 2 3" xfId="7732" xr:uid="{00000000-0005-0000-0000-000084510000}"/>
    <cellStyle name="40% - Accent5 2 4 4 2 3 2" xfId="17728" xr:uid="{00000000-0005-0000-0000-000085510000}"/>
    <cellStyle name="40% - Accent5 2 4 4 2 3 2 2" xfId="37128" xr:uid="{00000000-0005-0000-0000-000086510000}"/>
    <cellStyle name="40% - Accent5 2 4 4 2 3 3" xfId="27430" xr:uid="{00000000-0005-0000-0000-000087510000}"/>
    <cellStyle name="40% - Accent5 2 4 4 2 4" xfId="13273" xr:uid="{00000000-0005-0000-0000-000088510000}"/>
    <cellStyle name="40% - Accent5 2 4 4 2 4 2" xfId="32673" xr:uid="{00000000-0005-0000-0000-000089510000}"/>
    <cellStyle name="40% - Accent5 2 4 4 2 5" xfId="22975" xr:uid="{00000000-0005-0000-0000-00008A510000}"/>
    <cellStyle name="40% - Accent5 2 4 4 3" xfId="3810" xr:uid="{00000000-0005-0000-0000-00008B510000}"/>
    <cellStyle name="40% - Accent5 2 4 4 3 2" xfId="4940" xr:uid="{00000000-0005-0000-0000-00008C510000}"/>
    <cellStyle name="40% - Accent5 2 4 4 3 2 2" xfId="9404" xr:uid="{00000000-0005-0000-0000-00008D510000}"/>
    <cellStyle name="40% - Accent5 2 4 4 3 2 2 2" xfId="19400" xr:uid="{00000000-0005-0000-0000-00008E510000}"/>
    <cellStyle name="40% - Accent5 2 4 4 3 2 2 2 2" xfId="38800" xr:uid="{00000000-0005-0000-0000-00008F510000}"/>
    <cellStyle name="40% - Accent5 2 4 4 3 2 2 3" xfId="29102" xr:uid="{00000000-0005-0000-0000-000090510000}"/>
    <cellStyle name="40% - Accent5 2 4 4 3 2 3" xfId="14945" xr:uid="{00000000-0005-0000-0000-000091510000}"/>
    <cellStyle name="40% - Accent5 2 4 4 3 2 3 2" xfId="34345" xr:uid="{00000000-0005-0000-0000-000092510000}"/>
    <cellStyle name="40% - Accent5 2 4 4 3 2 4" xfId="24647" xr:uid="{00000000-0005-0000-0000-000093510000}"/>
    <cellStyle name="40% - Accent5 2 4 4 3 3" xfId="8289" xr:uid="{00000000-0005-0000-0000-000094510000}"/>
    <cellStyle name="40% - Accent5 2 4 4 3 3 2" xfId="18285" xr:uid="{00000000-0005-0000-0000-000095510000}"/>
    <cellStyle name="40% - Accent5 2 4 4 3 3 2 2" xfId="37685" xr:uid="{00000000-0005-0000-0000-000096510000}"/>
    <cellStyle name="40% - Accent5 2 4 4 3 3 3" xfId="27987" xr:uid="{00000000-0005-0000-0000-000097510000}"/>
    <cellStyle name="40% - Accent5 2 4 4 3 4" xfId="13830" xr:uid="{00000000-0005-0000-0000-000098510000}"/>
    <cellStyle name="40% - Accent5 2 4 4 3 4 2" xfId="33230" xr:uid="{00000000-0005-0000-0000-000099510000}"/>
    <cellStyle name="40% - Accent5 2 4 4 3 5" xfId="23532" xr:uid="{00000000-0005-0000-0000-00009A510000}"/>
    <cellStyle name="40% - Accent5 2 4 4 4" xfId="4383" xr:uid="{00000000-0005-0000-0000-00009B510000}"/>
    <cellStyle name="40% - Accent5 2 4 4 4 2" xfId="8847" xr:uid="{00000000-0005-0000-0000-00009C510000}"/>
    <cellStyle name="40% - Accent5 2 4 4 4 2 2" xfId="18843" xr:uid="{00000000-0005-0000-0000-00009D510000}"/>
    <cellStyle name="40% - Accent5 2 4 4 4 2 2 2" xfId="38243" xr:uid="{00000000-0005-0000-0000-00009E510000}"/>
    <cellStyle name="40% - Accent5 2 4 4 4 2 3" xfId="28545" xr:uid="{00000000-0005-0000-0000-00009F510000}"/>
    <cellStyle name="40% - Accent5 2 4 4 4 3" xfId="14388" xr:uid="{00000000-0005-0000-0000-0000A0510000}"/>
    <cellStyle name="40% - Accent5 2 4 4 4 3 2" xfId="33788" xr:uid="{00000000-0005-0000-0000-0000A1510000}"/>
    <cellStyle name="40% - Accent5 2 4 4 4 4" xfId="24090" xr:uid="{00000000-0005-0000-0000-0000A2510000}"/>
    <cellStyle name="40% - Accent5 2 4 4 5" xfId="6053" xr:uid="{00000000-0005-0000-0000-0000A3510000}"/>
    <cellStyle name="40% - Accent5 2 4 4 5 2" xfId="10517" xr:uid="{00000000-0005-0000-0000-0000A4510000}"/>
    <cellStyle name="40% - Accent5 2 4 4 5 2 2" xfId="20513" xr:uid="{00000000-0005-0000-0000-0000A5510000}"/>
    <cellStyle name="40% - Accent5 2 4 4 5 2 2 2" xfId="39913" xr:uid="{00000000-0005-0000-0000-0000A6510000}"/>
    <cellStyle name="40% - Accent5 2 4 4 5 2 3" xfId="30215" xr:uid="{00000000-0005-0000-0000-0000A7510000}"/>
    <cellStyle name="40% - Accent5 2 4 4 5 3" xfId="16058" xr:uid="{00000000-0005-0000-0000-0000A8510000}"/>
    <cellStyle name="40% - Accent5 2 4 4 5 3 2" xfId="35458" xr:uid="{00000000-0005-0000-0000-0000A9510000}"/>
    <cellStyle name="40% - Accent5 2 4 4 5 4" xfId="25760" xr:uid="{00000000-0005-0000-0000-0000AA510000}"/>
    <cellStyle name="40% - Accent5 2 4 4 6" xfId="6619" xr:uid="{00000000-0005-0000-0000-0000AB510000}"/>
    <cellStyle name="40% - Accent5 2 4 4 6 2" xfId="11074" xr:uid="{00000000-0005-0000-0000-0000AC510000}"/>
    <cellStyle name="40% - Accent5 2 4 4 6 2 2" xfId="21070" xr:uid="{00000000-0005-0000-0000-0000AD510000}"/>
    <cellStyle name="40% - Accent5 2 4 4 6 2 2 2" xfId="40470" xr:uid="{00000000-0005-0000-0000-0000AE510000}"/>
    <cellStyle name="40% - Accent5 2 4 4 6 2 3" xfId="30772" xr:uid="{00000000-0005-0000-0000-0000AF510000}"/>
    <cellStyle name="40% - Accent5 2 4 4 6 3" xfId="16615" xr:uid="{00000000-0005-0000-0000-0000B0510000}"/>
    <cellStyle name="40% - Accent5 2 4 4 6 3 2" xfId="36015" xr:uid="{00000000-0005-0000-0000-0000B1510000}"/>
    <cellStyle name="40% - Accent5 2 4 4 6 4" xfId="26317" xr:uid="{00000000-0005-0000-0000-0000B2510000}"/>
    <cellStyle name="40% - Accent5 2 4 4 7" xfId="7176" xr:uid="{00000000-0005-0000-0000-0000B3510000}"/>
    <cellStyle name="40% - Accent5 2 4 4 7 2" xfId="17172" xr:uid="{00000000-0005-0000-0000-0000B4510000}"/>
    <cellStyle name="40% - Accent5 2 4 4 7 2 2" xfId="36572" xr:uid="{00000000-0005-0000-0000-0000B5510000}"/>
    <cellStyle name="40% - Accent5 2 4 4 7 3" xfId="26874" xr:uid="{00000000-0005-0000-0000-0000B6510000}"/>
    <cellStyle name="40% - Accent5 2 4 4 8" xfId="12716" xr:uid="{00000000-0005-0000-0000-0000B7510000}"/>
    <cellStyle name="40% - Accent5 2 4 4 8 2" xfId="32117" xr:uid="{00000000-0005-0000-0000-0000B8510000}"/>
    <cellStyle name="40% - Accent5 2 4 4 9" xfId="22419" xr:uid="{00000000-0005-0000-0000-0000B9510000}"/>
    <cellStyle name="40% - Accent5 2 4 5" xfId="2245" xr:uid="{00000000-0005-0000-0000-0000BA510000}"/>
    <cellStyle name="40% - Accent5 2 4 5 2" xfId="3228" xr:uid="{00000000-0005-0000-0000-0000BB510000}"/>
    <cellStyle name="40% - Accent5 2 4 5 2 2" xfId="5497" xr:uid="{00000000-0005-0000-0000-0000BC510000}"/>
    <cellStyle name="40% - Accent5 2 4 5 2 2 2" xfId="9961" xr:uid="{00000000-0005-0000-0000-0000BD510000}"/>
    <cellStyle name="40% - Accent5 2 4 5 2 2 2 2" xfId="19957" xr:uid="{00000000-0005-0000-0000-0000BE510000}"/>
    <cellStyle name="40% - Accent5 2 4 5 2 2 2 2 2" xfId="39357" xr:uid="{00000000-0005-0000-0000-0000BF510000}"/>
    <cellStyle name="40% - Accent5 2 4 5 2 2 2 3" xfId="29659" xr:uid="{00000000-0005-0000-0000-0000C0510000}"/>
    <cellStyle name="40% - Accent5 2 4 5 2 2 3" xfId="15502" xr:uid="{00000000-0005-0000-0000-0000C1510000}"/>
    <cellStyle name="40% - Accent5 2 4 5 2 2 3 2" xfId="34902" xr:uid="{00000000-0005-0000-0000-0000C2510000}"/>
    <cellStyle name="40% - Accent5 2 4 5 2 2 4" xfId="25204" xr:uid="{00000000-0005-0000-0000-0000C3510000}"/>
    <cellStyle name="40% - Accent5 2 4 5 2 3" xfId="7733" xr:uid="{00000000-0005-0000-0000-0000C4510000}"/>
    <cellStyle name="40% - Accent5 2 4 5 2 3 2" xfId="17729" xr:uid="{00000000-0005-0000-0000-0000C5510000}"/>
    <cellStyle name="40% - Accent5 2 4 5 2 3 2 2" xfId="37129" xr:uid="{00000000-0005-0000-0000-0000C6510000}"/>
    <cellStyle name="40% - Accent5 2 4 5 2 3 3" xfId="27431" xr:uid="{00000000-0005-0000-0000-0000C7510000}"/>
    <cellStyle name="40% - Accent5 2 4 5 2 4" xfId="13274" xr:uid="{00000000-0005-0000-0000-0000C8510000}"/>
    <cellStyle name="40% - Accent5 2 4 5 2 4 2" xfId="32674" xr:uid="{00000000-0005-0000-0000-0000C9510000}"/>
    <cellStyle name="40% - Accent5 2 4 5 2 5" xfId="22976" xr:uid="{00000000-0005-0000-0000-0000CA510000}"/>
    <cellStyle name="40% - Accent5 2 4 5 3" xfId="3811" xr:uid="{00000000-0005-0000-0000-0000CB510000}"/>
    <cellStyle name="40% - Accent5 2 4 5 3 2" xfId="4941" xr:uid="{00000000-0005-0000-0000-0000CC510000}"/>
    <cellStyle name="40% - Accent5 2 4 5 3 2 2" xfId="9405" xr:uid="{00000000-0005-0000-0000-0000CD510000}"/>
    <cellStyle name="40% - Accent5 2 4 5 3 2 2 2" xfId="19401" xr:uid="{00000000-0005-0000-0000-0000CE510000}"/>
    <cellStyle name="40% - Accent5 2 4 5 3 2 2 2 2" xfId="38801" xr:uid="{00000000-0005-0000-0000-0000CF510000}"/>
    <cellStyle name="40% - Accent5 2 4 5 3 2 2 3" xfId="29103" xr:uid="{00000000-0005-0000-0000-0000D0510000}"/>
    <cellStyle name="40% - Accent5 2 4 5 3 2 3" xfId="14946" xr:uid="{00000000-0005-0000-0000-0000D1510000}"/>
    <cellStyle name="40% - Accent5 2 4 5 3 2 3 2" xfId="34346" xr:uid="{00000000-0005-0000-0000-0000D2510000}"/>
    <cellStyle name="40% - Accent5 2 4 5 3 2 4" xfId="24648" xr:uid="{00000000-0005-0000-0000-0000D3510000}"/>
    <cellStyle name="40% - Accent5 2 4 5 3 3" xfId="8290" xr:uid="{00000000-0005-0000-0000-0000D4510000}"/>
    <cellStyle name="40% - Accent5 2 4 5 3 3 2" xfId="18286" xr:uid="{00000000-0005-0000-0000-0000D5510000}"/>
    <cellStyle name="40% - Accent5 2 4 5 3 3 2 2" xfId="37686" xr:uid="{00000000-0005-0000-0000-0000D6510000}"/>
    <cellStyle name="40% - Accent5 2 4 5 3 3 3" xfId="27988" xr:uid="{00000000-0005-0000-0000-0000D7510000}"/>
    <cellStyle name="40% - Accent5 2 4 5 3 4" xfId="13831" xr:uid="{00000000-0005-0000-0000-0000D8510000}"/>
    <cellStyle name="40% - Accent5 2 4 5 3 4 2" xfId="33231" xr:uid="{00000000-0005-0000-0000-0000D9510000}"/>
    <cellStyle name="40% - Accent5 2 4 5 3 5" xfId="23533" xr:uid="{00000000-0005-0000-0000-0000DA510000}"/>
    <cellStyle name="40% - Accent5 2 4 5 4" xfId="4384" xr:uid="{00000000-0005-0000-0000-0000DB510000}"/>
    <cellStyle name="40% - Accent5 2 4 5 4 2" xfId="8848" xr:uid="{00000000-0005-0000-0000-0000DC510000}"/>
    <cellStyle name="40% - Accent5 2 4 5 4 2 2" xfId="18844" xr:uid="{00000000-0005-0000-0000-0000DD510000}"/>
    <cellStyle name="40% - Accent5 2 4 5 4 2 2 2" xfId="38244" xr:uid="{00000000-0005-0000-0000-0000DE510000}"/>
    <cellStyle name="40% - Accent5 2 4 5 4 2 3" xfId="28546" xr:uid="{00000000-0005-0000-0000-0000DF510000}"/>
    <cellStyle name="40% - Accent5 2 4 5 4 3" xfId="14389" xr:uid="{00000000-0005-0000-0000-0000E0510000}"/>
    <cellStyle name="40% - Accent5 2 4 5 4 3 2" xfId="33789" xr:uid="{00000000-0005-0000-0000-0000E1510000}"/>
    <cellStyle name="40% - Accent5 2 4 5 4 4" xfId="24091" xr:uid="{00000000-0005-0000-0000-0000E2510000}"/>
    <cellStyle name="40% - Accent5 2 4 5 5" xfId="6054" xr:uid="{00000000-0005-0000-0000-0000E3510000}"/>
    <cellStyle name="40% - Accent5 2 4 5 5 2" xfId="10518" xr:uid="{00000000-0005-0000-0000-0000E4510000}"/>
    <cellStyle name="40% - Accent5 2 4 5 5 2 2" xfId="20514" xr:uid="{00000000-0005-0000-0000-0000E5510000}"/>
    <cellStyle name="40% - Accent5 2 4 5 5 2 2 2" xfId="39914" xr:uid="{00000000-0005-0000-0000-0000E6510000}"/>
    <cellStyle name="40% - Accent5 2 4 5 5 2 3" xfId="30216" xr:uid="{00000000-0005-0000-0000-0000E7510000}"/>
    <cellStyle name="40% - Accent5 2 4 5 5 3" xfId="16059" xr:uid="{00000000-0005-0000-0000-0000E8510000}"/>
    <cellStyle name="40% - Accent5 2 4 5 5 3 2" xfId="35459" xr:uid="{00000000-0005-0000-0000-0000E9510000}"/>
    <cellStyle name="40% - Accent5 2 4 5 5 4" xfId="25761" xr:uid="{00000000-0005-0000-0000-0000EA510000}"/>
    <cellStyle name="40% - Accent5 2 4 5 6" xfId="6620" xr:uid="{00000000-0005-0000-0000-0000EB510000}"/>
    <cellStyle name="40% - Accent5 2 4 5 6 2" xfId="11075" xr:uid="{00000000-0005-0000-0000-0000EC510000}"/>
    <cellStyle name="40% - Accent5 2 4 5 6 2 2" xfId="21071" xr:uid="{00000000-0005-0000-0000-0000ED510000}"/>
    <cellStyle name="40% - Accent5 2 4 5 6 2 2 2" xfId="40471" xr:uid="{00000000-0005-0000-0000-0000EE510000}"/>
    <cellStyle name="40% - Accent5 2 4 5 6 2 3" xfId="30773" xr:uid="{00000000-0005-0000-0000-0000EF510000}"/>
    <cellStyle name="40% - Accent5 2 4 5 6 3" xfId="16616" xr:uid="{00000000-0005-0000-0000-0000F0510000}"/>
    <cellStyle name="40% - Accent5 2 4 5 6 3 2" xfId="36016" xr:uid="{00000000-0005-0000-0000-0000F1510000}"/>
    <cellStyle name="40% - Accent5 2 4 5 6 4" xfId="26318" xr:uid="{00000000-0005-0000-0000-0000F2510000}"/>
    <cellStyle name="40% - Accent5 2 4 5 7" xfId="7177" xr:uid="{00000000-0005-0000-0000-0000F3510000}"/>
    <cellStyle name="40% - Accent5 2 4 5 7 2" xfId="17173" xr:uid="{00000000-0005-0000-0000-0000F4510000}"/>
    <cellStyle name="40% - Accent5 2 4 5 7 2 2" xfId="36573" xr:uid="{00000000-0005-0000-0000-0000F5510000}"/>
    <cellStyle name="40% - Accent5 2 4 5 7 3" xfId="26875" xr:uid="{00000000-0005-0000-0000-0000F6510000}"/>
    <cellStyle name="40% - Accent5 2 4 5 8" xfId="12717" xr:uid="{00000000-0005-0000-0000-0000F7510000}"/>
    <cellStyle name="40% - Accent5 2 4 5 8 2" xfId="32118" xr:uid="{00000000-0005-0000-0000-0000F8510000}"/>
    <cellStyle name="40% - Accent5 2 4 5 9" xfId="22420" xr:uid="{00000000-0005-0000-0000-0000F9510000}"/>
    <cellStyle name="40% - Accent5 2 5" xfId="1305" xr:uid="{00000000-0005-0000-0000-0000FA510000}"/>
    <cellStyle name="40% - Accent5 2 5 2" xfId="2246" xr:uid="{00000000-0005-0000-0000-0000FB510000}"/>
    <cellStyle name="40% - Accent5 2 5 2 10" xfId="12718" xr:uid="{00000000-0005-0000-0000-0000FC510000}"/>
    <cellStyle name="40% - Accent5 2 5 2 10 2" xfId="32119" xr:uid="{00000000-0005-0000-0000-0000FD510000}"/>
    <cellStyle name="40% - Accent5 2 5 2 11" xfId="22421" xr:uid="{00000000-0005-0000-0000-0000FE510000}"/>
    <cellStyle name="40% - Accent5 2 5 2 2" xfId="2247" xr:uid="{00000000-0005-0000-0000-0000FF510000}"/>
    <cellStyle name="40% - Accent5 2 5 2 2 2" xfId="3230" xr:uid="{00000000-0005-0000-0000-000000520000}"/>
    <cellStyle name="40% - Accent5 2 5 2 2 2 2" xfId="5499" xr:uid="{00000000-0005-0000-0000-000001520000}"/>
    <cellStyle name="40% - Accent5 2 5 2 2 2 2 2" xfId="9963" xr:uid="{00000000-0005-0000-0000-000002520000}"/>
    <cellStyle name="40% - Accent5 2 5 2 2 2 2 2 2" xfId="19959" xr:uid="{00000000-0005-0000-0000-000003520000}"/>
    <cellStyle name="40% - Accent5 2 5 2 2 2 2 2 2 2" xfId="39359" xr:uid="{00000000-0005-0000-0000-000004520000}"/>
    <cellStyle name="40% - Accent5 2 5 2 2 2 2 2 3" xfId="29661" xr:uid="{00000000-0005-0000-0000-000005520000}"/>
    <cellStyle name="40% - Accent5 2 5 2 2 2 2 3" xfId="15504" xr:uid="{00000000-0005-0000-0000-000006520000}"/>
    <cellStyle name="40% - Accent5 2 5 2 2 2 2 3 2" xfId="34904" xr:uid="{00000000-0005-0000-0000-000007520000}"/>
    <cellStyle name="40% - Accent5 2 5 2 2 2 2 4" xfId="25206" xr:uid="{00000000-0005-0000-0000-000008520000}"/>
    <cellStyle name="40% - Accent5 2 5 2 2 2 3" xfId="7735" xr:uid="{00000000-0005-0000-0000-000009520000}"/>
    <cellStyle name="40% - Accent5 2 5 2 2 2 3 2" xfId="17731" xr:uid="{00000000-0005-0000-0000-00000A520000}"/>
    <cellStyle name="40% - Accent5 2 5 2 2 2 3 2 2" xfId="37131" xr:uid="{00000000-0005-0000-0000-00000B520000}"/>
    <cellStyle name="40% - Accent5 2 5 2 2 2 3 3" xfId="27433" xr:uid="{00000000-0005-0000-0000-00000C520000}"/>
    <cellStyle name="40% - Accent5 2 5 2 2 2 4" xfId="13276" xr:uid="{00000000-0005-0000-0000-00000D520000}"/>
    <cellStyle name="40% - Accent5 2 5 2 2 2 4 2" xfId="32676" xr:uid="{00000000-0005-0000-0000-00000E520000}"/>
    <cellStyle name="40% - Accent5 2 5 2 2 2 5" xfId="22978" xr:uid="{00000000-0005-0000-0000-00000F520000}"/>
    <cellStyle name="40% - Accent5 2 5 2 2 3" xfId="3813" xr:uid="{00000000-0005-0000-0000-000010520000}"/>
    <cellStyle name="40% - Accent5 2 5 2 2 3 2" xfId="4943" xr:uid="{00000000-0005-0000-0000-000011520000}"/>
    <cellStyle name="40% - Accent5 2 5 2 2 3 2 2" xfId="9407" xr:uid="{00000000-0005-0000-0000-000012520000}"/>
    <cellStyle name="40% - Accent5 2 5 2 2 3 2 2 2" xfId="19403" xr:uid="{00000000-0005-0000-0000-000013520000}"/>
    <cellStyle name="40% - Accent5 2 5 2 2 3 2 2 2 2" xfId="38803" xr:uid="{00000000-0005-0000-0000-000014520000}"/>
    <cellStyle name="40% - Accent5 2 5 2 2 3 2 2 3" xfId="29105" xr:uid="{00000000-0005-0000-0000-000015520000}"/>
    <cellStyle name="40% - Accent5 2 5 2 2 3 2 3" xfId="14948" xr:uid="{00000000-0005-0000-0000-000016520000}"/>
    <cellStyle name="40% - Accent5 2 5 2 2 3 2 3 2" xfId="34348" xr:uid="{00000000-0005-0000-0000-000017520000}"/>
    <cellStyle name="40% - Accent5 2 5 2 2 3 2 4" xfId="24650" xr:uid="{00000000-0005-0000-0000-000018520000}"/>
    <cellStyle name="40% - Accent5 2 5 2 2 3 3" xfId="8292" xr:uid="{00000000-0005-0000-0000-000019520000}"/>
    <cellStyle name="40% - Accent5 2 5 2 2 3 3 2" xfId="18288" xr:uid="{00000000-0005-0000-0000-00001A520000}"/>
    <cellStyle name="40% - Accent5 2 5 2 2 3 3 2 2" xfId="37688" xr:uid="{00000000-0005-0000-0000-00001B520000}"/>
    <cellStyle name="40% - Accent5 2 5 2 2 3 3 3" xfId="27990" xr:uid="{00000000-0005-0000-0000-00001C520000}"/>
    <cellStyle name="40% - Accent5 2 5 2 2 3 4" xfId="13833" xr:uid="{00000000-0005-0000-0000-00001D520000}"/>
    <cellStyle name="40% - Accent5 2 5 2 2 3 4 2" xfId="33233" xr:uid="{00000000-0005-0000-0000-00001E520000}"/>
    <cellStyle name="40% - Accent5 2 5 2 2 3 5" xfId="23535" xr:uid="{00000000-0005-0000-0000-00001F520000}"/>
    <cellStyle name="40% - Accent5 2 5 2 2 4" xfId="4386" xr:uid="{00000000-0005-0000-0000-000020520000}"/>
    <cellStyle name="40% - Accent5 2 5 2 2 4 2" xfId="8850" xr:uid="{00000000-0005-0000-0000-000021520000}"/>
    <cellStyle name="40% - Accent5 2 5 2 2 4 2 2" xfId="18846" xr:uid="{00000000-0005-0000-0000-000022520000}"/>
    <cellStyle name="40% - Accent5 2 5 2 2 4 2 2 2" xfId="38246" xr:uid="{00000000-0005-0000-0000-000023520000}"/>
    <cellStyle name="40% - Accent5 2 5 2 2 4 2 3" xfId="28548" xr:uid="{00000000-0005-0000-0000-000024520000}"/>
    <cellStyle name="40% - Accent5 2 5 2 2 4 3" xfId="14391" xr:uid="{00000000-0005-0000-0000-000025520000}"/>
    <cellStyle name="40% - Accent5 2 5 2 2 4 3 2" xfId="33791" xr:uid="{00000000-0005-0000-0000-000026520000}"/>
    <cellStyle name="40% - Accent5 2 5 2 2 4 4" xfId="24093" xr:uid="{00000000-0005-0000-0000-000027520000}"/>
    <cellStyle name="40% - Accent5 2 5 2 2 5" xfId="6056" xr:uid="{00000000-0005-0000-0000-000028520000}"/>
    <cellStyle name="40% - Accent5 2 5 2 2 5 2" xfId="10520" xr:uid="{00000000-0005-0000-0000-000029520000}"/>
    <cellStyle name="40% - Accent5 2 5 2 2 5 2 2" xfId="20516" xr:uid="{00000000-0005-0000-0000-00002A520000}"/>
    <cellStyle name="40% - Accent5 2 5 2 2 5 2 2 2" xfId="39916" xr:uid="{00000000-0005-0000-0000-00002B520000}"/>
    <cellStyle name="40% - Accent5 2 5 2 2 5 2 3" xfId="30218" xr:uid="{00000000-0005-0000-0000-00002C520000}"/>
    <cellStyle name="40% - Accent5 2 5 2 2 5 3" xfId="16061" xr:uid="{00000000-0005-0000-0000-00002D520000}"/>
    <cellStyle name="40% - Accent5 2 5 2 2 5 3 2" xfId="35461" xr:uid="{00000000-0005-0000-0000-00002E520000}"/>
    <cellStyle name="40% - Accent5 2 5 2 2 5 4" xfId="25763" xr:uid="{00000000-0005-0000-0000-00002F520000}"/>
    <cellStyle name="40% - Accent5 2 5 2 2 6" xfId="6622" xr:uid="{00000000-0005-0000-0000-000030520000}"/>
    <cellStyle name="40% - Accent5 2 5 2 2 6 2" xfId="11077" xr:uid="{00000000-0005-0000-0000-000031520000}"/>
    <cellStyle name="40% - Accent5 2 5 2 2 6 2 2" xfId="21073" xr:uid="{00000000-0005-0000-0000-000032520000}"/>
    <cellStyle name="40% - Accent5 2 5 2 2 6 2 2 2" xfId="40473" xr:uid="{00000000-0005-0000-0000-000033520000}"/>
    <cellStyle name="40% - Accent5 2 5 2 2 6 2 3" xfId="30775" xr:uid="{00000000-0005-0000-0000-000034520000}"/>
    <cellStyle name="40% - Accent5 2 5 2 2 6 3" xfId="16618" xr:uid="{00000000-0005-0000-0000-000035520000}"/>
    <cellStyle name="40% - Accent5 2 5 2 2 6 3 2" xfId="36018" xr:uid="{00000000-0005-0000-0000-000036520000}"/>
    <cellStyle name="40% - Accent5 2 5 2 2 6 4" xfId="26320" xr:uid="{00000000-0005-0000-0000-000037520000}"/>
    <cellStyle name="40% - Accent5 2 5 2 2 7" xfId="7179" xr:uid="{00000000-0005-0000-0000-000038520000}"/>
    <cellStyle name="40% - Accent5 2 5 2 2 7 2" xfId="17175" xr:uid="{00000000-0005-0000-0000-000039520000}"/>
    <cellStyle name="40% - Accent5 2 5 2 2 7 2 2" xfId="36575" xr:uid="{00000000-0005-0000-0000-00003A520000}"/>
    <cellStyle name="40% - Accent5 2 5 2 2 7 3" xfId="26877" xr:uid="{00000000-0005-0000-0000-00003B520000}"/>
    <cellStyle name="40% - Accent5 2 5 2 2 8" xfId="12719" xr:uid="{00000000-0005-0000-0000-00003C520000}"/>
    <cellStyle name="40% - Accent5 2 5 2 2 8 2" xfId="32120" xr:uid="{00000000-0005-0000-0000-00003D520000}"/>
    <cellStyle name="40% - Accent5 2 5 2 2 9" xfId="22422" xr:uid="{00000000-0005-0000-0000-00003E520000}"/>
    <cellStyle name="40% - Accent5 2 5 2 3" xfId="2248" xr:uid="{00000000-0005-0000-0000-00003F520000}"/>
    <cellStyle name="40% - Accent5 2 5 2 3 2" xfId="3231" xr:uid="{00000000-0005-0000-0000-000040520000}"/>
    <cellStyle name="40% - Accent5 2 5 2 3 2 2" xfId="5500" xr:uid="{00000000-0005-0000-0000-000041520000}"/>
    <cellStyle name="40% - Accent5 2 5 2 3 2 2 2" xfId="9964" xr:uid="{00000000-0005-0000-0000-000042520000}"/>
    <cellStyle name="40% - Accent5 2 5 2 3 2 2 2 2" xfId="19960" xr:uid="{00000000-0005-0000-0000-000043520000}"/>
    <cellStyle name="40% - Accent5 2 5 2 3 2 2 2 2 2" xfId="39360" xr:uid="{00000000-0005-0000-0000-000044520000}"/>
    <cellStyle name="40% - Accent5 2 5 2 3 2 2 2 3" xfId="29662" xr:uid="{00000000-0005-0000-0000-000045520000}"/>
    <cellStyle name="40% - Accent5 2 5 2 3 2 2 3" xfId="15505" xr:uid="{00000000-0005-0000-0000-000046520000}"/>
    <cellStyle name="40% - Accent5 2 5 2 3 2 2 3 2" xfId="34905" xr:uid="{00000000-0005-0000-0000-000047520000}"/>
    <cellStyle name="40% - Accent5 2 5 2 3 2 2 4" xfId="25207" xr:uid="{00000000-0005-0000-0000-000048520000}"/>
    <cellStyle name="40% - Accent5 2 5 2 3 2 3" xfId="7736" xr:uid="{00000000-0005-0000-0000-000049520000}"/>
    <cellStyle name="40% - Accent5 2 5 2 3 2 3 2" xfId="17732" xr:uid="{00000000-0005-0000-0000-00004A520000}"/>
    <cellStyle name="40% - Accent5 2 5 2 3 2 3 2 2" xfId="37132" xr:uid="{00000000-0005-0000-0000-00004B520000}"/>
    <cellStyle name="40% - Accent5 2 5 2 3 2 3 3" xfId="27434" xr:uid="{00000000-0005-0000-0000-00004C520000}"/>
    <cellStyle name="40% - Accent5 2 5 2 3 2 4" xfId="13277" xr:uid="{00000000-0005-0000-0000-00004D520000}"/>
    <cellStyle name="40% - Accent5 2 5 2 3 2 4 2" xfId="32677" xr:uid="{00000000-0005-0000-0000-00004E520000}"/>
    <cellStyle name="40% - Accent5 2 5 2 3 2 5" xfId="22979" xr:uid="{00000000-0005-0000-0000-00004F520000}"/>
    <cellStyle name="40% - Accent5 2 5 2 3 3" xfId="3814" xr:uid="{00000000-0005-0000-0000-000050520000}"/>
    <cellStyle name="40% - Accent5 2 5 2 3 3 2" xfId="4944" xr:uid="{00000000-0005-0000-0000-000051520000}"/>
    <cellStyle name="40% - Accent5 2 5 2 3 3 2 2" xfId="9408" xr:uid="{00000000-0005-0000-0000-000052520000}"/>
    <cellStyle name="40% - Accent5 2 5 2 3 3 2 2 2" xfId="19404" xr:uid="{00000000-0005-0000-0000-000053520000}"/>
    <cellStyle name="40% - Accent5 2 5 2 3 3 2 2 2 2" xfId="38804" xr:uid="{00000000-0005-0000-0000-000054520000}"/>
    <cellStyle name="40% - Accent5 2 5 2 3 3 2 2 3" xfId="29106" xr:uid="{00000000-0005-0000-0000-000055520000}"/>
    <cellStyle name="40% - Accent5 2 5 2 3 3 2 3" xfId="14949" xr:uid="{00000000-0005-0000-0000-000056520000}"/>
    <cellStyle name="40% - Accent5 2 5 2 3 3 2 3 2" xfId="34349" xr:uid="{00000000-0005-0000-0000-000057520000}"/>
    <cellStyle name="40% - Accent5 2 5 2 3 3 2 4" xfId="24651" xr:uid="{00000000-0005-0000-0000-000058520000}"/>
    <cellStyle name="40% - Accent5 2 5 2 3 3 3" xfId="8293" xr:uid="{00000000-0005-0000-0000-000059520000}"/>
    <cellStyle name="40% - Accent5 2 5 2 3 3 3 2" xfId="18289" xr:uid="{00000000-0005-0000-0000-00005A520000}"/>
    <cellStyle name="40% - Accent5 2 5 2 3 3 3 2 2" xfId="37689" xr:uid="{00000000-0005-0000-0000-00005B520000}"/>
    <cellStyle name="40% - Accent5 2 5 2 3 3 3 3" xfId="27991" xr:uid="{00000000-0005-0000-0000-00005C520000}"/>
    <cellStyle name="40% - Accent5 2 5 2 3 3 4" xfId="13834" xr:uid="{00000000-0005-0000-0000-00005D520000}"/>
    <cellStyle name="40% - Accent5 2 5 2 3 3 4 2" xfId="33234" xr:uid="{00000000-0005-0000-0000-00005E520000}"/>
    <cellStyle name="40% - Accent5 2 5 2 3 3 5" xfId="23536" xr:uid="{00000000-0005-0000-0000-00005F520000}"/>
    <cellStyle name="40% - Accent5 2 5 2 3 4" xfId="4387" xr:uid="{00000000-0005-0000-0000-000060520000}"/>
    <cellStyle name="40% - Accent5 2 5 2 3 4 2" xfId="8851" xr:uid="{00000000-0005-0000-0000-000061520000}"/>
    <cellStyle name="40% - Accent5 2 5 2 3 4 2 2" xfId="18847" xr:uid="{00000000-0005-0000-0000-000062520000}"/>
    <cellStyle name="40% - Accent5 2 5 2 3 4 2 2 2" xfId="38247" xr:uid="{00000000-0005-0000-0000-000063520000}"/>
    <cellStyle name="40% - Accent5 2 5 2 3 4 2 3" xfId="28549" xr:uid="{00000000-0005-0000-0000-000064520000}"/>
    <cellStyle name="40% - Accent5 2 5 2 3 4 3" xfId="14392" xr:uid="{00000000-0005-0000-0000-000065520000}"/>
    <cellStyle name="40% - Accent5 2 5 2 3 4 3 2" xfId="33792" xr:uid="{00000000-0005-0000-0000-000066520000}"/>
    <cellStyle name="40% - Accent5 2 5 2 3 4 4" xfId="24094" xr:uid="{00000000-0005-0000-0000-000067520000}"/>
    <cellStyle name="40% - Accent5 2 5 2 3 5" xfId="6057" xr:uid="{00000000-0005-0000-0000-000068520000}"/>
    <cellStyle name="40% - Accent5 2 5 2 3 5 2" xfId="10521" xr:uid="{00000000-0005-0000-0000-000069520000}"/>
    <cellStyle name="40% - Accent5 2 5 2 3 5 2 2" xfId="20517" xr:uid="{00000000-0005-0000-0000-00006A520000}"/>
    <cellStyle name="40% - Accent5 2 5 2 3 5 2 2 2" xfId="39917" xr:uid="{00000000-0005-0000-0000-00006B520000}"/>
    <cellStyle name="40% - Accent5 2 5 2 3 5 2 3" xfId="30219" xr:uid="{00000000-0005-0000-0000-00006C520000}"/>
    <cellStyle name="40% - Accent5 2 5 2 3 5 3" xfId="16062" xr:uid="{00000000-0005-0000-0000-00006D520000}"/>
    <cellStyle name="40% - Accent5 2 5 2 3 5 3 2" xfId="35462" xr:uid="{00000000-0005-0000-0000-00006E520000}"/>
    <cellStyle name="40% - Accent5 2 5 2 3 5 4" xfId="25764" xr:uid="{00000000-0005-0000-0000-00006F520000}"/>
    <cellStyle name="40% - Accent5 2 5 2 3 6" xfId="6623" xr:uid="{00000000-0005-0000-0000-000070520000}"/>
    <cellStyle name="40% - Accent5 2 5 2 3 6 2" xfId="11078" xr:uid="{00000000-0005-0000-0000-000071520000}"/>
    <cellStyle name="40% - Accent5 2 5 2 3 6 2 2" xfId="21074" xr:uid="{00000000-0005-0000-0000-000072520000}"/>
    <cellStyle name="40% - Accent5 2 5 2 3 6 2 2 2" xfId="40474" xr:uid="{00000000-0005-0000-0000-000073520000}"/>
    <cellStyle name="40% - Accent5 2 5 2 3 6 2 3" xfId="30776" xr:uid="{00000000-0005-0000-0000-000074520000}"/>
    <cellStyle name="40% - Accent5 2 5 2 3 6 3" xfId="16619" xr:uid="{00000000-0005-0000-0000-000075520000}"/>
    <cellStyle name="40% - Accent5 2 5 2 3 6 3 2" xfId="36019" xr:uid="{00000000-0005-0000-0000-000076520000}"/>
    <cellStyle name="40% - Accent5 2 5 2 3 6 4" xfId="26321" xr:uid="{00000000-0005-0000-0000-000077520000}"/>
    <cellStyle name="40% - Accent5 2 5 2 3 7" xfId="7180" xr:uid="{00000000-0005-0000-0000-000078520000}"/>
    <cellStyle name="40% - Accent5 2 5 2 3 7 2" xfId="17176" xr:uid="{00000000-0005-0000-0000-000079520000}"/>
    <cellStyle name="40% - Accent5 2 5 2 3 7 2 2" xfId="36576" xr:uid="{00000000-0005-0000-0000-00007A520000}"/>
    <cellStyle name="40% - Accent5 2 5 2 3 7 3" xfId="26878" xr:uid="{00000000-0005-0000-0000-00007B520000}"/>
    <cellStyle name="40% - Accent5 2 5 2 3 8" xfId="12720" xr:uid="{00000000-0005-0000-0000-00007C520000}"/>
    <cellStyle name="40% - Accent5 2 5 2 3 8 2" xfId="32121" xr:uid="{00000000-0005-0000-0000-00007D520000}"/>
    <cellStyle name="40% - Accent5 2 5 2 3 9" xfId="22423" xr:uid="{00000000-0005-0000-0000-00007E520000}"/>
    <cellStyle name="40% - Accent5 2 5 2 4" xfId="3229" xr:uid="{00000000-0005-0000-0000-00007F520000}"/>
    <cellStyle name="40% - Accent5 2 5 2 4 2" xfId="5498" xr:uid="{00000000-0005-0000-0000-000080520000}"/>
    <cellStyle name="40% - Accent5 2 5 2 4 2 2" xfId="9962" xr:uid="{00000000-0005-0000-0000-000081520000}"/>
    <cellStyle name="40% - Accent5 2 5 2 4 2 2 2" xfId="19958" xr:uid="{00000000-0005-0000-0000-000082520000}"/>
    <cellStyle name="40% - Accent5 2 5 2 4 2 2 2 2" xfId="39358" xr:uid="{00000000-0005-0000-0000-000083520000}"/>
    <cellStyle name="40% - Accent5 2 5 2 4 2 2 3" xfId="29660" xr:uid="{00000000-0005-0000-0000-000084520000}"/>
    <cellStyle name="40% - Accent5 2 5 2 4 2 3" xfId="15503" xr:uid="{00000000-0005-0000-0000-000085520000}"/>
    <cellStyle name="40% - Accent5 2 5 2 4 2 3 2" xfId="34903" xr:uid="{00000000-0005-0000-0000-000086520000}"/>
    <cellStyle name="40% - Accent5 2 5 2 4 2 4" xfId="25205" xr:uid="{00000000-0005-0000-0000-000087520000}"/>
    <cellStyle name="40% - Accent5 2 5 2 4 3" xfId="7734" xr:uid="{00000000-0005-0000-0000-000088520000}"/>
    <cellStyle name="40% - Accent5 2 5 2 4 3 2" xfId="17730" xr:uid="{00000000-0005-0000-0000-000089520000}"/>
    <cellStyle name="40% - Accent5 2 5 2 4 3 2 2" xfId="37130" xr:uid="{00000000-0005-0000-0000-00008A520000}"/>
    <cellStyle name="40% - Accent5 2 5 2 4 3 3" xfId="27432" xr:uid="{00000000-0005-0000-0000-00008B520000}"/>
    <cellStyle name="40% - Accent5 2 5 2 4 4" xfId="13275" xr:uid="{00000000-0005-0000-0000-00008C520000}"/>
    <cellStyle name="40% - Accent5 2 5 2 4 4 2" xfId="32675" xr:uid="{00000000-0005-0000-0000-00008D520000}"/>
    <cellStyle name="40% - Accent5 2 5 2 4 5" xfId="22977" xr:uid="{00000000-0005-0000-0000-00008E520000}"/>
    <cellStyle name="40% - Accent5 2 5 2 5" xfId="3812" xr:uid="{00000000-0005-0000-0000-00008F520000}"/>
    <cellStyle name="40% - Accent5 2 5 2 5 2" xfId="4942" xr:uid="{00000000-0005-0000-0000-000090520000}"/>
    <cellStyle name="40% - Accent5 2 5 2 5 2 2" xfId="9406" xr:uid="{00000000-0005-0000-0000-000091520000}"/>
    <cellStyle name="40% - Accent5 2 5 2 5 2 2 2" xfId="19402" xr:uid="{00000000-0005-0000-0000-000092520000}"/>
    <cellStyle name="40% - Accent5 2 5 2 5 2 2 2 2" xfId="38802" xr:uid="{00000000-0005-0000-0000-000093520000}"/>
    <cellStyle name="40% - Accent5 2 5 2 5 2 2 3" xfId="29104" xr:uid="{00000000-0005-0000-0000-000094520000}"/>
    <cellStyle name="40% - Accent5 2 5 2 5 2 3" xfId="14947" xr:uid="{00000000-0005-0000-0000-000095520000}"/>
    <cellStyle name="40% - Accent5 2 5 2 5 2 3 2" xfId="34347" xr:uid="{00000000-0005-0000-0000-000096520000}"/>
    <cellStyle name="40% - Accent5 2 5 2 5 2 4" xfId="24649" xr:uid="{00000000-0005-0000-0000-000097520000}"/>
    <cellStyle name="40% - Accent5 2 5 2 5 3" xfId="8291" xr:uid="{00000000-0005-0000-0000-000098520000}"/>
    <cellStyle name="40% - Accent5 2 5 2 5 3 2" xfId="18287" xr:uid="{00000000-0005-0000-0000-000099520000}"/>
    <cellStyle name="40% - Accent5 2 5 2 5 3 2 2" xfId="37687" xr:uid="{00000000-0005-0000-0000-00009A520000}"/>
    <cellStyle name="40% - Accent5 2 5 2 5 3 3" xfId="27989" xr:uid="{00000000-0005-0000-0000-00009B520000}"/>
    <cellStyle name="40% - Accent5 2 5 2 5 4" xfId="13832" xr:uid="{00000000-0005-0000-0000-00009C520000}"/>
    <cellStyle name="40% - Accent5 2 5 2 5 4 2" xfId="33232" xr:uid="{00000000-0005-0000-0000-00009D520000}"/>
    <cellStyle name="40% - Accent5 2 5 2 5 5" xfId="23534" xr:uid="{00000000-0005-0000-0000-00009E520000}"/>
    <cellStyle name="40% - Accent5 2 5 2 6" xfId="4385" xr:uid="{00000000-0005-0000-0000-00009F520000}"/>
    <cellStyle name="40% - Accent5 2 5 2 6 2" xfId="8849" xr:uid="{00000000-0005-0000-0000-0000A0520000}"/>
    <cellStyle name="40% - Accent5 2 5 2 6 2 2" xfId="18845" xr:uid="{00000000-0005-0000-0000-0000A1520000}"/>
    <cellStyle name="40% - Accent5 2 5 2 6 2 2 2" xfId="38245" xr:uid="{00000000-0005-0000-0000-0000A2520000}"/>
    <cellStyle name="40% - Accent5 2 5 2 6 2 3" xfId="28547" xr:uid="{00000000-0005-0000-0000-0000A3520000}"/>
    <cellStyle name="40% - Accent5 2 5 2 6 3" xfId="14390" xr:uid="{00000000-0005-0000-0000-0000A4520000}"/>
    <cellStyle name="40% - Accent5 2 5 2 6 3 2" xfId="33790" xr:uid="{00000000-0005-0000-0000-0000A5520000}"/>
    <cellStyle name="40% - Accent5 2 5 2 6 4" xfId="24092" xr:uid="{00000000-0005-0000-0000-0000A6520000}"/>
    <cellStyle name="40% - Accent5 2 5 2 7" xfId="6055" xr:uid="{00000000-0005-0000-0000-0000A7520000}"/>
    <cellStyle name="40% - Accent5 2 5 2 7 2" xfId="10519" xr:uid="{00000000-0005-0000-0000-0000A8520000}"/>
    <cellStyle name="40% - Accent5 2 5 2 7 2 2" xfId="20515" xr:uid="{00000000-0005-0000-0000-0000A9520000}"/>
    <cellStyle name="40% - Accent5 2 5 2 7 2 2 2" xfId="39915" xr:uid="{00000000-0005-0000-0000-0000AA520000}"/>
    <cellStyle name="40% - Accent5 2 5 2 7 2 3" xfId="30217" xr:uid="{00000000-0005-0000-0000-0000AB520000}"/>
    <cellStyle name="40% - Accent5 2 5 2 7 3" xfId="16060" xr:uid="{00000000-0005-0000-0000-0000AC520000}"/>
    <cellStyle name="40% - Accent5 2 5 2 7 3 2" xfId="35460" xr:uid="{00000000-0005-0000-0000-0000AD520000}"/>
    <cellStyle name="40% - Accent5 2 5 2 7 4" xfId="25762" xr:uid="{00000000-0005-0000-0000-0000AE520000}"/>
    <cellStyle name="40% - Accent5 2 5 2 8" xfId="6621" xr:uid="{00000000-0005-0000-0000-0000AF520000}"/>
    <cellStyle name="40% - Accent5 2 5 2 8 2" xfId="11076" xr:uid="{00000000-0005-0000-0000-0000B0520000}"/>
    <cellStyle name="40% - Accent5 2 5 2 8 2 2" xfId="21072" xr:uid="{00000000-0005-0000-0000-0000B1520000}"/>
    <cellStyle name="40% - Accent5 2 5 2 8 2 2 2" xfId="40472" xr:uid="{00000000-0005-0000-0000-0000B2520000}"/>
    <cellStyle name="40% - Accent5 2 5 2 8 2 3" xfId="30774" xr:uid="{00000000-0005-0000-0000-0000B3520000}"/>
    <cellStyle name="40% - Accent5 2 5 2 8 3" xfId="16617" xr:uid="{00000000-0005-0000-0000-0000B4520000}"/>
    <cellStyle name="40% - Accent5 2 5 2 8 3 2" xfId="36017" xr:uid="{00000000-0005-0000-0000-0000B5520000}"/>
    <cellStyle name="40% - Accent5 2 5 2 8 4" xfId="26319" xr:uid="{00000000-0005-0000-0000-0000B6520000}"/>
    <cellStyle name="40% - Accent5 2 5 2 9" xfId="7178" xr:uid="{00000000-0005-0000-0000-0000B7520000}"/>
    <cellStyle name="40% - Accent5 2 5 2 9 2" xfId="17174" xr:uid="{00000000-0005-0000-0000-0000B8520000}"/>
    <cellStyle name="40% - Accent5 2 5 2 9 2 2" xfId="36574" xr:uid="{00000000-0005-0000-0000-0000B9520000}"/>
    <cellStyle name="40% - Accent5 2 5 2 9 3" xfId="26876" xr:uid="{00000000-0005-0000-0000-0000BA520000}"/>
    <cellStyle name="40% - Accent5 2 5 3" xfId="2249" xr:uid="{00000000-0005-0000-0000-0000BB520000}"/>
    <cellStyle name="40% - Accent5 2 5 3 2" xfId="3232" xr:uid="{00000000-0005-0000-0000-0000BC520000}"/>
    <cellStyle name="40% - Accent5 2 5 3 2 2" xfId="5501" xr:uid="{00000000-0005-0000-0000-0000BD520000}"/>
    <cellStyle name="40% - Accent5 2 5 3 2 2 2" xfId="9965" xr:uid="{00000000-0005-0000-0000-0000BE520000}"/>
    <cellStyle name="40% - Accent5 2 5 3 2 2 2 2" xfId="19961" xr:uid="{00000000-0005-0000-0000-0000BF520000}"/>
    <cellStyle name="40% - Accent5 2 5 3 2 2 2 2 2" xfId="39361" xr:uid="{00000000-0005-0000-0000-0000C0520000}"/>
    <cellStyle name="40% - Accent5 2 5 3 2 2 2 3" xfId="29663" xr:uid="{00000000-0005-0000-0000-0000C1520000}"/>
    <cellStyle name="40% - Accent5 2 5 3 2 2 3" xfId="15506" xr:uid="{00000000-0005-0000-0000-0000C2520000}"/>
    <cellStyle name="40% - Accent5 2 5 3 2 2 3 2" xfId="34906" xr:uid="{00000000-0005-0000-0000-0000C3520000}"/>
    <cellStyle name="40% - Accent5 2 5 3 2 2 4" xfId="25208" xr:uid="{00000000-0005-0000-0000-0000C4520000}"/>
    <cellStyle name="40% - Accent5 2 5 3 2 3" xfId="7737" xr:uid="{00000000-0005-0000-0000-0000C5520000}"/>
    <cellStyle name="40% - Accent5 2 5 3 2 3 2" xfId="17733" xr:uid="{00000000-0005-0000-0000-0000C6520000}"/>
    <cellStyle name="40% - Accent5 2 5 3 2 3 2 2" xfId="37133" xr:uid="{00000000-0005-0000-0000-0000C7520000}"/>
    <cellStyle name="40% - Accent5 2 5 3 2 3 3" xfId="27435" xr:uid="{00000000-0005-0000-0000-0000C8520000}"/>
    <cellStyle name="40% - Accent5 2 5 3 2 4" xfId="13278" xr:uid="{00000000-0005-0000-0000-0000C9520000}"/>
    <cellStyle name="40% - Accent5 2 5 3 2 4 2" xfId="32678" xr:uid="{00000000-0005-0000-0000-0000CA520000}"/>
    <cellStyle name="40% - Accent5 2 5 3 2 5" xfId="22980" xr:uid="{00000000-0005-0000-0000-0000CB520000}"/>
    <cellStyle name="40% - Accent5 2 5 3 3" xfId="3815" xr:uid="{00000000-0005-0000-0000-0000CC520000}"/>
    <cellStyle name="40% - Accent5 2 5 3 3 2" xfId="4945" xr:uid="{00000000-0005-0000-0000-0000CD520000}"/>
    <cellStyle name="40% - Accent5 2 5 3 3 2 2" xfId="9409" xr:uid="{00000000-0005-0000-0000-0000CE520000}"/>
    <cellStyle name="40% - Accent5 2 5 3 3 2 2 2" xfId="19405" xr:uid="{00000000-0005-0000-0000-0000CF520000}"/>
    <cellStyle name="40% - Accent5 2 5 3 3 2 2 2 2" xfId="38805" xr:uid="{00000000-0005-0000-0000-0000D0520000}"/>
    <cellStyle name="40% - Accent5 2 5 3 3 2 2 3" xfId="29107" xr:uid="{00000000-0005-0000-0000-0000D1520000}"/>
    <cellStyle name="40% - Accent5 2 5 3 3 2 3" xfId="14950" xr:uid="{00000000-0005-0000-0000-0000D2520000}"/>
    <cellStyle name="40% - Accent5 2 5 3 3 2 3 2" xfId="34350" xr:uid="{00000000-0005-0000-0000-0000D3520000}"/>
    <cellStyle name="40% - Accent5 2 5 3 3 2 4" xfId="24652" xr:uid="{00000000-0005-0000-0000-0000D4520000}"/>
    <cellStyle name="40% - Accent5 2 5 3 3 3" xfId="8294" xr:uid="{00000000-0005-0000-0000-0000D5520000}"/>
    <cellStyle name="40% - Accent5 2 5 3 3 3 2" xfId="18290" xr:uid="{00000000-0005-0000-0000-0000D6520000}"/>
    <cellStyle name="40% - Accent5 2 5 3 3 3 2 2" xfId="37690" xr:uid="{00000000-0005-0000-0000-0000D7520000}"/>
    <cellStyle name="40% - Accent5 2 5 3 3 3 3" xfId="27992" xr:uid="{00000000-0005-0000-0000-0000D8520000}"/>
    <cellStyle name="40% - Accent5 2 5 3 3 4" xfId="13835" xr:uid="{00000000-0005-0000-0000-0000D9520000}"/>
    <cellStyle name="40% - Accent5 2 5 3 3 4 2" xfId="33235" xr:uid="{00000000-0005-0000-0000-0000DA520000}"/>
    <cellStyle name="40% - Accent5 2 5 3 3 5" xfId="23537" xr:uid="{00000000-0005-0000-0000-0000DB520000}"/>
    <cellStyle name="40% - Accent5 2 5 3 4" xfId="4388" xr:uid="{00000000-0005-0000-0000-0000DC520000}"/>
    <cellStyle name="40% - Accent5 2 5 3 4 2" xfId="8852" xr:uid="{00000000-0005-0000-0000-0000DD520000}"/>
    <cellStyle name="40% - Accent5 2 5 3 4 2 2" xfId="18848" xr:uid="{00000000-0005-0000-0000-0000DE520000}"/>
    <cellStyle name="40% - Accent5 2 5 3 4 2 2 2" xfId="38248" xr:uid="{00000000-0005-0000-0000-0000DF520000}"/>
    <cellStyle name="40% - Accent5 2 5 3 4 2 3" xfId="28550" xr:uid="{00000000-0005-0000-0000-0000E0520000}"/>
    <cellStyle name="40% - Accent5 2 5 3 4 3" xfId="14393" xr:uid="{00000000-0005-0000-0000-0000E1520000}"/>
    <cellStyle name="40% - Accent5 2 5 3 4 3 2" xfId="33793" xr:uid="{00000000-0005-0000-0000-0000E2520000}"/>
    <cellStyle name="40% - Accent5 2 5 3 4 4" xfId="24095" xr:uid="{00000000-0005-0000-0000-0000E3520000}"/>
    <cellStyle name="40% - Accent5 2 5 3 5" xfId="6058" xr:uid="{00000000-0005-0000-0000-0000E4520000}"/>
    <cellStyle name="40% - Accent5 2 5 3 5 2" xfId="10522" xr:uid="{00000000-0005-0000-0000-0000E5520000}"/>
    <cellStyle name="40% - Accent5 2 5 3 5 2 2" xfId="20518" xr:uid="{00000000-0005-0000-0000-0000E6520000}"/>
    <cellStyle name="40% - Accent5 2 5 3 5 2 2 2" xfId="39918" xr:uid="{00000000-0005-0000-0000-0000E7520000}"/>
    <cellStyle name="40% - Accent5 2 5 3 5 2 3" xfId="30220" xr:uid="{00000000-0005-0000-0000-0000E8520000}"/>
    <cellStyle name="40% - Accent5 2 5 3 5 3" xfId="16063" xr:uid="{00000000-0005-0000-0000-0000E9520000}"/>
    <cellStyle name="40% - Accent5 2 5 3 5 3 2" xfId="35463" xr:uid="{00000000-0005-0000-0000-0000EA520000}"/>
    <cellStyle name="40% - Accent5 2 5 3 5 4" xfId="25765" xr:uid="{00000000-0005-0000-0000-0000EB520000}"/>
    <cellStyle name="40% - Accent5 2 5 3 6" xfId="6624" xr:uid="{00000000-0005-0000-0000-0000EC520000}"/>
    <cellStyle name="40% - Accent5 2 5 3 6 2" xfId="11079" xr:uid="{00000000-0005-0000-0000-0000ED520000}"/>
    <cellStyle name="40% - Accent5 2 5 3 6 2 2" xfId="21075" xr:uid="{00000000-0005-0000-0000-0000EE520000}"/>
    <cellStyle name="40% - Accent5 2 5 3 6 2 2 2" xfId="40475" xr:uid="{00000000-0005-0000-0000-0000EF520000}"/>
    <cellStyle name="40% - Accent5 2 5 3 6 2 3" xfId="30777" xr:uid="{00000000-0005-0000-0000-0000F0520000}"/>
    <cellStyle name="40% - Accent5 2 5 3 6 3" xfId="16620" xr:uid="{00000000-0005-0000-0000-0000F1520000}"/>
    <cellStyle name="40% - Accent5 2 5 3 6 3 2" xfId="36020" xr:uid="{00000000-0005-0000-0000-0000F2520000}"/>
    <cellStyle name="40% - Accent5 2 5 3 6 4" xfId="26322" xr:uid="{00000000-0005-0000-0000-0000F3520000}"/>
    <cellStyle name="40% - Accent5 2 5 3 7" xfId="7181" xr:uid="{00000000-0005-0000-0000-0000F4520000}"/>
    <cellStyle name="40% - Accent5 2 5 3 7 2" xfId="17177" xr:uid="{00000000-0005-0000-0000-0000F5520000}"/>
    <cellStyle name="40% - Accent5 2 5 3 7 2 2" xfId="36577" xr:uid="{00000000-0005-0000-0000-0000F6520000}"/>
    <cellStyle name="40% - Accent5 2 5 3 7 3" xfId="26879" xr:uid="{00000000-0005-0000-0000-0000F7520000}"/>
    <cellStyle name="40% - Accent5 2 5 3 8" xfId="12721" xr:uid="{00000000-0005-0000-0000-0000F8520000}"/>
    <cellStyle name="40% - Accent5 2 5 3 8 2" xfId="32122" xr:uid="{00000000-0005-0000-0000-0000F9520000}"/>
    <cellStyle name="40% - Accent5 2 5 3 9" xfId="22424" xr:uid="{00000000-0005-0000-0000-0000FA520000}"/>
    <cellStyle name="40% - Accent5 2 5 4" xfId="2250" xr:uid="{00000000-0005-0000-0000-0000FB520000}"/>
    <cellStyle name="40% - Accent5 2 5 4 2" xfId="3233" xr:uid="{00000000-0005-0000-0000-0000FC520000}"/>
    <cellStyle name="40% - Accent5 2 5 4 2 2" xfId="5502" xr:uid="{00000000-0005-0000-0000-0000FD520000}"/>
    <cellStyle name="40% - Accent5 2 5 4 2 2 2" xfId="9966" xr:uid="{00000000-0005-0000-0000-0000FE520000}"/>
    <cellStyle name="40% - Accent5 2 5 4 2 2 2 2" xfId="19962" xr:uid="{00000000-0005-0000-0000-0000FF520000}"/>
    <cellStyle name="40% - Accent5 2 5 4 2 2 2 2 2" xfId="39362" xr:uid="{00000000-0005-0000-0000-000000530000}"/>
    <cellStyle name="40% - Accent5 2 5 4 2 2 2 3" xfId="29664" xr:uid="{00000000-0005-0000-0000-000001530000}"/>
    <cellStyle name="40% - Accent5 2 5 4 2 2 3" xfId="15507" xr:uid="{00000000-0005-0000-0000-000002530000}"/>
    <cellStyle name="40% - Accent5 2 5 4 2 2 3 2" xfId="34907" xr:uid="{00000000-0005-0000-0000-000003530000}"/>
    <cellStyle name="40% - Accent5 2 5 4 2 2 4" xfId="25209" xr:uid="{00000000-0005-0000-0000-000004530000}"/>
    <cellStyle name="40% - Accent5 2 5 4 2 3" xfId="7738" xr:uid="{00000000-0005-0000-0000-000005530000}"/>
    <cellStyle name="40% - Accent5 2 5 4 2 3 2" xfId="17734" xr:uid="{00000000-0005-0000-0000-000006530000}"/>
    <cellStyle name="40% - Accent5 2 5 4 2 3 2 2" xfId="37134" xr:uid="{00000000-0005-0000-0000-000007530000}"/>
    <cellStyle name="40% - Accent5 2 5 4 2 3 3" xfId="27436" xr:uid="{00000000-0005-0000-0000-000008530000}"/>
    <cellStyle name="40% - Accent5 2 5 4 2 4" xfId="13279" xr:uid="{00000000-0005-0000-0000-000009530000}"/>
    <cellStyle name="40% - Accent5 2 5 4 2 4 2" xfId="32679" xr:uid="{00000000-0005-0000-0000-00000A530000}"/>
    <cellStyle name="40% - Accent5 2 5 4 2 5" xfId="22981" xr:uid="{00000000-0005-0000-0000-00000B530000}"/>
    <cellStyle name="40% - Accent5 2 5 4 3" xfId="3816" xr:uid="{00000000-0005-0000-0000-00000C530000}"/>
    <cellStyle name="40% - Accent5 2 5 4 3 2" xfId="4946" xr:uid="{00000000-0005-0000-0000-00000D530000}"/>
    <cellStyle name="40% - Accent5 2 5 4 3 2 2" xfId="9410" xr:uid="{00000000-0005-0000-0000-00000E530000}"/>
    <cellStyle name="40% - Accent5 2 5 4 3 2 2 2" xfId="19406" xr:uid="{00000000-0005-0000-0000-00000F530000}"/>
    <cellStyle name="40% - Accent5 2 5 4 3 2 2 2 2" xfId="38806" xr:uid="{00000000-0005-0000-0000-000010530000}"/>
    <cellStyle name="40% - Accent5 2 5 4 3 2 2 3" xfId="29108" xr:uid="{00000000-0005-0000-0000-000011530000}"/>
    <cellStyle name="40% - Accent5 2 5 4 3 2 3" xfId="14951" xr:uid="{00000000-0005-0000-0000-000012530000}"/>
    <cellStyle name="40% - Accent5 2 5 4 3 2 3 2" xfId="34351" xr:uid="{00000000-0005-0000-0000-000013530000}"/>
    <cellStyle name="40% - Accent5 2 5 4 3 2 4" xfId="24653" xr:uid="{00000000-0005-0000-0000-000014530000}"/>
    <cellStyle name="40% - Accent5 2 5 4 3 3" xfId="8295" xr:uid="{00000000-0005-0000-0000-000015530000}"/>
    <cellStyle name="40% - Accent5 2 5 4 3 3 2" xfId="18291" xr:uid="{00000000-0005-0000-0000-000016530000}"/>
    <cellStyle name="40% - Accent5 2 5 4 3 3 2 2" xfId="37691" xr:uid="{00000000-0005-0000-0000-000017530000}"/>
    <cellStyle name="40% - Accent5 2 5 4 3 3 3" xfId="27993" xr:uid="{00000000-0005-0000-0000-000018530000}"/>
    <cellStyle name="40% - Accent5 2 5 4 3 4" xfId="13836" xr:uid="{00000000-0005-0000-0000-000019530000}"/>
    <cellStyle name="40% - Accent5 2 5 4 3 4 2" xfId="33236" xr:uid="{00000000-0005-0000-0000-00001A530000}"/>
    <cellStyle name="40% - Accent5 2 5 4 3 5" xfId="23538" xr:uid="{00000000-0005-0000-0000-00001B530000}"/>
    <cellStyle name="40% - Accent5 2 5 4 4" xfId="4389" xr:uid="{00000000-0005-0000-0000-00001C530000}"/>
    <cellStyle name="40% - Accent5 2 5 4 4 2" xfId="8853" xr:uid="{00000000-0005-0000-0000-00001D530000}"/>
    <cellStyle name="40% - Accent5 2 5 4 4 2 2" xfId="18849" xr:uid="{00000000-0005-0000-0000-00001E530000}"/>
    <cellStyle name="40% - Accent5 2 5 4 4 2 2 2" xfId="38249" xr:uid="{00000000-0005-0000-0000-00001F530000}"/>
    <cellStyle name="40% - Accent5 2 5 4 4 2 3" xfId="28551" xr:uid="{00000000-0005-0000-0000-000020530000}"/>
    <cellStyle name="40% - Accent5 2 5 4 4 3" xfId="14394" xr:uid="{00000000-0005-0000-0000-000021530000}"/>
    <cellStyle name="40% - Accent5 2 5 4 4 3 2" xfId="33794" xr:uid="{00000000-0005-0000-0000-000022530000}"/>
    <cellStyle name="40% - Accent5 2 5 4 4 4" xfId="24096" xr:uid="{00000000-0005-0000-0000-000023530000}"/>
    <cellStyle name="40% - Accent5 2 5 4 5" xfId="6059" xr:uid="{00000000-0005-0000-0000-000024530000}"/>
    <cellStyle name="40% - Accent5 2 5 4 5 2" xfId="10523" xr:uid="{00000000-0005-0000-0000-000025530000}"/>
    <cellStyle name="40% - Accent5 2 5 4 5 2 2" xfId="20519" xr:uid="{00000000-0005-0000-0000-000026530000}"/>
    <cellStyle name="40% - Accent5 2 5 4 5 2 2 2" xfId="39919" xr:uid="{00000000-0005-0000-0000-000027530000}"/>
    <cellStyle name="40% - Accent5 2 5 4 5 2 3" xfId="30221" xr:uid="{00000000-0005-0000-0000-000028530000}"/>
    <cellStyle name="40% - Accent5 2 5 4 5 3" xfId="16064" xr:uid="{00000000-0005-0000-0000-000029530000}"/>
    <cellStyle name="40% - Accent5 2 5 4 5 3 2" xfId="35464" xr:uid="{00000000-0005-0000-0000-00002A530000}"/>
    <cellStyle name="40% - Accent5 2 5 4 5 4" xfId="25766" xr:uid="{00000000-0005-0000-0000-00002B530000}"/>
    <cellStyle name="40% - Accent5 2 5 4 6" xfId="6625" xr:uid="{00000000-0005-0000-0000-00002C530000}"/>
    <cellStyle name="40% - Accent5 2 5 4 6 2" xfId="11080" xr:uid="{00000000-0005-0000-0000-00002D530000}"/>
    <cellStyle name="40% - Accent5 2 5 4 6 2 2" xfId="21076" xr:uid="{00000000-0005-0000-0000-00002E530000}"/>
    <cellStyle name="40% - Accent5 2 5 4 6 2 2 2" xfId="40476" xr:uid="{00000000-0005-0000-0000-00002F530000}"/>
    <cellStyle name="40% - Accent5 2 5 4 6 2 3" xfId="30778" xr:uid="{00000000-0005-0000-0000-000030530000}"/>
    <cellStyle name="40% - Accent5 2 5 4 6 3" xfId="16621" xr:uid="{00000000-0005-0000-0000-000031530000}"/>
    <cellStyle name="40% - Accent5 2 5 4 6 3 2" xfId="36021" xr:uid="{00000000-0005-0000-0000-000032530000}"/>
    <cellStyle name="40% - Accent5 2 5 4 6 4" xfId="26323" xr:uid="{00000000-0005-0000-0000-000033530000}"/>
    <cellStyle name="40% - Accent5 2 5 4 7" xfId="7182" xr:uid="{00000000-0005-0000-0000-000034530000}"/>
    <cellStyle name="40% - Accent5 2 5 4 7 2" xfId="17178" xr:uid="{00000000-0005-0000-0000-000035530000}"/>
    <cellStyle name="40% - Accent5 2 5 4 7 2 2" xfId="36578" xr:uid="{00000000-0005-0000-0000-000036530000}"/>
    <cellStyle name="40% - Accent5 2 5 4 7 3" xfId="26880" xr:uid="{00000000-0005-0000-0000-000037530000}"/>
    <cellStyle name="40% - Accent5 2 5 4 8" xfId="12722" xr:uid="{00000000-0005-0000-0000-000038530000}"/>
    <cellStyle name="40% - Accent5 2 5 4 8 2" xfId="32123" xr:uid="{00000000-0005-0000-0000-000039530000}"/>
    <cellStyle name="40% - Accent5 2 5 4 9" xfId="22425" xr:uid="{00000000-0005-0000-0000-00003A530000}"/>
    <cellStyle name="40% - Accent5 2 6" xfId="1306" xr:uid="{00000000-0005-0000-0000-00003B530000}"/>
    <cellStyle name="40% - Accent5 2 6 2" xfId="2251" xr:uid="{00000000-0005-0000-0000-00003C530000}"/>
    <cellStyle name="40% - Accent5 2 6 2 2" xfId="3234" xr:uid="{00000000-0005-0000-0000-00003D530000}"/>
    <cellStyle name="40% - Accent5 2 6 2 2 2" xfId="5503" xr:uid="{00000000-0005-0000-0000-00003E530000}"/>
    <cellStyle name="40% - Accent5 2 6 2 2 2 2" xfId="9967" xr:uid="{00000000-0005-0000-0000-00003F530000}"/>
    <cellStyle name="40% - Accent5 2 6 2 2 2 2 2" xfId="19963" xr:uid="{00000000-0005-0000-0000-000040530000}"/>
    <cellStyle name="40% - Accent5 2 6 2 2 2 2 2 2" xfId="39363" xr:uid="{00000000-0005-0000-0000-000041530000}"/>
    <cellStyle name="40% - Accent5 2 6 2 2 2 2 3" xfId="29665" xr:uid="{00000000-0005-0000-0000-000042530000}"/>
    <cellStyle name="40% - Accent5 2 6 2 2 2 3" xfId="15508" xr:uid="{00000000-0005-0000-0000-000043530000}"/>
    <cellStyle name="40% - Accent5 2 6 2 2 2 3 2" xfId="34908" xr:uid="{00000000-0005-0000-0000-000044530000}"/>
    <cellStyle name="40% - Accent5 2 6 2 2 2 4" xfId="25210" xr:uid="{00000000-0005-0000-0000-000045530000}"/>
    <cellStyle name="40% - Accent5 2 6 2 2 3" xfId="7739" xr:uid="{00000000-0005-0000-0000-000046530000}"/>
    <cellStyle name="40% - Accent5 2 6 2 2 3 2" xfId="17735" xr:uid="{00000000-0005-0000-0000-000047530000}"/>
    <cellStyle name="40% - Accent5 2 6 2 2 3 2 2" xfId="37135" xr:uid="{00000000-0005-0000-0000-000048530000}"/>
    <cellStyle name="40% - Accent5 2 6 2 2 3 3" xfId="27437" xr:uid="{00000000-0005-0000-0000-000049530000}"/>
    <cellStyle name="40% - Accent5 2 6 2 2 4" xfId="13280" xr:uid="{00000000-0005-0000-0000-00004A530000}"/>
    <cellStyle name="40% - Accent5 2 6 2 2 4 2" xfId="32680" xr:uid="{00000000-0005-0000-0000-00004B530000}"/>
    <cellStyle name="40% - Accent5 2 6 2 2 5" xfId="22982" xr:uid="{00000000-0005-0000-0000-00004C530000}"/>
    <cellStyle name="40% - Accent5 2 6 2 3" xfId="3817" xr:uid="{00000000-0005-0000-0000-00004D530000}"/>
    <cellStyle name="40% - Accent5 2 6 2 3 2" xfId="4947" xr:uid="{00000000-0005-0000-0000-00004E530000}"/>
    <cellStyle name="40% - Accent5 2 6 2 3 2 2" xfId="9411" xr:uid="{00000000-0005-0000-0000-00004F530000}"/>
    <cellStyle name="40% - Accent5 2 6 2 3 2 2 2" xfId="19407" xr:uid="{00000000-0005-0000-0000-000050530000}"/>
    <cellStyle name="40% - Accent5 2 6 2 3 2 2 2 2" xfId="38807" xr:uid="{00000000-0005-0000-0000-000051530000}"/>
    <cellStyle name="40% - Accent5 2 6 2 3 2 2 3" xfId="29109" xr:uid="{00000000-0005-0000-0000-000052530000}"/>
    <cellStyle name="40% - Accent5 2 6 2 3 2 3" xfId="14952" xr:uid="{00000000-0005-0000-0000-000053530000}"/>
    <cellStyle name="40% - Accent5 2 6 2 3 2 3 2" xfId="34352" xr:uid="{00000000-0005-0000-0000-000054530000}"/>
    <cellStyle name="40% - Accent5 2 6 2 3 2 4" xfId="24654" xr:uid="{00000000-0005-0000-0000-000055530000}"/>
    <cellStyle name="40% - Accent5 2 6 2 3 3" xfId="8296" xr:uid="{00000000-0005-0000-0000-000056530000}"/>
    <cellStyle name="40% - Accent5 2 6 2 3 3 2" xfId="18292" xr:uid="{00000000-0005-0000-0000-000057530000}"/>
    <cellStyle name="40% - Accent5 2 6 2 3 3 2 2" xfId="37692" xr:uid="{00000000-0005-0000-0000-000058530000}"/>
    <cellStyle name="40% - Accent5 2 6 2 3 3 3" xfId="27994" xr:uid="{00000000-0005-0000-0000-000059530000}"/>
    <cellStyle name="40% - Accent5 2 6 2 3 4" xfId="13837" xr:uid="{00000000-0005-0000-0000-00005A530000}"/>
    <cellStyle name="40% - Accent5 2 6 2 3 4 2" xfId="33237" xr:uid="{00000000-0005-0000-0000-00005B530000}"/>
    <cellStyle name="40% - Accent5 2 6 2 3 5" xfId="23539" xr:uid="{00000000-0005-0000-0000-00005C530000}"/>
    <cellStyle name="40% - Accent5 2 6 2 4" xfId="4390" xr:uid="{00000000-0005-0000-0000-00005D530000}"/>
    <cellStyle name="40% - Accent5 2 6 2 4 2" xfId="8854" xr:uid="{00000000-0005-0000-0000-00005E530000}"/>
    <cellStyle name="40% - Accent5 2 6 2 4 2 2" xfId="18850" xr:uid="{00000000-0005-0000-0000-00005F530000}"/>
    <cellStyle name="40% - Accent5 2 6 2 4 2 2 2" xfId="38250" xr:uid="{00000000-0005-0000-0000-000060530000}"/>
    <cellStyle name="40% - Accent5 2 6 2 4 2 3" xfId="28552" xr:uid="{00000000-0005-0000-0000-000061530000}"/>
    <cellStyle name="40% - Accent5 2 6 2 4 3" xfId="14395" xr:uid="{00000000-0005-0000-0000-000062530000}"/>
    <cellStyle name="40% - Accent5 2 6 2 4 3 2" xfId="33795" xr:uid="{00000000-0005-0000-0000-000063530000}"/>
    <cellStyle name="40% - Accent5 2 6 2 4 4" xfId="24097" xr:uid="{00000000-0005-0000-0000-000064530000}"/>
    <cellStyle name="40% - Accent5 2 6 2 5" xfId="6060" xr:uid="{00000000-0005-0000-0000-000065530000}"/>
    <cellStyle name="40% - Accent5 2 6 2 5 2" xfId="10524" xr:uid="{00000000-0005-0000-0000-000066530000}"/>
    <cellStyle name="40% - Accent5 2 6 2 5 2 2" xfId="20520" xr:uid="{00000000-0005-0000-0000-000067530000}"/>
    <cellStyle name="40% - Accent5 2 6 2 5 2 2 2" xfId="39920" xr:uid="{00000000-0005-0000-0000-000068530000}"/>
    <cellStyle name="40% - Accent5 2 6 2 5 2 3" xfId="30222" xr:uid="{00000000-0005-0000-0000-000069530000}"/>
    <cellStyle name="40% - Accent5 2 6 2 5 3" xfId="16065" xr:uid="{00000000-0005-0000-0000-00006A530000}"/>
    <cellStyle name="40% - Accent5 2 6 2 5 3 2" xfId="35465" xr:uid="{00000000-0005-0000-0000-00006B530000}"/>
    <cellStyle name="40% - Accent5 2 6 2 5 4" xfId="25767" xr:uid="{00000000-0005-0000-0000-00006C530000}"/>
    <cellStyle name="40% - Accent5 2 6 2 6" xfId="6626" xr:uid="{00000000-0005-0000-0000-00006D530000}"/>
    <cellStyle name="40% - Accent5 2 6 2 6 2" xfId="11081" xr:uid="{00000000-0005-0000-0000-00006E530000}"/>
    <cellStyle name="40% - Accent5 2 6 2 6 2 2" xfId="21077" xr:uid="{00000000-0005-0000-0000-00006F530000}"/>
    <cellStyle name="40% - Accent5 2 6 2 6 2 2 2" xfId="40477" xr:uid="{00000000-0005-0000-0000-000070530000}"/>
    <cellStyle name="40% - Accent5 2 6 2 6 2 3" xfId="30779" xr:uid="{00000000-0005-0000-0000-000071530000}"/>
    <cellStyle name="40% - Accent5 2 6 2 6 3" xfId="16622" xr:uid="{00000000-0005-0000-0000-000072530000}"/>
    <cellStyle name="40% - Accent5 2 6 2 6 3 2" xfId="36022" xr:uid="{00000000-0005-0000-0000-000073530000}"/>
    <cellStyle name="40% - Accent5 2 6 2 6 4" xfId="26324" xr:uid="{00000000-0005-0000-0000-000074530000}"/>
    <cellStyle name="40% - Accent5 2 6 2 7" xfId="7183" xr:uid="{00000000-0005-0000-0000-000075530000}"/>
    <cellStyle name="40% - Accent5 2 6 2 7 2" xfId="17179" xr:uid="{00000000-0005-0000-0000-000076530000}"/>
    <cellStyle name="40% - Accent5 2 6 2 7 2 2" xfId="36579" xr:uid="{00000000-0005-0000-0000-000077530000}"/>
    <cellStyle name="40% - Accent5 2 6 2 7 3" xfId="26881" xr:uid="{00000000-0005-0000-0000-000078530000}"/>
    <cellStyle name="40% - Accent5 2 6 2 8" xfId="12723" xr:uid="{00000000-0005-0000-0000-000079530000}"/>
    <cellStyle name="40% - Accent5 2 6 2 8 2" xfId="32124" xr:uid="{00000000-0005-0000-0000-00007A530000}"/>
    <cellStyle name="40% - Accent5 2 6 2 9" xfId="22426" xr:uid="{00000000-0005-0000-0000-00007B530000}"/>
    <cellStyle name="40% - Accent5 2 6 3" xfId="2252" xr:uid="{00000000-0005-0000-0000-00007C530000}"/>
    <cellStyle name="40% - Accent5 2 6 3 2" xfId="3235" xr:uid="{00000000-0005-0000-0000-00007D530000}"/>
    <cellStyle name="40% - Accent5 2 6 3 2 2" xfId="5504" xr:uid="{00000000-0005-0000-0000-00007E530000}"/>
    <cellStyle name="40% - Accent5 2 6 3 2 2 2" xfId="9968" xr:uid="{00000000-0005-0000-0000-00007F530000}"/>
    <cellStyle name="40% - Accent5 2 6 3 2 2 2 2" xfId="19964" xr:uid="{00000000-0005-0000-0000-000080530000}"/>
    <cellStyle name="40% - Accent5 2 6 3 2 2 2 2 2" xfId="39364" xr:uid="{00000000-0005-0000-0000-000081530000}"/>
    <cellStyle name="40% - Accent5 2 6 3 2 2 2 3" xfId="29666" xr:uid="{00000000-0005-0000-0000-000082530000}"/>
    <cellStyle name="40% - Accent5 2 6 3 2 2 3" xfId="15509" xr:uid="{00000000-0005-0000-0000-000083530000}"/>
    <cellStyle name="40% - Accent5 2 6 3 2 2 3 2" xfId="34909" xr:uid="{00000000-0005-0000-0000-000084530000}"/>
    <cellStyle name="40% - Accent5 2 6 3 2 2 4" xfId="25211" xr:uid="{00000000-0005-0000-0000-000085530000}"/>
    <cellStyle name="40% - Accent5 2 6 3 2 3" xfId="7740" xr:uid="{00000000-0005-0000-0000-000086530000}"/>
    <cellStyle name="40% - Accent5 2 6 3 2 3 2" xfId="17736" xr:uid="{00000000-0005-0000-0000-000087530000}"/>
    <cellStyle name="40% - Accent5 2 6 3 2 3 2 2" xfId="37136" xr:uid="{00000000-0005-0000-0000-000088530000}"/>
    <cellStyle name="40% - Accent5 2 6 3 2 3 3" xfId="27438" xr:uid="{00000000-0005-0000-0000-000089530000}"/>
    <cellStyle name="40% - Accent5 2 6 3 2 4" xfId="13281" xr:uid="{00000000-0005-0000-0000-00008A530000}"/>
    <cellStyle name="40% - Accent5 2 6 3 2 4 2" xfId="32681" xr:uid="{00000000-0005-0000-0000-00008B530000}"/>
    <cellStyle name="40% - Accent5 2 6 3 2 5" xfId="22983" xr:uid="{00000000-0005-0000-0000-00008C530000}"/>
    <cellStyle name="40% - Accent5 2 6 3 3" xfId="3818" xr:uid="{00000000-0005-0000-0000-00008D530000}"/>
    <cellStyle name="40% - Accent5 2 6 3 3 2" xfId="4948" xr:uid="{00000000-0005-0000-0000-00008E530000}"/>
    <cellStyle name="40% - Accent5 2 6 3 3 2 2" xfId="9412" xr:uid="{00000000-0005-0000-0000-00008F530000}"/>
    <cellStyle name="40% - Accent5 2 6 3 3 2 2 2" xfId="19408" xr:uid="{00000000-0005-0000-0000-000090530000}"/>
    <cellStyle name="40% - Accent5 2 6 3 3 2 2 2 2" xfId="38808" xr:uid="{00000000-0005-0000-0000-000091530000}"/>
    <cellStyle name="40% - Accent5 2 6 3 3 2 2 3" xfId="29110" xr:uid="{00000000-0005-0000-0000-000092530000}"/>
    <cellStyle name="40% - Accent5 2 6 3 3 2 3" xfId="14953" xr:uid="{00000000-0005-0000-0000-000093530000}"/>
    <cellStyle name="40% - Accent5 2 6 3 3 2 3 2" xfId="34353" xr:uid="{00000000-0005-0000-0000-000094530000}"/>
    <cellStyle name="40% - Accent5 2 6 3 3 2 4" xfId="24655" xr:uid="{00000000-0005-0000-0000-000095530000}"/>
    <cellStyle name="40% - Accent5 2 6 3 3 3" xfId="8297" xr:uid="{00000000-0005-0000-0000-000096530000}"/>
    <cellStyle name="40% - Accent5 2 6 3 3 3 2" xfId="18293" xr:uid="{00000000-0005-0000-0000-000097530000}"/>
    <cellStyle name="40% - Accent5 2 6 3 3 3 2 2" xfId="37693" xr:uid="{00000000-0005-0000-0000-000098530000}"/>
    <cellStyle name="40% - Accent5 2 6 3 3 3 3" xfId="27995" xr:uid="{00000000-0005-0000-0000-000099530000}"/>
    <cellStyle name="40% - Accent5 2 6 3 3 4" xfId="13838" xr:uid="{00000000-0005-0000-0000-00009A530000}"/>
    <cellStyle name="40% - Accent5 2 6 3 3 4 2" xfId="33238" xr:uid="{00000000-0005-0000-0000-00009B530000}"/>
    <cellStyle name="40% - Accent5 2 6 3 3 5" xfId="23540" xr:uid="{00000000-0005-0000-0000-00009C530000}"/>
    <cellStyle name="40% - Accent5 2 6 3 4" xfId="4391" xr:uid="{00000000-0005-0000-0000-00009D530000}"/>
    <cellStyle name="40% - Accent5 2 6 3 4 2" xfId="8855" xr:uid="{00000000-0005-0000-0000-00009E530000}"/>
    <cellStyle name="40% - Accent5 2 6 3 4 2 2" xfId="18851" xr:uid="{00000000-0005-0000-0000-00009F530000}"/>
    <cellStyle name="40% - Accent5 2 6 3 4 2 2 2" xfId="38251" xr:uid="{00000000-0005-0000-0000-0000A0530000}"/>
    <cellStyle name="40% - Accent5 2 6 3 4 2 3" xfId="28553" xr:uid="{00000000-0005-0000-0000-0000A1530000}"/>
    <cellStyle name="40% - Accent5 2 6 3 4 3" xfId="14396" xr:uid="{00000000-0005-0000-0000-0000A2530000}"/>
    <cellStyle name="40% - Accent5 2 6 3 4 3 2" xfId="33796" xr:uid="{00000000-0005-0000-0000-0000A3530000}"/>
    <cellStyle name="40% - Accent5 2 6 3 4 4" xfId="24098" xr:uid="{00000000-0005-0000-0000-0000A4530000}"/>
    <cellStyle name="40% - Accent5 2 6 3 5" xfId="6061" xr:uid="{00000000-0005-0000-0000-0000A5530000}"/>
    <cellStyle name="40% - Accent5 2 6 3 5 2" xfId="10525" xr:uid="{00000000-0005-0000-0000-0000A6530000}"/>
    <cellStyle name="40% - Accent5 2 6 3 5 2 2" xfId="20521" xr:uid="{00000000-0005-0000-0000-0000A7530000}"/>
    <cellStyle name="40% - Accent5 2 6 3 5 2 2 2" xfId="39921" xr:uid="{00000000-0005-0000-0000-0000A8530000}"/>
    <cellStyle name="40% - Accent5 2 6 3 5 2 3" xfId="30223" xr:uid="{00000000-0005-0000-0000-0000A9530000}"/>
    <cellStyle name="40% - Accent5 2 6 3 5 3" xfId="16066" xr:uid="{00000000-0005-0000-0000-0000AA530000}"/>
    <cellStyle name="40% - Accent5 2 6 3 5 3 2" xfId="35466" xr:uid="{00000000-0005-0000-0000-0000AB530000}"/>
    <cellStyle name="40% - Accent5 2 6 3 5 4" xfId="25768" xr:uid="{00000000-0005-0000-0000-0000AC530000}"/>
    <cellStyle name="40% - Accent5 2 6 3 6" xfId="6627" xr:uid="{00000000-0005-0000-0000-0000AD530000}"/>
    <cellStyle name="40% - Accent5 2 6 3 6 2" xfId="11082" xr:uid="{00000000-0005-0000-0000-0000AE530000}"/>
    <cellStyle name="40% - Accent5 2 6 3 6 2 2" xfId="21078" xr:uid="{00000000-0005-0000-0000-0000AF530000}"/>
    <cellStyle name="40% - Accent5 2 6 3 6 2 2 2" xfId="40478" xr:uid="{00000000-0005-0000-0000-0000B0530000}"/>
    <cellStyle name="40% - Accent5 2 6 3 6 2 3" xfId="30780" xr:uid="{00000000-0005-0000-0000-0000B1530000}"/>
    <cellStyle name="40% - Accent5 2 6 3 6 3" xfId="16623" xr:uid="{00000000-0005-0000-0000-0000B2530000}"/>
    <cellStyle name="40% - Accent5 2 6 3 6 3 2" xfId="36023" xr:uid="{00000000-0005-0000-0000-0000B3530000}"/>
    <cellStyle name="40% - Accent5 2 6 3 6 4" xfId="26325" xr:uid="{00000000-0005-0000-0000-0000B4530000}"/>
    <cellStyle name="40% - Accent5 2 6 3 7" xfId="7184" xr:uid="{00000000-0005-0000-0000-0000B5530000}"/>
    <cellStyle name="40% - Accent5 2 6 3 7 2" xfId="17180" xr:uid="{00000000-0005-0000-0000-0000B6530000}"/>
    <cellStyle name="40% - Accent5 2 6 3 7 2 2" xfId="36580" xr:uid="{00000000-0005-0000-0000-0000B7530000}"/>
    <cellStyle name="40% - Accent5 2 6 3 7 3" xfId="26882" xr:uid="{00000000-0005-0000-0000-0000B8530000}"/>
    <cellStyle name="40% - Accent5 2 6 3 8" xfId="12724" xr:uid="{00000000-0005-0000-0000-0000B9530000}"/>
    <cellStyle name="40% - Accent5 2 6 3 8 2" xfId="32125" xr:uid="{00000000-0005-0000-0000-0000BA530000}"/>
    <cellStyle name="40% - Accent5 2 6 3 9" xfId="22427" xr:uid="{00000000-0005-0000-0000-0000BB530000}"/>
    <cellStyle name="40% - Accent5 2 7" xfId="1738" xr:uid="{00000000-0005-0000-0000-0000BC530000}"/>
    <cellStyle name="40% - Accent5 2 7 2" xfId="2902" xr:uid="{00000000-0005-0000-0000-0000BD530000}"/>
    <cellStyle name="40% - Accent5 2 7 2 2" xfId="5171" xr:uid="{00000000-0005-0000-0000-0000BE530000}"/>
    <cellStyle name="40% - Accent5 2 7 2 2 2" xfId="9635" xr:uid="{00000000-0005-0000-0000-0000BF530000}"/>
    <cellStyle name="40% - Accent5 2 7 2 2 2 2" xfId="19631" xr:uid="{00000000-0005-0000-0000-0000C0530000}"/>
    <cellStyle name="40% - Accent5 2 7 2 2 2 2 2" xfId="39031" xr:uid="{00000000-0005-0000-0000-0000C1530000}"/>
    <cellStyle name="40% - Accent5 2 7 2 2 2 3" xfId="29333" xr:uid="{00000000-0005-0000-0000-0000C2530000}"/>
    <cellStyle name="40% - Accent5 2 7 2 2 3" xfId="15176" xr:uid="{00000000-0005-0000-0000-0000C3530000}"/>
    <cellStyle name="40% - Accent5 2 7 2 2 3 2" xfId="34576" xr:uid="{00000000-0005-0000-0000-0000C4530000}"/>
    <cellStyle name="40% - Accent5 2 7 2 2 4" xfId="24878" xr:uid="{00000000-0005-0000-0000-0000C5530000}"/>
    <cellStyle name="40% - Accent5 2 7 2 3" xfId="7407" xr:uid="{00000000-0005-0000-0000-0000C6530000}"/>
    <cellStyle name="40% - Accent5 2 7 2 3 2" xfId="17403" xr:uid="{00000000-0005-0000-0000-0000C7530000}"/>
    <cellStyle name="40% - Accent5 2 7 2 3 2 2" xfId="36803" xr:uid="{00000000-0005-0000-0000-0000C8530000}"/>
    <cellStyle name="40% - Accent5 2 7 2 3 3" xfId="27105" xr:uid="{00000000-0005-0000-0000-0000C9530000}"/>
    <cellStyle name="40% - Accent5 2 7 2 4" xfId="12948" xr:uid="{00000000-0005-0000-0000-0000CA530000}"/>
    <cellStyle name="40% - Accent5 2 7 2 4 2" xfId="32348" xr:uid="{00000000-0005-0000-0000-0000CB530000}"/>
    <cellStyle name="40% - Accent5 2 7 2 5" xfId="22650" xr:uid="{00000000-0005-0000-0000-0000CC530000}"/>
    <cellStyle name="40% - Accent5 2 7 3" xfId="3485" xr:uid="{00000000-0005-0000-0000-0000CD530000}"/>
    <cellStyle name="40% - Accent5 2 7 3 2" xfId="4615" xr:uid="{00000000-0005-0000-0000-0000CE530000}"/>
    <cellStyle name="40% - Accent5 2 7 3 2 2" xfId="9079" xr:uid="{00000000-0005-0000-0000-0000CF530000}"/>
    <cellStyle name="40% - Accent5 2 7 3 2 2 2" xfId="19075" xr:uid="{00000000-0005-0000-0000-0000D0530000}"/>
    <cellStyle name="40% - Accent5 2 7 3 2 2 2 2" xfId="38475" xr:uid="{00000000-0005-0000-0000-0000D1530000}"/>
    <cellStyle name="40% - Accent5 2 7 3 2 2 3" xfId="28777" xr:uid="{00000000-0005-0000-0000-0000D2530000}"/>
    <cellStyle name="40% - Accent5 2 7 3 2 3" xfId="14620" xr:uid="{00000000-0005-0000-0000-0000D3530000}"/>
    <cellStyle name="40% - Accent5 2 7 3 2 3 2" xfId="34020" xr:uid="{00000000-0005-0000-0000-0000D4530000}"/>
    <cellStyle name="40% - Accent5 2 7 3 2 4" xfId="24322" xr:uid="{00000000-0005-0000-0000-0000D5530000}"/>
    <cellStyle name="40% - Accent5 2 7 3 3" xfId="7964" xr:uid="{00000000-0005-0000-0000-0000D6530000}"/>
    <cellStyle name="40% - Accent5 2 7 3 3 2" xfId="17960" xr:uid="{00000000-0005-0000-0000-0000D7530000}"/>
    <cellStyle name="40% - Accent5 2 7 3 3 2 2" xfId="37360" xr:uid="{00000000-0005-0000-0000-0000D8530000}"/>
    <cellStyle name="40% - Accent5 2 7 3 3 3" xfId="27662" xr:uid="{00000000-0005-0000-0000-0000D9530000}"/>
    <cellStyle name="40% - Accent5 2 7 3 4" xfId="13505" xr:uid="{00000000-0005-0000-0000-0000DA530000}"/>
    <cellStyle name="40% - Accent5 2 7 3 4 2" xfId="32905" xr:uid="{00000000-0005-0000-0000-0000DB530000}"/>
    <cellStyle name="40% - Accent5 2 7 3 5" xfId="23207" xr:uid="{00000000-0005-0000-0000-0000DC530000}"/>
    <cellStyle name="40% - Accent5 2 7 4" xfId="4058" xr:uid="{00000000-0005-0000-0000-0000DD530000}"/>
    <cellStyle name="40% - Accent5 2 7 4 2" xfId="8522" xr:uid="{00000000-0005-0000-0000-0000DE530000}"/>
    <cellStyle name="40% - Accent5 2 7 4 2 2" xfId="18518" xr:uid="{00000000-0005-0000-0000-0000DF530000}"/>
    <cellStyle name="40% - Accent5 2 7 4 2 2 2" xfId="37918" xr:uid="{00000000-0005-0000-0000-0000E0530000}"/>
    <cellStyle name="40% - Accent5 2 7 4 2 3" xfId="28220" xr:uid="{00000000-0005-0000-0000-0000E1530000}"/>
    <cellStyle name="40% - Accent5 2 7 4 3" xfId="14063" xr:uid="{00000000-0005-0000-0000-0000E2530000}"/>
    <cellStyle name="40% - Accent5 2 7 4 3 2" xfId="33463" xr:uid="{00000000-0005-0000-0000-0000E3530000}"/>
    <cellStyle name="40% - Accent5 2 7 4 4" xfId="23765" xr:uid="{00000000-0005-0000-0000-0000E4530000}"/>
    <cellStyle name="40% - Accent5 2 7 5" xfId="5728" xr:uid="{00000000-0005-0000-0000-0000E5530000}"/>
    <cellStyle name="40% - Accent5 2 7 5 2" xfId="10192" xr:uid="{00000000-0005-0000-0000-0000E6530000}"/>
    <cellStyle name="40% - Accent5 2 7 5 2 2" xfId="20188" xr:uid="{00000000-0005-0000-0000-0000E7530000}"/>
    <cellStyle name="40% - Accent5 2 7 5 2 2 2" xfId="39588" xr:uid="{00000000-0005-0000-0000-0000E8530000}"/>
    <cellStyle name="40% - Accent5 2 7 5 2 3" xfId="29890" xr:uid="{00000000-0005-0000-0000-0000E9530000}"/>
    <cellStyle name="40% - Accent5 2 7 5 3" xfId="15733" xr:uid="{00000000-0005-0000-0000-0000EA530000}"/>
    <cellStyle name="40% - Accent5 2 7 5 3 2" xfId="35133" xr:uid="{00000000-0005-0000-0000-0000EB530000}"/>
    <cellStyle name="40% - Accent5 2 7 5 4" xfId="25435" xr:uid="{00000000-0005-0000-0000-0000EC530000}"/>
    <cellStyle name="40% - Accent5 2 7 6" xfId="6294" xr:uid="{00000000-0005-0000-0000-0000ED530000}"/>
    <cellStyle name="40% - Accent5 2 7 6 2" xfId="10749" xr:uid="{00000000-0005-0000-0000-0000EE530000}"/>
    <cellStyle name="40% - Accent5 2 7 6 2 2" xfId="20745" xr:uid="{00000000-0005-0000-0000-0000EF530000}"/>
    <cellStyle name="40% - Accent5 2 7 6 2 2 2" xfId="40145" xr:uid="{00000000-0005-0000-0000-0000F0530000}"/>
    <cellStyle name="40% - Accent5 2 7 6 2 3" xfId="30447" xr:uid="{00000000-0005-0000-0000-0000F1530000}"/>
    <cellStyle name="40% - Accent5 2 7 6 3" xfId="16290" xr:uid="{00000000-0005-0000-0000-0000F2530000}"/>
    <cellStyle name="40% - Accent5 2 7 6 3 2" xfId="35690" xr:uid="{00000000-0005-0000-0000-0000F3530000}"/>
    <cellStyle name="40% - Accent5 2 7 6 4" xfId="25992" xr:uid="{00000000-0005-0000-0000-0000F4530000}"/>
    <cellStyle name="40% - Accent5 2 7 7" xfId="6851" xr:uid="{00000000-0005-0000-0000-0000F5530000}"/>
    <cellStyle name="40% - Accent5 2 7 7 2" xfId="16847" xr:uid="{00000000-0005-0000-0000-0000F6530000}"/>
    <cellStyle name="40% - Accent5 2 7 7 2 2" xfId="36247" xr:uid="{00000000-0005-0000-0000-0000F7530000}"/>
    <cellStyle name="40% - Accent5 2 7 7 3" xfId="26549" xr:uid="{00000000-0005-0000-0000-0000F8530000}"/>
    <cellStyle name="40% - Accent5 2 7 8" xfId="12391" xr:uid="{00000000-0005-0000-0000-0000F9530000}"/>
    <cellStyle name="40% - Accent5 2 7 8 2" xfId="31792" xr:uid="{00000000-0005-0000-0000-0000FA530000}"/>
    <cellStyle name="40% - Accent5 2 7 9" xfId="22094" xr:uid="{00000000-0005-0000-0000-0000FB530000}"/>
    <cellStyle name="40% - Accent5 2 8" xfId="1844" xr:uid="{00000000-0005-0000-0000-0000FC530000}"/>
    <cellStyle name="40% - Accent5 2 8 2" xfId="2917" xr:uid="{00000000-0005-0000-0000-0000FD530000}"/>
    <cellStyle name="40% - Accent5 2 8 2 2" xfId="5186" xr:uid="{00000000-0005-0000-0000-0000FE530000}"/>
    <cellStyle name="40% - Accent5 2 8 2 2 2" xfId="9650" xr:uid="{00000000-0005-0000-0000-0000FF530000}"/>
    <cellStyle name="40% - Accent5 2 8 2 2 2 2" xfId="19646" xr:uid="{00000000-0005-0000-0000-000000540000}"/>
    <cellStyle name="40% - Accent5 2 8 2 2 2 2 2" xfId="39046" xr:uid="{00000000-0005-0000-0000-000001540000}"/>
    <cellStyle name="40% - Accent5 2 8 2 2 2 3" xfId="29348" xr:uid="{00000000-0005-0000-0000-000002540000}"/>
    <cellStyle name="40% - Accent5 2 8 2 2 3" xfId="15191" xr:uid="{00000000-0005-0000-0000-000003540000}"/>
    <cellStyle name="40% - Accent5 2 8 2 2 3 2" xfId="34591" xr:uid="{00000000-0005-0000-0000-000004540000}"/>
    <cellStyle name="40% - Accent5 2 8 2 2 4" xfId="24893" xr:uid="{00000000-0005-0000-0000-000005540000}"/>
    <cellStyle name="40% - Accent5 2 8 2 3" xfId="7422" xr:uid="{00000000-0005-0000-0000-000006540000}"/>
    <cellStyle name="40% - Accent5 2 8 2 3 2" xfId="17418" xr:uid="{00000000-0005-0000-0000-000007540000}"/>
    <cellStyle name="40% - Accent5 2 8 2 3 2 2" xfId="36818" xr:uid="{00000000-0005-0000-0000-000008540000}"/>
    <cellStyle name="40% - Accent5 2 8 2 3 3" xfId="27120" xr:uid="{00000000-0005-0000-0000-000009540000}"/>
    <cellStyle name="40% - Accent5 2 8 2 4" xfId="12963" xr:uid="{00000000-0005-0000-0000-00000A540000}"/>
    <cellStyle name="40% - Accent5 2 8 2 4 2" xfId="32363" xr:uid="{00000000-0005-0000-0000-00000B540000}"/>
    <cellStyle name="40% - Accent5 2 8 2 5" xfId="22665" xr:uid="{00000000-0005-0000-0000-00000C540000}"/>
    <cellStyle name="40% - Accent5 2 8 3" xfId="3500" xr:uid="{00000000-0005-0000-0000-00000D540000}"/>
    <cellStyle name="40% - Accent5 2 8 3 2" xfId="4630" xr:uid="{00000000-0005-0000-0000-00000E540000}"/>
    <cellStyle name="40% - Accent5 2 8 3 2 2" xfId="9094" xr:uid="{00000000-0005-0000-0000-00000F540000}"/>
    <cellStyle name="40% - Accent5 2 8 3 2 2 2" xfId="19090" xr:uid="{00000000-0005-0000-0000-000010540000}"/>
    <cellStyle name="40% - Accent5 2 8 3 2 2 2 2" xfId="38490" xr:uid="{00000000-0005-0000-0000-000011540000}"/>
    <cellStyle name="40% - Accent5 2 8 3 2 2 3" xfId="28792" xr:uid="{00000000-0005-0000-0000-000012540000}"/>
    <cellStyle name="40% - Accent5 2 8 3 2 3" xfId="14635" xr:uid="{00000000-0005-0000-0000-000013540000}"/>
    <cellStyle name="40% - Accent5 2 8 3 2 3 2" xfId="34035" xr:uid="{00000000-0005-0000-0000-000014540000}"/>
    <cellStyle name="40% - Accent5 2 8 3 2 4" xfId="24337" xr:uid="{00000000-0005-0000-0000-000015540000}"/>
    <cellStyle name="40% - Accent5 2 8 3 3" xfId="7979" xr:uid="{00000000-0005-0000-0000-000016540000}"/>
    <cellStyle name="40% - Accent5 2 8 3 3 2" xfId="17975" xr:uid="{00000000-0005-0000-0000-000017540000}"/>
    <cellStyle name="40% - Accent5 2 8 3 3 2 2" xfId="37375" xr:uid="{00000000-0005-0000-0000-000018540000}"/>
    <cellStyle name="40% - Accent5 2 8 3 3 3" xfId="27677" xr:uid="{00000000-0005-0000-0000-000019540000}"/>
    <cellStyle name="40% - Accent5 2 8 3 4" xfId="13520" xr:uid="{00000000-0005-0000-0000-00001A540000}"/>
    <cellStyle name="40% - Accent5 2 8 3 4 2" xfId="32920" xr:uid="{00000000-0005-0000-0000-00001B540000}"/>
    <cellStyle name="40% - Accent5 2 8 3 5" xfId="23222" xr:uid="{00000000-0005-0000-0000-00001C540000}"/>
    <cellStyle name="40% - Accent5 2 8 4" xfId="4073" xr:uid="{00000000-0005-0000-0000-00001D540000}"/>
    <cellStyle name="40% - Accent5 2 8 4 2" xfId="8537" xr:uid="{00000000-0005-0000-0000-00001E540000}"/>
    <cellStyle name="40% - Accent5 2 8 4 2 2" xfId="18533" xr:uid="{00000000-0005-0000-0000-00001F540000}"/>
    <cellStyle name="40% - Accent5 2 8 4 2 2 2" xfId="37933" xr:uid="{00000000-0005-0000-0000-000020540000}"/>
    <cellStyle name="40% - Accent5 2 8 4 2 3" xfId="28235" xr:uid="{00000000-0005-0000-0000-000021540000}"/>
    <cellStyle name="40% - Accent5 2 8 4 3" xfId="14078" xr:uid="{00000000-0005-0000-0000-000022540000}"/>
    <cellStyle name="40% - Accent5 2 8 4 3 2" xfId="33478" xr:uid="{00000000-0005-0000-0000-000023540000}"/>
    <cellStyle name="40% - Accent5 2 8 4 4" xfId="23780" xr:uid="{00000000-0005-0000-0000-000024540000}"/>
    <cellStyle name="40% - Accent5 2 8 5" xfId="5743" xr:uid="{00000000-0005-0000-0000-000025540000}"/>
    <cellStyle name="40% - Accent5 2 8 5 2" xfId="10207" xr:uid="{00000000-0005-0000-0000-000026540000}"/>
    <cellStyle name="40% - Accent5 2 8 5 2 2" xfId="20203" xr:uid="{00000000-0005-0000-0000-000027540000}"/>
    <cellStyle name="40% - Accent5 2 8 5 2 2 2" xfId="39603" xr:uid="{00000000-0005-0000-0000-000028540000}"/>
    <cellStyle name="40% - Accent5 2 8 5 2 3" xfId="29905" xr:uid="{00000000-0005-0000-0000-000029540000}"/>
    <cellStyle name="40% - Accent5 2 8 5 3" xfId="15748" xr:uid="{00000000-0005-0000-0000-00002A540000}"/>
    <cellStyle name="40% - Accent5 2 8 5 3 2" xfId="35148" xr:uid="{00000000-0005-0000-0000-00002B540000}"/>
    <cellStyle name="40% - Accent5 2 8 5 4" xfId="25450" xr:uid="{00000000-0005-0000-0000-00002C540000}"/>
    <cellStyle name="40% - Accent5 2 8 6" xfId="6309" xr:uid="{00000000-0005-0000-0000-00002D540000}"/>
    <cellStyle name="40% - Accent5 2 8 6 2" xfId="10764" xr:uid="{00000000-0005-0000-0000-00002E540000}"/>
    <cellStyle name="40% - Accent5 2 8 6 2 2" xfId="20760" xr:uid="{00000000-0005-0000-0000-00002F540000}"/>
    <cellStyle name="40% - Accent5 2 8 6 2 2 2" xfId="40160" xr:uid="{00000000-0005-0000-0000-000030540000}"/>
    <cellStyle name="40% - Accent5 2 8 6 2 3" xfId="30462" xr:uid="{00000000-0005-0000-0000-000031540000}"/>
    <cellStyle name="40% - Accent5 2 8 6 3" xfId="16305" xr:uid="{00000000-0005-0000-0000-000032540000}"/>
    <cellStyle name="40% - Accent5 2 8 6 3 2" xfId="35705" xr:uid="{00000000-0005-0000-0000-000033540000}"/>
    <cellStyle name="40% - Accent5 2 8 6 4" xfId="26007" xr:uid="{00000000-0005-0000-0000-000034540000}"/>
    <cellStyle name="40% - Accent5 2 8 7" xfId="6866" xr:uid="{00000000-0005-0000-0000-000035540000}"/>
    <cellStyle name="40% - Accent5 2 8 7 2" xfId="16862" xr:uid="{00000000-0005-0000-0000-000036540000}"/>
    <cellStyle name="40% - Accent5 2 8 7 2 2" xfId="36262" xr:uid="{00000000-0005-0000-0000-000037540000}"/>
    <cellStyle name="40% - Accent5 2 8 7 3" xfId="26564" xr:uid="{00000000-0005-0000-0000-000038540000}"/>
    <cellStyle name="40% - Accent5 2 8 8" xfId="12406" xr:uid="{00000000-0005-0000-0000-000039540000}"/>
    <cellStyle name="40% - Accent5 2 8 8 2" xfId="31807" xr:uid="{00000000-0005-0000-0000-00003A540000}"/>
    <cellStyle name="40% - Accent5 2 8 9" xfId="22109" xr:uid="{00000000-0005-0000-0000-00003B540000}"/>
    <cellStyle name="40% - Accent5 2 9" xfId="2253" xr:uid="{00000000-0005-0000-0000-00003C540000}"/>
    <cellStyle name="40% - Accent5 20" xfId="1088" xr:uid="{00000000-0005-0000-0000-00003D540000}"/>
    <cellStyle name="40% - Accent5 20 2" xfId="11959" xr:uid="{00000000-0005-0000-0000-00003E540000}"/>
    <cellStyle name="40% - Accent5 20 2 2" xfId="21663" xr:uid="{00000000-0005-0000-0000-00003F540000}"/>
    <cellStyle name="40% - Accent5 20 2 2 2" xfId="41063" xr:uid="{00000000-0005-0000-0000-000040540000}"/>
    <cellStyle name="40% - Accent5 20 2 3" xfId="31365" xr:uid="{00000000-0005-0000-0000-000041540000}"/>
    <cellStyle name="40% - Accent5 20 3" xfId="12315" xr:uid="{00000000-0005-0000-0000-000042540000}"/>
    <cellStyle name="40% - Accent5 20 3 2" xfId="31718" xr:uid="{00000000-0005-0000-0000-000043540000}"/>
    <cellStyle name="40% - Accent5 20 4" xfId="22020" xr:uid="{00000000-0005-0000-0000-000044540000}"/>
    <cellStyle name="40% - Accent5 21" xfId="11842" xr:uid="{00000000-0005-0000-0000-000045540000}"/>
    <cellStyle name="40% - Accent5 21 2" xfId="21546" xr:uid="{00000000-0005-0000-0000-000046540000}"/>
    <cellStyle name="40% - Accent5 21 2 2" xfId="40946" xr:uid="{00000000-0005-0000-0000-000047540000}"/>
    <cellStyle name="40% - Accent5 21 3" xfId="31248" xr:uid="{00000000-0005-0000-0000-000048540000}"/>
    <cellStyle name="40% - Accent5 22" xfId="12198" xr:uid="{00000000-0005-0000-0000-000049540000}"/>
    <cellStyle name="40% - Accent5 22 2" xfId="31601" xr:uid="{00000000-0005-0000-0000-00004A540000}"/>
    <cellStyle name="40% - Accent5 23" xfId="21903" xr:uid="{00000000-0005-0000-0000-00004B540000}"/>
    <cellStyle name="40% - Accent5 3" xfId="148" xr:uid="{00000000-0005-0000-0000-00004C540000}"/>
    <cellStyle name="40% - Accent5 3 2" xfId="2254" xr:uid="{00000000-0005-0000-0000-00004D540000}"/>
    <cellStyle name="40% - Accent5 3 3" xfId="2614" xr:uid="{00000000-0005-0000-0000-00004E540000}"/>
    <cellStyle name="40% - Accent5 3 4" xfId="11411" xr:uid="{00000000-0005-0000-0000-00004F540000}"/>
    <cellStyle name="40% - Accent5 3 5" xfId="1307" xr:uid="{00000000-0005-0000-0000-000050540000}"/>
    <cellStyle name="40% - Accent5 4" xfId="149" xr:uid="{00000000-0005-0000-0000-000051540000}"/>
    <cellStyle name="40% - Accent5 4 2" xfId="2780" xr:uid="{00000000-0005-0000-0000-000052540000}"/>
    <cellStyle name="40% - Accent5 4 3" xfId="11412" xr:uid="{00000000-0005-0000-0000-000053540000}"/>
    <cellStyle name="40% - Accent5 4 4" xfId="1308" xr:uid="{00000000-0005-0000-0000-000054540000}"/>
    <cellStyle name="40% - Accent5 5" xfId="150" xr:uid="{00000000-0005-0000-0000-000055540000}"/>
    <cellStyle name="40% - Accent5 5 2" xfId="11413" xr:uid="{00000000-0005-0000-0000-000056540000}"/>
    <cellStyle name="40% - Accent5 5 3" xfId="1672" xr:uid="{00000000-0005-0000-0000-000057540000}"/>
    <cellStyle name="40% - Accent5 6" xfId="151" xr:uid="{00000000-0005-0000-0000-000058540000}"/>
    <cellStyle name="40% - Accent5 6 2" xfId="11414" xr:uid="{00000000-0005-0000-0000-000059540000}"/>
    <cellStyle name="40% - Accent5 6 3" xfId="1843" xr:uid="{00000000-0005-0000-0000-00005A540000}"/>
    <cellStyle name="40% - Accent5 7" xfId="152" xr:uid="{00000000-0005-0000-0000-00005B540000}"/>
    <cellStyle name="40% - Accent5 8" xfId="153" xr:uid="{00000000-0005-0000-0000-00005C540000}"/>
    <cellStyle name="40% - Accent5 9" xfId="154" xr:uid="{00000000-0005-0000-0000-00005D540000}"/>
    <cellStyle name="40% - Accent6" xfId="962" builtinId="51" customBuiltin="1"/>
    <cellStyle name="40% - Accent6 10" xfId="155" xr:uid="{00000000-0005-0000-0000-00005F540000}"/>
    <cellStyle name="40% - Accent6 11" xfId="156" xr:uid="{00000000-0005-0000-0000-000060540000}"/>
    <cellStyle name="40% - Accent6 12" xfId="157" xr:uid="{00000000-0005-0000-0000-000061540000}"/>
    <cellStyle name="40% - Accent6 13" xfId="158" xr:uid="{00000000-0005-0000-0000-000062540000}"/>
    <cellStyle name="40% - Accent6 14" xfId="159" xr:uid="{00000000-0005-0000-0000-000063540000}"/>
    <cellStyle name="40% - Accent6 15" xfId="160" xr:uid="{00000000-0005-0000-0000-000064540000}"/>
    <cellStyle name="40% - Accent6 16" xfId="681" xr:uid="{00000000-0005-0000-0000-000065540000}"/>
    <cellStyle name="40% - Accent6 17" xfId="1000" xr:uid="{00000000-0005-0000-0000-000066540000}"/>
    <cellStyle name="40% - Accent6 17 2" xfId="11871" xr:uid="{00000000-0005-0000-0000-000067540000}"/>
    <cellStyle name="40% - Accent6 17 2 2" xfId="21575" xr:uid="{00000000-0005-0000-0000-000068540000}"/>
    <cellStyle name="40% - Accent6 17 2 2 2" xfId="40975" xr:uid="{00000000-0005-0000-0000-000069540000}"/>
    <cellStyle name="40% - Accent6 17 2 3" xfId="31277" xr:uid="{00000000-0005-0000-0000-00006A540000}"/>
    <cellStyle name="40% - Accent6 17 3" xfId="12227" xr:uid="{00000000-0005-0000-0000-00006B540000}"/>
    <cellStyle name="40% - Accent6 17 3 2" xfId="31630" xr:uid="{00000000-0005-0000-0000-00006C540000}"/>
    <cellStyle name="40% - Accent6 17 4" xfId="21932" xr:uid="{00000000-0005-0000-0000-00006D540000}"/>
    <cellStyle name="40% - Accent6 18" xfId="1032" xr:uid="{00000000-0005-0000-0000-00006E540000}"/>
    <cellStyle name="40% - Accent6 18 2" xfId="11903" xr:uid="{00000000-0005-0000-0000-00006F540000}"/>
    <cellStyle name="40% - Accent6 18 2 2" xfId="21607" xr:uid="{00000000-0005-0000-0000-000070540000}"/>
    <cellStyle name="40% - Accent6 18 2 2 2" xfId="41007" xr:uid="{00000000-0005-0000-0000-000071540000}"/>
    <cellStyle name="40% - Accent6 18 2 3" xfId="31309" xr:uid="{00000000-0005-0000-0000-000072540000}"/>
    <cellStyle name="40% - Accent6 18 3" xfId="12259" xr:uid="{00000000-0005-0000-0000-000073540000}"/>
    <cellStyle name="40% - Accent6 18 3 2" xfId="31662" xr:uid="{00000000-0005-0000-0000-000074540000}"/>
    <cellStyle name="40% - Accent6 18 4" xfId="21964" xr:uid="{00000000-0005-0000-0000-000075540000}"/>
    <cellStyle name="40% - Accent6 19" xfId="1075" xr:uid="{00000000-0005-0000-0000-000076540000}"/>
    <cellStyle name="40% - Accent6 19 2" xfId="11946" xr:uid="{00000000-0005-0000-0000-000077540000}"/>
    <cellStyle name="40% - Accent6 19 2 2" xfId="21650" xr:uid="{00000000-0005-0000-0000-000078540000}"/>
    <cellStyle name="40% - Accent6 19 2 2 2" xfId="41050" xr:uid="{00000000-0005-0000-0000-000079540000}"/>
    <cellStyle name="40% - Accent6 19 2 3" xfId="31352" xr:uid="{00000000-0005-0000-0000-00007A540000}"/>
    <cellStyle name="40% - Accent6 19 3" xfId="12302" xr:uid="{00000000-0005-0000-0000-00007B540000}"/>
    <cellStyle name="40% - Accent6 19 3 2" xfId="31705" xr:uid="{00000000-0005-0000-0000-00007C540000}"/>
    <cellStyle name="40% - Accent6 19 4" xfId="22007" xr:uid="{00000000-0005-0000-0000-00007D540000}"/>
    <cellStyle name="40% - Accent6 2" xfId="161" xr:uid="{00000000-0005-0000-0000-00007E540000}"/>
    <cellStyle name="40% - Accent6 2 10" xfId="2255" xr:uid="{00000000-0005-0000-0000-00007F540000}"/>
    <cellStyle name="40% - Accent6 2 10 2" xfId="3236" xr:uid="{00000000-0005-0000-0000-000080540000}"/>
    <cellStyle name="40% - Accent6 2 10 2 2" xfId="5505" xr:uid="{00000000-0005-0000-0000-000081540000}"/>
    <cellStyle name="40% - Accent6 2 10 2 2 2" xfId="9969" xr:uid="{00000000-0005-0000-0000-000082540000}"/>
    <cellStyle name="40% - Accent6 2 10 2 2 2 2" xfId="19965" xr:uid="{00000000-0005-0000-0000-000083540000}"/>
    <cellStyle name="40% - Accent6 2 10 2 2 2 2 2" xfId="39365" xr:uid="{00000000-0005-0000-0000-000084540000}"/>
    <cellStyle name="40% - Accent6 2 10 2 2 2 3" xfId="29667" xr:uid="{00000000-0005-0000-0000-000085540000}"/>
    <cellStyle name="40% - Accent6 2 10 2 2 3" xfId="15510" xr:uid="{00000000-0005-0000-0000-000086540000}"/>
    <cellStyle name="40% - Accent6 2 10 2 2 3 2" xfId="34910" xr:uid="{00000000-0005-0000-0000-000087540000}"/>
    <cellStyle name="40% - Accent6 2 10 2 2 4" xfId="25212" xr:uid="{00000000-0005-0000-0000-000088540000}"/>
    <cellStyle name="40% - Accent6 2 10 2 3" xfId="7741" xr:uid="{00000000-0005-0000-0000-000089540000}"/>
    <cellStyle name="40% - Accent6 2 10 2 3 2" xfId="17737" xr:uid="{00000000-0005-0000-0000-00008A540000}"/>
    <cellStyle name="40% - Accent6 2 10 2 3 2 2" xfId="37137" xr:uid="{00000000-0005-0000-0000-00008B540000}"/>
    <cellStyle name="40% - Accent6 2 10 2 3 3" xfId="27439" xr:uid="{00000000-0005-0000-0000-00008C540000}"/>
    <cellStyle name="40% - Accent6 2 10 2 4" xfId="13282" xr:uid="{00000000-0005-0000-0000-00008D540000}"/>
    <cellStyle name="40% - Accent6 2 10 2 4 2" xfId="32682" xr:uid="{00000000-0005-0000-0000-00008E540000}"/>
    <cellStyle name="40% - Accent6 2 10 2 5" xfId="22984" xr:uid="{00000000-0005-0000-0000-00008F540000}"/>
    <cellStyle name="40% - Accent6 2 10 3" xfId="3819" xr:uid="{00000000-0005-0000-0000-000090540000}"/>
    <cellStyle name="40% - Accent6 2 10 3 2" xfId="4949" xr:uid="{00000000-0005-0000-0000-000091540000}"/>
    <cellStyle name="40% - Accent6 2 10 3 2 2" xfId="9413" xr:uid="{00000000-0005-0000-0000-000092540000}"/>
    <cellStyle name="40% - Accent6 2 10 3 2 2 2" xfId="19409" xr:uid="{00000000-0005-0000-0000-000093540000}"/>
    <cellStyle name="40% - Accent6 2 10 3 2 2 2 2" xfId="38809" xr:uid="{00000000-0005-0000-0000-000094540000}"/>
    <cellStyle name="40% - Accent6 2 10 3 2 2 3" xfId="29111" xr:uid="{00000000-0005-0000-0000-000095540000}"/>
    <cellStyle name="40% - Accent6 2 10 3 2 3" xfId="14954" xr:uid="{00000000-0005-0000-0000-000096540000}"/>
    <cellStyle name="40% - Accent6 2 10 3 2 3 2" xfId="34354" xr:uid="{00000000-0005-0000-0000-000097540000}"/>
    <cellStyle name="40% - Accent6 2 10 3 2 4" xfId="24656" xr:uid="{00000000-0005-0000-0000-000098540000}"/>
    <cellStyle name="40% - Accent6 2 10 3 3" xfId="8298" xr:uid="{00000000-0005-0000-0000-000099540000}"/>
    <cellStyle name="40% - Accent6 2 10 3 3 2" xfId="18294" xr:uid="{00000000-0005-0000-0000-00009A540000}"/>
    <cellStyle name="40% - Accent6 2 10 3 3 2 2" xfId="37694" xr:uid="{00000000-0005-0000-0000-00009B540000}"/>
    <cellStyle name="40% - Accent6 2 10 3 3 3" xfId="27996" xr:uid="{00000000-0005-0000-0000-00009C540000}"/>
    <cellStyle name="40% - Accent6 2 10 3 4" xfId="13839" xr:uid="{00000000-0005-0000-0000-00009D540000}"/>
    <cellStyle name="40% - Accent6 2 10 3 4 2" xfId="33239" xr:uid="{00000000-0005-0000-0000-00009E540000}"/>
    <cellStyle name="40% - Accent6 2 10 3 5" xfId="23541" xr:uid="{00000000-0005-0000-0000-00009F540000}"/>
    <cellStyle name="40% - Accent6 2 10 4" xfId="4392" xr:uid="{00000000-0005-0000-0000-0000A0540000}"/>
    <cellStyle name="40% - Accent6 2 10 4 2" xfId="8856" xr:uid="{00000000-0005-0000-0000-0000A1540000}"/>
    <cellStyle name="40% - Accent6 2 10 4 2 2" xfId="18852" xr:uid="{00000000-0005-0000-0000-0000A2540000}"/>
    <cellStyle name="40% - Accent6 2 10 4 2 2 2" xfId="38252" xr:uid="{00000000-0005-0000-0000-0000A3540000}"/>
    <cellStyle name="40% - Accent6 2 10 4 2 3" xfId="28554" xr:uid="{00000000-0005-0000-0000-0000A4540000}"/>
    <cellStyle name="40% - Accent6 2 10 4 3" xfId="14397" xr:uid="{00000000-0005-0000-0000-0000A5540000}"/>
    <cellStyle name="40% - Accent6 2 10 4 3 2" xfId="33797" xr:uid="{00000000-0005-0000-0000-0000A6540000}"/>
    <cellStyle name="40% - Accent6 2 10 4 4" xfId="24099" xr:uid="{00000000-0005-0000-0000-0000A7540000}"/>
    <cellStyle name="40% - Accent6 2 10 5" xfId="6062" xr:uid="{00000000-0005-0000-0000-0000A8540000}"/>
    <cellStyle name="40% - Accent6 2 10 5 2" xfId="10526" xr:uid="{00000000-0005-0000-0000-0000A9540000}"/>
    <cellStyle name="40% - Accent6 2 10 5 2 2" xfId="20522" xr:uid="{00000000-0005-0000-0000-0000AA540000}"/>
    <cellStyle name="40% - Accent6 2 10 5 2 2 2" xfId="39922" xr:uid="{00000000-0005-0000-0000-0000AB540000}"/>
    <cellStyle name="40% - Accent6 2 10 5 2 3" xfId="30224" xr:uid="{00000000-0005-0000-0000-0000AC540000}"/>
    <cellStyle name="40% - Accent6 2 10 5 3" xfId="16067" xr:uid="{00000000-0005-0000-0000-0000AD540000}"/>
    <cellStyle name="40% - Accent6 2 10 5 3 2" xfId="35467" xr:uid="{00000000-0005-0000-0000-0000AE540000}"/>
    <cellStyle name="40% - Accent6 2 10 5 4" xfId="25769" xr:uid="{00000000-0005-0000-0000-0000AF540000}"/>
    <cellStyle name="40% - Accent6 2 10 6" xfId="6628" xr:uid="{00000000-0005-0000-0000-0000B0540000}"/>
    <cellStyle name="40% - Accent6 2 10 6 2" xfId="11083" xr:uid="{00000000-0005-0000-0000-0000B1540000}"/>
    <cellStyle name="40% - Accent6 2 10 6 2 2" xfId="21079" xr:uid="{00000000-0005-0000-0000-0000B2540000}"/>
    <cellStyle name="40% - Accent6 2 10 6 2 2 2" xfId="40479" xr:uid="{00000000-0005-0000-0000-0000B3540000}"/>
    <cellStyle name="40% - Accent6 2 10 6 2 3" xfId="30781" xr:uid="{00000000-0005-0000-0000-0000B4540000}"/>
    <cellStyle name="40% - Accent6 2 10 6 3" xfId="16624" xr:uid="{00000000-0005-0000-0000-0000B5540000}"/>
    <cellStyle name="40% - Accent6 2 10 6 3 2" xfId="36024" xr:uid="{00000000-0005-0000-0000-0000B6540000}"/>
    <cellStyle name="40% - Accent6 2 10 6 4" xfId="26326" xr:uid="{00000000-0005-0000-0000-0000B7540000}"/>
    <cellStyle name="40% - Accent6 2 10 7" xfId="7185" xr:uid="{00000000-0005-0000-0000-0000B8540000}"/>
    <cellStyle name="40% - Accent6 2 10 7 2" xfId="17181" xr:uid="{00000000-0005-0000-0000-0000B9540000}"/>
    <cellStyle name="40% - Accent6 2 10 7 2 2" xfId="36581" xr:uid="{00000000-0005-0000-0000-0000BA540000}"/>
    <cellStyle name="40% - Accent6 2 10 7 3" xfId="26883" xr:uid="{00000000-0005-0000-0000-0000BB540000}"/>
    <cellStyle name="40% - Accent6 2 10 8" xfId="12725" xr:uid="{00000000-0005-0000-0000-0000BC540000}"/>
    <cellStyle name="40% - Accent6 2 10 8 2" xfId="32126" xr:uid="{00000000-0005-0000-0000-0000BD540000}"/>
    <cellStyle name="40% - Accent6 2 10 9" xfId="22428" xr:uid="{00000000-0005-0000-0000-0000BE540000}"/>
    <cellStyle name="40% - Accent6 2 11" xfId="2582" xr:uid="{00000000-0005-0000-0000-0000BF540000}"/>
    <cellStyle name="40% - Accent6 2 12" xfId="11315" xr:uid="{00000000-0005-0000-0000-0000C0540000}"/>
    <cellStyle name="40% - Accent6 2 12 2" xfId="21300" xr:uid="{00000000-0005-0000-0000-0000C1540000}"/>
    <cellStyle name="40% - Accent6 2 12 2 2" xfId="40700" xr:uid="{00000000-0005-0000-0000-0000C2540000}"/>
    <cellStyle name="40% - Accent6 2 12 3" xfId="31002" xr:uid="{00000000-0005-0000-0000-0000C3540000}"/>
    <cellStyle name="40% - Accent6 2 13" xfId="11344" xr:uid="{00000000-0005-0000-0000-0000C4540000}"/>
    <cellStyle name="40% - Accent6 2 13 2" xfId="21326" xr:uid="{00000000-0005-0000-0000-0000C5540000}"/>
    <cellStyle name="40% - Accent6 2 13 2 2" xfId="40726" xr:uid="{00000000-0005-0000-0000-0000C6540000}"/>
    <cellStyle name="40% - Accent6 2 13 3" xfId="31028" xr:uid="{00000000-0005-0000-0000-0000C7540000}"/>
    <cellStyle name="40% - Accent6 2 14" xfId="1309" xr:uid="{00000000-0005-0000-0000-0000C8540000}"/>
    <cellStyle name="40% - Accent6 2 15" xfId="1140" xr:uid="{00000000-0005-0000-0000-0000C9540000}"/>
    <cellStyle name="40% - Accent6 2 15 2" xfId="12359" xr:uid="{00000000-0005-0000-0000-0000CA540000}"/>
    <cellStyle name="40% - Accent6 2 15 2 2" xfId="31761" xr:uid="{00000000-0005-0000-0000-0000CB540000}"/>
    <cellStyle name="40% - Accent6 2 15 3" xfId="22063" xr:uid="{00000000-0005-0000-0000-0000CC540000}"/>
    <cellStyle name="40% - Accent6 2 2" xfId="738" xr:uid="{00000000-0005-0000-0000-0000CD540000}"/>
    <cellStyle name="40% - Accent6 2 2 2" xfId="1755" xr:uid="{00000000-0005-0000-0000-0000CE540000}"/>
    <cellStyle name="40% - Accent6 2 2 3" xfId="1310" xr:uid="{00000000-0005-0000-0000-0000CF540000}"/>
    <cellStyle name="40% - Accent6 2 2 4" xfId="11695" xr:uid="{00000000-0005-0000-0000-0000D0540000}"/>
    <cellStyle name="40% - Accent6 2 2 4 2" xfId="21409" xr:uid="{00000000-0005-0000-0000-0000D1540000}"/>
    <cellStyle name="40% - Accent6 2 2 4 2 2" xfId="40809" xr:uid="{00000000-0005-0000-0000-0000D2540000}"/>
    <cellStyle name="40% - Accent6 2 2 4 3" xfId="31111" xr:uid="{00000000-0005-0000-0000-0000D3540000}"/>
    <cellStyle name="40% - Accent6 2 2 5" xfId="1181" xr:uid="{00000000-0005-0000-0000-0000D4540000}"/>
    <cellStyle name="40% - Accent6 2 2 6" xfId="12061" xr:uid="{00000000-0005-0000-0000-0000D5540000}"/>
    <cellStyle name="40% - Accent6 2 2 6 2" xfId="31464" xr:uid="{00000000-0005-0000-0000-0000D6540000}"/>
    <cellStyle name="40% - Accent6 2 2 7" xfId="21766" xr:uid="{00000000-0005-0000-0000-0000D7540000}"/>
    <cellStyle name="40% - Accent6 2 3" xfId="1110" xr:uid="{00000000-0005-0000-0000-0000D8540000}"/>
    <cellStyle name="40% - Accent6 2 3 2" xfId="2256" xr:uid="{00000000-0005-0000-0000-0000D9540000}"/>
    <cellStyle name="40% - Accent6 2 3 2 10" xfId="7186" xr:uid="{00000000-0005-0000-0000-0000DA540000}"/>
    <cellStyle name="40% - Accent6 2 3 2 10 2" xfId="17182" xr:uid="{00000000-0005-0000-0000-0000DB540000}"/>
    <cellStyle name="40% - Accent6 2 3 2 10 2 2" xfId="36582" xr:uid="{00000000-0005-0000-0000-0000DC540000}"/>
    <cellStyle name="40% - Accent6 2 3 2 10 3" xfId="26884" xr:uid="{00000000-0005-0000-0000-0000DD540000}"/>
    <cellStyle name="40% - Accent6 2 3 2 11" xfId="12726" xr:uid="{00000000-0005-0000-0000-0000DE540000}"/>
    <cellStyle name="40% - Accent6 2 3 2 11 2" xfId="32127" xr:uid="{00000000-0005-0000-0000-0000DF540000}"/>
    <cellStyle name="40% - Accent6 2 3 2 12" xfId="22429" xr:uid="{00000000-0005-0000-0000-0000E0540000}"/>
    <cellStyle name="40% - Accent6 2 3 2 2" xfId="2257" xr:uid="{00000000-0005-0000-0000-0000E1540000}"/>
    <cellStyle name="40% - Accent6 2 3 2 2 10" xfId="12727" xr:uid="{00000000-0005-0000-0000-0000E2540000}"/>
    <cellStyle name="40% - Accent6 2 3 2 2 10 2" xfId="32128" xr:uid="{00000000-0005-0000-0000-0000E3540000}"/>
    <cellStyle name="40% - Accent6 2 3 2 2 11" xfId="22430" xr:uid="{00000000-0005-0000-0000-0000E4540000}"/>
    <cellStyle name="40% - Accent6 2 3 2 2 2" xfId="2258" xr:uid="{00000000-0005-0000-0000-0000E5540000}"/>
    <cellStyle name="40% - Accent6 2 3 2 2 2 2" xfId="3239" xr:uid="{00000000-0005-0000-0000-0000E6540000}"/>
    <cellStyle name="40% - Accent6 2 3 2 2 2 2 2" xfId="5508" xr:uid="{00000000-0005-0000-0000-0000E7540000}"/>
    <cellStyle name="40% - Accent6 2 3 2 2 2 2 2 2" xfId="9972" xr:uid="{00000000-0005-0000-0000-0000E8540000}"/>
    <cellStyle name="40% - Accent6 2 3 2 2 2 2 2 2 2" xfId="19968" xr:uid="{00000000-0005-0000-0000-0000E9540000}"/>
    <cellStyle name="40% - Accent6 2 3 2 2 2 2 2 2 2 2" xfId="39368" xr:uid="{00000000-0005-0000-0000-0000EA540000}"/>
    <cellStyle name="40% - Accent6 2 3 2 2 2 2 2 2 3" xfId="29670" xr:uid="{00000000-0005-0000-0000-0000EB540000}"/>
    <cellStyle name="40% - Accent6 2 3 2 2 2 2 2 3" xfId="15513" xr:uid="{00000000-0005-0000-0000-0000EC540000}"/>
    <cellStyle name="40% - Accent6 2 3 2 2 2 2 2 3 2" xfId="34913" xr:uid="{00000000-0005-0000-0000-0000ED540000}"/>
    <cellStyle name="40% - Accent6 2 3 2 2 2 2 2 4" xfId="25215" xr:uid="{00000000-0005-0000-0000-0000EE540000}"/>
    <cellStyle name="40% - Accent6 2 3 2 2 2 2 3" xfId="7744" xr:uid="{00000000-0005-0000-0000-0000EF540000}"/>
    <cellStyle name="40% - Accent6 2 3 2 2 2 2 3 2" xfId="17740" xr:uid="{00000000-0005-0000-0000-0000F0540000}"/>
    <cellStyle name="40% - Accent6 2 3 2 2 2 2 3 2 2" xfId="37140" xr:uid="{00000000-0005-0000-0000-0000F1540000}"/>
    <cellStyle name="40% - Accent6 2 3 2 2 2 2 3 3" xfId="27442" xr:uid="{00000000-0005-0000-0000-0000F2540000}"/>
    <cellStyle name="40% - Accent6 2 3 2 2 2 2 4" xfId="13285" xr:uid="{00000000-0005-0000-0000-0000F3540000}"/>
    <cellStyle name="40% - Accent6 2 3 2 2 2 2 4 2" xfId="32685" xr:uid="{00000000-0005-0000-0000-0000F4540000}"/>
    <cellStyle name="40% - Accent6 2 3 2 2 2 2 5" xfId="22987" xr:uid="{00000000-0005-0000-0000-0000F5540000}"/>
    <cellStyle name="40% - Accent6 2 3 2 2 2 3" xfId="3822" xr:uid="{00000000-0005-0000-0000-0000F6540000}"/>
    <cellStyle name="40% - Accent6 2 3 2 2 2 3 2" xfId="4952" xr:uid="{00000000-0005-0000-0000-0000F7540000}"/>
    <cellStyle name="40% - Accent6 2 3 2 2 2 3 2 2" xfId="9416" xr:uid="{00000000-0005-0000-0000-0000F8540000}"/>
    <cellStyle name="40% - Accent6 2 3 2 2 2 3 2 2 2" xfId="19412" xr:uid="{00000000-0005-0000-0000-0000F9540000}"/>
    <cellStyle name="40% - Accent6 2 3 2 2 2 3 2 2 2 2" xfId="38812" xr:uid="{00000000-0005-0000-0000-0000FA540000}"/>
    <cellStyle name="40% - Accent6 2 3 2 2 2 3 2 2 3" xfId="29114" xr:uid="{00000000-0005-0000-0000-0000FB540000}"/>
    <cellStyle name="40% - Accent6 2 3 2 2 2 3 2 3" xfId="14957" xr:uid="{00000000-0005-0000-0000-0000FC540000}"/>
    <cellStyle name="40% - Accent6 2 3 2 2 2 3 2 3 2" xfId="34357" xr:uid="{00000000-0005-0000-0000-0000FD540000}"/>
    <cellStyle name="40% - Accent6 2 3 2 2 2 3 2 4" xfId="24659" xr:uid="{00000000-0005-0000-0000-0000FE540000}"/>
    <cellStyle name="40% - Accent6 2 3 2 2 2 3 3" xfId="8301" xr:uid="{00000000-0005-0000-0000-0000FF540000}"/>
    <cellStyle name="40% - Accent6 2 3 2 2 2 3 3 2" xfId="18297" xr:uid="{00000000-0005-0000-0000-000000550000}"/>
    <cellStyle name="40% - Accent6 2 3 2 2 2 3 3 2 2" xfId="37697" xr:uid="{00000000-0005-0000-0000-000001550000}"/>
    <cellStyle name="40% - Accent6 2 3 2 2 2 3 3 3" xfId="27999" xr:uid="{00000000-0005-0000-0000-000002550000}"/>
    <cellStyle name="40% - Accent6 2 3 2 2 2 3 4" xfId="13842" xr:uid="{00000000-0005-0000-0000-000003550000}"/>
    <cellStyle name="40% - Accent6 2 3 2 2 2 3 4 2" xfId="33242" xr:uid="{00000000-0005-0000-0000-000004550000}"/>
    <cellStyle name="40% - Accent6 2 3 2 2 2 3 5" xfId="23544" xr:uid="{00000000-0005-0000-0000-000005550000}"/>
    <cellStyle name="40% - Accent6 2 3 2 2 2 4" xfId="4395" xr:uid="{00000000-0005-0000-0000-000006550000}"/>
    <cellStyle name="40% - Accent6 2 3 2 2 2 4 2" xfId="8859" xr:uid="{00000000-0005-0000-0000-000007550000}"/>
    <cellStyle name="40% - Accent6 2 3 2 2 2 4 2 2" xfId="18855" xr:uid="{00000000-0005-0000-0000-000008550000}"/>
    <cellStyle name="40% - Accent6 2 3 2 2 2 4 2 2 2" xfId="38255" xr:uid="{00000000-0005-0000-0000-000009550000}"/>
    <cellStyle name="40% - Accent6 2 3 2 2 2 4 2 3" xfId="28557" xr:uid="{00000000-0005-0000-0000-00000A550000}"/>
    <cellStyle name="40% - Accent6 2 3 2 2 2 4 3" xfId="14400" xr:uid="{00000000-0005-0000-0000-00000B550000}"/>
    <cellStyle name="40% - Accent6 2 3 2 2 2 4 3 2" xfId="33800" xr:uid="{00000000-0005-0000-0000-00000C550000}"/>
    <cellStyle name="40% - Accent6 2 3 2 2 2 4 4" xfId="24102" xr:uid="{00000000-0005-0000-0000-00000D550000}"/>
    <cellStyle name="40% - Accent6 2 3 2 2 2 5" xfId="6065" xr:uid="{00000000-0005-0000-0000-00000E550000}"/>
    <cellStyle name="40% - Accent6 2 3 2 2 2 5 2" xfId="10529" xr:uid="{00000000-0005-0000-0000-00000F550000}"/>
    <cellStyle name="40% - Accent6 2 3 2 2 2 5 2 2" xfId="20525" xr:uid="{00000000-0005-0000-0000-000010550000}"/>
    <cellStyle name="40% - Accent6 2 3 2 2 2 5 2 2 2" xfId="39925" xr:uid="{00000000-0005-0000-0000-000011550000}"/>
    <cellStyle name="40% - Accent6 2 3 2 2 2 5 2 3" xfId="30227" xr:uid="{00000000-0005-0000-0000-000012550000}"/>
    <cellStyle name="40% - Accent6 2 3 2 2 2 5 3" xfId="16070" xr:uid="{00000000-0005-0000-0000-000013550000}"/>
    <cellStyle name="40% - Accent6 2 3 2 2 2 5 3 2" xfId="35470" xr:uid="{00000000-0005-0000-0000-000014550000}"/>
    <cellStyle name="40% - Accent6 2 3 2 2 2 5 4" xfId="25772" xr:uid="{00000000-0005-0000-0000-000015550000}"/>
    <cellStyle name="40% - Accent6 2 3 2 2 2 6" xfId="6631" xr:uid="{00000000-0005-0000-0000-000016550000}"/>
    <cellStyle name="40% - Accent6 2 3 2 2 2 6 2" xfId="11086" xr:uid="{00000000-0005-0000-0000-000017550000}"/>
    <cellStyle name="40% - Accent6 2 3 2 2 2 6 2 2" xfId="21082" xr:uid="{00000000-0005-0000-0000-000018550000}"/>
    <cellStyle name="40% - Accent6 2 3 2 2 2 6 2 2 2" xfId="40482" xr:uid="{00000000-0005-0000-0000-000019550000}"/>
    <cellStyle name="40% - Accent6 2 3 2 2 2 6 2 3" xfId="30784" xr:uid="{00000000-0005-0000-0000-00001A550000}"/>
    <cellStyle name="40% - Accent6 2 3 2 2 2 6 3" xfId="16627" xr:uid="{00000000-0005-0000-0000-00001B550000}"/>
    <cellStyle name="40% - Accent6 2 3 2 2 2 6 3 2" xfId="36027" xr:uid="{00000000-0005-0000-0000-00001C550000}"/>
    <cellStyle name="40% - Accent6 2 3 2 2 2 6 4" xfId="26329" xr:uid="{00000000-0005-0000-0000-00001D550000}"/>
    <cellStyle name="40% - Accent6 2 3 2 2 2 7" xfId="7188" xr:uid="{00000000-0005-0000-0000-00001E550000}"/>
    <cellStyle name="40% - Accent6 2 3 2 2 2 7 2" xfId="17184" xr:uid="{00000000-0005-0000-0000-00001F550000}"/>
    <cellStyle name="40% - Accent6 2 3 2 2 2 7 2 2" xfId="36584" xr:uid="{00000000-0005-0000-0000-000020550000}"/>
    <cellStyle name="40% - Accent6 2 3 2 2 2 7 3" xfId="26886" xr:uid="{00000000-0005-0000-0000-000021550000}"/>
    <cellStyle name="40% - Accent6 2 3 2 2 2 8" xfId="12728" xr:uid="{00000000-0005-0000-0000-000022550000}"/>
    <cellStyle name="40% - Accent6 2 3 2 2 2 8 2" xfId="32129" xr:uid="{00000000-0005-0000-0000-000023550000}"/>
    <cellStyle name="40% - Accent6 2 3 2 2 2 9" xfId="22431" xr:uid="{00000000-0005-0000-0000-000024550000}"/>
    <cellStyle name="40% - Accent6 2 3 2 2 3" xfId="2259" xr:uid="{00000000-0005-0000-0000-000025550000}"/>
    <cellStyle name="40% - Accent6 2 3 2 2 3 2" xfId="3240" xr:uid="{00000000-0005-0000-0000-000026550000}"/>
    <cellStyle name="40% - Accent6 2 3 2 2 3 2 2" xfId="5509" xr:uid="{00000000-0005-0000-0000-000027550000}"/>
    <cellStyle name="40% - Accent6 2 3 2 2 3 2 2 2" xfId="9973" xr:uid="{00000000-0005-0000-0000-000028550000}"/>
    <cellStyle name="40% - Accent6 2 3 2 2 3 2 2 2 2" xfId="19969" xr:uid="{00000000-0005-0000-0000-000029550000}"/>
    <cellStyle name="40% - Accent6 2 3 2 2 3 2 2 2 2 2" xfId="39369" xr:uid="{00000000-0005-0000-0000-00002A550000}"/>
    <cellStyle name="40% - Accent6 2 3 2 2 3 2 2 2 3" xfId="29671" xr:uid="{00000000-0005-0000-0000-00002B550000}"/>
    <cellStyle name="40% - Accent6 2 3 2 2 3 2 2 3" xfId="15514" xr:uid="{00000000-0005-0000-0000-00002C550000}"/>
    <cellStyle name="40% - Accent6 2 3 2 2 3 2 2 3 2" xfId="34914" xr:uid="{00000000-0005-0000-0000-00002D550000}"/>
    <cellStyle name="40% - Accent6 2 3 2 2 3 2 2 4" xfId="25216" xr:uid="{00000000-0005-0000-0000-00002E550000}"/>
    <cellStyle name="40% - Accent6 2 3 2 2 3 2 3" xfId="7745" xr:uid="{00000000-0005-0000-0000-00002F550000}"/>
    <cellStyle name="40% - Accent6 2 3 2 2 3 2 3 2" xfId="17741" xr:uid="{00000000-0005-0000-0000-000030550000}"/>
    <cellStyle name="40% - Accent6 2 3 2 2 3 2 3 2 2" xfId="37141" xr:uid="{00000000-0005-0000-0000-000031550000}"/>
    <cellStyle name="40% - Accent6 2 3 2 2 3 2 3 3" xfId="27443" xr:uid="{00000000-0005-0000-0000-000032550000}"/>
    <cellStyle name="40% - Accent6 2 3 2 2 3 2 4" xfId="13286" xr:uid="{00000000-0005-0000-0000-000033550000}"/>
    <cellStyle name="40% - Accent6 2 3 2 2 3 2 4 2" xfId="32686" xr:uid="{00000000-0005-0000-0000-000034550000}"/>
    <cellStyle name="40% - Accent6 2 3 2 2 3 2 5" xfId="22988" xr:uid="{00000000-0005-0000-0000-000035550000}"/>
    <cellStyle name="40% - Accent6 2 3 2 2 3 3" xfId="3823" xr:uid="{00000000-0005-0000-0000-000036550000}"/>
    <cellStyle name="40% - Accent6 2 3 2 2 3 3 2" xfId="4953" xr:uid="{00000000-0005-0000-0000-000037550000}"/>
    <cellStyle name="40% - Accent6 2 3 2 2 3 3 2 2" xfId="9417" xr:uid="{00000000-0005-0000-0000-000038550000}"/>
    <cellStyle name="40% - Accent6 2 3 2 2 3 3 2 2 2" xfId="19413" xr:uid="{00000000-0005-0000-0000-000039550000}"/>
    <cellStyle name="40% - Accent6 2 3 2 2 3 3 2 2 2 2" xfId="38813" xr:uid="{00000000-0005-0000-0000-00003A550000}"/>
    <cellStyle name="40% - Accent6 2 3 2 2 3 3 2 2 3" xfId="29115" xr:uid="{00000000-0005-0000-0000-00003B550000}"/>
    <cellStyle name="40% - Accent6 2 3 2 2 3 3 2 3" xfId="14958" xr:uid="{00000000-0005-0000-0000-00003C550000}"/>
    <cellStyle name="40% - Accent6 2 3 2 2 3 3 2 3 2" xfId="34358" xr:uid="{00000000-0005-0000-0000-00003D550000}"/>
    <cellStyle name="40% - Accent6 2 3 2 2 3 3 2 4" xfId="24660" xr:uid="{00000000-0005-0000-0000-00003E550000}"/>
    <cellStyle name="40% - Accent6 2 3 2 2 3 3 3" xfId="8302" xr:uid="{00000000-0005-0000-0000-00003F550000}"/>
    <cellStyle name="40% - Accent6 2 3 2 2 3 3 3 2" xfId="18298" xr:uid="{00000000-0005-0000-0000-000040550000}"/>
    <cellStyle name="40% - Accent6 2 3 2 2 3 3 3 2 2" xfId="37698" xr:uid="{00000000-0005-0000-0000-000041550000}"/>
    <cellStyle name="40% - Accent6 2 3 2 2 3 3 3 3" xfId="28000" xr:uid="{00000000-0005-0000-0000-000042550000}"/>
    <cellStyle name="40% - Accent6 2 3 2 2 3 3 4" xfId="13843" xr:uid="{00000000-0005-0000-0000-000043550000}"/>
    <cellStyle name="40% - Accent6 2 3 2 2 3 3 4 2" xfId="33243" xr:uid="{00000000-0005-0000-0000-000044550000}"/>
    <cellStyle name="40% - Accent6 2 3 2 2 3 3 5" xfId="23545" xr:uid="{00000000-0005-0000-0000-000045550000}"/>
    <cellStyle name="40% - Accent6 2 3 2 2 3 4" xfId="4396" xr:uid="{00000000-0005-0000-0000-000046550000}"/>
    <cellStyle name="40% - Accent6 2 3 2 2 3 4 2" xfId="8860" xr:uid="{00000000-0005-0000-0000-000047550000}"/>
    <cellStyle name="40% - Accent6 2 3 2 2 3 4 2 2" xfId="18856" xr:uid="{00000000-0005-0000-0000-000048550000}"/>
    <cellStyle name="40% - Accent6 2 3 2 2 3 4 2 2 2" xfId="38256" xr:uid="{00000000-0005-0000-0000-000049550000}"/>
    <cellStyle name="40% - Accent6 2 3 2 2 3 4 2 3" xfId="28558" xr:uid="{00000000-0005-0000-0000-00004A550000}"/>
    <cellStyle name="40% - Accent6 2 3 2 2 3 4 3" xfId="14401" xr:uid="{00000000-0005-0000-0000-00004B550000}"/>
    <cellStyle name="40% - Accent6 2 3 2 2 3 4 3 2" xfId="33801" xr:uid="{00000000-0005-0000-0000-00004C550000}"/>
    <cellStyle name="40% - Accent6 2 3 2 2 3 4 4" xfId="24103" xr:uid="{00000000-0005-0000-0000-00004D550000}"/>
    <cellStyle name="40% - Accent6 2 3 2 2 3 5" xfId="6066" xr:uid="{00000000-0005-0000-0000-00004E550000}"/>
    <cellStyle name="40% - Accent6 2 3 2 2 3 5 2" xfId="10530" xr:uid="{00000000-0005-0000-0000-00004F550000}"/>
    <cellStyle name="40% - Accent6 2 3 2 2 3 5 2 2" xfId="20526" xr:uid="{00000000-0005-0000-0000-000050550000}"/>
    <cellStyle name="40% - Accent6 2 3 2 2 3 5 2 2 2" xfId="39926" xr:uid="{00000000-0005-0000-0000-000051550000}"/>
    <cellStyle name="40% - Accent6 2 3 2 2 3 5 2 3" xfId="30228" xr:uid="{00000000-0005-0000-0000-000052550000}"/>
    <cellStyle name="40% - Accent6 2 3 2 2 3 5 3" xfId="16071" xr:uid="{00000000-0005-0000-0000-000053550000}"/>
    <cellStyle name="40% - Accent6 2 3 2 2 3 5 3 2" xfId="35471" xr:uid="{00000000-0005-0000-0000-000054550000}"/>
    <cellStyle name="40% - Accent6 2 3 2 2 3 5 4" xfId="25773" xr:uid="{00000000-0005-0000-0000-000055550000}"/>
    <cellStyle name="40% - Accent6 2 3 2 2 3 6" xfId="6632" xr:uid="{00000000-0005-0000-0000-000056550000}"/>
    <cellStyle name="40% - Accent6 2 3 2 2 3 6 2" xfId="11087" xr:uid="{00000000-0005-0000-0000-000057550000}"/>
    <cellStyle name="40% - Accent6 2 3 2 2 3 6 2 2" xfId="21083" xr:uid="{00000000-0005-0000-0000-000058550000}"/>
    <cellStyle name="40% - Accent6 2 3 2 2 3 6 2 2 2" xfId="40483" xr:uid="{00000000-0005-0000-0000-000059550000}"/>
    <cellStyle name="40% - Accent6 2 3 2 2 3 6 2 3" xfId="30785" xr:uid="{00000000-0005-0000-0000-00005A550000}"/>
    <cellStyle name="40% - Accent6 2 3 2 2 3 6 3" xfId="16628" xr:uid="{00000000-0005-0000-0000-00005B550000}"/>
    <cellStyle name="40% - Accent6 2 3 2 2 3 6 3 2" xfId="36028" xr:uid="{00000000-0005-0000-0000-00005C550000}"/>
    <cellStyle name="40% - Accent6 2 3 2 2 3 6 4" xfId="26330" xr:uid="{00000000-0005-0000-0000-00005D550000}"/>
    <cellStyle name="40% - Accent6 2 3 2 2 3 7" xfId="7189" xr:uid="{00000000-0005-0000-0000-00005E550000}"/>
    <cellStyle name="40% - Accent6 2 3 2 2 3 7 2" xfId="17185" xr:uid="{00000000-0005-0000-0000-00005F550000}"/>
    <cellStyle name="40% - Accent6 2 3 2 2 3 7 2 2" xfId="36585" xr:uid="{00000000-0005-0000-0000-000060550000}"/>
    <cellStyle name="40% - Accent6 2 3 2 2 3 7 3" xfId="26887" xr:uid="{00000000-0005-0000-0000-000061550000}"/>
    <cellStyle name="40% - Accent6 2 3 2 2 3 8" xfId="12729" xr:uid="{00000000-0005-0000-0000-000062550000}"/>
    <cellStyle name="40% - Accent6 2 3 2 2 3 8 2" xfId="32130" xr:uid="{00000000-0005-0000-0000-000063550000}"/>
    <cellStyle name="40% - Accent6 2 3 2 2 3 9" xfId="22432" xr:uid="{00000000-0005-0000-0000-000064550000}"/>
    <cellStyle name="40% - Accent6 2 3 2 2 4" xfId="3238" xr:uid="{00000000-0005-0000-0000-000065550000}"/>
    <cellStyle name="40% - Accent6 2 3 2 2 4 2" xfId="5507" xr:uid="{00000000-0005-0000-0000-000066550000}"/>
    <cellStyle name="40% - Accent6 2 3 2 2 4 2 2" xfId="9971" xr:uid="{00000000-0005-0000-0000-000067550000}"/>
    <cellStyle name="40% - Accent6 2 3 2 2 4 2 2 2" xfId="19967" xr:uid="{00000000-0005-0000-0000-000068550000}"/>
    <cellStyle name="40% - Accent6 2 3 2 2 4 2 2 2 2" xfId="39367" xr:uid="{00000000-0005-0000-0000-000069550000}"/>
    <cellStyle name="40% - Accent6 2 3 2 2 4 2 2 3" xfId="29669" xr:uid="{00000000-0005-0000-0000-00006A550000}"/>
    <cellStyle name="40% - Accent6 2 3 2 2 4 2 3" xfId="15512" xr:uid="{00000000-0005-0000-0000-00006B550000}"/>
    <cellStyle name="40% - Accent6 2 3 2 2 4 2 3 2" xfId="34912" xr:uid="{00000000-0005-0000-0000-00006C550000}"/>
    <cellStyle name="40% - Accent6 2 3 2 2 4 2 4" xfId="25214" xr:uid="{00000000-0005-0000-0000-00006D550000}"/>
    <cellStyle name="40% - Accent6 2 3 2 2 4 3" xfId="7743" xr:uid="{00000000-0005-0000-0000-00006E550000}"/>
    <cellStyle name="40% - Accent6 2 3 2 2 4 3 2" xfId="17739" xr:uid="{00000000-0005-0000-0000-00006F550000}"/>
    <cellStyle name="40% - Accent6 2 3 2 2 4 3 2 2" xfId="37139" xr:uid="{00000000-0005-0000-0000-000070550000}"/>
    <cellStyle name="40% - Accent6 2 3 2 2 4 3 3" xfId="27441" xr:uid="{00000000-0005-0000-0000-000071550000}"/>
    <cellStyle name="40% - Accent6 2 3 2 2 4 4" xfId="13284" xr:uid="{00000000-0005-0000-0000-000072550000}"/>
    <cellStyle name="40% - Accent6 2 3 2 2 4 4 2" xfId="32684" xr:uid="{00000000-0005-0000-0000-000073550000}"/>
    <cellStyle name="40% - Accent6 2 3 2 2 4 5" xfId="22986" xr:uid="{00000000-0005-0000-0000-000074550000}"/>
    <cellStyle name="40% - Accent6 2 3 2 2 5" xfId="3821" xr:uid="{00000000-0005-0000-0000-000075550000}"/>
    <cellStyle name="40% - Accent6 2 3 2 2 5 2" xfId="4951" xr:uid="{00000000-0005-0000-0000-000076550000}"/>
    <cellStyle name="40% - Accent6 2 3 2 2 5 2 2" xfId="9415" xr:uid="{00000000-0005-0000-0000-000077550000}"/>
    <cellStyle name="40% - Accent6 2 3 2 2 5 2 2 2" xfId="19411" xr:uid="{00000000-0005-0000-0000-000078550000}"/>
    <cellStyle name="40% - Accent6 2 3 2 2 5 2 2 2 2" xfId="38811" xr:uid="{00000000-0005-0000-0000-000079550000}"/>
    <cellStyle name="40% - Accent6 2 3 2 2 5 2 2 3" xfId="29113" xr:uid="{00000000-0005-0000-0000-00007A550000}"/>
    <cellStyle name="40% - Accent6 2 3 2 2 5 2 3" xfId="14956" xr:uid="{00000000-0005-0000-0000-00007B550000}"/>
    <cellStyle name="40% - Accent6 2 3 2 2 5 2 3 2" xfId="34356" xr:uid="{00000000-0005-0000-0000-00007C550000}"/>
    <cellStyle name="40% - Accent6 2 3 2 2 5 2 4" xfId="24658" xr:uid="{00000000-0005-0000-0000-00007D550000}"/>
    <cellStyle name="40% - Accent6 2 3 2 2 5 3" xfId="8300" xr:uid="{00000000-0005-0000-0000-00007E550000}"/>
    <cellStyle name="40% - Accent6 2 3 2 2 5 3 2" xfId="18296" xr:uid="{00000000-0005-0000-0000-00007F550000}"/>
    <cellStyle name="40% - Accent6 2 3 2 2 5 3 2 2" xfId="37696" xr:uid="{00000000-0005-0000-0000-000080550000}"/>
    <cellStyle name="40% - Accent6 2 3 2 2 5 3 3" xfId="27998" xr:uid="{00000000-0005-0000-0000-000081550000}"/>
    <cellStyle name="40% - Accent6 2 3 2 2 5 4" xfId="13841" xr:uid="{00000000-0005-0000-0000-000082550000}"/>
    <cellStyle name="40% - Accent6 2 3 2 2 5 4 2" xfId="33241" xr:uid="{00000000-0005-0000-0000-000083550000}"/>
    <cellStyle name="40% - Accent6 2 3 2 2 5 5" xfId="23543" xr:uid="{00000000-0005-0000-0000-000084550000}"/>
    <cellStyle name="40% - Accent6 2 3 2 2 6" xfId="4394" xr:uid="{00000000-0005-0000-0000-000085550000}"/>
    <cellStyle name="40% - Accent6 2 3 2 2 6 2" xfId="8858" xr:uid="{00000000-0005-0000-0000-000086550000}"/>
    <cellStyle name="40% - Accent6 2 3 2 2 6 2 2" xfId="18854" xr:uid="{00000000-0005-0000-0000-000087550000}"/>
    <cellStyle name="40% - Accent6 2 3 2 2 6 2 2 2" xfId="38254" xr:uid="{00000000-0005-0000-0000-000088550000}"/>
    <cellStyle name="40% - Accent6 2 3 2 2 6 2 3" xfId="28556" xr:uid="{00000000-0005-0000-0000-000089550000}"/>
    <cellStyle name="40% - Accent6 2 3 2 2 6 3" xfId="14399" xr:uid="{00000000-0005-0000-0000-00008A550000}"/>
    <cellStyle name="40% - Accent6 2 3 2 2 6 3 2" xfId="33799" xr:uid="{00000000-0005-0000-0000-00008B550000}"/>
    <cellStyle name="40% - Accent6 2 3 2 2 6 4" xfId="24101" xr:uid="{00000000-0005-0000-0000-00008C550000}"/>
    <cellStyle name="40% - Accent6 2 3 2 2 7" xfId="6064" xr:uid="{00000000-0005-0000-0000-00008D550000}"/>
    <cellStyle name="40% - Accent6 2 3 2 2 7 2" xfId="10528" xr:uid="{00000000-0005-0000-0000-00008E550000}"/>
    <cellStyle name="40% - Accent6 2 3 2 2 7 2 2" xfId="20524" xr:uid="{00000000-0005-0000-0000-00008F550000}"/>
    <cellStyle name="40% - Accent6 2 3 2 2 7 2 2 2" xfId="39924" xr:uid="{00000000-0005-0000-0000-000090550000}"/>
    <cellStyle name="40% - Accent6 2 3 2 2 7 2 3" xfId="30226" xr:uid="{00000000-0005-0000-0000-000091550000}"/>
    <cellStyle name="40% - Accent6 2 3 2 2 7 3" xfId="16069" xr:uid="{00000000-0005-0000-0000-000092550000}"/>
    <cellStyle name="40% - Accent6 2 3 2 2 7 3 2" xfId="35469" xr:uid="{00000000-0005-0000-0000-000093550000}"/>
    <cellStyle name="40% - Accent6 2 3 2 2 7 4" xfId="25771" xr:uid="{00000000-0005-0000-0000-000094550000}"/>
    <cellStyle name="40% - Accent6 2 3 2 2 8" xfId="6630" xr:uid="{00000000-0005-0000-0000-000095550000}"/>
    <cellStyle name="40% - Accent6 2 3 2 2 8 2" xfId="11085" xr:uid="{00000000-0005-0000-0000-000096550000}"/>
    <cellStyle name="40% - Accent6 2 3 2 2 8 2 2" xfId="21081" xr:uid="{00000000-0005-0000-0000-000097550000}"/>
    <cellStyle name="40% - Accent6 2 3 2 2 8 2 2 2" xfId="40481" xr:uid="{00000000-0005-0000-0000-000098550000}"/>
    <cellStyle name="40% - Accent6 2 3 2 2 8 2 3" xfId="30783" xr:uid="{00000000-0005-0000-0000-000099550000}"/>
    <cellStyle name="40% - Accent6 2 3 2 2 8 3" xfId="16626" xr:uid="{00000000-0005-0000-0000-00009A550000}"/>
    <cellStyle name="40% - Accent6 2 3 2 2 8 3 2" xfId="36026" xr:uid="{00000000-0005-0000-0000-00009B550000}"/>
    <cellStyle name="40% - Accent6 2 3 2 2 8 4" xfId="26328" xr:uid="{00000000-0005-0000-0000-00009C550000}"/>
    <cellStyle name="40% - Accent6 2 3 2 2 9" xfId="7187" xr:uid="{00000000-0005-0000-0000-00009D550000}"/>
    <cellStyle name="40% - Accent6 2 3 2 2 9 2" xfId="17183" xr:uid="{00000000-0005-0000-0000-00009E550000}"/>
    <cellStyle name="40% - Accent6 2 3 2 2 9 2 2" xfId="36583" xr:uid="{00000000-0005-0000-0000-00009F550000}"/>
    <cellStyle name="40% - Accent6 2 3 2 2 9 3" xfId="26885" xr:uid="{00000000-0005-0000-0000-0000A0550000}"/>
    <cellStyle name="40% - Accent6 2 3 2 3" xfId="2260" xr:uid="{00000000-0005-0000-0000-0000A1550000}"/>
    <cellStyle name="40% - Accent6 2 3 2 3 2" xfId="3241" xr:uid="{00000000-0005-0000-0000-0000A2550000}"/>
    <cellStyle name="40% - Accent6 2 3 2 3 2 2" xfId="5510" xr:uid="{00000000-0005-0000-0000-0000A3550000}"/>
    <cellStyle name="40% - Accent6 2 3 2 3 2 2 2" xfId="9974" xr:uid="{00000000-0005-0000-0000-0000A4550000}"/>
    <cellStyle name="40% - Accent6 2 3 2 3 2 2 2 2" xfId="19970" xr:uid="{00000000-0005-0000-0000-0000A5550000}"/>
    <cellStyle name="40% - Accent6 2 3 2 3 2 2 2 2 2" xfId="39370" xr:uid="{00000000-0005-0000-0000-0000A6550000}"/>
    <cellStyle name="40% - Accent6 2 3 2 3 2 2 2 3" xfId="29672" xr:uid="{00000000-0005-0000-0000-0000A7550000}"/>
    <cellStyle name="40% - Accent6 2 3 2 3 2 2 3" xfId="15515" xr:uid="{00000000-0005-0000-0000-0000A8550000}"/>
    <cellStyle name="40% - Accent6 2 3 2 3 2 2 3 2" xfId="34915" xr:uid="{00000000-0005-0000-0000-0000A9550000}"/>
    <cellStyle name="40% - Accent6 2 3 2 3 2 2 4" xfId="25217" xr:uid="{00000000-0005-0000-0000-0000AA550000}"/>
    <cellStyle name="40% - Accent6 2 3 2 3 2 3" xfId="7746" xr:uid="{00000000-0005-0000-0000-0000AB550000}"/>
    <cellStyle name="40% - Accent6 2 3 2 3 2 3 2" xfId="17742" xr:uid="{00000000-0005-0000-0000-0000AC550000}"/>
    <cellStyle name="40% - Accent6 2 3 2 3 2 3 2 2" xfId="37142" xr:uid="{00000000-0005-0000-0000-0000AD550000}"/>
    <cellStyle name="40% - Accent6 2 3 2 3 2 3 3" xfId="27444" xr:uid="{00000000-0005-0000-0000-0000AE550000}"/>
    <cellStyle name="40% - Accent6 2 3 2 3 2 4" xfId="13287" xr:uid="{00000000-0005-0000-0000-0000AF550000}"/>
    <cellStyle name="40% - Accent6 2 3 2 3 2 4 2" xfId="32687" xr:uid="{00000000-0005-0000-0000-0000B0550000}"/>
    <cellStyle name="40% - Accent6 2 3 2 3 2 5" xfId="22989" xr:uid="{00000000-0005-0000-0000-0000B1550000}"/>
    <cellStyle name="40% - Accent6 2 3 2 3 3" xfId="3824" xr:uid="{00000000-0005-0000-0000-0000B2550000}"/>
    <cellStyle name="40% - Accent6 2 3 2 3 3 2" xfId="4954" xr:uid="{00000000-0005-0000-0000-0000B3550000}"/>
    <cellStyle name="40% - Accent6 2 3 2 3 3 2 2" xfId="9418" xr:uid="{00000000-0005-0000-0000-0000B4550000}"/>
    <cellStyle name="40% - Accent6 2 3 2 3 3 2 2 2" xfId="19414" xr:uid="{00000000-0005-0000-0000-0000B5550000}"/>
    <cellStyle name="40% - Accent6 2 3 2 3 3 2 2 2 2" xfId="38814" xr:uid="{00000000-0005-0000-0000-0000B6550000}"/>
    <cellStyle name="40% - Accent6 2 3 2 3 3 2 2 3" xfId="29116" xr:uid="{00000000-0005-0000-0000-0000B7550000}"/>
    <cellStyle name="40% - Accent6 2 3 2 3 3 2 3" xfId="14959" xr:uid="{00000000-0005-0000-0000-0000B8550000}"/>
    <cellStyle name="40% - Accent6 2 3 2 3 3 2 3 2" xfId="34359" xr:uid="{00000000-0005-0000-0000-0000B9550000}"/>
    <cellStyle name="40% - Accent6 2 3 2 3 3 2 4" xfId="24661" xr:uid="{00000000-0005-0000-0000-0000BA550000}"/>
    <cellStyle name="40% - Accent6 2 3 2 3 3 3" xfId="8303" xr:uid="{00000000-0005-0000-0000-0000BB550000}"/>
    <cellStyle name="40% - Accent6 2 3 2 3 3 3 2" xfId="18299" xr:uid="{00000000-0005-0000-0000-0000BC550000}"/>
    <cellStyle name="40% - Accent6 2 3 2 3 3 3 2 2" xfId="37699" xr:uid="{00000000-0005-0000-0000-0000BD550000}"/>
    <cellStyle name="40% - Accent6 2 3 2 3 3 3 3" xfId="28001" xr:uid="{00000000-0005-0000-0000-0000BE550000}"/>
    <cellStyle name="40% - Accent6 2 3 2 3 3 4" xfId="13844" xr:uid="{00000000-0005-0000-0000-0000BF550000}"/>
    <cellStyle name="40% - Accent6 2 3 2 3 3 4 2" xfId="33244" xr:uid="{00000000-0005-0000-0000-0000C0550000}"/>
    <cellStyle name="40% - Accent6 2 3 2 3 3 5" xfId="23546" xr:uid="{00000000-0005-0000-0000-0000C1550000}"/>
    <cellStyle name="40% - Accent6 2 3 2 3 4" xfId="4397" xr:uid="{00000000-0005-0000-0000-0000C2550000}"/>
    <cellStyle name="40% - Accent6 2 3 2 3 4 2" xfId="8861" xr:uid="{00000000-0005-0000-0000-0000C3550000}"/>
    <cellStyle name="40% - Accent6 2 3 2 3 4 2 2" xfId="18857" xr:uid="{00000000-0005-0000-0000-0000C4550000}"/>
    <cellStyle name="40% - Accent6 2 3 2 3 4 2 2 2" xfId="38257" xr:uid="{00000000-0005-0000-0000-0000C5550000}"/>
    <cellStyle name="40% - Accent6 2 3 2 3 4 2 3" xfId="28559" xr:uid="{00000000-0005-0000-0000-0000C6550000}"/>
    <cellStyle name="40% - Accent6 2 3 2 3 4 3" xfId="14402" xr:uid="{00000000-0005-0000-0000-0000C7550000}"/>
    <cellStyle name="40% - Accent6 2 3 2 3 4 3 2" xfId="33802" xr:uid="{00000000-0005-0000-0000-0000C8550000}"/>
    <cellStyle name="40% - Accent6 2 3 2 3 4 4" xfId="24104" xr:uid="{00000000-0005-0000-0000-0000C9550000}"/>
    <cellStyle name="40% - Accent6 2 3 2 3 5" xfId="6067" xr:uid="{00000000-0005-0000-0000-0000CA550000}"/>
    <cellStyle name="40% - Accent6 2 3 2 3 5 2" xfId="10531" xr:uid="{00000000-0005-0000-0000-0000CB550000}"/>
    <cellStyle name="40% - Accent6 2 3 2 3 5 2 2" xfId="20527" xr:uid="{00000000-0005-0000-0000-0000CC550000}"/>
    <cellStyle name="40% - Accent6 2 3 2 3 5 2 2 2" xfId="39927" xr:uid="{00000000-0005-0000-0000-0000CD550000}"/>
    <cellStyle name="40% - Accent6 2 3 2 3 5 2 3" xfId="30229" xr:uid="{00000000-0005-0000-0000-0000CE550000}"/>
    <cellStyle name="40% - Accent6 2 3 2 3 5 3" xfId="16072" xr:uid="{00000000-0005-0000-0000-0000CF550000}"/>
    <cellStyle name="40% - Accent6 2 3 2 3 5 3 2" xfId="35472" xr:uid="{00000000-0005-0000-0000-0000D0550000}"/>
    <cellStyle name="40% - Accent6 2 3 2 3 5 4" xfId="25774" xr:uid="{00000000-0005-0000-0000-0000D1550000}"/>
    <cellStyle name="40% - Accent6 2 3 2 3 6" xfId="6633" xr:uid="{00000000-0005-0000-0000-0000D2550000}"/>
    <cellStyle name="40% - Accent6 2 3 2 3 6 2" xfId="11088" xr:uid="{00000000-0005-0000-0000-0000D3550000}"/>
    <cellStyle name="40% - Accent6 2 3 2 3 6 2 2" xfId="21084" xr:uid="{00000000-0005-0000-0000-0000D4550000}"/>
    <cellStyle name="40% - Accent6 2 3 2 3 6 2 2 2" xfId="40484" xr:uid="{00000000-0005-0000-0000-0000D5550000}"/>
    <cellStyle name="40% - Accent6 2 3 2 3 6 2 3" xfId="30786" xr:uid="{00000000-0005-0000-0000-0000D6550000}"/>
    <cellStyle name="40% - Accent6 2 3 2 3 6 3" xfId="16629" xr:uid="{00000000-0005-0000-0000-0000D7550000}"/>
    <cellStyle name="40% - Accent6 2 3 2 3 6 3 2" xfId="36029" xr:uid="{00000000-0005-0000-0000-0000D8550000}"/>
    <cellStyle name="40% - Accent6 2 3 2 3 6 4" xfId="26331" xr:uid="{00000000-0005-0000-0000-0000D9550000}"/>
    <cellStyle name="40% - Accent6 2 3 2 3 7" xfId="7190" xr:uid="{00000000-0005-0000-0000-0000DA550000}"/>
    <cellStyle name="40% - Accent6 2 3 2 3 7 2" xfId="17186" xr:uid="{00000000-0005-0000-0000-0000DB550000}"/>
    <cellStyle name="40% - Accent6 2 3 2 3 7 2 2" xfId="36586" xr:uid="{00000000-0005-0000-0000-0000DC550000}"/>
    <cellStyle name="40% - Accent6 2 3 2 3 7 3" xfId="26888" xr:uid="{00000000-0005-0000-0000-0000DD550000}"/>
    <cellStyle name="40% - Accent6 2 3 2 3 8" xfId="12730" xr:uid="{00000000-0005-0000-0000-0000DE550000}"/>
    <cellStyle name="40% - Accent6 2 3 2 3 8 2" xfId="32131" xr:uid="{00000000-0005-0000-0000-0000DF550000}"/>
    <cellStyle name="40% - Accent6 2 3 2 3 9" xfId="22433" xr:uid="{00000000-0005-0000-0000-0000E0550000}"/>
    <cellStyle name="40% - Accent6 2 3 2 4" xfId="2261" xr:uid="{00000000-0005-0000-0000-0000E1550000}"/>
    <cellStyle name="40% - Accent6 2 3 2 4 2" xfId="3242" xr:uid="{00000000-0005-0000-0000-0000E2550000}"/>
    <cellStyle name="40% - Accent6 2 3 2 4 2 2" xfId="5511" xr:uid="{00000000-0005-0000-0000-0000E3550000}"/>
    <cellStyle name="40% - Accent6 2 3 2 4 2 2 2" xfId="9975" xr:uid="{00000000-0005-0000-0000-0000E4550000}"/>
    <cellStyle name="40% - Accent6 2 3 2 4 2 2 2 2" xfId="19971" xr:uid="{00000000-0005-0000-0000-0000E5550000}"/>
    <cellStyle name="40% - Accent6 2 3 2 4 2 2 2 2 2" xfId="39371" xr:uid="{00000000-0005-0000-0000-0000E6550000}"/>
    <cellStyle name="40% - Accent6 2 3 2 4 2 2 2 3" xfId="29673" xr:uid="{00000000-0005-0000-0000-0000E7550000}"/>
    <cellStyle name="40% - Accent6 2 3 2 4 2 2 3" xfId="15516" xr:uid="{00000000-0005-0000-0000-0000E8550000}"/>
    <cellStyle name="40% - Accent6 2 3 2 4 2 2 3 2" xfId="34916" xr:uid="{00000000-0005-0000-0000-0000E9550000}"/>
    <cellStyle name="40% - Accent6 2 3 2 4 2 2 4" xfId="25218" xr:uid="{00000000-0005-0000-0000-0000EA550000}"/>
    <cellStyle name="40% - Accent6 2 3 2 4 2 3" xfId="7747" xr:uid="{00000000-0005-0000-0000-0000EB550000}"/>
    <cellStyle name="40% - Accent6 2 3 2 4 2 3 2" xfId="17743" xr:uid="{00000000-0005-0000-0000-0000EC550000}"/>
    <cellStyle name="40% - Accent6 2 3 2 4 2 3 2 2" xfId="37143" xr:uid="{00000000-0005-0000-0000-0000ED550000}"/>
    <cellStyle name="40% - Accent6 2 3 2 4 2 3 3" xfId="27445" xr:uid="{00000000-0005-0000-0000-0000EE550000}"/>
    <cellStyle name="40% - Accent6 2 3 2 4 2 4" xfId="13288" xr:uid="{00000000-0005-0000-0000-0000EF550000}"/>
    <cellStyle name="40% - Accent6 2 3 2 4 2 4 2" xfId="32688" xr:uid="{00000000-0005-0000-0000-0000F0550000}"/>
    <cellStyle name="40% - Accent6 2 3 2 4 2 5" xfId="22990" xr:uid="{00000000-0005-0000-0000-0000F1550000}"/>
    <cellStyle name="40% - Accent6 2 3 2 4 3" xfId="3825" xr:uid="{00000000-0005-0000-0000-0000F2550000}"/>
    <cellStyle name="40% - Accent6 2 3 2 4 3 2" xfId="4955" xr:uid="{00000000-0005-0000-0000-0000F3550000}"/>
    <cellStyle name="40% - Accent6 2 3 2 4 3 2 2" xfId="9419" xr:uid="{00000000-0005-0000-0000-0000F4550000}"/>
    <cellStyle name="40% - Accent6 2 3 2 4 3 2 2 2" xfId="19415" xr:uid="{00000000-0005-0000-0000-0000F5550000}"/>
    <cellStyle name="40% - Accent6 2 3 2 4 3 2 2 2 2" xfId="38815" xr:uid="{00000000-0005-0000-0000-0000F6550000}"/>
    <cellStyle name="40% - Accent6 2 3 2 4 3 2 2 3" xfId="29117" xr:uid="{00000000-0005-0000-0000-0000F7550000}"/>
    <cellStyle name="40% - Accent6 2 3 2 4 3 2 3" xfId="14960" xr:uid="{00000000-0005-0000-0000-0000F8550000}"/>
    <cellStyle name="40% - Accent6 2 3 2 4 3 2 3 2" xfId="34360" xr:uid="{00000000-0005-0000-0000-0000F9550000}"/>
    <cellStyle name="40% - Accent6 2 3 2 4 3 2 4" xfId="24662" xr:uid="{00000000-0005-0000-0000-0000FA550000}"/>
    <cellStyle name="40% - Accent6 2 3 2 4 3 3" xfId="8304" xr:uid="{00000000-0005-0000-0000-0000FB550000}"/>
    <cellStyle name="40% - Accent6 2 3 2 4 3 3 2" xfId="18300" xr:uid="{00000000-0005-0000-0000-0000FC550000}"/>
    <cellStyle name="40% - Accent6 2 3 2 4 3 3 2 2" xfId="37700" xr:uid="{00000000-0005-0000-0000-0000FD550000}"/>
    <cellStyle name="40% - Accent6 2 3 2 4 3 3 3" xfId="28002" xr:uid="{00000000-0005-0000-0000-0000FE550000}"/>
    <cellStyle name="40% - Accent6 2 3 2 4 3 4" xfId="13845" xr:uid="{00000000-0005-0000-0000-0000FF550000}"/>
    <cellStyle name="40% - Accent6 2 3 2 4 3 4 2" xfId="33245" xr:uid="{00000000-0005-0000-0000-000000560000}"/>
    <cellStyle name="40% - Accent6 2 3 2 4 3 5" xfId="23547" xr:uid="{00000000-0005-0000-0000-000001560000}"/>
    <cellStyle name="40% - Accent6 2 3 2 4 4" xfId="4398" xr:uid="{00000000-0005-0000-0000-000002560000}"/>
    <cellStyle name="40% - Accent6 2 3 2 4 4 2" xfId="8862" xr:uid="{00000000-0005-0000-0000-000003560000}"/>
    <cellStyle name="40% - Accent6 2 3 2 4 4 2 2" xfId="18858" xr:uid="{00000000-0005-0000-0000-000004560000}"/>
    <cellStyle name="40% - Accent6 2 3 2 4 4 2 2 2" xfId="38258" xr:uid="{00000000-0005-0000-0000-000005560000}"/>
    <cellStyle name="40% - Accent6 2 3 2 4 4 2 3" xfId="28560" xr:uid="{00000000-0005-0000-0000-000006560000}"/>
    <cellStyle name="40% - Accent6 2 3 2 4 4 3" xfId="14403" xr:uid="{00000000-0005-0000-0000-000007560000}"/>
    <cellStyle name="40% - Accent6 2 3 2 4 4 3 2" xfId="33803" xr:uid="{00000000-0005-0000-0000-000008560000}"/>
    <cellStyle name="40% - Accent6 2 3 2 4 4 4" xfId="24105" xr:uid="{00000000-0005-0000-0000-000009560000}"/>
    <cellStyle name="40% - Accent6 2 3 2 4 5" xfId="6068" xr:uid="{00000000-0005-0000-0000-00000A560000}"/>
    <cellStyle name="40% - Accent6 2 3 2 4 5 2" xfId="10532" xr:uid="{00000000-0005-0000-0000-00000B560000}"/>
    <cellStyle name="40% - Accent6 2 3 2 4 5 2 2" xfId="20528" xr:uid="{00000000-0005-0000-0000-00000C560000}"/>
    <cellStyle name="40% - Accent6 2 3 2 4 5 2 2 2" xfId="39928" xr:uid="{00000000-0005-0000-0000-00000D560000}"/>
    <cellStyle name="40% - Accent6 2 3 2 4 5 2 3" xfId="30230" xr:uid="{00000000-0005-0000-0000-00000E560000}"/>
    <cellStyle name="40% - Accent6 2 3 2 4 5 3" xfId="16073" xr:uid="{00000000-0005-0000-0000-00000F560000}"/>
    <cellStyle name="40% - Accent6 2 3 2 4 5 3 2" xfId="35473" xr:uid="{00000000-0005-0000-0000-000010560000}"/>
    <cellStyle name="40% - Accent6 2 3 2 4 5 4" xfId="25775" xr:uid="{00000000-0005-0000-0000-000011560000}"/>
    <cellStyle name="40% - Accent6 2 3 2 4 6" xfId="6634" xr:uid="{00000000-0005-0000-0000-000012560000}"/>
    <cellStyle name="40% - Accent6 2 3 2 4 6 2" xfId="11089" xr:uid="{00000000-0005-0000-0000-000013560000}"/>
    <cellStyle name="40% - Accent6 2 3 2 4 6 2 2" xfId="21085" xr:uid="{00000000-0005-0000-0000-000014560000}"/>
    <cellStyle name="40% - Accent6 2 3 2 4 6 2 2 2" xfId="40485" xr:uid="{00000000-0005-0000-0000-000015560000}"/>
    <cellStyle name="40% - Accent6 2 3 2 4 6 2 3" xfId="30787" xr:uid="{00000000-0005-0000-0000-000016560000}"/>
    <cellStyle name="40% - Accent6 2 3 2 4 6 3" xfId="16630" xr:uid="{00000000-0005-0000-0000-000017560000}"/>
    <cellStyle name="40% - Accent6 2 3 2 4 6 3 2" xfId="36030" xr:uid="{00000000-0005-0000-0000-000018560000}"/>
    <cellStyle name="40% - Accent6 2 3 2 4 6 4" xfId="26332" xr:uid="{00000000-0005-0000-0000-000019560000}"/>
    <cellStyle name="40% - Accent6 2 3 2 4 7" xfId="7191" xr:uid="{00000000-0005-0000-0000-00001A560000}"/>
    <cellStyle name="40% - Accent6 2 3 2 4 7 2" xfId="17187" xr:uid="{00000000-0005-0000-0000-00001B560000}"/>
    <cellStyle name="40% - Accent6 2 3 2 4 7 2 2" xfId="36587" xr:uid="{00000000-0005-0000-0000-00001C560000}"/>
    <cellStyle name="40% - Accent6 2 3 2 4 7 3" xfId="26889" xr:uid="{00000000-0005-0000-0000-00001D560000}"/>
    <cellStyle name="40% - Accent6 2 3 2 4 8" xfId="12731" xr:uid="{00000000-0005-0000-0000-00001E560000}"/>
    <cellStyle name="40% - Accent6 2 3 2 4 8 2" xfId="32132" xr:uid="{00000000-0005-0000-0000-00001F560000}"/>
    <cellStyle name="40% - Accent6 2 3 2 4 9" xfId="22434" xr:uid="{00000000-0005-0000-0000-000020560000}"/>
    <cellStyle name="40% - Accent6 2 3 2 5" xfId="3237" xr:uid="{00000000-0005-0000-0000-000021560000}"/>
    <cellStyle name="40% - Accent6 2 3 2 5 2" xfId="5506" xr:uid="{00000000-0005-0000-0000-000022560000}"/>
    <cellStyle name="40% - Accent6 2 3 2 5 2 2" xfId="9970" xr:uid="{00000000-0005-0000-0000-000023560000}"/>
    <cellStyle name="40% - Accent6 2 3 2 5 2 2 2" xfId="19966" xr:uid="{00000000-0005-0000-0000-000024560000}"/>
    <cellStyle name="40% - Accent6 2 3 2 5 2 2 2 2" xfId="39366" xr:uid="{00000000-0005-0000-0000-000025560000}"/>
    <cellStyle name="40% - Accent6 2 3 2 5 2 2 3" xfId="29668" xr:uid="{00000000-0005-0000-0000-000026560000}"/>
    <cellStyle name="40% - Accent6 2 3 2 5 2 3" xfId="15511" xr:uid="{00000000-0005-0000-0000-000027560000}"/>
    <cellStyle name="40% - Accent6 2 3 2 5 2 3 2" xfId="34911" xr:uid="{00000000-0005-0000-0000-000028560000}"/>
    <cellStyle name="40% - Accent6 2 3 2 5 2 4" xfId="25213" xr:uid="{00000000-0005-0000-0000-000029560000}"/>
    <cellStyle name="40% - Accent6 2 3 2 5 3" xfId="7742" xr:uid="{00000000-0005-0000-0000-00002A560000}"/>
    <cellStyle name="40% - Accent6 2 3 2 5 3 2" xfId="17738" xr:uid="{00000000-0005-0000-0000-00002B560000}"/>
    <cellStyle name="40% - Accent6 2 3 2 5 3 2 2" xfId="37138" xr:uid="{00000000-0005-0000-0000-00002C560000}"/>
    <cellStyle name="40% - Accent6 2 3 2 5 3 3" xfId="27440" xr:uid="{00000000-0005-0000-0000-00002D560000}"/>
    <cellStyle name="40% - Accent6 2 3 2 5 4" xfId="13283" xr:uid="{00000000-0005-0000-0000-00002E560000}"/>
    <cellStyle name="40% - Accent6 2 3 2 5 4 2" xfId="32683" xr:uid="{00000000-0005-0000-0000-00002F560000}"/>
    <cellStyle name="40% - Accent6 2 3 2 5 5" xfId="22985" xr:uid="{00000000-0005-0000-0000-000030560000}"/>
    <cellStyle name="40% - Accent6 2 3 2 6" xfId="3820" xr:uid="{00000000-0005-0000-0000-000031560000}"/>
    <cellStyle name="40% - Accent6 2 3 2 6 2" xfId="4950" xr:uid="{00000000-0005-0000-0000-000032560000}"/>
    <cellStyle name="40% - Accent6 2 3 2 6 2 2" xfId="9414" xr:uid="{00000000-0005-0000-0000-000033560000}"/>
    <cellStyle name="40% - Accent6 2 3 2 6 2 2 2" xfId="19410" xr:uid="{00000000-0005-0000-0000-000034560000}"/>
    <cellStyle name="40% - Accent6 2 3 2 6 2 2 2 2" xfId="38810" xr:uid="{00000000-0005-0000-0000-000035560000}"/>
    <cellStyle name="40% - Accent6 2 3 2 6 2 2 3" xfId="29112" xr:uid="{00000000-0005-0000-0000-000036560000}"/>
    <cellStyle name="40% - Accent6 2 3 2 6 2 3" xfId="14955" xr:uid="{00000000-0005-0000-0000-000037560000}"/>
    <cellStyle name="40% - Accent6 2 3 2 6 2 3 2" xfId="34355" xr:uid="{00000000-0005-0000-0000-000038560000}"/>
    <cellStyle name="40% - Accent6 2 3 2 6 2 4" xfId="24657" xr:uid="{00000000-0005-0000-0000-000039560000}"/>
    <cellStyle name="40% - Accent6 2 3 2 6 3" xfId="8299" xr:uid="{00000000-0005-0000-0000-00003A560000}"/>
    <cellStyle name="40% - Accent6 2 3 2 6 3 2" xfId="18295" xr:uid="{00000000-0005-0000-0000-00003B560000}"/>
    <cellStyle name="40% - Accent6 2 3 2 6 3 2 2" xfId="37695" xr:uid="{00000000-0005-0000-0000-00003C560000}"/>
    <cellStyle name="40% - Accent6 2 3 2 6 3 3" xfId="27997" xr:uid="{00000000-0005-0000-0000-00003D560000}"/>
    <cellStyle name="40% - Accent6 2 3 2 6 4" xfId="13840" xr:uid="{00000000-0005-0000-0000-00003E560000}"/>
    <cellStyle name="40% - Accent6 2 3 2 6 4 2" xfId="33240" xr:uid="{00000000-0005-0000-0000-00003F560000}"/>
    <cellStyle name="40% - Accent6 2 3 2 6 5" xfId="23542" xr:uid="{00000000-0005-0000-0000-000040560000}"/>
    <cellStyle name="40% - Accent6 2 3 2 7" xfId="4393" xr:uid="{00000000-0005-0000-0000-000041560000}"/>
    <cellStyle name="40% - Accent6 2 3 2 7 2" xfId="8857" xr:uid="{00000000-0005-0000-0000-000042560000}"/>
    <cellStyle name="40% - Accent6 2 3 2 7 2 2" xfId="18853" xr:uid="{00000000-0005-0000-0000-000043560000}"/>
    <cellStyle name="40% - Accent6 2 3 2 7 2 2 2" xfId="38253" xr:uid="{00000000-0005-0000-0000-000044560000}"/>
    <cellStyle name="40% - Accent6 2 3 2 7 2 3" xfId="28555" xr:uid="{00000000-0005-0000-0000-000045560000}"/>
    <cellStyle name="40% - Accent6 2 3 2 7 3" xfId="14398" xr:uid="{00000000-0005-0000-0000-000046560000}"/>
    <cellStyle name="40% - Accent6 2 3 2 7 3 2" xfId="33798" xr:uid="{00000000-0005-0000-0000-000047560000}"/>
    <cellStyle name="40% - Accent6 2 3 2 7 4" xfId="24100" xr:uid="{00000000-0005-0000-0000-000048560000}"/>
    <cellStyle name="40% - Accent6 2 3 2 8" xfId="6063" xr:uid="{00000000-0005-0000-0000-000049560000}"/>
    <cellStyle name="40% - Accent6 2 3 2 8 2" xfId="10527" xr:uid="{00000000-0005-0000-0000-00004A560000}"/>
    <cellStyle name="40% - Accent6 2 3 2 8 2 2" xfId="20523" xr:uid="{00000000-0005-0000-0000-00004B560000}"/>
    <cellStyle name="40% - Accent6 2 3 2 8 2 2 2" xfId="39923" xr:uid="{00000000-0005-0000-0000-00004C560000}"/>
    <cellStyle name="40% - Accent6 2 3 2 8 2 3" xfId="30225" xr:uid="{00000000-0005-0000-0000-00004D560000}"/>
    <cellStyle name="40% - Accent6 2 3 2 8 3" xfId="16068" xr:uid="{00000000-0005-0000-0000-00004E560000}"/>
    <cellStyle name="40% - Accent6 2 3 2 8 3 2" xfId="35468" xr:uid="{00000000-0005-0000-0000-00004F560000}"/>
    <cellStyle name="40% - Accent6 2 3 2 8 4" xfId="25770" xr:uid="{00000000-0005-0000-0000-000050560000}"/>
    <cellStyle name="40% - Accent6 2 3 2 9" xfId="6629" xr:uid="{00000000-0005-0000-0000-000051560000}"/>
    <cellStyle name="40% - Accent6 2 3 2 9 2" xfId="11084" xr:uid="{00000000-0005-0000-0000-000052560000}"/>
    <cellStyle name="40% - Accent6 2 3 2 9 2 2" xfId="21080" xr:uid="{00000000-0005-0000-0000-000053560000}"/>
    <cellStyle name="40% - Accent6 2 3 2 9 2 2 2" xfId="40480" xr:uid="{00000000-0005-0000-0000-000054560000}"/>
    <cellStyle name="40% - Accent6 2 3 2 9 2 3" xfId="30782" xr:uid="{00000000-0005-0000-0000-000055560000}"/>
    <cellStyle name="40% - Accent6 2 3 2 9 3" xfId="16625" xr:uid="{00000000-0005-0000-0000-000056560000}"/>
    <cellStyle name="40% - Accent6 2 3 2 9 3 2" xfId="36025" xr:uid="{00000000-0005-0000-0000-000057560000}"/>
    <cellStyle name="40% - Accent6 2 3 2 9 4" xfId="26327" xr:uid="{00000000-0005-0000-0000-000058560000}"/>
    <cellStyle name="40% - Accent6 2 3 3" xfId="2262" xr:uid="{00000000-0005-0000-0000-000059560000}"/>
    <cellStyle name="40% - Accent6 2 3 3 10" xfId="12732" xr:uid="{00000000-0005-0000-0000-00005A560000}"/>
    <cellStyle name="40% - Accent6 2 3 3 10 2" xfId="32133" xr:uid="{00000000-0005-0000-0000-00005B560000}"/>
    <cellStyle name="40% - Accent6 2 3 3 11" xfId="22435" xr:uid="{00000000-0005-0000-0000-00005C560000}"/>
    <cellStyle name="40% - Accent6 2 3 3 2" xfId="2263" xr:uid="{00000000-0005-0000-0000-00005D560000}"/>
    <cellStyle name="40% - Accent6 2 3 3 2 2" xfId="3244" xr:uid="{00000000-0005-0000-0000-00005E560000}"/>
    <cellStyle name="40% - Accent6 2 3 3 2 2 2" xfId="5513" xr:uid="{00000000-0005-0000-0000-00005F560000}"/>
    <cellStyle name="40% - Accent6 2 3 3 2 2 2 2" xfId="9977" xr:uid="{00000000-0005-0000-0000-000060560000}"/>
    <cellStyle name="40% - Accent6 2 3 3 2 2 2 2 2" xfId="19973" xr:uid="{00000000-0005-0000-0000-000061560000}"/>
    <cellStyle name="40% - Accent6 2 3 3 2 2 2 2 2 2" xfId="39373" xr:uid="{00000000-0005-0000-0000-000062560000}"/>
    <cellStyle name="40% - Accent6 2 3 3 2 2 2 2 3" xfId="29675" xr:uid="{00000000-0005-0000-0000-000063560000}"/>
    <cellStyle name="40% - Accent6 2 3 3 2 2 2 3" xfId="15518" xr:uid="{00000000-0005-0000-0000-000064560000}"/>
    <cellStyle name="40% - Accent6 2 3 3 2 2 2 3 2" xfId="34918" xr:uid="{00000000-0005-0000-0000-000065560000}"/>
    <cellStyle name="40% - Accent6 2 3 3 2 2 2 4" xfId="25220" xr:uid="{00000000-0005-0000-0000-000066560000}"/>
    <cellStyle name="40% - Accent6 2 3 3 2 2 3" xfId="7749" xr:uid="{00000000-0005-0000-0000-000067560000}"/>
    <cellStyle name="40% - Accent6 2 3 3 2 2 3 2" xfId="17745" xr:uid="{00000000-0005-0000-0000-000068560000}"/>
    <cellStyle name="40% - Accent6 2 3 3 2 2 3 2 2" xfId="37145" xr:uid="{00000000-0005-0000-0000-000069560000}"/>
    <cellStyle name="40% - Accent6 2 3 3 2 2 3 3" xfId="27447" xr:uid="{00000000-0005-0000-0000-00006A560000}"/>
    <cellStyle name="40% - Accent6 2 3 3 2 2 4" xfId="13290" xr:uid="{00000000-0005-0000-0000-00006B560000}"/>
    <cellStyle name="40% - Accent6 2 3 3 2 2 4 2" xfId="32690" xr:uid="{00000000-0005-0000-0000-00006C560000}"/>
    <cellStyle name="40% - Accent6 2 3 3 2 2 5" xfId="22992" xr:uid="{00000000-0005-0000-0000-00006D560000}"/>
    <cellStyle name="40% - Accent6 2 3 3 2 3" xfId="3827" xr:uid="{00000000-0005-0000-0000-00006E560000}"/>
    <cellStyle name="40% - Accent6 2 3 3 2 3 2" xfId="4957" xr:uid="{00000000-0005-0000-0000-00006F560000}"/>
    <cellStyle name="40% - Accent6 2 3 3 2 3 2 2" xfId="9421" xr:uid="{00000000-0005-0000-0000-000070560000}"/>
    <cellStyle name="40% - Accent6 2 3 3 2 3 2 2 2" xfId="19417" xr:uid="{00000000-0005-0000-0000-000071560000}"/>
    <cellStyle name="40% - Accent6 2 3 3 2 3 2 2 2 2" xfId="38817" xr:uid="{00000000-0005-0000-0000-000072560000}"/>
    <cellStyle name="40% - Accent6 2 3 3 2 3 2 2 3" xfId="29119" xr:uid="{00000000-0005-0000-0000-000073560000}"/>
    <cellStyle name="40% - Accent6 2 3 3 2 3 2 3" xfId="14962" xr:uid="{00000000-0005-0000-0000-000074560000}"/>
    <cellStyle name="40% - Accent6 2 3 3 2 3 2 3 2" xfId="34362" xr:uid="{00000000-0005-0000-0000-000075560000}"/>
    <cellStyle name="40% - Accent6 2 3 3 2 3 2 4" xfId="24664" xr:uid="{00000000-0005-0000-0000-000076560000}"/>
    <cellStyle name="40% - Accent6 2 3 3 2 3 3" xfId="8306" xr:uid="{00000000-0005-0000-0000-000077560000}"/>
    <cellStyle name="40% - Accent6 2 3 3 2 3 3 2" xfId="18302" xr:uid="{00000000-0005-0000-0000-000078560000}"/>
    <cellStyle name="40% - Accent6 2 3 3 2 3 3 2 2" xfId="37702" xr:uid="{00000000-0005-0000-0000-000079560000}"/>
    <cellStyle name="40% - Accent6 2 3 3 2 3 3 3" xfId="28004" xr:uid="{00000000-0005-0000-0000-00007A560000}"/>
    <cellStyle name="40% - Accent6 2 3 3 2 3 4" xfId="13847" xr:uid="{00000000-0005-0000-0000-00007B560000}"/>
    <cellStyle name="40% - Accent6 2 3 3 2 3 4 2" xfId="33247" xr:uid="{00000000-0005-0000-0000-00007C560000}"/>
    <cellStyle name="40% - Accent6 2 3 3 2 3 5" xfId="23549" xr:uid="{00000000-0005-0000-0000-00007D560000}"/>
    <cellStyle name="40% - Accent6 2 3 3 2 4" xfId="4400" xr:uid="{00000000-0005-0000-0000-00007E560000}"/>
    <cellStyle name="40% - Accent6 2 3 3 2 4 2" xfId="8864" xr:uid="{00000000-0005-0000-0000-00007F560000}"/>
    <cellStyle name="40% - Accent6 2 3 3 2 4 2 2" xfId="18860" xr:uid="{00000000-0005-0000-0000-000080560000}"/>
    <cellStyle name="40% - Accent6 2 3 3 2 4 2 2 2" xfId="38260" xr:uid="{00000000-0005-0000-0000-000081560000}"/>
    <cellStyle name="40% - Accent6 2 3 3 2 4 2 3" xfId="28562" xr:uid="{00000000-0005-0000-0000-000082560000}"/>
    <cellStyle name="40% - Accent6 2 3 3 2 4 3" xfId="14405" xr:uid="{00000000-0005-0000-0000-000083560000}"/>
    <cellStyle name="40% - Accent6 2 3 3 2 4 3 2" xfId="33805" xr:uid="{00000000-0005-0000-0000-000084560000}"/>
    <cellStyle name="40% - Accent6 2 3 3 2 4 4" xfId="24107" xr:uid="{00000000-0005-0000-0000-000085560000}"/>
    <cellStyle name="40% - Accent6 2 3 3 2 5" xfId="6070" xr:uid="{00000000-0005-0000-0000-000086560000}"/>
    <cellStyle name="40% - Accent6 2 3 3 2 5 2" xfId="10534" xr:uid="{00000000-0005-0000-0000-000087560000}"/>
    <cellStyle name="40% - Accent6 2 3 3 2 5 2 2" xfId="20530" xr:uid="{00000000-0005-0000-0000-000088560000}"/>
    <cellStyle name="40% - Accent6 2 3 3 2 5 2 2 2" xfId="39930" xr:uid="{00000000-0005-0000-0000-000089560000}"/>
    <cellStyle name="40% - Accent6 2 3 3 2 5 2 3" xfId="30232" xr:uid="{00000000-0005-0000-0000-00008A560000}"/>
    <cellStyle name="40% - Accent6 2 3 3 2 5 3" xfId="16075" xr:uid="{00000000-0005-0000-0000-00008B560000}"/>
    <cellStyle name="40% - Accent6 2 3 3 2 5 3 2" xfId="35475" xr:uid="{00000000-0005-0000-0000-00008C560000}"/>
    <cellStyle name="40% - Accent6 2 3 3 2 5 4" xfId="25777" xr:uid="{00000000-0005-0000-0000-00008D560000}"/>
    <cellStyle name="40% - Accent6 2 3 3 2 6" xfId="6636" xr:uid="{00000000-0005-0000-0000-00008E560000}"/>
    <cellStyle name="40% - Accent6 2 3 3 2 6 2" xfId="11091" xr:uid="{00000000-0005-0000-0000-00008F560000}"/>
    <cellStyle name="40% - Accent6 2 3 3 2 6 2 2" xfId="21087" xr:uid="{00000000-0005-0000-0000-000090560000}"/>
    <cellStyle name="40% - Accent6 2 3 3 2 6 2 2 2" xfId="40487" xr:uid="{00000000-0005-0000-0000-000091560000}"/>
    <cellStyle name="40% - Accent6 2 3 3 2 6 2 3" xfId="30789" xr:uid="{00000000-0005-0000-0000-000092560000}"/>
    <cellStyle name="40% - Accent6 2 3 3 2 6 3" xfId="16632" xr:uid="{00000000-0005-0000-0000-000093560000}"/>
    <cellStyle name="40% - Accent6 2 3 3 2 6 3 2" xfId="36032" xr:uid="{00000000-0005-0000-0000-000094560000}"/>
    <cellStyle name="40% - Accent6 2 3 3 2 6 4" xfId="26334" xr:uid="{00000000-0005-0000-0000-000095560000}"/>
    <cellStyle name="40% - Accent6 2 3 3 2 7" xfId="7193" xr:uid="{00000000-0005-0000-0000-000096560000}"/>
    <cellStyle name="40% - Accent6 2 3 3 2 7 2" xfId="17189" xr:uid="{00000000-0005-0000-0000-000097560000}"/>
    <cellStyle name="40% - Accent6 2 3 3 2 7 2 2" xfId="36589" xr:uid="{00000000-0005-0000-0000-000098560000}"/>
    <cellStyle name="40% - Accent6 2 3 3 2 7 3" xfId="26891" xr:uid="{00000000-0005-0000-0000-000099560000}"/>
    <cellStyle name="40% - Accent6 2 3 3 2 8" xfId="12733" xr:uid="{00000000-0005-0000-0000-00009A560000}"/>
    <cellStyle name="40% - Accent6 2 3 3 2 8 2" xfId="32134" xr:uid="{00000000-0005-0000-0000-00009B560000}"/>
    <cellStyle name="40% - Accent6 2 3 3 2 9" xfId="22436" xr:uid="{00000000-0005-0000-0000-00009C560000}"/>
    <cellStyle name="40% - Accent6 2 3 3 3" xfId="2264" xr:uid="{00000000-0005-0000-0000-00009D560000}"/>
    <cellStyle name="40% - Accent6 2 3 3 3 2" xfId="3245" xr:uid="{00000000-0005-0000-0000-00009E560000}"/>
    <cellStyle name="40% - Accent6 2 3 3 3 2 2" xfId="5514" xr:uid="{00000000-0005-0000-0000-00009F560000}"/>
    <cellStyle name="40% - Accent6 2 3 3 3 2 2 2" xfId="9978" xr:uid="{00000000-0005-0000-0000-0000A0560000}"/>
    <cellStyle name="40% - Accent6 2 3 3 3 2 2 2 2" xfId="19974" xr:uid="{00000000-0005-0000-0000-0000A1560000}"/>
    <cellStyle name="40% - Accent6 2 3 3 3 2 2 2 2 2" xfId="39374" xr:uid="{00000000-0005-0000-0000-0000A2560000}"/>
    <cellStyle name="40% - Accent6 2 3 3 3 2 2 2 3" xfId="29676" xr:uid="{00000000-0005-0000-0000-0000A3560000}"/>
    <cellStyle name="40% - Accent6 2 3 3 3 2 2 3" xfId="15519" xr:uid="{00000000-0005-0000-0000-0000A4560000}"/>
    <cellStyle name="40% - Accent6 2 3 3 3 2 2 3 2" xfId="34919" xr:uid="{00000000-0005-0000-0000-0000A5560000}"/>
    <cellStyle name="40% - Accent6 2 3 3 3 2 2 4" xfId="25221" xr:uid="{00000000-0005-0000-0000-0000A6560000}"/>
    <cellStyle name="40% - Accent6 2 3 3 3 2 3" xfId="7750" xr:uid="{00000000-0005-0000-0000-0000A7560000}"/>
    <cellStyle name="40% - Accent6 2 3 3 3 2 3 2" xfId="17746" xr:uid="{00000000-0005-0000-0000-0000A8560000}"/>
    <cellStyle name="40% - Accent6 2 3 3 3 2 3 2 2" xfId="37146" xr:uid="{00000000-0005-0000-0000-0000A9560000}"/>
    <cellStyle name="40% - Accent6 2 3 3 3 2 3 3" xfId="27448" xr:uid="{00000000-0005-0000-0000-0000AA560000}"/>
    <cellStyle name="40% - Accent6 2 3 3 3 2 4" xfId="13291" xr:uid="{00000000-0005-0000-0000-0000AB560000}"/>
    <cellStyle name="40% - Accent6 2 3 3 3 2 4 2" xfId="32691" xr:uid="{00000000-0005-0000-0000-0000AC560000}"/>
    <cellStyle name="40% - Accent6 2 3 3 3 2 5" xfId="22993" xr:uid="{00000000-0005-0000-0000-0000AD560000}"/>
    <cellStyle name="40% - Accent6 2 3 3 3 3" xfId="3828" xr:uid="{00000000-0005-0000-0000-0000AE560000}"/>
    <cellStyle name="40% - Accent6 2 3 3 3 3 2" xfId="4958" xr:uid="{00000000-0005-0000-0000-0000AF560000}"/>
    <cellStyle name="40% - Accent6 2 3 3 3 3 2 2" xfId="9422" xr:uid="{00000000-0005-0000-0000-0000B0560000}"/>
    <cellStyle name="40% - Accent6 2 3 3 3 3 2 2 2" xfId="19418" xr:uid="{00000000-0005-0000-0000-0000B1560000}"/>
    <cellStyle name="40% - Accent6 2 3 3 3 3 2 2 2 2" xfId="38818" xr:uid="{00000000-0005-0000-0000-0000B2560000}"/>
    <cellStyle name="40% - Accent6 2 3 3 3 3 2 2 3" xfId="29120" xr:uid="{00000000-0005-0000-0000-0000B3560000}"/>
    <cellStyle name="40% - Accent6 2 3 3 3 3 2 3" xfId="14963" xr:uid="{00000000-0005-0000-0000-0000B4560000}"/>
    <cellStyle name="40% - Accent6 2 3 3 3 3 2 3 2" xfId="34363" xr:uid="{00000000-0005-0000-0000-0000B5560000}"/>
    <cellStyle name="40% - Accent6 2 3 3 3 3 2 4" xfId="24665" xr:uid="{00000000-0005-0000-0000-0000B6560000}"/>
    <cellStyle name="40% - Accent6 2 3 3 3 3 3" xfId="8307" xr:uid="{00000000-0005-0000-0000-0000B7560000}"/>
    <cellStyle name="40% - Accent6 2 3 3 3 3 3 2" xfId="18303" xr:uid="{00000000-0005-0000-0000-0000B8560000}"/>
    <cellStyle name="40% - Accent6 2 3 3 3 3 3 2 2" xfId="37703" xr:uid="{00000000-0005-0000-0000-0000B9560000}"/>
    <cellStyle name="40% - Accent6 2 3 3 3 3 3 3" xfId="28005" xr:uid="{00000000-0005-0000-0000-0000BA560000}"/>
    <cellStyle name="40% - Accent6 2 3 3 3 3 4" xfId="13848" xr:uid="{00000000-0005-0000-0000-0000BB560000}"/>
    <cellStyle name="40% - Accent6 2 3 3 3 3 4 2" xfId="33248" xr:uid="{00000000-0005-0000-0000-0000BC560000}"/>
    <cellStyle name="40% - Accent6 2 3 3 3 3 5" xfId="23550" xr:uid="{00000000-0005-0000-0000-0000BD560000}"/>
    <cellStyle name="40% - Accent6 2 3 3 3 4" xfId="4401" xr:uid="{00000000-0005-0000-0000-0000BE560000}"/>
    <cellStyle name="40% - Accent6 2 3 3 3 4 2" xfId="8865" xr:uid="{00000000-0005-0000-0000-0000BF560000}"/>
    <cellStyle name="40% - Accent6 2 3 3 3 4 2 2" xfId="18861" xr:uid="{00000000-0005-0000-0000-0000C0560000}"/>
    <cellStyle name="40% - Accent6 2 3 3 3 4 2 2 2" xfId="38261" xr:uid="{00000000-0005-0000-0000-0000C1560000}"/>
    <cellStyle name="40% - Accent6 2 3 3 3 4 2 3" xfId="28563" xr:uid="{00000000-0005-0000-0000-0000C2560000}"/>
    <cellStyle name="40% - Accent6 2 3 3 3 4 3" xfId="14406" xr:uid="{00000000-0005-0000-0000-0000C3560000}"/>
    <cellStyle name="40% - Accent6 2 3 3 3 4 3 2" xfId="33806" xr:uid="{00000000-0005-0000-0000-0000C4560000}"/>
    <cellStyle name="40% - Accent6 2 3 3 3 4 4" xfId="24108" xr:uid="{00000000-0005-0000-0000-0000C5560000}"/>
    <cellStyle name="40% - Accent6 2 3 3 3 5" xfId="6071" xr:uid="{00000000-0005-0000-0000-0000C6560000}"/>
    <cellStyle name="40% - Accent6 2 3 3 3 5 2" xfId="10535" xr:uid="{00000000-0005-0000-0000-0000C7560000}"/>
    <cellStyle name="40% - Accent6 2 3 3 3 5 2 2" xfId="20531" xr:uid="{00000000-0005-0000-0000-0000C8560000}"/>
    <cellStyle name="40% - Accent6 2 3 3 3 5 2 2 2" xfId="39931" xr:uid="{00000000-0005-0000-0000-0000C9560000}"/>
    <cellStyle name="40% - Accent6 2 3 3 3 5 2 3" xfId="30233" xr:uid="{00000000-0005-0000-0000-0000CA560000}"/>
    <cellStyle name="40% - Accent6 2 3 3 3 5 3" xfId="16076" xr:uid="{00000000-0005-0000-0000-0000CB560000}"/>
    <cellStyle name="40% - Accent6 2 3 3 3 5 3 2" xfId="35476" xr:uid="{00000000-0005-0000-0000-0000CC560000}"/>
    <cellStyle name="40% - Accent6 2 3 3 3 5 4" xfId="25778" xr:uid="{00000000-0005-0000-0000-0000CD560000}"/>
    <cellStyle name="40% - Accent6 2 3 3 3 6" xfId="6637" xr:uid="{00000000-0005-0000-0000-0000CE560000}"/>
    <cellStyle name="40% - Accent6 2 3 3 3 6 2" xfId="11092" xr:uid="{00000000-0005-0000-0000-0000CF560000}"/>
    <cellStyle name="40% - Accent6 2 3 3 3 6 2 2" xfId="21088" xr:uid="{00000000-0005-0000-0000-0000D0560000}"/>
    <cellStyle name="40% - Accent6 2 3 3 3 6 2 2 2" xfId="40488" xr:uid="{00000000-0005-0000-0000-0000D1560000}"/>
    <cellStyle name="40% - Accent6 2 3 3 3 6 2 3" xfId="30790" xr:uid="{00000000-0005-0000-0000-0000D2560000}"/>
    <cellStyle name="40% - Accent6 2 3 3 3 6 3" xfId="16633" xr:uid="{00000000-0005-0000-0000-0000D3560000}"/>
    <cellStyle name="40% - Accent6 2 3 3 3 6 3 2" xfId="36033" xr:uid="{00000000-0005-0000-0000-0000D4560000}"/>
    <cellStyle name="40% - Accent6 2 3 3 3 6 4" xfId="26335" xr:uid="{00000000-0005-0000-0000-0000D5560000}"/>
    <cellStyle name="40% - Accent6 2 3 3 3 7" xfId="7194" xr:uid="{00000000-0005-0000-0000-0000D6560000}"/>
    <cellStyle name="40% - Accent6 2 3 3 3 7 2" xfId="17190" xr:uid="{00000000-0005-0000-0000-0000D7560000}"/>
    <cellStyle name="40% - Accent6 2 3 3 3 7 2 2" xfId="36590" xr:uid="{00000000-0005-0000-0000-0000D8560000}"/>
    <cellStyle name="40% - Accent6 2 3 3 3 7 3" xfId="26892" xr:uid="{00000000-0005-0000-0000-0000D9560000}"/>
    <cellStyle name="40% - Accent6 2 3 3 3 8" xfId="12734" xr:uid="{00000000-0005-0000-0000-0000DA560000}"/>
    <cellStyle name="40% - Accent6 2 3 3 3 8 2" xfId="32135" xr:uid="{00000000-0005-0000-0000-0000DB560000}"/>
    <cellStyle name="40% - Accent6 2 3 3 3 9" xfId="22437" xr:uid="{00000000-0005-0000-0000-0000DC560000}"/>
    <cellStyle name="40% - Accent6 2 3 3 4" xfId="3243" xr:uid="{00000000-0005-0000-0000-0000DD560000}"/>
    <cellStyle name="40% - Accent6 2 3 3 4 2" xfId="5512" xr:uid="{00000000-0005-0000-0000-0000DE560000}"/>
    <cellStyle name="40% - Accent6 2 3 3 4 2 2" xfId="9976" xr:uid="{00000000-0005-0000-0000-0000DF560000}"/>
    <cellStyle name="40% - Accent6 2 3 3 4 2 2 2" xfId="19972" xr:uid="{00000000-0005-0000-0000-0000E0560000}"/>
    <cellStyle name="40% - Accent6 2 3 3 4 2 2 2 2" xfId="39372" xr:uid="{00000000-0005-0000-0000-0000E1560000}"/>
    <cellStyle name="40% - Accent6 2 3 3 4 2 2 3" xfId="29674" xr:uid="{00000000-0005-0000-0000-0000E2560000}"/>
    <cellStyle name="40% - Accent6 2 3 3 4 2 3" xfId="15517" xr:uid="{00000000-0005-0000-0000-0000E3560000}"/>
    <cellStyle name="40% - Accent6 2 3 3 4 2 3 2" xfId="34917" xr:uid="{00000000-0005-0000-0000-0000E4560000}"/>
    <cellStyle name="40% - Accent6 2 3 3 4 2 4" xfId="25219" xr:uid="{00000000-0005-0000-0000-0000E5560000}"/>
    <cellStyle name="40% - Accent6 2 3 3 4 3" xfId="7748" xr:uid="{00000000-0005-0000-0000-0000E6560000}"/>
    <cellStyle name="40% - Accent6 2 3 3 4 3 2" xfId="17744" xr:uid="{00000000-0005-0000-0000-0000E7560000}"/>
    <cellStyle name="40% - Accent6 2 3 3 4 3 2 2" xfId="37144" xr:uid="{00000000-0005-0000-0000-0000E8560000}"/>
    <cellStyle name="40% - Accent6 2 3 3 4 3 3" xfId="27446" xr:uid="{00000000-0005-0000-0000-0000E9560000}"/>
    <cellStyle name="40% - Accent6 2 3 3 4 4" xfId="13289" xr:uid="{00000000-0005-0000-0000-0000EA560000}"/>
    <cellStyle name="40% - Accent6 2 3 3 4 4 2" xfId="32689" xr:uid="{00000000-0005-0000-0000-0000EB560000}"/>
    <cellStyle name="40% - Accent6 2 3 3 4 5" xfId="22991" xr:uid="{00000000-0005-0000-0000-0000EC560000}"/>
    <cellStyle name="40% - Accent6 2 3 3 5" xfId="3826" xr:uid="{00000000-0005-0000-0000-0000ED560000}"/>
    <cellStyle name="40% - Accent6 2 3 3 5 2" xfId="4956" xr:uid="{00000000-0005-0000-0000-0000EE560000}"/>
    <cellStyle name="40% - Accent6 2 3 3 5 2 2" xfId="9420" xr:uid="{00000000-0005-0000-0000-0000EF560000}"/>
    <cellStyle name="40% - Accent6 2 3 3 5 2 2 2" xfId="19416" xr:uid="{00000000-0005-0000-0000-0000F0560000}"/>
    <cellStyle name="40% - Accent6 2 3 3 5 2 2 2 2" xfId="38816" xr:uid="{00000000-0005-0000-0000-0000F1560000}"/>
    <cellStyle name="40% - Accent6 2 3 3 5 2 2 3" xfId="29118" xr:uid="{00000000-0005-0000-0000-0000F2560000}"/>
    <cellStyle name="40% - Accent6 2 3 3 5 2 3" xfId="14961" xr:uid="{00000000-0005-0000-0000-0000F3560000}"/>
    <cellStyle name="40% - Accent6 2 3 3 5 2 3 2" xfId="34361" xr:uid="{00000000-0005-0000-0000-0000F4560000}"/>
    <cellStyle name="40% - Accent6 2 3 3 5 2 4" xfId="24663" xr:uid="{00000000-0005-0000-0000-0000F5560000}"/>
    <cellStyle name="40% - Accent6 2 3 3 5 3" xfId="8305" xr:uid="{00000000-0005-0000-0000-0000F6560000}"/>
    <cellStyle name="40% - Accent6 2 3 3 5 3 2" xfId="18301" xr:uid="{00000000-0005-0000-0000-0000F7560000}"/>
    <cellStyle name="40% - Accent6 2 3 3 5 3 2 2" xfId="37701" xr:uid="{00000000-0005-0000-0000-0000F8560000}"/>
    <cellStyle name="40% - Accent6 2 3 3 5 3 3" xfId="28003" xr:uid="{00000000-0005-0000-0000-0000F9560000}"/>
    <cellStyle name="40% - Accent6 2 3 3 5 4" xfId="13846" xr:uid="{00000000-0005-0000-0000-0000FA560000}"/>
    <cellStyle name="40% - Accent6 2 3 3 5 4 2" xfId="33246" xr:uid="{00000000-0005-0000-0000-0000FB560000}"/>
    <cellStyle name="40% - Accent6 2 3 3 5 5" xfId="23548" xr:uid="{00000000-0005-0000-0000-0000FC560000}"/>
    <cellStyle name="40% - Accent6 2 3 3 6" xfId="4399" xr:uid="{00000000-0005-0000-0000-0000FD560000}"/>
    <cellStyle name="40% - Accent6 2 3 3 6 2" xfId="8863" xr:uid="{00000000-0005-0000-0000-0000FE560000}"/>
    <cellStyle name="40% - Accent6 2 3 3 6 2 2" xfId="18859" xr:uid="{00000000-0005-0000-0000-0000FF560000}"/>
    <cellStyle name="40% - Accent6 2 3 3 6 2 2 2" xfId="38259" xr:uid="{00000000-0005-0000-0000-000000570000}"/>
    <cellStyle name="40% - Accent6 2 3 3 6 2 3" xfId="28561" xr:uid="{00000000-0005-0000-0000-000001570000}"/>
    <cellStyle name="40% - Accent6 2 3 3 6 3" xfId="14404" xr:uid="{00000000-0005-0000-0000-000002570000}"/>
    <cellStyle name="40% - Accent6 2 3 3 6 3 2" xfId="33804" xr:uid="{00000000-0005-0000-0000-000003570000}"/>
    <cellStyle name="40% - Accent6 2 3 3 6 4" xfId="24106" xr:uid="{00000000-0005-0000-0000-000004570000}"/>
    <cellStyle name="40% - Accent6 2 3 3 7" xfId="6069" xr:uid="{00000000-0005-0000-0000-000005570000}"/>
    <cellStyle name="40% - Accent6 2 3 3 7 2" xfId="10533" xr:uid="{00000000-0005-0000-0000-000006570000}"/>
    <cellStyle name="40% - Accent6 2 3 3 7 2 2" xfId="20529" xr:uid="{00000000-0005-0000-0000-000007570000}"/>
    <cellStyle name="40% - Accent6 2 3 3 7 2 2 2" xfId="39929" xr:uid="{00000000-0005-0000-0000-000008570000}"/>
    <cellStyle name="40% - Accent6 2 3 3 7 2 3" xfId="30231" xr:uid="{00000000-0005-0000-0000-000009570000}"/>
    <cellStyle name="40% - Accent6 2 3 3 7 3" xfId="16074" xr:uid="{00000000-0005-0000-0000-00000A570000}"/>
    <cellStyle name="40% - Accent6 2 3 3 7 3 2" xfId="35474" xr:uid="{00000000-0005-0000-0000-00000B570000}"/>
    <cellStyle name="40% - Accent6 2 3 3 7 4" xfId="25776" xr:uid="{00000000-0005-0000-0000-00000C570000}"/>
    <cellStyle name="40% - Accent6 2 3 3 8" xfId="6635" xr:uid="{00000000-0005-0000-0000-00000D570000}"/>
    <cellStyle name="40% - Accent6 2 3 3 8 2" xfId="11090" xr:uid="{00000000-0005-0000-0000-00000E570000}"/>
    <cellStyle name="40% - Accent6 2 3 3 8 2 2" xfId="21086" xr:uid="{00000000-0005-0000-0000-00000F570000}"/>
    <cellStyle name="40% - Accent6 2 3 3 8 2 2 2" xfId="40486" xr:uid="{00000000-0005-0000-0000-000010570000}"/>
    <cellStyle name="40% - Accent6 2 3 3 8 2 3" xfId="30788" xr:uid="{00000000-0005-0000-0000-000011570000}"/>
    <cellStyle name="40% - Accent6 2 3 3 8 3" xfId="16631" xr:uid="{00000000-0005-0000-0000-000012570000}"/>
    <cellStyle name="40% - Accent6 2 3 3 8 3 2" xfId="36031" xr:uid="{00000000-0005-0000-0000-000013570000}"/>
    <cellStyle name="40% - Accent6 2 3 3 8 4" xfId="26333" xr:uid="{00000000-0005-0000-0000-000014570000}"/>
    <cellStyle name="40% - Accent6 2 3 3 9" xfId="7192" xr:uid="{00000000-0005-0000-0000-000015570000}"/>
    <cellStyle name="40% - Accent6 2 3 3 9 2" xfId="17188" xr:uid="{00000000-0005-0000-0000-000016570000}"/>
    <cellStyle name="40% - Accent6 2 3 3 9 2 2" xfId="36588" xr:uid="{00000000-0005-0000-0000-000017570000}"/>
    <cellStyle name="40% - Accent6 2 3 3 9 3" xfId="26890" xr:uid="{00000000-0005-0000-0000-000018570000}"/>
    <cellStyle name="40% - Accent6 2 3 4" xfId="2265" xr:uid="{00000000-0005-0000-0000-000019570000}"/>
    <cellStyle name="40% - Accent6 2 3 4 2" xfId="3246" xr:uid="{00000000-0005-0000-0000-00001A570000}"/>
    <cellStyle name="40% - Accent6 2 3 4 2 2" xfId="5515" xr:uid="{00000000-0005-0000-0000-00001B570000}"/>
    <cellStyle name="40% - Accent6 2 3 4 2 2 2" xfId="9979" xr:uid="{00000000-0005-0000-0000-00001C570000}"/>
    <cellStyle name="40% - Accent6 2 3 4 2 2 2 2" xfId="19975" xr:uid="{00000000-0005-0000-0000-00001D570000}"/>
    <cellStyle name="40% - Accent6 2 3 4 2 2 2 2 2" xfId="39375" xr:uid="{00000000-0005-0000-0000-00001E570000}"/>
    <cellStyle name="40% - Accent6 2 3 4 2 2 2 3" xfId="29677" xr:uid="{00000000-0005-0000-0000-00001F570000}"/>
    <cellStyle name="40% - Accent6 2 3 4 2 2 3" xfId="15520" xr:uid="{00000000-0005-0000-0000-000020570000}"/>
    <cellStyle name="40% - Accent6 2 3 4 2 2 3 2" xfId="34920" xr:uid="{00000000-0005-0000-0000-000021570000}"/>
    <cellStyle name="40% - Accent6 2 3 4 2 2 4" xfId="25222" xr:uid="{00000000-0005-0000-0000-000022570000}"/>
    <cellStyle name="40% - Accent6 2 3 4 2 3" xfId="7751" xr:uid="{00000000-0005-0000-0000-000023570000}"/>
    <cellStyle name="40% - Accent6 2 3 4 2 3 2" xfId="17747" xr:uid="{00000000-0005-0000-0000-000024570000}"/>
    <cellStyle name="40% - Accent6 2 3 4 2 3 2 2" xfId="37147" xr:uid="{00000000-0005-0000-0000-000025570000}"/>
    <cellStyle name="40% - Accent6 2 3 4 2 3 3" xfId="27449" xr:uid="{00000000-0005-0000-0000-000026570000}"/>
    <cellStyle name="40% - Accent6 2 3 4 2 4" xfId="13292" xr:uid="{00000000-0005-0000-0000-000027570000}"/>
    <cellStyle name="40% - Accent6 2 3 4 2 4 2" xfId="32692" xr:uid="{00000000-0005-0000-0000-000028570000}"/>
    <cellStyle name="40% - Accent6 2 3 4 2 5" xfId="22994" xr:uid="{00000000-0005-0000-0000-000029570000}"/>
    <cellStyle name="40% - Accent6 2 3 4 3" xfId="3829" xr:uid="{00000000-0005-0000-0000-00002A570000}"/>
    <cellStyle name="40% - Accent6 2 3 4 3 2" xfId="4959" xr:uid="{00000000-0005-0000-0000-00002B570000}"/>
    <cellStyle name="40% - Accent6 2 3 4 3 2 2" xfId="9423" xr:uid="{00000000-0005-0000-0000-00002C570000}"/>
    <cellStyle name="40% - Accent6 2 3 4 3 2 2 2" xfId="19419" xr:uid="{00000000-0005-0000-0000-00002D570000}"/>
    <cellStyle name="40% - Accent6 2 3 4 3 2 2 2 2" xfId="38819" xr:uid="{00000000-0005-0000-0000-00002E570000}"/>
    <cellStyle name="40% - Accent6 2 3 4 3 2 2 3" xfId="29121" xr:uid="{00000000-0005-0000-0000-00002F570000}"/>
    <cellStyle name="40% - Accent6 2 3 4 3 2 3" xfId="14964" xr:uid="{00000000-0005-0000-0000-000030570000}"/>
    <cellStyle name="40% - Accent6 2 3 4 3 2 3 2" xfId="34364" xr:uid="{00000000-0005-0000-0000-000031570000}"/>
    <cellStyle name="40% - Accent6 2 3 4 3 2 4" xfId="24666" xr:uid="{00000000-0005-0000-0000-000032570000}"/>
    <cellStyle name="40% - Accent6 2 3 4 3 3" xfId="8308" xr:uid="{00000000-0005-0000-0000-000033570000}"/>
    <cellStyle name="40% - Accent6 2 3 4 3 3 2" xfId="18304" xr:uid="{00000000-0005-0000-0000-000034570000}"/>
    <cellStyle name="40% - Accent6 2 3 4 3 3 2 2" xfId="37704" xr:uid="{00000000-0005-0000-0000-000035570000}"/>
    <cellStyle name="40% - Accent6 2 3 4 3 3 3" xfId="28006" xr:uid="{00000000-0005-0000-0000-000036570000}"/>
    <cellStyle name="40% - Accent6 2 3 4 3 4" xfId="13849" xr:uid="{00000000-0005-0000-0000-000037570000}"/>
    <cellStyle name="40% - Accent6 2 3 4 3 4 2" xfId="33249" xr:uid="{00000000-0005-0000-0000-000038570000}"/>
    <cellStyle name="40% - Accent6 2 3 4 3 5" xfId="23551" xr:uid="{00000000-0005-0000-0000-000039570000}"/>
    <cellStyle name="40% - Accent6 2 3 4 4" xfId="4402" xr:uid="{00000000-0005-0000-0000-00003A570000}"/>
    <cellStyle name="40% - Accent6 2 3 4 4 2" xfId="8866" xr:uid="{00000000-0005-0000-0000-00003B570000}"/>
    <cellStyle name="40% - Accent6 2 3 4 4 2 2" xfId="18862" xr:uid="{00000000-0005-0000-0000-00003C570000}"/>
    <cellStyle name="40% - Accent6 2 3 4 4 2 2 2" xfId="38262" xr:uid="{00000000-0005-0000-0000-00003D570000}"/>
    <cellStyle name="40% - Accent6 2 3 4 4 2 3" xfId="28564" xr:uid="{00000000-0005-0000-0000-00003E570000}"/>
    <cellStyle name="40% - Accent6 2 3 4 4 3" xfId="14407" xr:uid="{00000000-0005-0000-0000-00003F570000}"/>
    <cellStyle name="40% - Accent6 2 3 4 4 3 2" xfId="33807" xr:uid="{00000000-0005-0000-0000-000040570000}"/>
    <cellStyle name="40% - Accent6 2 3 4 4 4" xfId="24109" xr:uid="{00000000-0005-0000-0000-000041570000}"/>
    <cellStyle name="40% - Accent6 2 3 4 5" xfId="6072" xr:uid="{00000000-0005-0000-0000-000042570000}"/>
    <cellStyle name="40% - Accent6 2 3 4 5 2" xfId="10536" xr:uid="{00000000-0005-0000-0000-000043570000}"/>
    <cellStyle name="40% - Accent6 2 3 4 5 2 2" xfId="20532" xr:uid="{00000000-0005-0000-0000-000044570000}"/>
    <cellStyle name="40% - Accent6 2 3 4 5 2 2 2" xfId="39932" xr:uid="{00000000-0005-0000-0000-000045570000}"/>
    <cellStyle name="40% - Accent6 2 3 4 5 2 3" xfId="30234" xr:uid="{00000000-0005-0000-0000-000046570000}"/>
    <cellStyle name="40% - Accent6 2 3 4 5 3" xfId="16077" xr:uid="{00000000-0005-0000-0000-000047570000}"/>
    <cellStyle name="40% - Accent6 2 3 4 5 3 2" xfId="35477" xr:uid="{00000000-0005-0000-0000-000048570000}"/>
    <cellStyle name="40% - Accent6 2 3 4 5 4" xfId="25779" xr:uid="{00000000-0005-0000-0000-000049570000}"/>
    <cellStyle name="40% - Accent6 2 3 4 6" xfId="6638" xr:uid="{00000000-0005-0000-0000-00004A570000}"/>
    <cellStyle name="40% - Accent6 2 3 4 6 2" xfId="11093" xr:uid="{00000000-0005-0000-0000-00004B570000}"/>
    <cellStyle name="40% - Accent6 2 3 4 6 2 2" xfId="21089" xr:uid="{00000000-0005-0000-0000-00004C570000}"/>
    <cellStyle name="40% - Accent6 2 3 4 6 2 2 2" xfId="40489" xr:uid="{00000000-0005-0000-0000-00004D570000}"/>
    <cellStyle name="40% - Accent6 2 3 4 6 2 3" xfId="30791" xr:uid="{00000000-0005-0000-0000-00004E570000}"/>
    <cellStyle name="40% - Accent6 2 3 4 6 3" xfId="16634" xr:uid="{00000000-0005-0000-0000-00004F570000}"/>
    <cellStyle name="40% - Accent6 2 3 4 6 3 2" xfId="36034" xr:uid="{00000000-0005-0000-0000-000050570000}"/>
    <cellStyle name="40% - Accent6 2 3 4 6 4" xfId="26336" xr:uid="{00000000-0005-0000-0000-000051570000}"/>
    <cellStyle name="40% - Accent6 2 3 4 7" xfId="7195" xr:uid="{00000000-0005-0000-0000-000052570000}"/>
    <cellStyle name="40% - Accent6 2 3 4 7 2" xfId="17191" xr:uid="{00000000-0005-0000-0000-000053570000}"/>
    <cellStyle name="40% - Accent6 2 3 4 7 2 2" xfId="36591" xr:uid="{00000000-0005-0000-0000-000054570000}"/>
    <cellStyle name="40% - Accent6 2 3 4 7 3" xfId="26893" xr:uid="{00000000-0005-0000-0000-000055570000}"/>
    <cellStyle name="40% - Accent6 2 3 4 8" xfId="12735" xr:uid="{00000000-0005-0000-0000-000056570000}"/>
    <cellStyle name="40% - Accent6 2 3 4 8 2" xfId="32136" xr:uid="{00000000-0005-0000-0000-000057570000}"/>
    <cellStyle name="40% - Accent6 2 3 4 9" xfId="22438" xr:uid="{00000000-0005-0000-0000-000058570000}"/>
    <cellStyle name="40% - Accent6 2 3 5" xfId="2266" xr:uid="{00000000-0005-0000-0000-000059570000}"/>
    <cellStyle name="40% - Accent6 2 3 5 2" xfId="3247" xr:uid="{00000000-0005-0000-0000-00005A570000}"/>
    <cellStyle name="40% - Accent6 2 3 5 2 2" xfId="5516" xr:uid="{00000000-0005-0000-0000-00005B570000}"/>
    <cellStyle name="40% - Accent6 2 3 5 2 2 2" xfId="9980" xr:uid="{00000000-0005-0000-0000-00005C570000}"/>
    <cellStyle name="40% - Accent6 2 3 5 2 2 2 2" xfId="19976" xr:uid="{00000000-0005-0000-0000-00005D570000}"/>
    <cellStyle name="40% - Accent6 2 3 5 2 2 2 2 2" xfId="39376" xr:uid="{00000000-0005-0000-0000-00005E570000}"/>
    <cellStyle name="40% - Accent6 2 3 5 2 2 2 3" xfId="29678" xr:uid="{00000000-0005-0000-0000-00005F570000}"/>
    <cellStyle name="40% - Accent6 2 3 5 2 2 3" xfId="15521" xr:uid="{00000000-0005-0000-0000-000060570000}"/>
    <cellStyle name="40% - Accent6 2 3 5 2 2 3 2" xfId="34921" xr:uid="{00000000-0005-0000-0000-000061570000}"/>
    <cellStyle name="40% - Accent6 2 3 5 2 2 4" xfId="25223" xr:uid="{00000000-0005-0000-0000-000062570000}"/>
    <cellStyle name="40% - Accent6 2 3 5 2 3" xfId="7752" xr:uid="{00000000-0005-0000-0000-000063570000}"/>
    <cellStyle name="40% - Accent6 2 3 5 2 3 2" xfId="17748" xr:uid="{00000000-0005-0000-0000-000064570000}"/>
    <cellStyle name="40% - Accent6 2 3 5 2 3 2 2" xfId="37148" xr:uid="{00000000-0005-0000-0000-000065570000}"/>
    <cellStyle name="40% - Accent6 2 3 5 2 3 3" xfId="27450" xr:uid="{00000000-0005-0000-0000-000066570000}"/>
    <cellStyle name="40% - Accent6 2 3 5 2 4" xfId="13293" xr:uid="{00000000-0005-0000-0000-000067570000}"/>
    <cellStyle name="40% - Accent6 2 3 5 2 4 2" xfId="32693" xr:uid="{00000000-0005-0000-0000-000068570000}"/>
    <cellStyle name="40% - Accent6 2 3 5 2 5" xfId="22995" xr:uid="{00000000-0005-0000-0000-000069570000}"/>
    <cellStyle name="40% - Accent6 2 3 5 3" xfId="3830" xr:uid="{00000000-0005-0000-0000-00006A570000}"/>
    <cellStyle name="40% - Accent6 2 3 5 3 2" xfId="4960" xr:uid="{00000000-0005-0000-0000-00006B570000}"/>
    <cellStyle name="40% - Accent6 2 3 5 3 2 2" xfId="9424" xr:uid="{00000000-0005-0000-0000-00006C570000}"/>
    <cellStyle name="40% - Accent6 2 3 5 3 2 2 2" xfId="19420" xr:uid="{00000000-0005-0000-0000-00006D570000}"/>
    <cellStyle name="40% - Accent6 2 3 5 3 2 2 2 2" xfId="38820" xr:uid="{00000000-0005-0000-0000-00006E570000}"/>
    <cellStyle name="40% - Accent6 2 3 5 3 2 2 3" xfId="29122" xr:uid="{00000000-0005-0000-0000-00006F570000}"/>
    <cellStyle name="40% - Accent6 2 3 5 3 2 3" xfId="14965" xr:uid="{00000000-0005-0000-0000-000070570000}"/>
    <cellStyle name="40% - Accent6 2 3 5 3 2 3 2" xfId="34365" xr:uid="{00000000-0005-0000-0000-000071570000}"/>
    <cellStyle name="40% - Accent6 2 3 5 3 2 4" xfId="24667" xr:uid="{00000000-0005-0000-0000-000072570000}"/>
    <cellStyle name="40% - Accent6 2 3 5 3 3" xfId="8309" xr:uid="{00000000-0005-0000-0000-000073570000}"/>
    <cellStyle name="40% - Accent6 2 3 5 3 3 2" xfId="18305" xr:uid="{00000000-0005-0000-0000-000074570000}"/>
    <cellStyle name="40% - Accent6 2 3 5 3 3 2 2" xfId="37705" xr:uid="{00000000-0005-0000-0000-000075570000}"/>
    <cellStyle name="40% - Accent6 2 3 5 3 3 3" xfId="28007" xr:uid="{00000000-0005-0000-0000-000076570000}"/>
    <cellStyle name="40% - Accent6 2 3 5 3 4" xfId="13850" xr:uid="{00000000-0005-0000-0000-000077570000}"/>
    <cellStyle name="40% - Accent6 2 3 5 3 4 2" xfId="33250" xr:uid="{00000000-0005-0000-0000-000078570000}"/>
    <cellStyle name="40% - Accent6 2 3 5 3 5" xfId="23552" xr:uid="{00000000-0005-0000-0000-000079570000}"/>
    <cellStyle name="40% - Accent6 2 3 5 4" xfId="4403" xr:uid="{00000000-0005-0000-0000-00007A570000}"/>
    <cellStyle name="40% - Accent6 2 3 5 4 2" xfId="8867" xr:uid="{00000000-0005-0000-0000-00007B570000}"/>
    <cellStyle name="40% - Accent6 2 3 5 4 2 2" xfId="18863" xr:uid="{00000000-0005-0000-0000-00007C570000}"/>
    <cellStyle name="40% - Accent6 2 3 5 4 2 2 2" xfId="38263" xr:uid="{00000000-0005-0000-0000-00007D570000}"/>
    <cellStyle name="40% - Accent6 2 3 5 4 2 3" xfId="28565" xr:uid="{00000000-0005-0000-0000-00007E570000}"/>
    <cellStyle name="40% - Accent6 2 3 5 4 3" xfId="14408" xr:uid="{00000000-0005-0000-0000-00007F570000}"/>
    <cellStyle name="40% - Accent6 2 3 5 4 3 2" xfId="33808" xr:uid="{00000000-0005-0000-0000-000080570000}"/>
    <cellStyle name="40% - Accent6 2 3 5 4 4" xfId="24110" xr:uid="{00000000-0005-0000-0000-000081570000}"/>
    <cellStyle name="40% - Accent6 2 3 5 5" xfId="6073" xr:uid="{00000000-0005-0000-0000-000082570000}"/>
    <cellStyle name="40% - Accent6 2 3 5 5 2" xfId="10537" xr:uid="{00000000-0005-0000-0000-000083570000}"/>
    <cellStyle name="40% - Accent6 2 3 5 5 2 2" xfId="20533" xr:uid="{00000000-0005-0000-0000-000084570000}"/>
    <cellStyle name="40% - Accent6 2 3 5 5 2 2 2" xfId="39933" xr:uid="{00000000-0005-0000-0000-000085570000}"/>
    <cellStyle name="40% - Accent6 2 3 5 5 2 3" xfId="30235" xr:uid="{00000000-0005-0000-0000-000086570000}"/>
    <cellStyle name="40% - Accent6 2 3 5 5 3" xfId="16078" xr:uid="{00000000-0005-0000-0000-000087570000}"/>
    <cellStyle name="40% - Accent6 2 3 5 5 3 2" xfId="35478" xr:uid="{00000000-0005-0000-0000-000088570000}"/>
    <cellStyle name="40% - Accent6 2 3 5 5 4" xfId="25780" xr:uid="{00000000-0005-0000-0000-000089570000}"/>
    <cellStyle name="40% - Accent6 2 3 5 6" xfId="6639" xr:uid="{00000000-0005-0000-0000-00008A570000}"/>
    <cellStyle name="40% - Accent6 2 3 5 6 2" xfId="11094" xr:uid="{00000000-0005-0000-0000-00008B570000}"/>
    <cellStyle name="40% - Accent6 2 3 5 6 2 2" xfId="21090" xr:uid="{00000000-0005-0000-0000-00008C570000}"/>
    <cellStyle name="40% - Accent6 2 3 5 6 2 2 2" xfId="40490" xr:uid="{00000000-0005-0000-0000-00008D570000}"/>
    <cellStyle name="40% - Accent6 2 3 5 6 2 3" xfId="30792" xr:uid="{00000000-0005-0000-0000-00008E570000}"/>
    <cellStyle name="40% - Accent6 2 3 5 6 3" xfId="16635" xr:uid="{00000000-0005-0000-0000-00008F570000}"/>
    <cellStyle name="40% - Accent6 2 3 5 6 3 2" xfId="36035" xr:uid="{00000000-0005-0000-0000-000090570000}"/>
    <cellStyle name="40% - Accent6 2 3 5 6 4" xfId="26337" xr:uid="{00000000-0005-0000-0000-000091570000}"/>
    <cellStyle name="40% - Accent6 2 3 5 7" xfId="7196" xr:uid="{00000000-0005-0000-0000-000092570000}"/>
    <cellStyle name="40% - Accent6 2 3 5 7 2" xfId="17192" xr:uid="{00000000-0005-0000-0000-000093570000}"/>
    <cellStyle name="40% - Accent6 2 3 5 7 2 2" xfId="36592" xr:uid="{00000000-0005-0000-0000-000094570000}"/>
    <cellStyle name="40% - Accent6 2 3 5 7 3" xfId="26894" xr:uid="{00000000-0005-0000-0000-000095570000}"/>
    <cellStyle name="40% - Accent6 2 3 5 8" xfId="12736" xr:uid="{00000000-0005-0000-0000-000096570000}"/>
    <cellStyle name="40% - Accent6 2 3 5 8 2" xfId="32137" xr:uid="{00000000-0005-0000-0000-000097570000}"/>
    <cellStyle name="40% - Accent6 2 3 5 9" xfId="22439" xr:uid="{00000000-0005-0000-0000-000098570000}"/>
    <cellStyle name="40% - Accent6 2 3 6" xfId="11975" xr:uid="{00000000-0005-0000-0000-000099570000}"/>
    <cellStyle name="40% - Accent6 2 3 6 2" xfId="21679" xr:uid="{00000000-0005-0000-0000-00009A570000}"/>
    <cellStyle name="40% - Accent6 2 3 6 2 2" xfId="41079" xr:uid="{00000000-0005-0000-0000-00009B570000}"/>
    <cellStyle name="40% - Accent6 2 3 6 3" xfId="31381" xr:uid="{00000000-0005-0000-0000-00009C570000}"/>
    <cellStyle name="40% - Accent6 2 3 7" xfId="1311" xr:uid="{00000000-0005-0000-0000-00009D570000}"/>
    <cellStyle name="40% - Accent6 2 3 8" xfId="12331" xr:uid="{00000000-0005-0000-0000-00009E570000}"/>
    <cellStyle name="40% - Accent6 2 3 8 2" xfId="31734" xr:uid="{00000000-0005-0000-0000-00009F570000}"/>
    <cellStyle name="40% - Accent6 2 3 9" xfId="22036" xr:uid="{00000000-0005-0000-0000-0000A0570000}"/>
    <cellStyle name="40% - Accent6 2 4" xfId="1312" xr:uid="{00000000-0005-0000-0000-0000A1570000}"/>
    <cellStyle name="40% - Accent6 2 4 2" xfId="2267" xr:uid="{00000000-0005-0000-0000-0000A2570000}"/>
    <cellStyle name="40% - Accent6 2 4 2 10" xfId="12737" xr:uid="{00000000-0005-0000-0000-0000A3570000}"/>
    <cellStyle name="40% - Accent6 2 4 2 10 2" xfId="32138" xr:uid="{00000000-0005-0000-0000-0000A4570000}"/>
    <cellStyle name="40% - Accent6 2 4 2 11" xfId="22440" xr:uid="{00000000-0005-0000-0000-0000A5570000}"/>
    <cellStyle name="40% - Accent6 2 4 2 2" xfId="2268" xr:uid="{00000000-0005-0000-0000-0000A6570000}"/>
    <cellStyle name="40% - Accent6 2 4 2 2 2" xfId="3249" xr:uid="{00000000-0005-0000-0000-0000A7570000}"/>
    <cellStyle name="40% - Accent6 2 4 2 2 2 2" xfId="5518" xr:uid="{00000000-0005-0000-0000-0000A8570000}"/>
    <cellStyle name="40% - Accent6 2 4 2 2 2 2 2" xfId="9982" xr:uid="{00000000-0005-0000-0000-0000A9570000}"/>
    <cellStyle name="40% - Accent6 2 4 2 2 2 2 2 2" xfId="19978" xr:uid="{00000000-0005-0000-0000-0000AA570000}"/>
    <cellStyle name="40% - Accent6 2 4 2 2 2 2 2 2 2" xfId="39378" xr:uid="{00000000-0005-0000-0000-0000AB570000}"/>
    <cellStyle name="40% - Accent6 2 4 2 2 2 2 2 3" xfId="29680" xr:uid="{00000000-0005-0000-0000-0000AC570000}"/>
    <cellStyle name="40% - Accent6 2 4 2 2 2 2 3" xfId="15523" xr:uid="{00000000-0005-0000-0000-0000AD570000}"/>
    <cellStyle name="40% - Accent6 2 4 2 2 2 2 3 2" xfId="34923" xr:uid="{00000000-0005-0000-0000-0000AE570000}"/>
    <cellStyle name="40% - Accent6 2 4 2 2 2 2 4" xfId="25225" xr:uid="{00000000-0005-0000-0000-0000AF570000}"/>
    <cellStyle name="40% - Accent6 2 4 2 2 2 3" xfId="7754" xr:uid="{00000000-0005-0000-0000-0000B0570000}"/>
    <cellStyle name="40% - Accent6 2 4 2 2 2 3 2" xfId="17750" xr:uid="{00000000-0005-0000-0000-0000B1570000}"/>
    <cellStyle name="40% - Accent6 2 4 2 2 2 3 2 2" xfId="37150" xr:uid="{00000000-0005-0000-0000-0000B2570000}"/>
    <cellStyle name="40% - Accent6 2 4 2 2 2 3 3" xfId="27452" xr:uid="{00000000-0005-0000-0000-0000B3570000}"/>
    <cellStyle name="40% - Accent6 2 4 2 2 2 4" xfId="13295" xr:uid="{00000000-0005-0000-0000-0000B4570000}"/>
    <cellStyle name="40% - Accent6 2 4 2 2 2 4 2" xfId="32695" xr:uid="{00000000-0005-0000-0000-0000B5570000}"/>
    <cellStyle name="40% - Accent6 2 4 2 2 2 5" xfId="22997" xr:uid="{00000000-0005-0000-0000-0000B6570000}"/>
    <cellStyle name="40% - Accent6 2 4 2 2 3" xfId="3832" xr:uid="{00000000-0005-0000-0000-0000B7570000}"/>
    <cellStyle name="40% - Accent6 2 4 2 2 3 2" xfId="4962" xr:uid="{00000000-0005-0000-0000-0000B8570000}"/>
    <cellStyle name="40% - Accent6 2 4 2 2 3 2 2" xfId="9426" xr:uid="{00000000-0005-0000-0000-0000B9570000}"/>
    <cellStyle name="40% - Accent6 2 4 2 2 3 2 2 2" xfId="19422" xr:uid="{00000000-0005-0000-0000-0000BA570000}"/>
    <cellStyle name="40% - Accent6 2 4 2 2 3 2 2 2 2" xfId="38822" xr:uid="{00000000-0005-0000-0000-0000BB570000}"/>
    <cellStyle name="40% - Accent6 2 4 2 2 3 2 2 3" xfId="29124" xr:uid="{00000000-0005-0000-0000-0000BC570000}"/>
    <cellStyle name="40% - Accent6 2 4 2 2 3 2 3" xfId="14967" xr:uid="{00000000-0005-0000-0000-0000BD570000}"/>
    <cellStyle name="40% - Accent6 2 4 2 2 3 2 3 2" xfId="34367" xr:uid="{00000000-0005-0000-0000-0000BE570000}"/>
    <cellStyle name="40% - Accent6 2 4 2 2 3 2 4" xfId="24669" xr:uid="{00000000-0005-0000-0000-0000BF570000}"/>
    <cellStyle name="40% - Accent6 2 4 2 2 3 3" xfId="8311" xr:uid="{00000000-0005-0000-0000-0000C0570000}"/>
    <cellStyle name="40% - Accent6 2 4 2 2 3 3 2" xfId="18307" xr:uid="{00000000-0005-0000-0000-0000C1570000}"/>
    <cellStyle name="40% - Accent6 2 4 2 2 3 3 2 2" xfId="37707" xr:uid="{00000000-0005-0000-0000-0000C2570000}"/>
    <cellStyle name="40% - Accent6 2 4 2 2 3 3 3" xfId="28009" xr:uid="{00000000-0005-0000-0000-0000C3570000}"/>
    <cellStyle name="40% - Accent6 2 4 2 2 3 4" xfId="13852" xr:uid="{00000000-0005-0000-0000-0000C4570000}"/>
    <cellStyle name="40% - Accent6 2 4 2 2 3 4 2" xfId="33252" xr:uid="{00000000-0005-0000-0000-0000C5570000}"/>
    <cellStyle name="40% - Accent6 2 4 2 2 3 5" xfId="23554" xr:uid="{00000000-0005-0000-0000-0000C6570000}"/>
    <cellStyle name="40% - Accent6 2 4 2 2 4" xfId="4405" xr:uid="{00000000-0005-0000-0000-0000C7570000}"/>
    <cellStyle name="40% - Accent6 2 4 2 2 4 2" xfId="8869" xr:uid="{00000000-0005-0000-0000-0000C8570000}"/>
    <cellStyle name="40% - Accent6 2 4 2 2 4 2 2" xfId="18865" xr:uid="{00000000-0005-0000-0000-0000C9570000}"/>
    <cellStyle name="40% - Accent6 2 4 2 2 4 2 2 2" xfId="38265" xr:uid="{00000000-0005-0000-0000-0000CA570000}"/>
    <cellStyle name="40% - Accent6 2 4 2 2 4 2 3" xfId="28567" xr:uid="{00000000-0005-0000-0000-0000CB570000}"/>
    <cellStyle name="40% - Accent6 2 4 2 2 4 3" xfId="14410" xr:uid="{00000000-0005-0000-0000-0000CC570000}"/>
    <cellStyle name="40% - Accent6 2 4 2 2 4 3 2" xfId="33810" xr:uid="{00000000-0005-0000-0000-0000CD570000}"/>
    <cellStyle name="40% - Accent6 2 4 2 2 4 4" xfId="24112" xr:uid="{00000000-0005-0000-0000-0000CE570000}"/>
    <cellStyle name="40% - Accent6 2 4 2 2 5" xfId="6075" xr:uid="{00000000-0005-0000-0000-0000CF570000}"/>
    <cellStyle name="40% - Accent6 2 4 2 2 5 2" xfId="10539" xr:uid="{00000000-0005-0000-0000-0000D0570000}"/>
    <cellStyle name="40% - Accent6 2 4 2 2 5 2 2" xfId="20535" xr:uid="{00000000-0005-0000-0000-0000D1570000}"/>
    <cellStyle name="40% - Accent6 2 4 2 2 5 2 2 2" xfId="39935" xr:uid="{00000000-0005-0000-0000-0000D2570000}"/>
    <cellStyle name="40% - Accent6 2 4 2 2 5 2 3" xfId="30237" xr:uid="{00000000-0005-0000-0000-0000D3570000}"/>
    <cellStyle name="40% - Accent6 2 4 2 2 5 3" xfId="16080" xr:uid="{00000000-0005-0000-0000-0000D4570000}"/>
    <cellStyle name="40% - Accent6 2 4 2 2 5 3 2" xfId="35480" xr:uid="{00000000-0005-0000-0000-0000D5570000}"/>
    <cellStyle name="40% - Accent6 2 4 2 2 5 4" xfId="25782" xr:uid="{00000000-0005-0000-0000-0000D6570000}"/>
    <cellStyle name="40% - Accent6 2 4 2 2 6" xfId="6641" xr:uid="{00000000-0005-0000-0000-0000D7570000}"/>
    <cellStyle name="40% - Accent6 2 4 2 2 6 2" xfId="11096" xr:uid="{00000000-0005-0000-0000-0000D8570000}"/>
    <cellStyle name="40% - Accent6 2 4 2 2 6 2 2" xfId="21092" xr:uid="{00000000-0005-0000-0000-0000D9570000}"/>
    <cellStyle name="40% - Accent6 2 4 2 2 6 2 2 2" xfId="40492" xr:uid="{00000000-0005-0000-0000-0000DA570000}"/>
    <cellStyle name="40% - Accent6 2 4 2 2 6 2 3" xfId="30794" xr:uid="{00000000-0005-0000-0000-0000DB570000}"/>
    <cellStyle name="40% - Accent6 2 4 2 2 6 3" xfId="16637" xr:uid="{00000000-0005-0000-0000-0000DC570000}"/>
    <cellStyle name="40% - Accent6 2 4 2 2 6 3 2" xfId="36037" xr:uid="{00000000-0005-0000-0000-0000DD570000}"/>
    <cellStyle name="40% - Accent6 2 4 2 2 6 4" xfId="26339" xr:uid="{00000000-0005-0000-0000-0000DE570000}"/>
    <cellStyle name="40% - Accent6 2 4 2 2 7" xfId="7198" xr:uid="{00000000-0005-0000-0000-0000DF570000}"/>
    <cellStyle name="40% - Accent6 2 4 2 2 7 2" xfId="17194" xr:uid="{00000000-0005-0000-0000-0000E0570000}"/>
    <cellStyle name="40% - Accent6 2 4 2 2 7 2 2" xfId="36594" xr:uid="{00000000-0005-0000-0000-0000E1570000}"/>
    <cellStyle name="40% - Accent6 2 4 2 2 7 3" xfId="26896" xr:uid="{00000000-0005-0000-0000-0000E2570000}"/>
    <cellStyle name="40% - Accent6 2 4 2 2 8" xfId="12738" xr:uid="{00000000-0005-0000-0000-0000E3570000}"/>
    <cellStyle name="40% - Accent6 2 4 2 2 8 2" xfId="32139" xr:uid="{00000000-0005-0000-0000-0000E4570000}"/>
    <cellStyle name="40% - Accent6 2 4 2 2 9" xfId="22441" xr:uid="{00000000-0005-0000-0000-0000E5570000}"/>
    <cellStyle name="40% - Accent6 2 4 2 3" xfId="2269" xr:uid="{00000000-0005-0000-0000-0000E6570000}"/>
    <cellStyle name="40% - Accent6 2 4 2 3 2" xfId="3250" xr:uid="{00000000-0005-0000-0000-0000E7570000}"/>
    <cellStyle name="40% - Accent6 2 4 2 3 2 2" xfId="5519" xr:uid="{00000000-0005-0000-0000-0000E8570000}"/>
    <cellStyle name="40% - Accent6 2 4 2 3 2 2 2" xfId="9983" xr:uid="{00000000-0005-0000-0000-0000E9570000}"/>
    <cellStyle name="40% - Accent6 2 4 2 3 2 2 2 2" xfId="19979" xr:uid="{00000000-0005-0000-0000-0000EA570000}"/>
    <cellStyle name="40% - Accent6 2 4 2 3 2 2 2 2 2" xfId="39379" xr:uid="{00000000-0005-0000-0000-0000EB570000}"/>
    <cellStyle name="40% - Accent6 2 4 2 3 2 2 2 3" xfId="29681" xr:uid="{00000000-0005-0000-0000-0000EC570000}"/>
    <cellStyle name="40% - Accent6 2 4 2 3 2 2 3" xfId="15524" xr:uid="{00000000-0005-0000-0000-0000ED570000}"/>
    <cellStyle name="40% - Accent6 2 4 2 3 2 2 3 2" xfId="34924" xr:uid="{00000000-0005-0000-0000-0000EE570000}"/>
    <cellStyle name="40% - Accent6 2 4 2 3 2 2 4" xfId="25226" xr:uid="{00000000-0005-0000-0000-0000EF570000}"/>
    <cellStyle name="40% - Accent6 2 4 2 3 2 3" xfId="7755" xr:uid="{00000000-0005-0000-0000-0000F0570000}"/>
    <cellStyle name="40% - Accent6 2 4 2 3 2 3 2" xfId="17751" xr:uid="{00000000-0005-0000-0000-0000F1570000}"/>
    <cellStyle name="40% - Accent6 2 4 2 3 2 3 2 2" xfId="37151" xr:uid="{00000000-0005-0000-0000-0000F2570000}"/>
    <cellStyle name="40% - Accent6 2 4 2 3 2 3 3" xfId="27453" xr:uid="{00000000-0005-0000-0000-0000F3570000}"/>
    <cellStyle name="40% - Accent6 2 4 2 3 2 4" xfId="13296" xr:uid="{00000000-0005-0000-0000-0000F4570000}"/>
    <cellStyle name="40% - Accent6 2 4 2 3 2 4 2" xfId="32696" xr:uid="{00000000-0005-0000-0000-0000F5570000}"/>
    <cellStyle name="40% - Accent6 2 4 2 3 2 5" xfId="22998" xr:uid="{00000000-0005-0000-0000-0000F6570000}"/>
    <cellStyle name="40% - Accent6 2 4 2 3 3" xfId="3833" xr:uid="{00000000-0005-0000-0000-0000F7570000}"/>
    <cellStyle name="40% - Accent6 2 4 2 3 3 2" xfId="4963" xr:uid="{00000000-0005-0000-0000-0000F8570000}"/>
    <cellStyle name="40% - Accent6 2 4 2 3 3 2 2" xfId="9427" xr:uid="{00000000-0005-0000-0000-0000F9570000}"/>
    <cellStyle name="40% - Accent6 2 4 2 3 3 2 2 2" xfId="19423" xr:uid="{00000000-0005-0000-0000-0000FA570000}"/>
    <cellStyle name="40% - Accent6 2 4 2 3 3 2 2 2 2" xfId="38823" xr:uid="{00000000-0005-0000-0000-0000FB570000}"/>
    <cellStyle name="40% - Accent6 2 4 2 3 3 2 2 3" xfId="29125" xr:uid="{00000000-0005-0000-0000-0000FC570000}"/>
    <cellStyle name="40% - Accent6 2 4 2 3 3 2 3" xfId="14968" xr:uid="{00000000-0005-0000-0000-0000FD570000}"/>
    <cellStyle name="40% - Accent6 2 4 2 3 3 2 3 2" xfId="34368" xr:uid="{00000000-0005-0000-0000-0000FE570000}"/>
    <cellStyle name="40% - Accent6 2 4 2 3 3 2 4" xfId="24670" xr:uid="{00000000-0005-0000-0000-0000FF570000}"/>
    <cellStyle name="40% - Accent6 2 4 2 3 3 3" xfId="8312" xr:uid="{00000000-0005-0000-0000-000000580000}"/>
    <cellStyle name="40% - Accent6 2 4 2 3 3 3 2" xfId="18308" xr:uid="{00000000-0005-0000-0000-000001580000}"/>
    <cellStyle name="40% - Accent6 2 4 2 3 3 3 2 2" xfId="37708" xr:uid="{00000000-0005-0000-0000-000002580000}"/>
    <cellStyle name="40% - Accent6 2 4 2 3 3 3 3" xfId="28010" xr:uid="{00000000-0005-0000-0000-000003580000}"/>
    <cellStyle name="40% - Accent6 2 4 2 3 3 4" xfId="13853" xr:uid="{00000000-0005-0000-0000-000004580000}"/>
    <cellStyle name="40% - Accent6 2 4 2 3 3 4 2" xfId="33253" xr:uid="{00000000-0005-0000-0000-000005580000}"/>
    <cellStyle name="40% - Accent6 2 4 2 3 3 5" xfId="23555" xr:uid="{00000000-0005-0000-0000-000006580000}"/>
    <cellStyle name="40% - Accent6 2 4 2 3 4" xfId="4406" xr:uid="{00000000-0005-0000-0000-000007580000}"/>
    <cellStyle name="40% - Accent6 2 4 2 3 4 2" xfId="8870" xr:uid="{00000000-0005-0000-0000-000008580000}"/>
    <cellStyle name="40% - Accent6 2 4 2 3 4 2 2" xfId="18866" xr:uid="{00000000-0005-0000-0000-000009580000}"/>
    <cellStyle name="40% - Accent6 2 4 2 3 4 2 2 2" xfId="38266" xr:uid="{00000000-0005-0000-0000-00000A580000}"/>
    <cellStyle name="40% - Accent6 2 4 2 3 4 2 3" xfId="28568" xr:uid="{00000000-0005-0000-0000-00000B580000}"/>
    <cellStyle name="40% - Accent6 2 4 2 3 4 3" xfId="14411" xr:uid="{00000000-0005-0000-0000-00000C580000}"/>
    <cellStyle name="40% - Accent6 2 4 2 3 4 3 2" xfId="33811" xr:uid="{00000000-0005-0000-0000-00000D580000}"/>
    <cellStyle name="40% - Accent6 2 4 2 3 4 4" xfId="24113" xr:uid="{00000000-0005-0000-0000-00000E580000}"/>
    <cellStyle name="40% - Accent6 2 4 2 3 5" xfId="6076" xr:uid="{00000000-0005-0000-0000-00000F580000}"/>
    <cellStyle name="40% - Accent6 2 4 2 3 5 2" xfId="10540" xr:uid="{00000000-0005-0000-0000-000010580000}"/>
    <cellStyle name="40% - Accent6 2 4 2 3 5 2 2" xfId="20536" xr:uid="{00000000-0005-0000-0000-000011580000}"/>
    <cellStyle name="40% - Accent6 2 4 2 3 5 2 2 2" xfId="39936" xr:uid="{00000000-0005-0000-0000-000012580000}"/>
    <cellStyle name="40% - Accent6 2 4 2 3 5 2 3" xfId="30238" xr:uid="{00000000-0005-0000-0000-000013580000}"/>
    <cellStyle name="40% - Accent6 2 4 2 3 5 3" xfId="16081" xr:uid="{00000000-0005-0000-0000-000014580000}"/>
    <cellStyle name="40% - Accent6 2 4 2 3 5 3 2" xfId="35481" xr:uid="{00000000-0005-0000-0000-000015580000}"/>
    <cellStyle name="40% - Accent6 2 4 2 3 5 4" xfId="25783" xr:uid="{00000000-0005-0000-0000-000016580000}"/>
    <cellStyle name="40% - Accent6 2 4 2 3 6" xfId="6642" xr:uid="{00000000-0005-0000-0000-000017580000}"/>
    <cellStyle name="40% - Accent6 2 4 2 3 6 2" xfId="11097" xr:uid="{00000000-0005-0000-0000-000018580000}"/>
    <cellStyle name="40% - Accent6 2 4 2 3 6 2 2" xfId="21093" xr:uid="{00000000-0005-0000-0000-000019580000}"/>
    <cellStyle name="40% - Accent6 2 4 2 3 6 2 2 2" xfId="40493" xr:uid="{00000000-0005-0000-0000-00001A580000}"/>
    <cellStyle name="40% - Accent6 2 4 2 3 6 2 3" xfId="30795" xr:uid="{00000000-0005-0000-0000-00001B580000}"/>
    <cellStyle name="40% - Accent6 2 4 2 3 6 3" xfId="16638" xr:uid="{00000000-0005-0000-0000-00001C580000}"/>
    <cellStyle name="40% - Accent6 2 4 2 3 6 3 2" xfId="36038" xr:uid="{00000000-0005-0000-0000-00001D580000}"/>
    <cellStyle name="40% - Accent6 2 4 2 3 6 4" xfId="26340" xr:uid="{00000000-0005-0000-0000-00001E580000}"/>
    <cellStyle name="40% - Accent6 2 4 2 3 7" xfId="7199" xr:uid="{00000000-0005-0000-0000-00001F580000}"/>
    <cellStyle name="40% - Accent6 2 4 2 3 7 2" xfId="17195" xr:uid="{00000000-0005-0000-0000-000020580000}"/>
    <cellStyle name="40% - Accent6 2 4 2 3 7 2 2" xfId="36595" xr:uid="{00000000-0005-0000-0000-000021580000}"/>
    <cellStyle name="40% - Accent6 2 4 2 3 7 3" xfId="26897" xr:uid="{00000000-0005-0000-0000-000022580000}"/>
    <cellStyle name="40% - Accent6 2 4 2 3 8" xfId="12739" xr:uid="{00000000-0005-0000-0000-000023580000}"/>
    <cellStyle name="40% - Accent6 2 4 2 3 8 2" xfId="32140" xr:uid="{00000000-0005-0000-0000-000024580000}"/>
    <cellStyle name="40% - Accent6 2 4 2 3 9" xfId="22442" xr:uid="{00000000-0005-0000-0000-000025580000}"/>
    <cellStyle name="40% - Accent6 2 4 2 4" xfId="3248" xr:uid="{00000000-0005-0000-0000-000026580000}"/>
    <cellStyle name="40% - Accent6 2 4 2 4 2" xfId="5517" xr:uid="{00000000-0005-0000-0000-000027580000}"/>
    <cellStyle name="40% - Accent6 2 4 2 4 2 2" xfId="9981" xr:uid="{00000000-0005-0000-0000-000028580000}"/>
    <cellStyle name="40% - Accent6 2 4 2 4 2 2 2" xfId="19977" xr:uid="{00000000-0005-0000-0000-000029580000}"/>
    <cellStyle name="40% - Accent6 2 4 2 4 2 2 2 2" xfId="39377" xr:uid="{00000000-0005-0000-0000-00002A580000}"/>
    <cellStyle name="40% - Accent6 2 4 2 4 2 2 3" xfId="29679" xr:uid="{00000000-0005-0000-0000-00002B580000}"/>
    <cellStyle name="40% - Accent6 2 4 2 4 2 3" xfId="15522" xr:uid="{00000000-0005-0000-0000-00002C580000}"/>
    <cellStyle name="40% - Accent6 2 4 2 4 2 3 2" xfId="34922" xr:uid="{00000000-0005-0000-0000-00002D580000}"/>
    <cellStyle name="40% - Accent6 2 4 2 4 2 4" xfId="25224" xr:uid="{00000000-0005-0000-0000-00002E580000}"/>
    <cellStyle name="40% - Accent6 2 4 2 4 3" xfId="7753" xr:uid="{00000000-0005-0000-0000-00002F580000}"/>
    <cellStyle name="40% - Accent6 2 4 2 4 3 2" xfId="17749" xr:uid="{00000000-0005-0000-0000-000030580000}"/>
    <cellStyle name="40% - Accent6 2 4 2 4 3 2 2" xfId="37149" xr:uid="{00000000-0005-0000-0000-000031580000}"/>
    <cellStyle name="40% - Accent6 2 4 2 4 3 3" xfId="27451" xr:uid="{00000000-0005-0000-0000-000032580000}"/>
    <cellStyle name="40% - Accent6 2 4 2 4 4" xfId="13294" xr:uid="{00000000-0005-0000-0000-000033580000}"/>
    <cellStyle name="40% - Accent6 2 4 2 4 4 2" xfId="32694" xr:uid="{00000000-0005-0000-0000-000034580000}"/>
    <cellStyle name="40% - Accent6 2 4 2 4 5" xfId="22996" xr:uid="{00000000-0005-0000-0000-000035580000}"/>
    <cellStyle name="40% - Accent6 2 4 2 5" xfId="3831" xr:uid="{00000000-0005-0000-0000-000036580000}"/>
    <cellStyle name="40% - Accent6 2 4 2 5 2" xfId="4961" xr:uid="{00000000-0005-0000-0000-000037580000}"/>
    <cellStyle name="40% - Accent6 2 4 2 5 2 2" xfId="9425" xr:uid="{00000000-0005-0000-0000-000038580000}"/>
    <cellStyle name="40% - Accent6 2 4 2 5 2 2 2" xfId="19421" xr:uid="{00000000-0005-0000-0000-000039580000}"/>
    <cellStyle name="40% - Accent6 2 4 2 5 2 2 2 2" xfId="38821" xr:uid="{00000000-0005-0000-0000-00003A580000}"/>
    <cellStyle name="40% - Accent6 2 4 2 5 2 2 3" xfId="29123" xr:uid="{00000000-0005-0000-0000-00003B580000}"/>
    <cellStyle name="40% - Accent6 2 4 2 5 2 3" xfId="14966" xr:uid="{00000000-0005-0000-0000-00003C580000}"/>
    <cellStyle name="40% - Accent6 2 4 2 5 2 3 2" xfId="34366" xr:uid="{00000000-0005-0000-0000-00003D580000}"/>
    <cellStyle name="40% - Accent6 2 4 2 5 2 4" xfId="24668" xr:uid="{00000000-0005-0000-0000-00003E580000}"/>
    <cellStyle name="40% - Accent6 2 4 2 5 3" xfId="8310" xr:uid="{00000000-0005-0000-0000-00003F580000}"/>
    <cellStyle name="40% - Accent6 2 4 2 5 3 2" xfId="18306" xr:uid="{00000000-0005-0000-0000-000040580000}"/>
    <cellStyle name="40% - Accent6 2 4 2 5 3 2 2" xfId="37706" xr:uid="{00000000-0005-0000-0000-000041580000}"/>
    <cellStyle name="40% - Accent6 2 4 2 5 3 3" xfId="28008" xr:uid="{00000000-0005-0000-0000-000042580000}"/>
    <cellStyle name="40% - Accent6 2 4 2 5 4" xfId="13851" xr:uid="{00000000-0005-0000-0000-000043580000}"/>
    <cellStyle name="40% - Accent6 2 4 2 5 4 2" xfId="33251" xr:uid="{00000000-0005-0000-0000-000044580000}"/>
    <cellStyle name="40% - Accent6 2 4 2 5 5" xfId="23553" xr:uid="{00000000-0005-0000-0000-000045580000}"/>
    <cellStyle name="40% - Accent6 2 4 2 6" xfId="4404" xr:uid="{00000000-0005-0000-0000-000046580000}"/>
    <cellStyle name="40% - Accent6 2 4 2 6 2" xfId="8868" xr:uid="{00000000-0005-0000-0000-000047580000}"/>
    <cellStyle name="40% - Accent6 2 4 2 6 2 2" xfId="18864" xr:uid="{00000000-0005-0000-0000-000048580000}"/>
    <cellStyle name="40% - Accent6 2 4 2 6 2 2 2" xfId="38264" xr:uid="{00000000-0005-0000-0000-000049580000}"/>
    <cellStyle name="40% - Accent6 2 4 2 6 2 3" xfId="28566" xr:uid="{00000000-0005-0000-0000-00004A580000}"/>
    <cellStyle name="40% - Accent6 2 4 2 6 3" xfId="14409" xr:uid="{00000000-0005-0000-0000-00004B580000}"/>
    <cellStyle name="40% - Accent6 2 4 2 6 3 2" xfId="33809" xr:uid="{00000000-0005-0000-0000-00004C580000}"/>
    <cellStyle name="40% - Accent6 2 4 2 6 4" xfId="24111" xr:uid="{00000000-0005-0000-0000-00004D580000}"/>
    <cellStyle name="40% - Accent6 2 4 2 7" xfId="6074" xr:uid="{00000000-0005-0000-0000-00004E580000}"/>
    <cellStyle name="40% - Accent6 2 4 2 7 2" xfId="10538" xr:uid="{00000000-0005-0000-0000-00004F580000}"/>
    <cellStyle name="40% - Accent6 2 4 2 7 2 2" xfId="20534" xr:uid="{00000000-0005-0000-0000-000050580000}"/>
    <cellStyle name="40% - Accent6 2 4 2 7 2 2 2" xfId="39934" xr:uid="{00000000-0005-0000-0000-000051580000}"/>
    <cellStyle name="40% - Accent6 2 4 2 7 2 3" xfId="30236" xr:uid="{00000000-0005-0000-0000-000052580000}"/>
    <cellStyle name="40% - Accent6 2 4 2 7 3" xfId="16079" xr:uid="{00000000-0005-0000-0000-000053580000}"/>
    <cellStyle name="40% - Accent6 2 4 2 7 3 2" xfId="35479" xr:uid="{00000000-0005-0000-0000-000054580000}"/>
    <cellStyle name="40% - Accent6 2 4 2 7 4" xfId="25781" xr:uid="{00000000-0005-0000-0000-000055580000}"/>
    <cellStyle name="40% - Accent6 2 4 2 8" xfId="6640" xr:uid="{00000000-0005-0000-0000-000056580000}"/>
    <cellStyle name="40% - Accent6 2 4 2 8 2" xfId="11095" xr:uid="{00000000-0005-0000-0000-000057580000}"/>
    <cellStyle name="40% - Accent6 2 4 2 8 2 2" xfId="21091" xr:uid="{00000000-0005-0000-0000-000058580000}"/>
    <cellStyle name="40% - Accent6 2 4 2 8 2 2 2" xfId="40491" xr:uid="{00000000-0005-0000-0000-000059580000}"/>
    <cellStyle name="40% - Accent6 2 4 2 8 2 3" xfId="30793" xr:uid="{00000000-0005-0000-0000-00005A580000}"/>
    <cellStyle name="40% - Accent6 2 4 2 8 3" xfId="16636" xr:uid="{00000000-0005-0000-0000-00005B580000}"/>
    <cellStyle name="40% - Accent6 2 4 2 8 3 2" xfId="36036" xr:uid="{00000000-0005-0000-0000-00005C580000}"/>
    <cellStyle name="40% - Accent6 2 4 2 8 4" xfId="26338" xr:uid="{00000000-0005-0000-0000-00005D580000}"/>
    <cellStyle name="40% - Accent6 2 4 2 9" xfId="7197" xr:uid="{00000000-0005-0000-0000-00005E580000}"/>
    <cellStyle name="40% - Accent6 2 4 2 9 2" xfId="17193" xr:uid="{00000000-0005-0000-0000-00005F580000}"/>
    <cellStyle name="40% - Accent6 2 4 2 9 2 2" xfId="36593" xr:uid="{00000000-0005-0000-0000-000060580000}"/>
    <cellStyle name="40% - Accent6 2 4 2 9 3" xfId="26895" xr:uid="{00000000-0005-0000-0000-000061580000}"/>
    <cellStyle name="40% - Accent6 2 4 3" xfId="2270" xr:uid="{00000000-0005-0000-0000-000062580000}"/>
    <cellStyle name="40% - Accent6 2 4 3 10" xfId="12740" xr:uid="{00000000-0005-0000-0000-000063580000}"/>
    <cellStyle name="40% - Accent6 2 4 3 10 2" xfId="32141" xr:uid="{00000000-0005-0000-0000-000064580000}"/>
    <cellStyle name="40% - Accent6 2 4 3 11" xfId="22443" xr:uid="{00000000-0005-0000-0000-000065580000}"/>
    <cellStyle name="40% - Accent6 2 4 3 2" xfId="2271" xr:uid="{00000000-0005-0000-0000-000066580000}"/>
    <cellStyle name="40% - Accent6 2 4 3 2 2" xfId="3252" xr:uid="{00000000-0005-0000-0000-000067580000}"/>
    <cellStyle name="40% - Accent6 2 4 3 2 2 2" xfId="5521" xr:uid="{00000000-0005-0000-0000-000068580000}"/>
    <cellStyle name="40% - Accent6 2 4 3 2 2 2 2" xfId="9985" xr:uid="{00000000-0005-0000-0000-000069580000}"/>
    <cellStyle name="40% - Accent6 2 4 3 2 2 2 2 2" xfId="19981" xr:uid="{00000000-0005-0000-0000-00006A580000}"/>
    <cellStyle name="40% - Accent6 2 4 3 2 2 2 2 2 2" xfId="39381" xr:uid="{00000000-0005-0000-0000-00006B580000}"/>
    <cellStyle name="40% - Accent6 2 4 3 2 2 2 2 3" xfId="29683" xr:uid="{00000000-0005-0000-0000-00006C580000}"/>
    <cellStyle name="40% - Accent6 2 4 3 2 2 2 3" xfId="15526" xr:uid="{00000000-0005-0000-0000-00006D580000}"/>
    <cellStyle name="40% - Accent6 2 4 3 2 2 2 3 2" xfId="34926" xr:uid="{00000000-0005-0000-0000-00006E580000}"/>
    <cellStyle name="40% - Accent6 2 4 3 2 2 2 4" xfId="25228" xr:uid="{00000000-0005-0000-0000-00006F580000}"/>
    <cellStyle name="40% - Accent6 2 4 3 2 2 3" xfId="7757" xr:uid="{00000000-0005-0000-0000-000070580000}"/>
    <cellStyle name="40% - Accent6 2 4 3 2 2 3 2" xfId="17753" xr:uid="{00000000-0005-0000-0000-000071580000}"/>
    <cellStyle name="40% - Accent6 2 4 3 2 2 3 2 2" xfId="37153" xr:uid="{00000000-0005-0000-0000-000072580000}"/>
    <cellStyle name="40% - Accent6 2 4 3 2 2 3 3" xfId="27455" xr:uid="{00000000-0005-0000-0000-000073580000}"/>
    <cellStyle name="40% - Accent6 2 4 3 2 2 4" xfId="13298" xr:uid="{00000000-0005-0000-0000-000074580000}"/>
    <cellStyle name="40% - Accent6 2 4 3 2 2 4 2" xfId="32698" xr:uid="{00000000-0005-0000-0000-000075580000}"/>
    <cellStyle name="40% - Accent6 2 4 3 2 2 5" xfId="23000" xr:uid="{00000000-0005-0000-0000-000076580000}"/>
    <cellStyle name="40% - Accent6 2 4 3 2 3" xfId="3835" xr:uid="{00000000-0005-0000-0000-000077580000}"/>
    <cellStyle name="40% - Accent6 2 4 3 2 3 2" xfId="4965" xr:uid="{00000000-0005-0000-0000-000078580000}"/>
    <cellStyle name="40% - Accent6 2 4 3 2 3 2 2" xfId="9429" xr:uid="{00000000-0005-0000-0000-000079580000}"/>
    <cellStyle name="40% - Accent6 2 4 3 2 3 2 2 2" xfId="19425" xr:uid="{00000000-0005-0000-0000-00007A580000}"/>
    <cellStyle name="40% - Accent6 2 4 3 2 3 2 2 2 2" xfId="38825" xr:uid="{00000000-0005-0000-0000-00007B580000}"/>
    <cellStyle name="40% - Accent6 2 4 3 2 3 2 2 3" xfId="29127" xr:uid="{00000000-0005-0000-0000-00007C580000}"/>
    <cellStyle name="40% - Accent6 2 4 3 2 3 2 3" xfId="14970" xr:uid="{00000000-0005-0000-0000-00007D580000}"/>
    <cellStyle name="40% - Accent6 2 4 3 2 3 2 3 2" xfId="34370" xr:uid="{00000000-0005-0000-0000-00007E580000}"/>
    <cellStyle name="40% - Accent6 2 4 3 2 3 2 4" xfId="24672" xr:uid="{00000000-0005-0000-0000-00007F580000}"/>
    <cellStyle name="40% - Accent6 2 4 3 2 3 3" xfId="8314" xr:uid="{00000000-0005-0000-0000-000080580000}"/>
    <cellStyle name="40% - Accent6 2 4 3 2 3 3 2" xfId="18310" xr:uid="{00000000-0005-0000-0000-000081580000}"/>
    <cellStyle name="40% - Accent6 2 4 3 2 3 3 2 2" xfId="37710" xr:uid="{00000000-0005-0000-0000-000082580000}"/>
    <cellStyle name="40% - Accent6 2 4 3 2 3 3 3" xfId="28012" xr:uid="{00000000-0005-0000-0000-000083580000}"/>
    <cellStyle name="40% - Accent6 2 4 3 2 3 4" xfId="13855" xr:uid="{00000000-0005-0000-0000-000084580000}"/>
    <cellStyle name="40% - Accent6 2 4 3 2 3 4 2" xfId="33255" xr:uid="{00000000-0005-0000-0000-000085580000}"/>
    <cellStyle name="40% - Accent6 2 4 3 2 3 5" xfId="23557" xr:uid="{00000000-0005-0000-0000-000086580000}"/>
    <cellStyle name="40% - Accent6 2 4 3 2 4" xfId="4408" xr:uid="{00000000-0005-0000-0000-000087580000}"/>
    <cellStyle name="40% - Accent6 2 4 3 2 4 2" xfId="8872" xr:uid="{00000000-0005-0000-0000-000088580000}"/>
    <cellStyle name="40% - Accent6 2 4 3 2 4 2 2" xfId="18868" xr:uid="{00000000-0005-0000-0000-000089580000}"/>
    <cellStyle name="40% - Accent6 2 4 3 2 4 2 2 2" xfId="38268" xr:uid="{00000000-0005-0000-0000-00008A580000}"/>
    <cellStyle name="40% - Accent6 2 4 3 2 4 2 3" xfId="28570" xr:uid="{00000000-0005-0000-0000-00008B580000}"/>
    <cellStyle name="40% - Accent6 2 4 3 2 4 3" xfId="14413" xr:uid="{00000000-0005-0000-0000-00008C580000}"/>
    <cellStyle name="40% - Accent6 2 4 3 2 4 3 2" xfId="33813" xr:uid="{00000000-0005-0000-0000-00008D580000}"/>
    <cellStyle name="40% - Accent6 2 4 3 2 4 4" xfId="24115" xr:uid="{00000000-0005-0000-0000-00008E580000}"/>
    <cellStyle name="40% - Accent6 2 4 3 2 5" xfId="6078" xr:uid="{00000000-0005-0000-0000-00008F580000}"/>
    <cellStyle name="40% - Accent6 2 4 3 2 5 2" xfId="10542" xr:uid="{00000000-0005-0000-0000-000090580000}"/>
    <cellStyle name="40% - Accent6 2 4 3 2 5 2 2" xfId="20538" xr:uid="{00000000-0005-0000-0000-000091580000}"/>
    <cellStyle name="40% - Accent6 2 4 3 2 5 2 2 2" xfId="39938" xr:uid="{00000000-0005-0000-0000-000092580000}"/>
    <cellStyle name="40% - Accent6 2 4 3 2 5 2 3" xfId="30240" xr:uid="{00000000-0005-0000-0000-000093580000}"/>
    <cellStyle name="40% - Accent6 2 4 3 2 5 3" xfId="16083" xr:uid="{00000000-0005-0000-0000-000094580000}"/>
    <cellStyle name="40% - Accent6 2 4 3 2 5 3 2" xfId="35483" xr:uid="{00000000-0005-0000-0000-000095580000}"/>
    <cellStyle name="40% - Accent6 2 4 3 2 5 4" xfId="25785" xr:uid="{00000000-0005-0000-0000-000096580000}"/>
    <cellStyle name="40% - Accent6 2 4 3 2 6" xfId="6644" xr:uid="{00000000-0005-0000-0000-000097580000}"/>
    <cellStyle name="40% - Accent6 2 4 3 2 6 2" xfId="11099" xr:uid="{00000000-0005-0000-0000-000098580000}"/>
    <cellStyle name="40% - Accent6 2 4 3 2 6 2 2" xfId="21095" xr:uid="{00000000-0005-0000-0000-000099580000}"/>
    <cellStyle name="40% - Accent6 2 4 3 2 6 2 2 2" xfId="40495" xr:uid="{00000000-0005-0000-0000-00009A580000}"/>
    <cellStyle name="40% - Accent6 2 4 3 2 6 2 3" xfId="30797" xr:uid="{00000000-0005-0000-0000-00009B580000}"/>
    <cellStyle name="40% - Accent6 2 4 3 2 6 3" xfId="16640" xr:uid="{00000000-0005-0000-0000-00009C580000}"/>
    <cellStyle name="40% - Accent6 2 4 3 2 6 3 2" xfId="36040" xr:uid="{00000000-0005-0000-0000-00009D580000}"/>
    <cellStyle name="40% - Accent6 2 4 3 2 6 4" xfId="26342" xr:uid="{00000000-0005-0000-0000-00009E580000}"/>
    <cellStyle name="40% - Accent6 2 4 3 2 7" xfId="7201" xr:uid="{00000000-0005-0000-0000-00009F580000}"/>
    <cellStyle name="40% - Accent6 2 4 3 2 7 2" xfId="17197" xr:uid="{00000000-0005-0000-0000-0000A0580000}"/>
    <cellStyle name="40% - Accent6 2 4 3 2 7 2 2" xfId="36597" xr:uid="{00000000-0005-0000-0000-0000A1580000}"/>
    <cellStyle name="40% - Accent6 2 4 3 2 7 3" xfId="26899" xr:uid="{00000000-0005-0000-0000-0000A2580000}"/>
    <cellStyle name="40% - Accent6 2 4 3 2 8" xfId="12741" xr:uid="{00000000-0005-0000-0000-0000A3580000}"/>
    <cellStyle name="40% - Accent6 2 4 3 2 8 2" xfId="32142" xr:uid="{00000000-0005-0000-0000-0000A4580000}"/>
    <cellStyle name="40% - Accent6 2 4 3 2 9" xfId="22444" xr:uid="{00000000-0005-0000-0000-0000A5580000}"/>
    <cellStyle name="40% - Accent6 2 4 3 3" xfId="2272" xr:uid="{00000000-0005-0000-0000-0000A6580000}"/>
    <cellStyle name="40% - Accent6 2 4 3 3 2" xfId="3253" xr:uid="{00000000-0005-0000-0000-0000A7580000}"/>
    <cellStyle name="40% - Accent6 2 4 3 3 2 2" xfId="5522" xr:uid="{00000000-0005-0000-0000-0000A8580000}"/>
    <cellStyle name="40% - Accent6 2 4 3 3 2 2 2" xfId="9986" xr:uid="{00000000-0005-0000-0000-0000A9580000}"/>
    <cellStyle name="40% - Accent6 2 4 3 3 2 2 2 2" xfId="19982" xr:uid="{00000000-0005-0000-0000-0000AA580000}"/>
    <cellStyle name="40% - Accent6 2 4 3 3 2 2 2 2 2" xfId="39382" xr:uid="{00000000-0005-0000-0000-0000AB580000}"/>
    <cellStyle name="40% - Accent6 2 4 3 3 2 2 2 3" xfId="29684" xr:uid="{00000000-0005-0000-0000-0000AC580000}"/>
    <cellStyle name="40% - Accent6 2 4 3 3 2 2 3" xfId="15527" xr:uid="{00000000-0005-0000-0000-0000AD580000}"/>
    <cellStyle name="40% - Accent6 2 4 3 3 2 2 3 2" xfId="34927" xr:uid="{00000000-0005-0000-0000-0000AE580000}"/>
    <cellStyle name="40% - Accent6 2 4 3 3 2 2 4" xfId="25229" xr:uid="{00000000-0005-0000-0000-0000AF580000}"/>
    <cellStyle name="40% - Accent6 2 4 3 3 2 3" xfId="7758" xr:uid="{00000000-0005-0000-0000-0000B0580000}"/>
    <cellStyle name="40% - Accent6 2 4 3 3 2 3 2" xfId="17754" xr:uid="{00000000-0005-0000-0000-0000B1580000}"/>
    <cellStyle name="40% - Accent6 2 4 3 3 2 3 2 2" xfId="37154" xr:uid="{00000000-0005-0000-0000-0000B2580000}"/>
    <cellStyle name="40% - Accent6 2 4 3 3 2 3 3" xfId="27456" xr:uid="{00000000-0005-0000-0000-0000B3580000}"/>
    <cellStyle name="40% - Accent6 2 4 3 3 2 4" xfId="13299" xr:uid="{00000000-0005-0000-0000-0000B4580000}"/>
    <cellStyle name="40% - Accent6 2 4 3 3 2 4 2" xfId="32699" xr:uid="{00000000-0005-0000-0000-0000B5580000}"/>
    <cellStyle name="40% - Accent6 2 4 3 3 2 5" xfId="23001" xr:uid="{00000000-0005-0000-0000-0000B6580000}"/>
    <cellStyle name="40% - Accent6 2 4 3 3 3" xfId="3836" xr:uid="{00000000-0005-0000-0000-0000B7580000}"/>
    <cellStyle name="40% - Accent6 2 4 3 3 3 2" xfId="4966" xr:uid="{00000000-0005-0000-0000-0000B8580000}"/>
    <cellStyle name="40% - Accent6 2 4 3 3 3 2 2" xfId="9430" xr:uid="{00000000-0005-0000-0000-0000B9580000}"/>
    <cellStyle name="40% - Accent6 2 4 3 3 3 2 2 2" xfId="19426" xr:uid="{00000000-0005-0000-0000-0000BA580000}"/>
    <cellStyle name="40% - Accent6 2 4 3 3 3 2 2 2 2" xfId="38826" xr:uid="{00000000-0005-0000-0000-0000BB580000}"/>
    <cellStyle name="40% - Accent6 2 4 3 3 3 2 2 3" xfId="29128" xr:uid="{00000000-0005-0000-0000-0000BC580000}"/>
    <cellStyle name="40% - Accent6 2 4 3 3 3 2 3" xfId="14971" xr:uid="{00000000-0005-0000-0000-0000BD580000}"/>
    <cellStyle name="40% - Accent6 2 4 3 3 3 2 3 2" xfId="34371" xr:uid="{00000000-0005-0000-0000-0000BE580000}"/>
    <cellStyle name="40% - Accent6 2 4 3 3 3 2 4" xfId="24673" xr:uid="{00000000-0005-0000-0000-0000BF580000}"/>
    <cellStyle name="40% - Accent6 2 4 3 3 3 3" xfId="8315" xr:uid="{00000000-0005-0000-0000-0000C0580000}"/>
    <cellStyle name="40% - Accent6 2 4 3 3 3 3 2" xfId="18311" xr:uid="{00000000-0005-0000-0000-0000C1580000}"/>
    <cellStyle name="40% - Accent6 2 4 3 3 3 3 2 2" xfId="37711" xr:uid="{00000000-0005-0000-0000-0000C2580000}"/>
    <cellStyle name="40% - Accent6 2 4 3 3 3 3 3" xfId="28013" xr:uid="{00000000-0005-0000-0000-0000C3580000}"/>
    <cellStyle name="40% - Accent6 2 4 3 3 3 4" xfId="13856" xr:uid="{00000000-0005-0000-0000-0000C4580000}"/>
    <cellStyle name="40% - Accent6 2 4 3 3 3 4 2" xfId="33256" xr:uid="{00000000-0005-0000-0000-0000C5580000}"/>
    <cellStyle name="40% - Accent6 2 4 3 3 3 5" xfId="23558" xr:uid="{00000000-0005-0000-0000-0000C6580000}"/>
    <cellStyle name="40% - Accent6 2 4 3 3 4" xfId="4409" xr:uid="{00000000-0005-0000-0000-0000C7580000}"/>
    <cellStyle name="40% - Accent6 2 4 3 3 4 2" xfId="8873" xr:uid="{00000000-0005-0000-0000-0000C8580000}"/>
    <cellStyle name="40% - Accent6 2 4 3 3 4 2 2" xfId="18869" xr:uid="{00000000-0005-0000-0000-0000C9580000}"/>
    <cellStyle name="40% - Accent6 2 4 3 3 4 2 2 2" xfId="38269" xr:uid="{00000000-0005-0000-0000-0000CA580000}"/>
    <cellStyle name="40% - Accent6 2 4 3 3 4 2 3" xfId="28571" xr:uid="{00000000-0005-0000-0000-0000CB580000}"/>
    <cellStyle name="40% - Accent6 2 4 3 3 4 3" xfId="14414" xr:uid="{00000000-0005-0000-0000-0000CC580000}"/>
    <cellStyle name="40% - Accent6 2 4 3 3 4 3 2" xfId="33814" xr:uid="{00000000-0005-0000-0000-0000CD580000}"/>
    <cellStyle name="40% - Accent6 2 4 3 3 4 4" xfId="24116" xr:uid="{00000000-0005-0000-0000-0000CE580000}"/>
    <cellStyle name="40% - Accent6 2 4 3 3 5" xfId="6079" xr:uid="{00000000-0005-0000-0000-0000CF580000}"/>
    <cellStyle name="40% - Accent6 2 4 3 3 5 2" xfId="10543" xr:uid="{00000000-0005-0000-0000-0000D0580000}"/>
    <cellStyle name="40% - Accent6 2 4 3 3 5 2 2" xfId="20539" xr:uid="{00000000-0005-0000-0000-0000D1580000}"/>
    <cellStyle name="40% - Accent6 2 4 3 3 5 2 2 2" xfId="39939" xr:uid="{00000000-0005-0000-0000-0000D2580000}"/>
    <cellStyle name="40% - Accent6 2 4 3 3 5 2 3" xfId="30241" xr:uid="{00000000-0005-0000-0000-0000D3580000}"/>
    <cellStyle name="40% - Accent6 2 4 3 3 5 3" xfId="16084" xr:uid="{00000000-0005-0000-0000-0000D4580000}"/>
    <cellStyle name="40% - Accent6 2 4 3 3 5 3 2" xfId="35484" xr:uid="{00000000-0005-0000-0000-0000D5580000}"/>
    <cellStyle name="40% - Accent6 2 4 3 3 5 4" xfId="25786" xr:uid="{00000000-0005-0000-0000-0000D6580000}"/>
    <cellStyle name="40% - Accent6 2 4 3 3 6" xfId="6645" xr:uid="{00000000-0005-0000-0000-0000D7580000}"/>
    <cellStyle name="40% - Accent6 2 4 3 3 6 2" xfId="11100" xr:uid="{00000000-0005-0000-0000-0000D8580000}"/>
    <cellStyle name="40% - Accent6 2 4 3 3 6 2 2" xfId="21096" xr:uid="{00000000-0005-0000-0000-0000D9580000}"/>
    <cellStyle name="40% - Accent6 2 4 3 3 6 2 2 2" xfId="40496" xr:uid="{00000000-0005-0000-0000-0000DA580000}"/>
    <cellStyle name="40% - Accent6 2 4 3 3 6 2 3" xfId="30798" xr:uid="{00000000-0005-0000-0000-0000DB580000}"/>
    <cellStyle name="40% - Accent6 2 4 3 3 6 3" xfId="16641" xr:uid="{00000000-0005-0000-0000-0000DC580000}"/>
    <cellStyle name="40% - Accent6 2 4 3 3 6 3 2" xfId="36041" xr:uid="{00000000-0005-0000-0000-0000DD580000}"/>
    <cellStyle name="40% - Accent6 2 4 3 3 6 4" xfId="26343" xr:uid="{00000000-0005-0000-0000-0000DE580000}"/>
    <cellStyle name="40% - Accent6 2 4 3 3 7" xfId="7202" xr:uid="{00000000-0005-0000-0000-0000DF580000}"/>
    <cellStyle name="40% - Accent6 2 4 3 3 7 2" xfId="17198" xr:uid="{00000000-0005-0000-0000-0000E0580000}"/>
    <cellStyle name="40% - Accent6 2 4 3 3 7 2 2" xfId="36598" xr:uid="{00000000-0005-0000-0000-0000E1580000}"/>
    <cellStyle name="40% - Accent6 2 4 3 3 7 3" xfId="26900" xr:uid="{00000000-0005-0000-0000-0000E2580000}"/>
    <cellStyle name="40% - Accent6 2 4 3 3 8" xfId="12742" xr:uid="{00000000-0005-0000-0000-0000E3580000}"/>
    <cellStyle name="40% - Accent6 2 4 3 3 8 2" xfId="32143" xr:uid="{00000000-0005-0000-0000-0000E4580000}"/>
    <cellStyle name="40% - Accent6 2 4 3 3 9" xfId="22445" xr:uid="{00000000-0005-0000-0000-0000E5580000}"/>
    <cellStyle name="40% - Accent6 2 4 3 4" xfId="3251" xr:uid="{00000000-0005-0000-0000-0000E6580000}"/>
    <cellStyle name="40% - Accent6 2 4 3 4 2" xfId="5520" xr:uid="{00000000-0005-0000-0000-0000E7580000}"/>
    <cellStyle name="40% - Accent6 2 4 3 4 2 2" xfId="9984" xr:uid="{00000000-0005-0000-0000-0000E8580000}"/>
    <cellStyle name="40% - Accent6 2 4 3 4 2 2 2" xfId="19980" xr:uid="{00000000-0005-0000-0000-0000E9580000}"/>
    <cellStyle name="40% - Accent6 2 4 3 4 2 2 2 2" xfId="39380" xr:uid="{00000000-0005-0000-0000-0000EA580000}"/>
    <cellStyle name="40% - Accent6 2 4 3 4 2 2 3" xfId="29682" xr:uid="{00000000-0005-0000-0000-0000EB580000}"/>
    <cellStyle name="40% - Accent6 2 4 3 4 2 3" xfId="15525" xr:uid="{00000000-0005-0000-0000-0000EC580000}"/>
    <cellStyle name="40% - Accent6 2 4 3 4 2 3 2" xfId="34925" xr:uid="{00000000-0005-0000-0000-0000ED580000}"/>
    <cellStyle name="40% - Accent6 2 4 3 4 2 4" xfId="25227" xr:uid="{00000000-0005-0000-0000-0000EE580000}"/>
    <cellStyle name="40% - Accent6 2 4 3 4 3" xfId="7756" xr:uid="{00000000-0005-0000-0000-0000EF580000}"/>
    <cellStyle name="40% - Accent6 2 4 3 4 3 2" xfId="17752" xr:uid="{00000000-0005-0000-0000-0000F0580000}"/>
    <cellStyle name="40% - Accent6 2 4 3 4 3 2 2" xfId="37152" xr:uid="{00000000-0005-0000-0000-0000F1580000}"/>
    <cellStyle name="40% - Accent6 2 4 3 4 3 3" xfId="27454" xr:uid="{00000000-0005-0000-0000-0000F2580000}"/>
    <cellStyle name="40% - Accent6 2 4 3 4 4" xfId="13297" xr:uid="{00000000-0005-0000-0000-0000F3580000}"/>
    <cellStyle name="40% - Accent6 2 4 3 4 4 2" xfId="32697" xr:uid="{00000000-0005-0000-0000-0000F4580000}"/>
    <cellStyle name="40% - Accent6 2 4 3 4 5" xfId="22999" xr:uid="{00000000-0005-0000-0000-0000F5580000}"/>
    <cellStyle name="40% - Accent6 2 4 3 5" xfId="3834" xr:uid="{00000000-0005-0000-0000-0000F6580000}"/>
    <cellStyle name="40% - Accent6 2 4 3 5 2" xfId="4964" xr:uid="{00000000-0005-0000-0000-0000F7580000}"/>
    <cellStyle name="40% - Accent6 2 4 3 5 2 2" xfId="9428" xr:uid="{00000000-0005-0000-0000-0000F8580000}"/>
    <cellStyle name="40% - Accent6 2 4 3 5 2 2 2" xfId="19424" xr:uid="{00000000-0005-0000-0000-0000F9580000}"/>
    <cellStyle name="40% - Accent6 2 4 3 5 2 2 2 2" xfId="38824" xr:uid="{00000000-0005-0000-0000-0000FA580000}"/>
    <cellStyle name="40% - Accent6 2 4 3 5 2 2 3" xfId="29126" xr:uid="{00000000-0005-0000-0000-0000FB580000}"/>
    <cellStyle name="40% - Accent6 2 4 3 5 2 3" xfId="14969" xr:uid="{00000000-0005-0000-0000-0000FC580000}"/>
    <cellStyle name="40% - Accent6 2 4 3 5 2 3 2" xfId="34369" xr:uid="{00000000-0005-0000-0000-0000FD580000}"/>
    <cellStyle name="40% - Accent6 2 4 3 5 2 4" xfId="24671" xr:uid="{00000000-0005-0000-0000-0000FE580000}"/>
    <cellStyle name="40% - Accent6 2 4 3 5 3" xfId="8313" xr:uid="{00000000-0005-0000-0000-0000FF580000}"/>
    <cellStyle name="40% - Accent6 2 4 3 5 3 2" xfId="18309" xr:uid="{00000000-0005-0000-0000-000000590000}"/>
    <cellStyle name="40% - Accent6 2 4 3 5 3 2 2" xfId="37709" xr:uid="{00000000-0005-0000-0000-000001590000}"/>
    <cellStyle name="40% - Accent6 2 4 3 5 3 3" xfId="28011" xr:uid="{00000000-0005-0000-0000-000002590000}"/>
    <cellStyle name="40% - Accent6 2 4 3 5 4" xfId="13854" xr:uid="{00000000-0005-0000-0000-000003590000}"/>
    <cellStyle name="40% - Accent6 2 4 3 5 4 2" xfId="33254" xr:uid="{00000000-0005-0000-0000-000004590000}"/>
    <cellStyle name="40% - Accent6 2 4 3 5 5" xfId="23556" xr:uid="{00000000-0005-0000-0000-000005590000}"/>
    <cellStyle name="40% - Accent6 2 4 3 6" xfId="4407" xr:uid="{00000000-0005-0000-0000-000006590000}"/>
    <cellStyle name="40% - Accent6 2 4 3 6 2" xfId="8871" xr:uid="{00000000-0005-0000-0000-000007590000}"/>
    <cellStyle name="40% - Accent6 2 4 3 6 2 2" xfId="18867" xr:uid="{00000000-0005-0000-0000-000008590000}"/>
    <cellStyle name="40% - Accent6 2 4 3 6 2 2 2" xfId="38267" xr:uid="{00000000-0005-0000-0000-000009590000}"/>
    <cellStyle name="40% - Accent6 2 4 3 6 2 3" xfId="28569" xr:uid="{00000000-0005-0000-0000-00000A590000}"/>
    <cellStyle name="40% - Accent6 2 4 3 6 3" xfId="14412" xr:uid="{00000000-0005-0000-0000-00000B590000}"/>
    <cellStyle name="40% - Accent6 2 4 3 6 3 2" xfId="33812" xr:uid="{00000000-0005-0000-0000-00000C590000}"/>
    <cellStyle name="40% - Accent6 2 4 3 6 4" xfId="24114" xr:uid="{00000000-0005-0000-0000-00000D590000}"/>
    <cellStyle name="40% - Accent6 2 4 3 7" xfId="6077" xr:uid="{00000000-0005-0000-0000-00000E590000}"/>
    <cellStyle name="40% - Accent6 2 4 3 7 2" xfId="10541" xr:uid="{00000000-0005-0000-0000-00000F590000}"/>
    <cellStyle name="40% - Accent6 2 4 3 7 2 2" xfId="20537" xr:uid="{00000000-0005-0000-0000-000010590000}"/>
    <cellStyle name="40% - Accent6 2 4 3 7 2 2 2" xfId="39937" xr:uid="{00000000-0005-0000-0000-000011590000}"/>
    <cellStyle name="40% - Accent6 2 4 3 7 2 3" xfId="30239" xr:uid="{00000000-0005-0000-0000-000012590000}"/>
    <cellStyle name="40% - Accent6 2 4 3 7 3" xfId="16082" xr:uid="{00000000-0005-0000-0000-000013590000}"/>
    <cellStyle name="40% - Accent6 2 4 3 7 3 2" xfId="35482" xr:uid="{00000000-0005-0000-0000-000014590000}"/>
    <cellStyle name="40% - Accent6 2 4 3 7 4" xfId="25784" xr:uid="{00000000-0005-0000-0000-000015590000}"/>
    <cellStyle name="40% - Accent6 2 4 3 8" xfId="6643" xr:uid="{00000000-0005-0000-0000-000016590000}"/>
    <cellStyle name="40% - Accent6 2 4 3 8 2" xfId="11098" xr:uid="{00000000-0005-0000-0000-000017590000}"/>
    <cellStyle name="40% - Accent6 2 4 3 8 2 2" xfId="21094" xr:uid="{00000000-0005-0000-0000-000018590000}"/>
    <cellStyle name="40% - Accent6 2 4 3 8 2 2 2" xfId="40494" xr:uid="{00000000-0005-0000-0000-000019590000}"/>
    <cellStyle name="40% - Accent6 2 4 3 8 2 3" xfId="30796" xr:uid="{00000000-0005-0000-0000-00001A590000}"/>
    <cellStyle name="40% - Accent6 2 4 3 8 3" xfId="16639" xr:uid="{00000000-0005-0000-0000-00001B590000}"/>
    <cellStyle name="40% - Accent6 2 4 3 8 3 2" xfId="36039" xr:uid="{00000000-0005-0000-0000-00001C590000}"/>
    <cellStyle name="40% - Accent6 2 4 3 8 4" xfId="26341" xr:uid="{00000000-0005-0000-0000-00001D590000}"/>
    <cellStyle name="40% - Accent6 2 4 3 9" xfId="7200" xr:uid="{00000000-0005-0000-0000-00001E590000}"/>
    <cellStyle name="40% - Accent6 2 4 3 9 2" xfId="17196" xr:uid="{00000000-0005-0000-0000-00001F590000}"/>
    <cellStyle name="40% - Accent6 2 4 3 9 2 2" xfId="36596" xr:uid="{00000000-0005-0000-0000-000020590000}"/>
    <cellStyle name="40% - Accent6 2 4 3 9 3" xfId="26898" xr:uid="{00000000-0005-0000-0000-000021590000}"/>
    <cellStyle name="40% - Accent6 2 4 4" xfId="2273" xr:uid="{00000000-0005-0000-0000-000022590000}"/>
    <cellStyle name="40% - Accent6 2 4 4 2" xfId="3254" xr:uid="{00000000-0005-0000-0000-000023590000}"/>
    <cellStyle name="40% - Accent6 2 4 4 2 2" xfId="5523" xr:uid="{00000000-0005-0000-0000-000024590000}"/>
    <cellStyle name="40% - Accent6 2 4 4 2 2 2" xfId="9987" xr:uid="{00000000-0005-0000-0000-000025590000}"/>
    <cellStyle name="40% - Accent6 2 4 4 2 2 2 2" xfId="19983" xr:uid="{00000000-0005-0000-0000-000026590000}"/>
    <cellStyle name="40% - Accent6 2 4 4 2 2 2 2 2" xfId="39383" xr:uid="{00000000-0005-0000-0000-000027590000}"/>
    <cellStyle name="40% - Accent6 2 4 4 2 2 2 3" xfId="29685" xr:uid="{00000000-0005-0000-0000-000028590000}"/>
    <cellStyle name="40% - Accent6 2 4 4 2 2 3" xfId="15528" xr:uid="{00000000-0005-0000-0000-000029590000}"/>
    <cellStyle name="40% - Accent6 2 4 4 2 2 3 2" xfId="34928" xr:uid="{00000000-0005-0000-0000-00002A590000}"/>
    <cellStyle name="40% - Accent6 2 4 4 2 2 4" xfId="25230" xr:uid="{00000000-0005-0000-0000-00002B590000}"/>
    <cellStyle name="40% - Accent6 2 4 4 2 3" xfId="7759" xr:uid="{00000000-0005-0000-0000-00002C590000}"/>
    <cellStyle name="40% - Accent6 2 4 4 2 3 2" xfId="17755" xr:uid="{00000000-0005-0000-0000-00002D590000}"/>
    <cellStyle name="40% - Accent6 2 4 4 2 3 2 2" xfId="37155" xr:uid="{00000000-0005-0000-0000-00002E590000}"/>
    <cellStyle name="40% - Accent6 2 4 4 2 3 3" xfId="27457" xr:uid="{00000000-0005-0000-0000-00002F590000}"/>
    <cellStyle name="40% - Accent6 2 4 4 2 4" xfId="13300" xr:uid="{00000000-0005-0000-0000-000030590000}"/>
    <cellStyle name="40% - Accent6 2 4 4 2 4 2" xfId="32700" xr:uid="{00000000-0005-0000-0000-000031590000}"/>
    <cellStyle name="40% - Accent6 2 4 4 2 5" xfId="23002" xr:uid="{00000000-0005-0000-0000-000032590000}"/>
    <cellStyle name="40% - Accent6 2 4 4 3" xfId="3837" xr:uid="{00000000-0005-0000-0000-000033590000}"/>
    <cellStyle name="40% - Accent6 2 4 4 3 2" xfId="4967" xr:uid="{00000000-0005-0000-0000-000034590000}"/>
    <cellStyle name="40% - Accent6 2 4 4 3 2 2" xfId="9431" xr:uid="{00000000-0005-0000-0000-000035590000}"/>
    <cellStyle name="40% - Accent6 2 4 4 3 2 2 2" xfId="19427" xr:uid="{00000000-0005-0000-0000-000036590000}"/>
    <cellStyle name="40% - Accent6 2 4 4 3 2 2 2 2" xfId="38827" xr:uid="{00000000-0005-0000-0000-000037590000}"/>
    <cellStyle name="40% - Accent6 2 4 4 3 2 2 3" xfId="29129" xr:uid="{00000000-0005-0000-0000-000038590000}"/>
    <cellStyle name="40% - Accent6 2 4 4 3 2 3" xfId="14972" xr:uid="{00000000-0005-0000-0000-000039590000}"/>
    <cellStyle name="40% - Accent6 2 4 4 3 2 3 2" xfId="34372" xr:uid="{00000000-0005-0000-0000-00003A590000}"/>
    <cellStyle name="40% - Accent6 2 4 4 3 2 4" xfId="24674" xr:uid="{00000000-0005-0000-0000-00003B590000}"/>
    <cellStyle name="40% - Accent6 2 4 4 3 3" xfId="8316" xr:uid="{00000000-0005-0000-0000-00003C590000}"/>
    <cellStyle name="40% - Accent6 2 4 4 3 3 2" xfId="18312" xr:uid="{00000000-0005-0000-0000-00003D590000}"/>
    <cellStyle name="40% - Accent6 2 4 4 3 3 2 2" xfId="37712" xr:uid="{00000000-0005-0000-0000-00003E590000}"/>
    <cellStyle name="40% - Accent6 2 4 4 3 3 3" xfId="28014" xr:uid="{00000000-0005-0000-0000-00003F590000}"/>
    <cellStyle name="40% - Accent6 2 4 4 3 4" xfId="13857" xr:uid="{00000000-0005-0000-0000-000040590000}"/>
    <cellStyle name="40% - Accent6 2 4 4 3 4 2" xfId="33257" xr:uid="{00000000-0005-0000-0000-000041590000}"/>
    <cellStyle name="40% - Accent6 2 4 4 3 5" xfId="23559" xr:uid="{00000000-0005-0000-0000-000042590000}"/>
    <cellStyle name="40% - Accent6 2 4 4 4" xfId="4410" xr:uid="{00000000-0005-0000-0000-000043590000}"/>
    <cellStyle name="40% - Accent6 2 4 4 4 2" xfId="8874" xr:uid="{00000000-0005-0000-0000-000044590000}"/>
    <cellStyle name="40% - Accent6 2 4 4 4 2 2" xfId="18870" xr:uid="{00000000-0005-0000-0000-000045590000}"/>
    <cellStyle name="40% - Accent6 2 4 4 4 2 2 2" xfId="38270" xr:uid="{00000000-0005-0000-0000-000046590000}"/>
    <cellStyle name="40% - Accent6 2 4 4 4 2 3" xfId="28572" xr:uid="{00000000-0005-0000-0000-000047590000}"/>
    <cellStyle name="40% - Accent6 2 4 4 4 3" xfId="14415" xr:uid="{00000000-0005-0000-0000-000048590000}"/>
    <cellStyle name="40% - Accent6 2 4 4 4 3 2" xfId="33815" xr:uid="{00000000-0005-0000-0000-000049590000}"/>
    <cellStyle name="40% - Accent6 2 4 4 4 4" xfId="24117" xr:uid="{00000000-0005-0000-0000-00004A590000}"/>
    <cellStyle name="40% - Accent6 2 4 4 5" xfId="6080" xr:uid="{00000000-0005-0000-0000-00004B590000}"/>
    <cellStyle name="40% - Accent6 2 4 4 5 2" xfId="10544" xr:uid="{00000000-0005-0000-0000-00004C590000}"/>
    <cellStyle name="40% - Accent6 2 4 4 5 2 2" xfId="20540" xr:uid="{00000000-0005-0000-0000-00004D590000}"/>
    <cellStyle name="40% - Accent6 2 4 4 5 2 2 2" xfId="39940" xr:uid="{00000000-0005-0000-0000-00004E590000}"/>
    <cellStyle name="40% - Accent6 2 4 4 5 2 3" xfId="30242" xr:uid="{00000000-0005-0000-0000-00004F590000}"/>
    <cellStyle name="40% - Accent6 2 4 4 5 3" xfId="16085" xr:uid="{00000000-0005-0000-0000-000050590000}"/>
    <cellStyle name="40% - Accent6 2 4 4 5 3 2" xfId="35485" xr:uid="{00000000-0005-0000-0000-000051590000}"/>
    <cellStyle name="40% - Accent6 2 4 4 5 4" xfId="25787" xr:uid="{00000000-0005-0000-0000-000052590000}"/>
    <cellStyle name="40% - Accent6 2 4 4 6" xfId="6646" xr:uid="{00000000-0005-0000-0000-000053590000}"/>
    <cellStyle name="40% - Accent6 2 4 4 6 2" xfId="11101" xr:uid="{00000000-0005-0000-0000-000054590000}"/>
    <cellStyle name="40% - Accent6 2 4 4 6 2 2" xfId="21097" xr:uid="{00000000-0005-0000-0000-000055590000}"/>
    <cellStyle name="40% - Accent6 2 4 4 6 2 2 2" xfId="40497" xr:uid="{00000000-0005-0000-0000-000056590000}"/>
    <cellStyle name="40% - Accent6 2 4 4 6 2 3" xfId="30799" xr:uid="{00000000-0005-0000-0000-000057590000}"/>
    <cellStyle name="40% - Accent6 2 4 4 6 3" xfId="16642" xr:uid="{00000000-0005-0000-0000-000058590000}"/>
    <cellStyle name="40% - Accent6 2 4 4 6 3 2" xfId="36042" xr:uid="{00000000-0005-0000-0000-000059590000}"/>
    <cellStyle name="40% - Accent6 2 4 4 6 4" xfId="26344" xr:uid="{00000000-0005-0000-0000-00005A590000}"/>
    <cellStyle name="40% - Accent6 2 4 4 7" xfId="7203" xr:uid="{00000000-0005-0000-0000-00005B590000}"/>
    <cellStyle name="40% - Accent6 2 4 4 7 2" xfId="17199" xr:uid="{00000000-0005-0000-0000-00005C590000}"/>
    <cellStyle name="40% - Accent6 2 4 4 7 2 2" xfId="36599" xr:uid="{00000000-0005-0000-0000-00005D590000}"/>
    <cellStyle name="40% - Accent6 2 4 4 7 3" xfId="26901" xr:uid="{00000000-0005-0000-0000-00005E590000}"/>
    <cellStyle name="40% - Accent6 2 4 4 8" xfId="12743" xr:uid="{00000000-0005-0000-0000-00005F590000}"/>
    <cellStyle name="40% - Accent6 2 4 4 8 2" xfId="32144" xr:uid="{00000000-0005-0000-0000-000060590000}"/>
    <cellStyle name="40% - Accent6 2 4 4 9" xfId="22446" xr:uid="{00000000-0005-0000-0000-000061590000}"/>
    <cellStyle name="40% - Accent6 2 4 5" xfId="2274" xr:uid="{00000000-0005-0000-0000-000062590000}"/>
    <cellStyle name="40% - Accent6 2 4 5 2" xfId="3255" xr:uid="{00000000-0005-0000-0000-000063590000}"/>
    <cellStyle name="40% - Accent6 2 4 5 2 2" xfId="5524" xr:uid="{00000000-0005-0000-0000-000064590000}"/>
    <cellStyle name="40% - Accent6 2 4 5 2 2 2" xfId="9988" xr:uid="{00000000-0005-0000-0000-000065590000}"/>
    <cellStyle name="40% - Accent6 2 4 5 2 2 2 2" xfId="19984" xr:uid="{00000000-0005-0000-0000-000066590000}"/>
    <cellStyle name="40% - Accent6 2 4 5 2 2 2 2 2" xfId="39384" xr:uid="{00000000-0005-0000-0000-000067590000}"/>
    <cellStyle name="40% - Accent6 2 4 5 2 2 2 3" xfId="29686" xr:uid="{00000000-0005-0000-0000-000068590000}"/>
    <cellStyle name="40% - Accent6 2 4 5 2 2 3" xfId="15529" xr:uid="{00000000-0005-0000-0000-000069590000}"/>
    <cellStyle name="40% - Accent6 2 4 5 2 2 3 2" xfId="34929" xr:uid="{00000000-0005-0000-0000-00006A590000}"/>
    <cellStyle name="40% - Accent6 2 4 5 2 2 4" xfId="25231" xr:uid="{00000000-0005-0000-0000-00006B590000}"/>
    <cellStyle name="40% - Accent6 2 4 5 2 3" xfId="7760" xr:uid="{00000000-0005-0000-0000-00006C590000}"/>
    <cellStyle name="40% - Accent6 2 4 5 2 3 2" xfId="17756" xr:uid="{00000000-0005-0000-0000-00006D590000}"/>
    <cellStyle name="40% - Accent6 2 4 5 2 3 2 2" xfId="37156" xr:uid="{00000000-0005-0000-0000-00006E590000}"/>
    <cellStyle name="40% - Accent6 2 4 5 2 3 3" xfId="27458" xr:uid="{00000000-0005-0000-0000-00006F590000}"/>
    <cellStyle name="40% - Accent6 2 4 5 2 4" xfId="13301" xr:uid="{00000000-0005-0000-0000-000070590000}"/>
    <cellStyle name="40% - Accent6 2 4 5 2 4 2" xfId="32701" xr:uid="{00000000-0005-0000-0000-000071590000}"/>
    <cellStyle name="40% - Accent6 2 4 5 2 5" xfId="23003" xr:uid="{00000000-0005-0000-0000-000072590000}"/>
    <cellStyle name="40% - Accent6 2 4 5 3" xfId="3838" xr:uid="{00000000-0005-0000-0000-000073590000}"/>
    <cellStyle name="40% - Accent6 2 4 5 3 2" xfId="4968" xr:uid="{00000000-0005-0000-0000-000074590000}"/>
    <cellStyle name="40% - Accent6 2 4 5 3 2 2" xfId="9432" xr:uid="{00000000-0005-0000-0000-000075590000}"/>
    <cellStyle name="40% - Accent6 2 4 5 3 2 2 2" xfId="19428" xr:uid="{00000000-0005-0000-0000-000076590000}"/>
    <cellStyle name="40% - Accent6 2 4 5 3 2 2 2 2" xfId="38828" xr:uid="{00000000-0005-0000-0000-000077590000}"/>
    <cellStyle name="40% - Accent6 2 4 5 3 2 2 3" xfId="29130" xr:uid="{00000000-0005-0000-0000-000078590000}"/>
    <cellStyle name="40% - Accent6 2 4 5 3 2 3" xfId="14973" xr:uid="{00000000-0005-0000-0000-000079590000}"/>
    <cellStyle name="40% - Accent6 2 4 5 3 2 3 2" xfId="34373" xr:uid="{00000000-0005-0000-0000-00007A590000}"/>
    <cellStyle name="40% - Accent6 2 4 5 3 2 4" xfId="24675" xr:uid="{00000000-0005-0000-0000-00007B590000}"/>
    <cellStyle name="40% - Accent6 2 4 5 3 3" xfId="8317" xr:uid="{00000000-0005-0000-0000-00007C590000}"/>
    <cellStyle name="40% - Accent6 2 4 5 3 3 2" xfId="18313" xr:uid="{00000000-0005-0000-0000-00007D590000}"/>
    <cellStyle name="40% - Accent6 2 4 5 3 3 2 2" xfId="37713" xr:uid="{00000000-0005-0000-0000-00007E590000}"/>
    <cellStyle name="40% - Accent6 2 4 5 3 3 3" xfId="28015" xr:uid="{00000000-0005-0000-0000-00007F590000}"/>
    <cellStyle name="40% - Accent6 2 4 5 3 4" xfId="13858" xr:uid="{00000000-0005-0000-0000-000080590000}"/>
    <cellStyle name="40% - Accent6 2 4 5 3 4 2" xfId="33258" xr:uid="{00000000-0005-0000-0000-000081590000}"/>
    <cellStyle name="40% - Accent6 2 4 5 3 5" xfId="23560" xr:uid="{00000000-0005-0000-0000-000082590000}"/>
    <cellStyle name="40% - Accent6 2 4 5 4" xfId="4411" xr:uid="{00000000-0005-0000-0000-000083590000}"/>
    <cellStyle name="40% - Accent6 2 4 5 4 2" xfId="8875" xr:uid="{00000000-0005-0000-0000-000084590000}"/>
    <cellStyle name="40% - Accent6 2 4 5 4 2 2" xfId="18871" xr:uid="{00000000-0005-0000-0000-000085590000}"/>
    <cellStyle name="40% - Accent6 2 4 5 4 2 2 2" xfId="38271" xr:uid="{00000000-0005-0000-0000-000086590000}"/>
    <cellStyle name="40% - Accent6 2 4 5 4 2 3" xfId="28573" xr:uid="{00000000-0005-0000-0000-000087590000}"/>
    <cellStyle name="40% - Accent6 2 4 5 4 3" xfId="14416" xr:uid="{00000000-0005-0000-0000-000088590000}"/>
    <cellStyle name="40% - Accent6 2 4 5 4 3 2" xfId="33816" xr:uid="{00000000-0005-0000-0000-000089590000}"/>
    <cellStyle name="40% - Accent6 2 4 5 4 4" xfId="24118" xr:uid="{00000000-0005-0000-0000-00008A590000}"/>
    <cellStyle name="40% - Accent6 2 4 5 5" xfId="6081" xr:uid="{00000000-0005-0000-0000-00008B590000}"/>
    <cellStyle name="40% - Accent6 2 4 5 5 2" xfId="10545" xr:uid="{00000000-0005-0000-0000-00008C590000}"/>
    <cellStyle name="40% - Accent6 2 4 5 5 2 2" xfId="20541" xr:uid="{00000000-0005-0000-0000-00008D590000}"/>
    <cellStyle name="40% - Accent6 2 4 5 5 2 2 2" xfId="39941" xr:uid="{00000000-0005-0000-0000-00008E590000}"/>
    <cellStyle name="40% - Accent6 2 4 5 5 2 3" xfId="30243" xr:uid="{00000000-0005-0000-0000-00008F590000}"/>
    <cellStyle name="40% - Accent6 2 4 5 5 3" xfId="16086" xr:uid="{00000000-0005-0000-0000-000090590000}"/>
    <cellStyle name="40% - Accent6 2 4 5 5 3 2" xfId="35486" xr:uid="{00000000-0005-0000-0000-000091590000}"/>
    <cellStyle name="40% - Accent6 2 4 5 5 4" xfId="25788" xr:uid="{00000000-0005-0000-0000-000092590000}"/>
    <cellStyle name="40% - Accent6 2 4 5 6" xfId="6647" xr:uid="{00000000-0005-0000-0000-000093590000}"/>
    <cellStyle name="40% - Accent6 2 4 5 6 2" xfId="11102" xr:uid="{00000000-0005-0000-0000-000094590000}"/>
    <cellStyle name="40% - Accent6 2 4 5 6 2 2" xfId="21098" xr:uid="{00000000-0005-0000-0000-000095590000}"/>
    <cellStyle name="40% - Accent6 2 4 5 6 2 2 2" xfId="40498" xr:uid="{00000000-0005-0000-0000-000096590000}"/>
    <cellStyle name="40% - Accent6 2 4 5 6 2 3" xfId="30800" xr:uid="{00000000-0005-0000-0000-000097590000}"/>
    <cellStyle name="40% - Accent6 2 4 5 6 3" xfId="16643" xr:uid="{00000000-0005-0000-0000-000098590000}"/>
    <cellStyle name="40% - Accent6 2 4 5 6 3 2" xfId="36043" xr:uid="{00000000-0005-0000-0000-000099590000}"/>
    <cellStyle name="40% - Accent6 2 4 5 6 4" xfId="26345" xr:uid="{00000000-0005-0000-0000-00009A590000}"/>
    <cellStyle name="40% - Accent6 2 4 5 7" xfId="7204" xr:uid="{00000000-0005-0000-0000-00009B590000}"/>
    <cellStyle name="40% - Accent6 2 4 5 7 2" xfId="17200" xr:uid="{00000000-0005-0000-0000-00009C590000}"/>
    <cellStyle name="40% - Accent6 2 4 5 7 2 2" xfId="36600" xr:uid="{00000000-0005-0000-0000-00009D590000}"/>
    <cellStyle name="40% - Accent6 2 4 5 7 3" xfId="26902" xr:uid="{00000000-0005-0000-0000-00009E590000}"/>
    <cellStyle name="40% - Accent6 2 4 5 8" xfId="12744" xr:uid="{00000000-0005-0000-0000-00009F590000}"/>
    <cellStyle name="40% - Accent6 2 4 5 8 2" xfId="32145" xr:uid="{00000000-0005-0000-0000-0000A0590000}"/>
    <cellStyle name="40% - Accent6 2 4 5 9" xfId="22447" xr:uid="{00000000-0005-0000-0000-0000A1590000}"/>
    <cellStyle name="40% - Accent6 2 5" xfId="1313" xr:uid="{00000000-0005-0000-0000-0000A2590000}"/>
    <cellStyle name="40% - Accent6 2 5 2" xfId="2275" xr:uid="{00000000-0005-0000-0000-0000A3590000}"/>
    <cellStyle name="40% - Accent6 2 5 2 10" xfId="12745" xr:uid="{00000000-0005-0000-0000-0000A4590000}"/>
    <cellStyle name="40% - Accent6 2 5 2 10 2" xfId="32146" xr:uid="{00000000-0005-0000-0000-0000A5590000}"/>
    <cellStyle name="40% - Accent6 2 5 2 11" xfId="22448" xr:uid="{00000000-0005-0000-0000-0000A6590000}"/>
    <cellStyle name="40% - Accent6 2 5 2 2" xfId="2276" xr:uid="{00000000-0005-0000-0000-0000A7590000}"/>
    <cellStyle name="40% - Accent6 2 5 2 2 2" xfId="3257" xr:uid="{00000000-0005-0000-0000-0000A8590000}"/>
    <cellStyle name="40% - Accent6 2 5 2 2 2 2" xfId="5526" xr:uid="{00000000-0005-0000-0000-0000A9590000}"/>
    <cellStyle name="40% - Accent6 2 5 2 2 2 2 2" xfId="9990" xr:uid="{00000000-0005-0000-0000-0000AA590000}"/>
    <cellStyle name="40% - Accent6 2 5 2 2 2 2 2 2" xfId="19986" xr:uid="{00000000-0005-0000-0000-0000AB590000}"/>
    <cellStyle name="40% - Accent6 2 5 2 2 2 2 2 2 2" xfId="39386" xr:uid="{00000000-0005-0000-0000-0000AC590000}"/>
    <cellStyle name="40% - Accent6 2 5 2 2 2 2 2 3" xfId="29688" xr:uid="{00000000-0005-0000-0000-0000AD590000}"/>
    <cellStyle name="40% - Accent6 2 5 2 2 2 2 3" xfId="15531" xr:uid="{00000000-0005-0000-0000-0000AE590000}"/>
    <cellStyle name="40% - Accent6 2 5 2 2 2 2 3 2" xfId="34931" xr:uid="{00000000-0005-0000-0000-0000AF590000}"/>
    <cellStyle name="40% - Accent6 2 5 2 2 2 2 4" xfId="25233" xr:uid="{00000000-0005-0000-0000-0000B0590000}"/>
    <cellStyle name="40% - Accent6 2 5 2 2 2 3" xfId="7762" xr:uid="{00000000-0005-0000-0000-0000B1590000}"/>
    <cellStyle name="40% - Accent6 2 5 2 2 2 3 2" xfId="17758" xr:uid="{00000000-0005-0000-0000-0000B2590000}"/>
    <cellStyle name="40% - Accent6 2 5 2 2 2 3 2 2" xfId="37158" xr:uid="{00000000-0005-0000-0000-0000B3590000}"/>
    <cellStyle name="40% - Accent6 2 5 2 2 2 3 3" xfId="27460" xr:uid="{00000000-0005-0000-0000-0000B4590000}"/>
    <cellStyle name="40% - Accent6 2 5 2 2 2 4" xfId="13303" xr:uid="{00000000-0005-0000-0000-0000B5590000}"/>
    <cellStyle name="40% - Accent6 2 5 2 2 2 4 2" xfId="32703" xr:uid="{00000000-0005-0000-0000-0000B6590000}"/>
    <cellStyle name="40% - Accent6 2 5 2 2 2 5" xfId="23005" xr:uid="{00000000-0005-0000-0000-0000B7590000}"/>
    <cellStyle name="40% - Accent6 2 5 2 2 3" xfId="3840" xr:uid="{00000000-0005-0000-0000-0000B8590000}"/>
    <cellStyle name="40% - Accent6 2 5 2 2 3 2" xfId="4970" xr:uid="{00000000-0005-0000-0000-0000B9590000}"/>
    <cellStyle name="40% - Accent6 2 5 2 2 3 2 2" xfId="9434" xr:uid="{00000000-0005-0000-0000-0000BA590000}"/>
    <cellStyle name="40% - Accent6 2 5 2 2 3 2 2 2" xfId="19430" xr:uid="{00000000-0005-0000-0000-0000BB590000}"/>
    <cellStyle name="40% - Accent6 2 5 2 2 3 2 2 2 2" xfId="38830" xr:uid="{00000000-0005-0000-0000-0000BC590000}"/>
    <cellStyle name="40% - Accent6 2 5 2 2 3 2 2 3" xfId="29132" xr:uid="{00000000-0005-0000-0000-0000BD590000}"/>
    <cellStyle name="40% - Accent6 2 5 2 2 3 2 3" xfId="14975" xr:uid="{00000000-0005-0000-0000-0000BE590000}"/>
    <cellStyle name="40% - Accent6 2 5 2 2 3 2 3 2" xfId="34375" xr:uid="{00000000-0005-0000-0000-0000BF590000}"/>
    <cellStyle name="40% - Accent6 2 5 2 2 3 2 4" xfId="24677" xr:uid="{00000000-0005-0000-0000-0000C0590000}"/>
    <cellStyle name="40% - Accent6 2 5 2 2 3 3" xfId="8319" xr:uid="{00000000-0005-0000-0000-0000C1590000}"/>
    <cellStyle name="40% - Accent6 2 5 2 2 3 3 2" xfId="18315" xr:uid="{00000000-0005-0000-0000-0000C2590000}"/>
    <cellStyle name="40% - Accent6 2 5 2 2 3 3 2 2" xfId="37715" xr:uid="{00000000-0005-0000-0000-0000C3590000}"/>
    <cellStyle name="40% - Accent6 2 5 2 2 3 3 3" xfId="28017" xr:uid="{00000000-0005-0000-0000-0000C4590000}"/>
    <cellStyle name="40% - Accent6 2 5 2 2 3 4" xfId="13860" xr:uid="{00000000-0005-0000-0000-0000C5590000}"/>
    <cellStyle name="40% - Accent6 2 5 2 2 3 4 2" xfId="33260" xr:uid="{00000000-0005-0000-0000-0000C6590000}"/>
    <cellStyle name="40% - Accent6 2 5 2 2 3 5" xfId="23562" xr:uid="{00000000-0005-0000-0000-0000C7590000}"/>
    <cellStyle name="40% - Accent6 2 5 2 2 4" xfId="4413" xr:uid="{00000000-0005-0000-0000-0000C8590000}"/>
    <cellStyle name="40% - Accent6 2 5 2 2 4 2" xfId="8877" xr:uid="{00000000-0005-0000-0000-0000C9590000}"/>
    <cellStyle name="40% - Accent6 2 5 2 2 4 2 2" xfId="18873" xr:uid="{00000000-0005-0000-0000-0000CA590000}"/>
    <cellStyle name="40% - Accent6 2 5 2 2 4 2 2 2" xfId="38273" xr:uid="{00000000-0005-0000-0000-0000CB590000}"/>
    <cellStyle name="40% - Accent6 2 5 2 2 4 2 3" xfId="28575" xr:uid="{00000000-0005-0000-0000-0000CC590000}"/>
    <cellStyle name="40% - Accent6 2 5 2 2 4 3" xfId="14418" xr:uid="{00000000-0005-0000-0000-0000CD590000}"/>
    <cellStyle name="40% - Accent6 2 5 2 2 4 3 2" xfId="33818" xr:uid="{00000000-0005-0000-0000-0000CE590000}"/>
    <cellStyle name="40% - Accent6 2 5 2 2 4 4" xfId="24120" xr:uid="{00000000-0005-0000-0000-0000CF590000}"/>
    <cellStyle name="40% - Accent6 2 5 2 2 5" xfId="6083" xr:uid="{00000000-0005-0000-0000-0000D0590000}"/>
    <cellStyle name="40% - Accent6 2 5 2 2 5 2" xfId="10547" xr:uid="{00000000-0005-0000-0000-0000D1590000}"/>
    <cellStyle name="40% - Accent6 2 5 2 2 5 2 2" xfId="20543" xr:uid="{00000000-0005-0000-0000-0000D2590000}"/>
    <cellStyle name="40% - Accent6 2 5 2 2 5 2 2 2" xfId="39943" xr:uid="{00000000-0005-0000-0000-0000D3590000}"/>
    <cellStyle name="40% - Accent6 2 5 2 2 5 2 3" xfId="30245" xr:uid="{00000000-0005-0000-0000-0000D4590000}"/>
    <cellStyle name="40% - Accent6 2 5 2 2 5 3" xfId="16088" xr:uid="{00000000-0005-0000-0000-0000D5590000}"/>
    <cellStyle name="40% - Accent6 2 5 2 2 5 3 2" xfId="35488" xr:uid="{00000000-0005-0000-0000-0000D6590000}"/>
    <cellStyle name="40% - Accent6 2 5 2 2 5 4" xfId="25790" xr:uid="{00000000-0005-0000-0000-0000D7590000}"/>
    <cellStyle name="40% - Accent6 2 5 2 2 6" xfId="6649" xr:uid="{00000000-0005-0000-0000-0000D8590000}"/>
    <cellStyle name="40% - Accent6 2 5 2 2 6 2" xfId="11104" xr:uid="{00000000-0005-0000-0000-0000D9590000}"/>
    <cellStyle name="40% - Accent6 2 5 2 2 6 2 2" xfId="21100" xr:uid="{00000000-0005-0000-0000-0000DA590000}"/>
    <cellStyle name="40% - Accent6 2 5 2 2 6 2 2 2" xfId="40500" xr:uid="{00000000-0005-0000-0000-0000DB590000}"/>
    <cellStyle name="40% - Accent6 2 5 2 2 6 2 3" xfId="30802" xr:uid="{00000000-0005-0000-0000-0000DC590000}"/>
    <cellStyle name="40% - Accent6 2 5 2 2 6 3" xfId="16645" xr:uid="{00000000-0005-0000-0000-0000DD590000}"/>
    <cellStyle name="40% - Accent6 2 5 2 2 6 3 2" xfId="36045" xr:uid="{00000000-0005-0000-0000-0000DE590000}"/>
    <cellStyle name="40% - Accent6 2 5 2 2 6 4" xfId="26347" xr:uid="{00000000-0005-0000-0000-0000DF590000}"/>
    <cellStyle name="40% - Accent6 2 5 2 2 7" xfId="7206" xr:uid="{00000000-0005-0000-0000-0000E0590000}"/>
    <cellStyle name="40% - Accent6 2 5 2 2 7 2" xfId="17202" xr:uid="{00000000-0005-0000-0000-0000E1590000}"/>
    <cellStyle name="40% - Accent6 2 5 2 2 7 2 2" xfId="36602" xr:uid="{00000000-0005-0000-0000-0000E2590000}"/>
    <cellStyle name="40% - Accent6 2 5 2 2 7 3" xfId="26904" xr:uid="{00000000-0005-0000-0000-0000E3590000}"/>
    <cellStyle name="40% - Accent6 2 5 2 2 8" xfId="12746" xr:uid="{00000000-0005-0000-0000-0000E4590000}"/>
    <cellStyle name="40% - Accent6 2 5 2 2 8 2" xfId="32147" xr:uid="{00000000-0005-0000-0000-0000E5590000}"/>
    <cellStyle name="40% - Accent6 2 5 2 2 9" xfId="22449" xr:uid="{00000000-0005-0000-0000-0000E6590000}"/>
    <cellStyle name="40% - Accent6 2 5 2 3" xfId="2277" xr:uid="{00000000-0005-0000-0000-0000E7590000}"/>
    <cellStyle name="40% - Accent6 2 5 2 3 2" xfId="3258" xr:uid="{00000000-0005-0000-0000-0000E8590000}"/>
    <cellStyle name="40% - Accent6 2 5 2 3 2 2" xfId="5527" xr:uid="{00000000-0005-0000-0000-0000E9590000}"/>
    <cellStyle name="40% - Accent6 2 5 2 3 2 2 2" xfId="9991" xr:uid="{00000000-0005-0000-0000-0000EA590000}"/>
    <cellStyle name="40% - Accent6 2 5 2 3 2 2 2 2" xfId="19987" xr:uid="{00000000-0005-0000-0000-0000EB590000}"/>
    <cellStyle name="40% - Accent6 2 5 2 3 2 2 2 2 2" xfId="39387" xr:uid="{00000000-0005-0000-0000-0000EC590000}"/>
    <cellStyle name="40% - Accent6 2 5 2 3 2 2 2 3" xfId="29689" xr:uid="{00000000-0005-0000-0000-0000ED590000}"/>
    <cellStyle name="40% - Accent6 2 5 2 3 2 2 3" xfId="15532" xr:uid="{00000000-0005-0000-0000-0000EE590000}"/>
    <cellStyle name="40% - Accent6 2 5 2 3 2 2 3 2" xfId="34932" xr:uid="{00000000-0005-0000-0000-0000EF590000}"/>
    <cellStyle name="40% - Accent6 2 5 2 3 2 2 4" xfId="25234" xr:uid="{00000000-0005-0000-0000-0000F0590000}"/>
    <cellStyle name="40% - Accent6 2 5 2 3 2 3" xfId="7763" xr:uid="{00000000-0005-0000-0000-0000F1590000}"/>
    <cellStyle name="40% - Accent6 2 5 2 3 2 3 2" xfId="17759" xr:uid="{00000000-0005-0000-0000-0000F2590000}"/>
    <cellStyle name="40% - Accent6 2 5 2 3 2 3 2 2" xfId="37159" xr:uid="{00000000-0005-0000-0000-0000F3590000}"/>
    <cellStyle name="40% - Accent6 2 5 2 3 2 3 3" xfId="27461" xr:uid="{00000000-0005-0000-0000-0000F4590000}"/>
    <cellStyle name="40% - Accent6 2 5 2 3 2 4" xfId="13304" xr:uid="{00000000-0005-0000-0000-0000F5590000}"/>
    <cellStyle name="40% - Accent6 2 5 2 3 2 4 2" xfId="32704" xr:uid="{00000000-0005-0000-0000-0000F6590000}"/>
    <cellStyle name="40% - Accent6 2 5 2 3 2 5" xfId="23006" xr:uid="{00000000-0005-0000-0000-0000F7590000}"/>
    <cellStyle name="40% - Accent6 2 5 2 3 3" xfId="3841" xr:uid="{00000000-0005-0000-0000-0000F8590000}"/>
    <cellStyle name="40% - Accent6 2 5 2 3 3 2" xfId="4971" xr:uid="{00000000-0005-0000-0000-0000F9590000}"/>
    <cellStyle name="40% - Accent6 2 5 2 3 3 2 2" xfId="9435" xr:uid="{00000000-0005-0000-0000-0000FA590000}"/>
    <cellStyle name="40% - Accent6 2 5 2 3 3 2 2 2" xfId="19431" xr:uid="{00000000-0005-0000-0000-0000FB590000}"/>
    <cellStyle name="40% - Accent6 2 5 2 3 3 2 2 2 2" xfId="38831" xr:uid="{00000000-0005-0000-0000-0000FC590000}"/>
    <cellStyle name="40% - Accent6 2 5 2 3 3 2 2 3" xfId="29133" xr:uid="{00000000-0005-0000-0000-0000FD590000}"/>
    <cellStyle name="40% - Accent6 2 5 2 3 3 2 3" xfId="14976" xr:uid="{00000000-0005-0000-0000-0000FE590000}"/>
    <cellStyle name="40% - Accent6 2 5 2 3 3 2 3 2" xfId="34376" xr:uid="{00000000-0005-0000-0000-0000FF590000}"/>
    <cellStyle name="40% - Accent6 2 5 2 3 3 2 4" xfId="24678" xr:uid="{00000000-0005-0000-0000-0000005A0000}"/>
    <cellStyle name="40% - Accent6 2 5 2 3 3 3" xfId="8320" xr:uid="{00000000-0005-0000-0000-0000015A0000}"/>
    <cellStyle name="40% - Accent6 2 5 2 3 3 3 2" xfId="18316" xr:uid="{00000000-0005-0000-0000-0000025A0000}"/>
    <cellStyle name="40% - Accent6 2 5 2 3 3 3 2 2" xfId="37716" xr:uid="{00000000-0005-0000-0000-0000035A0000}"/>
    <cellStyle name="40% - Accent6 2 5 2 3 3 3 3" xfId="28018" xr:uid="{00000000-0005-0000-0000-0000045A0000}"/>
    <cellStyle name="40% - Accent6 2 5 2 3 3 4" xfId="13861" xr:uid="{00000000-0005-0000-0000-0000055A0000}"/>
    <cellStyle name="40% - Accent6 2 5 2 3 3 4 2" xfId="33261" xr:uid="{00000000-0005-0000-0000-0000065A0000}"/>
    <cellStyle name="40% - Accent6 2 5 2 3 3 5" xfId="23563" xr:uid="{00000000-0005-0000-0000-0000075A0000}"/>
    <cellStyle name="40% - Accent6 2 5 2 3 4" xfId="4414" xr:uid="{00000000-0005-0000-0000-0000085A0000}"/>
    <cellStyle name="40% - Accent6 2 5 2 3 4 2" xfId="8878" xr:uid="{00000000-0005-0000-0000-0000095A0000}"/>
    <cellStyle name="40% - Accent6 2 5 2 3 4 2 2" xfId="18874" xr:uid="{00000000-0005-0000-0000-00000A5A0000}"/>
    <cellStyle name="40% - Accent6 2 5 2 3 4 2 2 2" xfId="38274" xr:uid="{00000000-0005-0000-0000-00000B5A0000}"/>
    <cellStyle name="40% - Accent6 2 5 2 3 4 2 3" xfId="28576" xr:uid="{00000000-0005-0000-0000-00000C5A0000}"/>
    <cellStyle name="40% - Accent6 2 5 2 3 4 3" xfId="14419" xr:uid="{00000000-0005-0000-0000-00000D5A0000}"/>
    <cellStyle name="40% - Accent6 2 5 2 3 4 3 2" xfId="33819" xr:uid="{00000000-0005-0000-0000-00000E5A0000}"/>
    <cellStyle name="40% - Accent6 2 5 2 3 4 4" xfId="24121" xr:uid="{00000000-0005-0000-0000-00000F5A0000}"/>
    <cellStyle name="40% - Accent6 2 5 2 3 5" xfId="6084" xr:uid="{00000000-0005-0000-0000-0000105A0000}"/>
    <cellStyle name="40% - Accent6 2 5 2 3 5 2" xfId="10548" xr:uid="{00000000-0005-0000-0000-0000115A0000}"/>
    <cellStyle name="40% - Accent6 2 5 2 3 5 2 2" xfId="20544" xr:uid="{00000000-0005-0000-0000-0000125A0000}"/>
    <cellStyle name="40% - Accent6 2 5 2 3 5 2 2 2" xfId="39944" xr:uid="{00000000-0005-0000-0000-0000135A0000}"/>
    <cellStyle name="40% - Accent6 2 5 2 3 5 2 3" xfId="30246" xr:uid="{00000000-0005-0000-0000-0000145A0000}"/>
    <cellStyle name="40% - Accent6 2 5 2 3 5 3" xfId="16089" xr:uid="{00000000-0005-0000-0000-0000155A0000}"/>
    <cellStyle name="40% - Accent6 2 5 2 3 5 3 2" xfId="35489" xr:uid="{00000000-0005-0000-0000-0000165A0000}"/>
    <cellStyle name="40% - Accent6 2 5 2 3 5 4" xfId="25791" xr:uid="{00000000-0005-0000-0000-0000175A0000}"/>
    <cellStyle name="40% - Accent6 2 5 2 3 6" xfId="6650" xr:uid="{00000000-0005-0000-0000-0000185A0000}"/>
    <cellStyle name="40% - Accent6 2 5 2 3 6 2" xfId="11105" xr:uid="{00000000-0005-0000-0000-0000195A0000}"/>
    <cellStyle name="40% - Accent6 2 5 2 3 6 2 2" xfId="21101" xr:uid="{00000000-0005-0000-0000-00001A5A0000}"/>
    <cellStyle name="40% - Accent6 2 5 2 3 6 2 2 2" xfId="40501" xr:uid="{00000000-0005-0000-0000-00001B5A0000}"/>
    <cellStyle name="40% - Accent6 2 5 2 3 6 2 3" xfId="30803" xr:uid="{00000000-0005-0000-0000-00001C5A0000}"/>
    <cellStyle name="40% - Accent6 2 5 2 3 6 3" xfId="16646" xr:uid="{00000000-0005-0000-0000-00001D5A0000}"/>
    <cellStyle name="40% - Accent6 2 5 2 3 6 3 2" xfId="36046" xr:uid="{00000000-0005-0000-0000-00001E5A0000}"/>
    <cellStyle name="40% - Accent6 2 5 2 3 6 4" xfId="26348" xr:uid="{00000000-0005-0000-0000-00001F5A0000}"/>
    <cellStyle name="40% - Accent6 2 5 2 3 7" xfId="7207" xr:uid="{00000000-0005-0000-0000-0000205A0000}"/>
    <cellStyle name="40% - Accent6 2 5 2 3 7 2" xfId="17203" xr:uid="{00000000-0005-0000-0000-0000215A0000}"/>
    <cellStyle name="40% - Accent6 2 5 2 3 7 2 2" xfId="36603" xr:uid="{00000000-0005-0000-0000-0000225A0000}"/>
    <cellStyle name="40% - Accent6 2 5 2 3 7 3" xfId="26905" xr:uid="{00000000-0005-0000-0000-0000235A0000}"/>
    <cellStyle name="40% - Accent6 2 5 2 3 8" xfId="12747" xr:uid="{00000000-0005-0000-0000-0000245A0000}"/>
    <cellStyle name="40% - Accent6 2 5 2 3 8 2" xfId="32148" xr:uid="{00000000-0005-0000-0000-0000255A0000}"/>
    <cellStyle name="40% - Accent6 2 5 2 3 9" xfId="22450" xr:uid="{00000000-0005-0000-0000-0000265A0000}"/>
    <cellStyle name="40% - Accent6 2 5 2 4" xfId="3256" xr:uid="{00000000-0005-0000-0000-0000275A0000}"/>
    <cellStyle name="40% - Accent6 2 5 2 4 2" xfId="5525" xr:uid="{00000000-0005-0000-0000-0000285A0000}"/>
    <cellStyle name="40% - Accent6 2 5 2 4 2 2" xfId="9989" xr:uid="{00000000-0005-0000-0000-0000295A0000}"/>
    <cellStyle name="40% - Accent6 2 5 2 4 2 2 2" xfId="19985" xr:uid="{00000000-0005-0000-0000-00002A5A0000}"/>
    <cellStyle name="40% - Accent6 2 5 2 4 2 2 2 2" xfId="39385" xr:uid="{00000000-0005-0000-0000-00002B5A0000}"/>
    <cellStyle name="40% - Accent6 2 5 2 4 2 2 3" xfId="29687" xr:uid="{00000000-0005-0000-0000-00002C5A0000}"/>
    <cellStyle name="40% - Accent6 2 5 2 4 2 3" xfId="15530" xr:uid="{00000000-0005-0000-0000-00002D5A0000}"/>
    <cellStyle name="40% - Accent6 2 5 2 4 2 3 2" xfId="34930" xr:uid="{00000000-0005-0000-0000-00002E5A0000}"/>
    <cellStyle name="40% - Accent6 2 5 2 4 2 4" xfId="25232" xr:uid="{00000000-0005-0000-0000-00002F5A0000}"/>
    <cellStyle name="40% - Accent6 2 5 2 4 3" xfId="7761" xr:uid="{00000000-0005-0000-0000-0000305A0000}"/>
    <cellStyle name="40% - Accent6 2 5 2 4 3 2" xfId="17757" xr:uid="{00000000-0005-0000-0000-0000315A0000}"/>
    <cellStyle name="40% - Accent6 2 5 2 4 3 2 2" xfId="37157" xr:uid="{00000000-0005-0000-0000-0000325A0000}"/>
    <cellStyle name="40% - Accent6 2 5 2 4 3 3" xfId="27459" xr:uid="{00000000-0005-0000-0000-0000335A0000}"/>
    <cellStyle name="40% - Accent6 2 5 2 4 4" xfId="13302" xr:uid="{00000000-0005-0000-0000-0000345A0000}"/>
    <cellStyle name="40% - Accent6 2 5 2 4 4 2" xfId="32702" xr:uid="{00000000-0005-0000-0000-0000355A0000}"/>
    <cellStyle name="40% - Accent6 2 5 2 4 5" xfId="23004" xr:uid="{00000000-0005-0000-0000-0000365A0000}"/>
    <cellStyle name="40% - Accent6 2 5 2 5" xfId="3839" xr:uid="{00000000-0005-0000-0000-0000375A0000}"/>
    <cellStyle name="40% - Accent6 2 5 2 5 2" xfId="4969" xr:uid="{00000000-0005-0000-0000-0000385A0000}"/>
    <cellStyle name="40% - Accent6 2 5 2 5 2 2" xfId="9433" xr:uid="{00000000-0005-0000-0000-0000395A0000}"/>
    <cellStyle name="40% - Accent6 2 5 2 5 2 2 2" xfId="19429" xr:uid="{00000000-0005-0000-0000-00003A5A0000}"/>
    <cellStyle name="40% - Accent6 2 5 2 5 2 2 2 2" xfId="38829" xr:uid="{00000000-0005-0000-0000-00003B5A0000}"/>
    <cellStyle name="40% - Accent6 2 5 2 5 2 2 3" xfId="29131" xr:uid="{00000000-0005-0000-0000-00003C5A0000}"/>
    <cellStyle name="40% - Accent6 2 5 2 5 2 3" xfId="14974" xr:uid="{00000000-0005-0000-0000-00003D5A0000}"/>
    <cellStyle name="40% - Accent6 2 5 2 5 2 3 2" xfId="34374" xr:uid="{00000000-0005-0000-0000-00003E5A0000}"/>
    <cellStyle name="40% - Accent6 2 5 2 5 2 4" xfId="24676" xr:uid="{00000000-0005-0000-0000-00003F5A0000}"/>
    <cellStyle name="40% - Accent6 2 5 2 5 3" xfId="8318" xr:uid="{00000000-0005-0000-0000-0000405A0000}"/>
    <cellStyle name="40% - Accent6 2 5 2 5 3 2" xfId="18314" xr:uid="{00000000-0005-0000-0000-0000415A0000}"/>
    <cellStyle name="40% - Accent6 2 5 2 5 3 2 2" xfId="37714" xr:uid="{00000000-0005-0000-0000-0000425A0000}"/>
    <cellStyle name="40% - Accent6 2 5 2 5 3 3" xfId="28016" xr:uid="{00000000-0005-0000-0000-0000435A0000}"/>
    <cellStyle name="40% - Accent6 2 5 2 5 4" xfId="13859" xr:uid="{00000000-0005-0000-0000-0000445A0000}"/>
    <cellStyle name="40% - Accent6 2 5 2 5 4 2" xfId="33259" xr:uid="{00000000-0005-0000-0000-0000455A0000}"/>
    <cellStyle name="40% - Accent6 2 5 2 5 5" xfId="23561" xr:uid="{00000000-0005-0000-0000-0000465A0000}"/>
    <cellStyle name="40% - Accent6 2 5 2 6" xfId="4412" xr:uid="{00000000-0005-0000-0000-0000475A0000}"/>
    <cellStyle name="40% - Accent6 2 5 2 6 2" xfId="8876" xr:uid="{00000000-0005-0000-0000-0000485A0000}"/>
    <cellStyle name="40% - Accent6 2 5 2 6 2 2" xfId="18872" xr:uid="{00000000-0005-0000-0000-0000495A0000}"/>
    <cellStyle name="40% - Accent6 2 5 2 6 2 2 2" xfId="38272" xr:uid="{00000000-0005-0000-0000-00004A5A0000}"/>
    <cellStyle name="40% - Accent6 2 5 2 6 2 3" xfId="28574" xr:uid="{00000000-0005-0000-0000-00004B5A0000}"/>
    <cellStyle name="40% - Accent6 2 5 2 6 3" xfId="14417" xr:uid="{00000000-0005-0000-0000-00004C5A0000}"/>
    <cellStyle name="40% - Accent6 2 5 2 6 3 2" xfId="33817" xr:uid="{00000000-0005-0000-0000-00004D5A0000}"/>
    <cellStyle name="40% - Accent6 2 5 2 6 4" xfId="24119" xr:uid="{00000000-0005-0000-0000-00004E5A0000}"/>
    <cellStyle name="40% - Accent6 2 5 2 7" xfId="6082" xr:uid="{00000000-0005-0000-0000-00004F5A0000}"/>
    <cellStyle name="40% - Accent6 2 5 2 7 2" xfId="10546" xr:uid="{00000000-0005-0000-0000-0000505A0000}"/>
    <cellStyle name="40% - Accent6 2 5 2 7 2 2" xfId="20542" xr:uid="{00000000-0005-0000-0000-0000515A0000}"/>
    <cellStyle name="40% - Accent6 2 5 2 7 2 2 2" xfId="39942" xr:uid="{00000000-0005-0000-0000-0000525A0000}"/>
    <cellStyle name="40% - Accent6 2 5 2 7 2 3" xfId="30244" xr:uid="{00000000-0005-0000-0000-0000535A0000}"/>
    <cellStyle name="40% - Accent6 2 5 2 7 3" xfId="16087" xr:uid="{00000000-0005-0000-0000-0000545A0000}"/>
    <cellStyle name="40% - Accent6 2 5 2 7 3 2" xfId="35487" xr:uid="{00000000-0005-0000-0000-0000555A0000}"/>
    <cellStyle name="40% - Accent6 2 5 2 7 4" xfId="25789" xr:uid="{00000000-0005-0000-0000-0000565A0000}"/>
    <cellStyle name="40% - Accent6 2 5 2 8" xfId="6648" xr:uid="{00000000-0005-0000-0000-0000575A0000}"/>
    <cellStyle name="40% - Accent6 2 5 2 8 2" xfId="11103" xr:uid="{00000000-0005-0000-0000-0000585A0000}"/>
    <cellStyle name="40% - Accent6 2 5 2 8 2 2" xfId="21099" xr:uid="{00000000-0005-0000-0000-0000595A0000}"/>
    <cellStyle name="40% - Accent6 2 5 2 8 2 2 2" xfId="40499" xr:uid="{00000000-0005-0000-0000-00005A5A0000}"/>
    <cellStyle name="40% - Accent6 2 5 2 8 2 3" xfId="30801" xr:uid="{00000000-0005-0000-0000-00005B5A0000}"/>
    <cellStyle name="40% - Accent6 2 5 2 8 3" xfId="16644" xr:uid="{00000000-0005-0000-0000-00005C5A0000}"/>
    <cellStyle name="40% - Accent6 2 5 2 8 3 2" xfId="36044" xr:uid="{00000000-0005-0000-0000-00005D5A0000}"/>
    <cellStyle name="40% - Accent6 2 5 2 8 4" xfId="26346" xr:uid="{00000000-0005-0000-0000-00005E5A0000}"/>
    <cellStyle name="40% - Accent6 2 5 2 9" xfId="7205" xr:uid="{00000000-0005-0000-0000-00005F5A0000}"/>
    <cellStyle name="40% - Accent6 2 5 2 9 2" xfId="17201" xr:uid="{00000000-0005-0000-0000-0000605A0000}"/>
    <cellStyle name="40% - Accent6 2 5 2 9 2 2" xfId="36601" xr:uid="{00000000-0005-0000-0000-0000615A0000}"/>
    <cellStyle name="40% - Accent6 2 5 2 9 3" xfId="26903" xr:uid="{00000000-0005-0000-0000-0000625A0000}"/>
    <cellStyle name="40% - Accent6 2 5 3" xfId="2278" xr:uid="{00000000-0005-0000-0000-0000635A0000}"/>
    <cellStyle name="40% - Accent6 2 5 3 2" xfId="3259" xr:uid="{00000000-0005-0000-0000-0000645A0000}"/>
    <cellStyle name="40% - Accent6 2 5 3 2 2" xfId="5528" xr:uid="{00000000-0005-0000-0000-0000655A0000}"/>
    <cellStyle name="40% - Accent6 2 5 3 2 2 2" xfId="9992" xr:uid="{00000000-0005-0000-0000-0000665A0000}"/>
    <cellStyle name="40% - Accent6 2 5 3 2 2 2 2" xfId="19988" xr:uid="{00000000-0005-0000-0000-0000675A0000}"/>
    <cellStyle name="40% - Accent6 2 5 3 2 2 2 2 2" xfId="39388" xr:uid="{00000000-0005-0000-0000-0000685A0000}"/>
    <cellStyle name="40% - Accent6 2 5 3 2 2 2 3" xfId="29690" xr:uid="{00000000-0005-0000-0000-0000695A0000}"/>
    <cellStyle name="40% - Accent6 2 5 3 2 2 3" xfId="15533" xr:uid="{00000000-0005-0000-0000-00006A5A0000}"/>
    <cellStyle name="40% - Accent6 2 5 3 2 2 3 2" xfId="34933" xr:uid="{00000000-0005-0000-0000-00006B5A0000}"/>
    <cellStyle name="40% - Accent6 2 5 3 2 2 4" xfId="25235" xr:uid="{00000000-0005-0000-0000-00006C5A0000}"/>
    <cellStyle name="40% - Accent6 2 5 3 2 3" xfId="7764" xr:uid="{00000000-0005-0000-0000-00006D5A0000}"/>
    <cellStyle name="40% - Accent6 2 5 3 2 3 2" xfId="17760" xr:uid="{00000000-0005-0000-0000-00006E5A0000}"/>
    <cellStyle name="40% - Accent6 2 5 3 2 3 2 2" xfId="37160" xr:uid="{00000000-0005-0000-0000-00006F5A0000}"/>
    <cellStyle name="40% - Accent6 2 5 3 2 3 3" xfId="27462" xr:uid="{00000000-0005-0000-0000-0000705A0000}"/>
    <cellStyle name="40% - Accent6 2 5 3 2 4" xfId="13305" xr:uid="{00000000-0005-0000-0000-0000715A0000}"/>
    <cellStyle name="40% - Accent6 2 5 3 2 4 2" xfId="32705" xr:uid="{00000000-0005-0000-0000-0000725A0000}"/>
    <cellStyle name="40% - Accent6 2 5 3 2 5" xfId="23007" xr:uid="{00000000-0005-0000-0000-0000735A0000}"/>
    <cellStyle name="40% - Accent6 2 5 3 3" xfId="3842" xr:uid="{00000000-0005-0000-0000-0000745A0000}"/>
    <cellStyle name="40% - Accent6 2 5 3 3 2" xfId="4972" xr:uid="{00000000-0005-0000-0000-0000755A0000}"/>
    <cellStyle name="40% - Accent6 2 5 3 3 2 2" xfId="9436" xr:uid="{00000000-0005-0000-0000-0000765A0000}"/>
    <cellStyle name="40% - Accent6 2 5 3 3 2 2 2" xfId="19432" xr:uid="{00000000-0005-0000-0000-0000775A0000}"/>
    <cellStyle name="40% - Accent6 2 5 3 3 2 2 2 2" xfId="38832" xr:uid="{00000000-0005-0000-0000-0000785A0000}"/>
    <cellStyle name="40% - Accent6 2 5 3 3 2 2 3" xfId="29134" xr:uid="{00000000-0005-0000-0000-0000795A0000}"/>
    <cellStyle name="40% - Accent6 2 5 3 3 2 3" xfId="14977" xr:uid="{00000000-0005-0000-0000-00007A5A0000}"/>
    <cellStyle name="40% - Accent6 2 5 3 3 2 3 2" xfId="34377" xr:uid="{00000000-0005-0000-0000-00007B5A0000}"/>
    <cellStyle name="40% - Accent6 2 5 3 3 2 4" xfId="24679" xr:uid="{00000000-0005-0000-0000-00007C5A0000}"/>
    <cellStyle name="40% - Accent6 2 5 3 3 3" xfId="8321" xr:uid="{00000000-0005-0000-0000-00007D5A0000}"/>
    <cellStyle name="40% - Accent6 2 5 3 3 3 2" xfId="18317" xr:uid="{00000000-0005-0000-0000-00007E5A0000}"/>
    <cellStyle name="40% - Accent6 2 5 3 3 3 2 2" xfId="37717" xr:uid="{00000000-0005-0000-0000-00007F5A0000}"/>
    <cellStyle name="40% - Accent6 2 5 3 3 3 3" xfId="28019" xr:uid="{00000000-0005-0000-0000-0000805A0000}"/>
    <cellStyle name="40% - Accent6 2 5 3 3 4" xfId="13862" xr:uid="{00000000-0005-0000-0000-0000815A0000}"/>
    <cellStyle name="40% - Accent6 2 5 3 3 4 2" xfId="33262" xr:uid="{00000000-0005-0000-0000-0000825A0000}"/>
    <cellStyle name="40% - Accent6 2 5 3 3 5" xfId="23564" xr:uid="{00000000-0005-0000-0000-0000835A0000}"/>
    <cellStyle name="40% - Accent6 2 5 3 4" xfId="4415" xr:uid="{00000000-0005-0000-0000-0000845A0000}"/>
    <cellStyle name="40% - Accent6 2 5 3 4 2" xfId="8879" xr:uid="{00000000-0005-0000-0000-0000855A0000}"/>
    <cellStyle name="40% - Accent6 2 5 3 4 2 2" xfId="18875" xr:uid="{00000000-0005-0000-0000-0000865A0000}"/>
    <cellStyle name="40% - Accent6 2 5 3 4 2 2 2" xfId="38275" xr:uid="{00000000-0005-0000-0000-0000875A0000}"/>
    <cellStyle name="40% - Accent6 2 5 3 4 2 3" xfId="28577" xr:uid="{00000000-0005-0000-0000-0000885A0000}"/>
    <cellStyle name="40% - Accent6 2 5 3 4 3" xfId="14420" xr:uid="{00000000-0005-0000-0000-0000895A0000}"/>
    <cellStyle name="40% - Accent6 2 5 3 4 3 2" xfId="33820" xr:uid="{00000000-0005-0000-0000-00008A5A0000}"/>
    <cellStyle name="40% - Accent6 2 5 3 4 4" xfId="24122" xr:uid="{00000000-0005-0000-0000-00008B5A0000}"/>
    <cellStyle name="40% - Accent6 2 5 3 5" xfId="6085" xr:uid="{00000000-0005-0000-0000-00008C5A0000}"/>
    <cellStyle name="40% - Accent6 2 5 3 5 2" xfId="10549" xr:uid="{00000000-0005-0000-0000-00008D5A0000}"/>
    <cellStyle name="40% - Accent6 2 5 3 5 2 2" xfId="20545" xr:uid="{00000000-0005-0000-0000-00008E5A0000}"/>
    <cellStyle name="40% - Accent6 2 5 3 5 2 2 2" xfId="39945" xr:uid="{00000000-0005-0000-0000-00008F5A0000}"/>
    <cellStyle name="40% - Accent6 2 5 3 5 2 3" xfId="30247" xr:uid="{00000000-0005-0000-0000-0000905A0000}"/>
    <cellStyle name="40% - Accent6 2 5 3 5 3" xfId="16090" xr:uid="{00000000-0005-0000-0000-0000915A0000}"/>
    <cellStyle name="40% - Accent6 2 5 3 5 3 2" xfId="35490" xr:uid="{00000000-0005-0000-0000-0000925A0000}"/>
    <cellStyle name="40% - Accent6 2 5 3 5 4" xfId="25792" xr:uid="{00000000-0005-0000-0000-0000935A0000}"/>
    <cellStyle name="40% - Accent6 2 5 3 6" xfId="6651" xr:uid="{00000000-0005-0000-0000-0000945A0000}"/>
    <cellStyle name="40% - Accent6 2 5 3 6 2" xfId="11106" xr:uid="{00000000-0005-0000-0000-0000955A0000}"/>
    <cellStyle name="40% - Accent6 2 5 3 6 2 2" xfId="21102" xr:uid="{00000000-0005-0000-0000-0000965A0000}"/>
    <cellStyle name="40% - Accent6 2 5 3 6 2 2 2" xfId="40502" xr:uid="{00000000-0005-0000-0000-0000975A0000}"/>
    <cellStyle name="40% - Accent6 2 5 3 6 2 3" xfId="30804" xr:uid="{00000000-0005-0000-0000-0000985A0000}"/>
    <cellStyle name="40% - Accent6 2 5 3 6 3" xfId="16647" xr:uid="{00000000-0005-0000-0000-0000995A0000}"/>
    <cellStyle name="40% - Accent6 2 5 3 6 3 2" xfId="36047" xr:uid="{00000000-0005-0000-0000-00009A5A0000}"/>
    <cellStyle name="40% - Accent6 2 5 3 6 4" xfId="26349" xr:uid="{00000000-0005-0000-0000-00009B5A0000}"/>
    <cellStyle name="40% - Accent6 2 5 3 7" xfId="7208" xr:uid="{00000000-0005-0000-0000-00009C5A0000}"/>
    <cellStyle name="40% - Accent6 2 5 3 7 2" xfId="17204" xr:uid="{00000000-0005-0000-0000-00009D5A0000}"/>
    <cellStyle name="40% - Accent6 2 5 3 7 2 2" xfId="36604" xr:uid="{00000000-0005-0000-0000-00009E5A0000}"/>
    <cellStyle name="40% - Accent6 2 5 3 7 3" xfId="26906" xr:uid="{00000000-0005-0000-0000-00009F5A0000}"/>
    <cellStyle name="40% - Accent6 2 5 3 8" xfId="12748" xr:uid="{00000000-0005-0000-0000-0000A05A0000}"/>
    <cellStyle name="40% - Accent6 2 5 3 8 2" xfId="32149" xr:uid="{00000000-0005-0000-0000-0000A15A0000}"/>
    <cellStyle name="40% - Accent6 2 5 3 9" xfId="22451" xr:uid="{00000000-0005-0000-0000-0000A25A0000}"/>
    <cellStyle name="40% - Accent6 2 5 4" xfId="2279" xr:uid="{00000000-0005-0000-0000-0000A35A0000}"/>
    <cellStyle name="40% - Accent6 2 5 4 2" xfId="3260" xr:uid="{00000000-0005-0000-0000-0000A45A0000}"/>
    <cellStyle name="40% - Accent6 2 5 4 2 2" xfId="5529" xr:uid="{00000000-0005-0000-0000-0000A55A0000}"/>
    <cellStyle name="40% - Accent6 2 5 4 2 2 2" xfId="9993" xr:uid="{00000000-0005-0000-0000-0000A65A0000}"/>
    <cellStyle name="40% - Accent6 2 5 4 2 2 2 2" xfId="19989" xr:uid="{00000000-0005-0000-0000-0000A75A0000}"/>
    <cellStyle name="40% - Accent6 2 5 4 2 2 2 2 2" xfId="39389" xr:uid="{00000000-0005-0000-0000-0000A85A0000}"/>
    <cellStyle name="40% - Accent6 2 5 4 2 2 2 3" xfId="29691" xr:uid="{00000000-0005-0000-0000-0000A95A0000}"/>
    <cellStyle name="40% - Accent6 2 5 4 2 2 3" xfId="15534" xr:uid="{00000000-0005-0000-0000-0000AA5A0000}"/>
    <cellStyle name="40% - Accent6 2 5 4 2 2 3 2" xfId="34934" xr:uid="{00000000-0005-0000-0000-0000AB5A0000}"/>
    <cellStyle name="40% - Accent6 2 5 4 2 2 4" xfId="25236" xr:uid="{00000000-0005-0000-0000-0000AC5A0000}"/>
    <cellStyle name="40% - Accent6 2 5 4 2 3" xfId="7765" xr:uid="{00000000-0005-0000-0000-0000AD5A0000}"/>
    <cellStyle name="40% - Accent6 2 5 4 2 3 2" xfId="17761" xr:uid="{00000000-0005-0000-0000-0000AE5A0000}"/>
    <cellStyle name="40% - Accent6 2 5 4 2 3 2 2" xfId="37161" xr:uid="{00000000-0005-0000-0000-0000AF5A0000}"/>
    <cellStyle name="40% - Accent6 2 5 4 2 3 3" xfId="27463" xr:uid="{00000000-0005-0000-0000-0000B05A0000}"/>
    <cellStyle name="40% - Accent6 2 5 4 2 4" xfId="13306" xr:uid="{00000000-0005-0000-0000-0000B15A0000}"/>
    <cellStyle name="40% - Accent6 2 5 4 2 4 2" xfId="32706" xr:uid="{00000000-0005-0000-0000-0000B25A0000}"/>
    <cellStyle name="40% - Accent6 2 5 4 2 5" xfId="23008" xr:uid="{00000000-0005-0000-0000-0000B35A0000}"/>
    <cellStyle name="40% - Accent6 2 5 4 3" xfId="3843" xr:uid="{00000000-0005-0000-0000-0000B45A0000}"/>
    <cellStyle name="40% - Accent6 2 5 4 3 2" xfId="4973" xr:uid="{00000000-0005-0000-0000-0000B55A0000}"/>
    <cellStyle name="40% - Accent6 2 5 4 3 2 2" xfId="9437" xr:uid="{00000000-0005-0000-0000-0000B65A0000}"/>
    <cellStyle name="40% - Accent6 2 5 4 3 2 2 2" xfId="19433" xr:uid="{00000000-0005-0000-0000-0000B75A0000}"/>
    <cellStyle name="40% - Accent6 2 5 4 3 2 2 2 2" xfId="38833" xr:uid="{00000000-0005-0000-0000-0000B85A0000}"/>
    <cellStyle name="40% - Accent6 2 5 4 3 2 2 3" xfId="29135" xr:uid="{00000000-0005-0000-0000-0000B95A0000}"/>
    <cellStyle name="40% - Accent6 2 5 4 3 2 3" xfId="14978" xr:uid="{00000000-0005-0000-0000-0000BA5A0000}"/>
    <cellStyle name="40% - Accent6 2 5 4 3 2 3 2" xfId="34378" xr:uid="{00000000-0005-0000-0000-0000BB5A0000}"/>
    <cellStyle name="40% - Accent6 2 5 4 3 2 4" xfId="24680" xr:uid="{00000000-0005-0000-0000-0000BC5A0000}"/>
    <cellStyle name="40% - Accent6 2 5 4 3 3" xfId="8322" xr:uid="{00000000-0005-0000-0000-0000BD5A0000}"/>
    <cellStyle name="40% - Accent6 2 5 4 3 3 2" xfId="18318" xr:uid="{00000000-0005-0000-0000-0000BE5A0000}"/>
    <cellStyle name="40% - Accent6 2 5 4 3 3 2 2" xfId="37718" xr:uid="{00000000-0005-0000-0000-0000BF5A0000}"/>
    <cellStyle name="40% - Accent6 2 5 4 3 3 3" xfId="28020" xr:uid="{00000000-0005-0000-0000-0000C05A0000}"/>
    <cellStyle name="40% - Accent6 2 5 4 3 4" xfId="13863" xr:uid="{00000000-0005-0000-0000-0000C15A0000}"/>
    <cellStyle name="40% - Accent6 2 5 4 3 4 2" xfId="33263" xr:uid="{00000000-0005-0000-0000-0000C25A0000}"/>
    <cellStyle name="40% - Accent6 2 5 4 3 5" xfId="23565" xr:uid="{00000000-0005-0000-0000-0000C35A0000}"/>
    <cellStyle name="40% - Accent6 2 5 4 4" xfId="4416" xr:uid="{00000000-0005-0000-0000-0000C45A0000}"/>
    <cellStyle name="40% - Accent6 2 5 4 4 2" xfId="8880" xr:uid="{00000000-0005-0000-0000-0000C55A0000}"/>
    <cellStyle name="40% - Accent6 2 5 4 4 2 2" xfId="18876" xr:uid="{00000000-0005-0000-0000-0000C65A0000}"/>
    <cellStyle name="40% - Accent6 2 5 4 4 2 2 2" xfId="38276" xr:uid="{00000000-0005-0000-0000-0000C75A0000}"/>
    <cellStyle name="40% - Accent6 2 5 4 4 2 3" xfId="28578" xr:uid="{00000000-0005-0000-0000-0000C85A0000}"/>
    <cellStyle name="40% - Accent6 2 5 4 4 3" xfId="14421" xr:uid="{00000000-0005-0000-0000-0000C95A0000}"/>
    <cellStyle name="40% - Accent6 2 5 4 4 3 2" xfId="33821" xr:uid="{00000000-0005-0000-0000-0000CA5A0000}"/>
    <cellStyle name="40% - Accent6 2 5 4 4 4" xfId="24123" xr:uid="{00000000-0005-0000-0000-0000CB5A0000}"/>
    <cellStyle name="40% - Accent6 2 5 4 5" xfId="6086" xr:uid="{00000000-0005-0000-0000-0000CC5A0000}"/>
    <cellStyle name="40% - Accent6 2 5 4 5 2" xfId="10550" xr:uid="{00000000-0005-0000-0000-0000CD5A0000}"/>
    <cellStyle name="40% - Accent6 2 5 4 5 2 2" xfId="20546" xr:uid="{00000000-0005-0000-0000-0000CE5A0000}"/>
    <cellStyle name="40% - Accent6 2 5 4 5 2 2 2" xfId="39946" xr:uid="{00000000-0005-0000-0000-0000CF5A0000}"/>
    <cellStyle name="40% - Accent6 2 5 4 5 2 3" xfId="30248" xr:uid="{00000000-0005-0000-0000-0000D05A0000}"/>
    <cellStyle name="40% - Accent6 2 5 4 5 3" xfId="16091" xr:uid="{00000000-0005-0000-0000-0000D15A0000}"/>
    <cellStyle name="40% - Accent6 2 5 4 5 3 2" xfId="35491" xr:uid="{00000000-0005-0000-0000-0000D25A0000}"/>
    <cellStyle name="40% - Accent6 2 5 4 5 4" xfId="25793" xr:uid="{00000000-0005-0000-0000-0000D35A0000}"/>
    <cellStyle name="40% - Accent6 2 5 4 6" xfId="6652" xr:uid="{00000000-0005-0000-0000-0000D45A0000}"/>
    <cellStyle name="40% - Accent6 2 5 4 6 2" xfId="11107" xr:uid="{00000000-0005-0000-0000-0000D55A0000}"/>
    <cellStyle name="40% - Accent6 2 5 4 6 2 2" xfId="21103" xr:uid="{00000000-0005-0000-0000-0000D65A0000}"/>
    <cellStyle name="40% - Accent6 2 5 4 6 2 2 2" xfId="40503" xr:uid="{00000000-0005-0000-0000-0000D75A0000}"/>
    <cellStyle name="40% - Accent6 2 5 4 6 2 3" xfId="30805" xr:uid="{00000000-0005-0000-0000-0000D85A0000}"/>
    <cellStyle name="40% - Accent6 2 5 4 6 3" xfId="16648" xr:uid="{00000000-0005-0000-0000-0000D95A0000}"/>
    <cellStyle name="40% - Accent6 2 5 4 6 3 2" xfId="36048" xr:uid="{00000000-0005-0000-0000-0000DA5A0000}"/>
    <cellStyle name="40% - Accent6 2 5 4 6 4" xfId="26350" xr:uid="{00000000-0005-0000-0000-0000DB5A0000}"/>
    <cellStyle name="40% - Accent6 2 5 4 7" xfId="7209" xr:uid="{00000000-0005-0000-0000-0000DC5A0000}"/>
    <cellStyle name="40% - Accent6 2 5 4 7 2" xfId="17205" xr:uid="{00000000-0005-0000-0000-0000DD5A0000}"/>
    <cellStyle name="40% - Accent6 2 5 4 7 2 2" xfId="36605" xr:uid="{00000000-0005-0000-0000-0000DE5A0000}"/>
    <cellStyle name="40% - Accent6 2 5 4 7 3" xfId="26907" xr:uid="{00000000-0005-0000-0000-0000DF5A0000}"/>
    <cellStyle name="40% - Accent6 2 5 4 8" xfId="12749" xr:uid="{00000000-0005-0000-0000-0000E05A0000}"/>
    <cellStyle name="40% - Accent6 2 5 4 8 2" xfId="32150" xr:uid="{00000000-0005-0000-0000-0000E15A0000}"/>
    <cellStyle name="40% - Accent6 2 5 4 9" xfId="22452" xr:uid="{00000000-0005-0000-0000-0000E25A0000}"/>
    <cellStyle name="40% - Accent6 2 6" xfId="1314" xr:uid="{00000000-0005-0000-0000-0000E35A0000}"/>
    <cellStyle name="40% - Accent6 2 6 2" xfId="2280" xr:uid="{00000000-0005-0000-0000-0000E45A0000}"/>
    <cellStyle name="40% - Accent6 2 6 2 2" xfId="3261" xr:uid="{00000000-0005-0000-0000-0000E55A0000}"/>
    <cellStyle name="40% - Accent6 2 6 2 2 2" xfId="5530" xr:uid="{00000000-0005-0000-0000-0000E65A0000}"/>
    <cellStyle name="40% - Accent6 2 6 2 2 2 2" xfId="9994" xr:uid="{00000000-0005-0000-0000-0000E75A0000}"/>
    <cellStyle name="40% - Accent6 2 6 2 2 2 2 2" xfId="19990" xr:uid="{00000000-0005-0000-0000-0000E85A0000}"/>
    <cellStyle name="40% - Accent6 2 6 2 2 2 2 2 2" xfId="39390" xr:uid="{00000000-0005-0000-0000-0000E95A0000}"/>
    <cellStyle name="40% - Accent6 2 6 2 2 2 2 3" xfId="29692" xr:uid="{00000000-0005-0000-0000-0000EA5A0000}"/>
    <cellStyle name="40% - Accent6 2 6 2 2 2 3" xfId="15535" xr:uid="{00000000-0005-0000-0000-0000EB5A0000}"/>
    <cellStyle name="40% - Accent6 2 6 2 2 2 3 2" xfId="34935" xr:uid="{00000000-0005-0000-0000-0000EC5A0000}"/>
    <cellStyle name="40% - Accent6 2 6 2 2 2 4" xfId="25237" xr:uid="{00000000-0005-0000-0000-0000ED5A0000}"/>
    <cellStyle name="40% - Accent6 2 6 2 2 3" xfId="7766" xr:uid="{00000000-0005-0000-0000-0000EE5A0000}"/>
    <cellStyle name="40% - Accent6 2 6 2 2 3 2" xfId="17762" xr:uid="{00000000-0005-0000-0000-0000EF5A0000}"/>
    <cellStyle name="40% - Accent6 2 6 2 2 3 2 2" xfId="37162" xr:uid="{00000000-0005-0000-0000-0000F05A0000}"/>
    <cellStyle name="40% - Accent6 2 6 2 2 3 3" xfId="27464" xr:uid="{00000000-0005-0000-0000-0000F15A0000}"/>
    <cellStyle name="40% - Accent6 2 6 2 2 4" xfId="13307" xr:uid="{00000000-0005-0000-0000-0000F25A0000}"/>
    <cellStyle name="40% - Accent6 2 6 2 2 4 2" xfId="32707" xr:uid="{00000000-0005-0000-0000-0000F35A0000}"/>
    <cellStyle name="40% - Accent6 2 6 2 2 5" xfId="23009" xr:uid="{00000000-0005-0000-0000-0000F45A0000}"/>
    <cellStyle name="40% - Accent6 2 6 2 3" xfId="3844" xr:uid="{00000000-0005-0000-0000-0000F55A0000}"/>
    <cellStyle name="40% - Accent6 2 6 2 3 2" xfId="4974" xr:uid="{00000000-0005-0000-0000-0000F65A0000}"/>
    <cellStyle name="40% - Accent6 2 6 2 3 2 2" xfId="9438" xr:uid="{00000000-0005-0000-0000-0000F75A0000}"/>
    <cellStyle name="40% - Accent6 2 6 2 3 2 2 2" xfId="19434" xr:uid="{00000000-0005-0000-0000-0000F85A0000}"/>
    <cellStyle name="40% - Accent6 2 6 2 3 2 2 2 2" xfId="38834" xr:uid="{00000000-0005-0000-0000-0000F95A0000}"/>
    <cellStyle name="40% - Accent6 2 6 2 3 2 2 3" xfId="29136" xr:uid="{00000000-0005-0000-0000-0000FA5A0000}"/>
    <cellStyle name="40% - Accent6 2 6 2 3 2 3" xfId="14979" xr:uid="{00000000-0005-0000-0000-0000FB5A0000}"/>
    <cellStyle name="40% - Accent6 2 6 2 3 2 3 2" xfId="34379" xr:uid="{00000000-0005-0000-0000-0000FC5A0000}"/>
    <cellStyle name="40% - Accent6 2 6 2 3 2 4" xfId="24681" xr:uid="{00000000-0005-0000-0000-0000FD5A0000}"/>
    <cellStyle name="40% - Accent6 2 6 2 3 3" xfId="8323" xr:uid="{00000000-0005-0000-0000-0000FE5A0000}"/>
    <cellStyle name="40% - Accent6 2 6 2 3 3 2" xfId="18319" xr:uid="{00000000-0005-0000-0000-0000FF5A0000}"/>
    <cellStyle name="40% - Accent6 2 6 2 3 3 2 2" xfId="37719" xr:uid="{00000000-0005-0000-0000-0000005B0000}"/>
    <cellStyle name="40% - Accent6 2 6 2 3 3 3" xfId="28021" xr:uid="{00000000-0005-0000-0000-0000015B0000}"/>
    <cellStyle name="40% - Accent6 2 6 2 3 4" xfId="13864" xr:uid="{00000000-0005-0000-0000-0000025B0000}"/>
    <cellStyle name="40% - Accent6 2 6 2 3 4 2" xfId="33264" xr:uid="{00000000-0005-0000-0000-0000035B0000}"/>
    <cellStyle name="40% - Accent6 2 6 2 3 5" xfId="23566" xr:uid="{00000000-0005-0000-0000-0000045B0000}"/>
    <cellStyle name="40% - Accent6 2 6 2 4" xfId="4417" xr:uid="{00000000-0005-0000-0000-0000055B0000}"/>
    <cellStyle name="40% - Accent6 2 6 2 4 2" xfId="8881" xr:uid="{00000000-0005-0000-0000-0000065B0000}"/>
    <cellStyle name="40% - Accent6 2 6 2 4 2 2" xfId="18877" xr:uid="{00000000-0005-0000-0000-0000075B0000}"/>
    <cellStyle name="40% - Accent6 2 6 2 4 2 2 2" xfId="38277" xr:uid="{00000000-0005-0000-0000-0000085B0000}"/>
    <cellStyle name="40% - Accent6 2 6 2 4 2 3" xfId="28579" xr:uid="{00000000-0005-0000-0000-0000095B0000}"/>
    <cellStyle name="40% - Accent6 2 6 2 4 3" xfId="14422" xr:uid="{00000000-0005-0000-0000-00000A5B0000}"/>
    <cellStyle name="40% - Accent6 2 6 2 4 3 2" xfId="33822" xr:uid="{00000000-0005-0000-0000-00000B5B0000}"/>
    <cellStyle name="40% - Accent6 2 6 2 4 4" xfId="24124" xr:uid="{00000000-0005-0000-0000-00000C5B0000}"/>
    <cellStyle name="40% - Accent6 2 6 2 5" xfId="6087" xr:uid="{00000000-0005-0000-0000-00000D5B0000}"/>
    <cellStyle name="40% - Accent6 2 6 2 5 2" xfId="10551" xr:uid="{00000000-0005-0000-0000-00000E5B0000}"/>
    <cellStyle name="40% - Accent6 2 6 2 5 2 2" xfId="20547" xr:uid="{00000000-0005-0000-0000-00000F5B0000}"/>
    <cellStyle name="40% - Accent6 2 6 2 5 2 2 2" xfId="39947" xr:uid="{00000000-0005-0000-0000-0000105B0000}"/>
    <cellStyle name="40% - Accent6 2 6 2 5 2 3" xfId="30249" xr:uid="{00000000-0005-0000-0000-0000115B0000}"/>
    <cellStyle name="40% - Accent6 2 6 2 5 3" xfId="16092" xr:uid="{00000000-0005-0000-0000-0000125B0000}"/>
    <cellStyle name="40% - Accent6 2 6 2 5 3 2" xfId="35492" xr:uid="{00000000-0005-0000-0000-0000135B0000}"/>
    <cellStyle name="40% - Accent6 2 6 2 5 4" xfId="25794" xr:uid="{00000000-0005-0000-0000-0000145B0000}"/>
    <cellStyle name="40% - Accent6 2 6 2 6" xfId="6653" xr:uid="{00000000-0005-0000-0000-0000155B0000}"/>
    <cellStyle name="40% - Accent6 2 6 2 6 2" xfId="11108" xr:uid="{00000000-0005-0000-0000-0000165B0000}"/>
    <cellStyle name="40% - Accent6 2 6 2 6 2 2" xfId="21104" xr:uid="{00000000-0005-0000-0000-0000175B0000}"/>
    <cellStyle name="40% - Accent6 2 6 2 6 2 2 2" xfId="40504" xr:uid="{00000000-0005-0000-0000-0000185B0000}"/>
    <cellStyle name="40% - Accent6 2 6 2 6 2 3" xfId="30806" xr:uid="{00000000-0005-0000-0000-0000195B0000}"/>
    <cellStyle name="40% - Accent6 2 6 2 6 3" xfId="16649" xr:uid="{00000000-0005-0000-0000-00001A5B0000}"/>
    <cellStyle name="40% - Accent6 2 6 2 6 3 2" xfId="36049" xr:uid="{00000000-0005-0000-0000-00001B5B0000}"/>
    <cellStyle name="40% - Accent6 2 6 2 6 4" xfId="26351" xr:uid="{00000000-0005-0000-0000-00001C5B0000}"/>
    <cellStyle name="40% - Accent6 2 6 2 7" xfId="7210" xr:uid="{00000000-0005-0000-0000-00001D5B0000}"/>
    <cellStyle name="40% - Accent6 2 6 2 7 2" xfId="17206" xr:uid="{00000000-0005-0000-0000-00001E5B0000}"/>
    <cellStyle name="40% - Accent6 2 6 2 7 2 2" xfId="36606" xr:uid="{00000000-0005-0000-0000-00001F5B0000}"/>
    <cellStyle name="40% - Accent6 2 6 2 7 3" xfId="26908" xr:uid="{00000000-0005-0000-0000-0000205B0000}"/>
    <cellStyle name="40% - Accent6 2 6 2 8" xfId="12750" xr:uid="{00000000-0005-0000-0000-0000215B0000}"/>
    <cellStyle name="40% - Accent6 2 6 2 8 2" xfId="32151" xr:uid="{00000000-0005-0000-0000-0000225B0000}"/>
    <cellStyle name="40% - Accent6 2 6 2 9" xfId="22453" xr:uid="{00000000-0005-0000-0000-0000235B0000}"/>
    <cellStyle name="40% - Accent6 2 6 3" xfId="2281" xr:uid="{00000000-0005-0000-0000-0000245B0000}"/>
    <cellStyle name="40% - Accent6 2 6 3 2" xfId="3262" xr:uid="{00000000-0005-0000-0000-0000255B0000}"/>
    <cellStyle name="40% - Accent6 2 6 3 2 2" xfId="5531" xr:uid="{00000000-0005-0000-0000-0000265B0000}"/>
    <cellStyle name="40% - Accent6 2 6 3 2 2 2" xfId="9995" xr:uid="{00000000-0005-0000-0000-0000275B0000}"/>
    <cellStyle name="40% - Accent6 2 6 3 2 2 2 2" xfId="19991" xr:uid="{00000000-0005-0000-0000-0000285B0000}"/>
    <cellStyle name="40% - Accent6 2 6 3 2 2 2 2 2" xfId="39391" xr:uid="{00000000-0005-0000-0000-0000295B0000}"/>
    <cellStyle name="40% - Accent6 2 6 3 2 2 2 3" xfId="29693" xr:uid="{00000000-0005-0000-0000-00002A5B0000}"/>
    <cellStyle name="40% - Accent6 2 6 3 2 2 3" xfId="15536" xr:uid="{00000000-0005-0000-0000-00002B5B0000}"/>
    <cellStyle name="40% - Accent6 2 6 3 2 2 3 2" xfId="34936" xr:uid="{00000000-0005-0000-0000-00002C5B0000}"/>
    <cellStyle name="40% - Accent6 2 6 3 2 2 4" xfId="25238" xr:uid="{00000000-0005-0000-0000-00002D5B0000}"/>
    <cellStyle name="40% - Accent6 2 6 3 2 3" xfId="7767" xr:uid="{00000000-0005-0000-0000-00002E5B0000}"/>
    <cellStyle name="40% - Accent6 2 6 3 2 3 2" xfId="17763" xr:uid="{00000000-0005-0000-0000-00002F5B0000}"/>
    <cellStyle name="40% - Accent6 2 6 3 2 3 2 2" xfId="37163" xr:uid="{00000000-0005-0000-0000-0000305B0000}"/>
    <cellStyle name="40% - Accent6 2 6 3 2 3 3" xfId="27465" xr:uid="{00000000-0005-0000-0000-0000315B0000}"/>
    <cellStyle name="40% - Accent6 2 6 3 2 4" xfId="13308" xr:uid="{00000000-0005-0000-0000-0000325B0000}"/>
    <cellStyle name="40% - Accent6 2 6 3 2 4 2" xfId="32708" xr:uid="{00000000-0005-0000-0000-0000335B0000}"/>
    <cellStyle name="40% - Accent6 2 6 3 2 5" xfId="23010" xr:uid="{00000000-0005-0000-0000-0000345B0000}"/>
    <cellStyle name="40% - Accent6 2 6 3 3" xfId="3845" xr:uid="{00000000-0005-0000-0000-0000355B0000}"/>
    <cellStyle name="40% - Accent6 2 6 3 3 2" xfId="4975" xr:uid="{00000000-0005-0000-0000-0000365B0000}"/>
    <cellStyle name="40% - Accent6 2 6 3 3 2 2" xfId="9439" xr:uid="{00000000-0005-0000-0000-0000375B0000}"/>
    <cellStyle name="40% - Accent6 2 6 3 3 2 2 2" xfId="19435" xr:uid="{00000000-0005-0000-0000-0000385B0000}"/>
    <cellStyle name="40% - Accent6 2 6 3 3 2 2 2 2" xfId="38835" xr:uid="{00000000-0005-0000-0000-0000395B0000}"/>
    <cellStyle name="40% - Accent6 2 6 3 3 2 2 3" xfId="29137" xr:uid="{00000000-0005-0000-0000-00003A5B0000}"/>
    <cellStyle name="40% - Accent6 2 6 3 3 2 3" xfId="14980" xr:uid="{00000000-0005-0000-0000-00003B5B0000}"/>
    <cellStyle name="40% - Accent6 2 6 3 3 2 3 2" xfId="34380" xr:uid="{00000000-0005-0000-0000-00003C5B0000}"/>
    <cellStyle name="40% - Accent6 2 6 3 3 2 4" xfId="24682" xr:uid="{00000000-0005-0000-0000-00003D5B0000}"/>
    <cellStyle name="40% - Accent6 2 6 3 3 3" xfId="8324" xr:uid="{00000000-0005-0000-0000-00003E5B0000}"/>
    <cellStyle name="40% - Accent6 2 6 3 3 3 2" xfId="18320" xr:uid="{00000000-0005-0000-0000-00003F5B0000}"/>
    <cellStyle name="40% - Accent6 2 6 3 3 3 2 2" xfId="37720" xr:uid="{00000000-0005-0000-0000-0000405B0000}"/>
    <cellStyle name="40% - Accent6 2 6 3 3 3 3" xfId="28022" xr:uid="{00000000-0005-0000-0000-0000415B0000}"/>
    <cellStyle name="40% - Accent6 2 6 3 3 4" xfId="13865" xr:uid="{00000000-0005-0000-0000-0000425B0000}"/>
    <cellStyle name="40% - Accent6 2 6 3 3 4 2" xfId="33265" xr:uid="{00000000-0005-0000-0000-0000435B0000}"/>
    <cellStyle name="40% - Accent6 2 6 3 3 5" xfId="23567" xr:uid="{00000000-0005-0000-0000-0000445B0000}"/>
    <cellStyle name="40% - Accent6 2 6 3 4" xfId="4418" xr:uid="{00000000-0005-0000-0000-0000455B0000}"/>
    <cellStyle name="40% - Accent6 2 6 3 4 2" xfId="8882" xr:uid="{00000000-0005-0000-0000-0000465B0000}"/>
    <cellStyle name="40% - Accent6 2 6 3 4 2 2" xfId="18878" xr:uid="{00000000-0005-0000-0000-0000475B0000}"/>
    <cellStyle name="40% - Accent6 2 6 3 4 2 2 2" xfId="38278" xr:uid="{00000000-0005-0000-0000-0000485B0000}"/>
    <cellStyle name="40% - Accent6 2 6 3 4 2 3" xfId="28580" xr:uid="{00000000-0005-0000-0000-0000495B0000}"/>
    <cellStyle name="40% - Accent6 2 6 3 4 3" xfId="14423" xr:uid="{00000000-0005-0000-0000-00004A5B0000}"/>
    <cellStyle name="40% - Accent6 2 6 3 4 3 2" xfId="33823" xr:uid="{00000000-0005-0000-0000-00004B5B0000}"/>
    <cellStyle name="40% - Accent6 2 6 3 4 4" xfId="24125" xr:uid="{00000000-0005-0000-0000-00004C5B0000}"/>
    <cellStyle name="40% - Accent6 2 6 3 5" xfId="6088" xr:uid="{00000000-0005-0000-0000-00004D5B0000}"/>
    <cellStyle name="40% - Accent6 2 6 3 5 2" xfId="10552" xr:uid="{00000000-0005-0000-0000-00004E5B0000}"/>
    <cellStyle name="40% - Accent6 2 6 3 5 2 2" xfId="20548" xr:uid="{00000000-0005-0000-0000-00004F5B0000}"/>
    <cellStyle name="40% - Accent6 2 6 3 5 2 2 2" xfId="39948" xr:uid="{00000000-0005-0000-0000-0000505B0000}"/>
    <cellStyle name="40% - Accent6 2 6 3 5 2 3" xfId="30250" xr:uid="{00000000-0005-0000-0000-0000515B0000}"/>
    <cellStyle name="40% - Accent6 2 6 3 5 3" xfId="16093" xr:uid="{00000000-0005-0000-0000-0000525B0000}"/>
    <cellStyle name="40% - Accent6 2 6 3 5 3 2" xfId="35493" xr:uid="{00000000-0005-0000-0000-0000535B0000}"/>
    <cellStyle name="40% - Accent6 2 6 3 5 4" xfId="25795" xr:uid="{00000000-0005-0000-0000-0000545B0000}"/>
    <cellStyle name="40% - Accent6 2 6 3 6" xfId="6654" xr:uid="{00000000-0005-0000-0000-0000555B0000}"/>
    <cellStyle name="40% - Accent6 2 6 3 6 2" xfId="11109" xr:uid="{00000000-0005-0000-0000-0000565B0000}"/>
    <cellStyle name="40% - Accent6 2 6 3 6 2 2" xfId="21105" xr:uid="{00000000-0005-0000-0000-0000575B0000}"/>
    <cellStyle name="40% - Accent6 2 6 3 6 2 2 2" xfId="40505" xr:uid="{00000000-0005-0000-0000-0000585B0000}"/>
    <cellStyle name="40% - Accent6 2 6 3 6 2 3" xfId="30807" xr:uid="{00000000-0005-0000-0000-0000595B0000}"/>
    <cellStyle name="40% - Accent6 2 6 3 6 3" xfId="16650" xr:uid="{00000000-0005-0000-0000-00005A5B0000}"/>
    <cellStyle name="40% - Accent6 2 6 3 6 3 2" xfId="36050" xr:uid="{00000000-0005-0000-0000-00005B5B0000}"/>
    <cellStyle name="40% - Accent6 2 6 3 6 4" xfId="26352" xr:uid="{00000000-0005-0000-0000-00005C5B0000}"/>
    <cellStyle name="40% - Accent6 2 6 3 7" xfId="7211" xr:uid="{00000000-0005-0000-0000-00005D5B0000}"/>
    <cellStyle name="40% - Accent6 2 6 3 7 2" xfId="17207" xr:uid="{00000000-0005-0000-0000-00005E5B0000}"/>
    <cellStyle name="40% - Accent6 2 6 3 7 2 2" xfId="36607" xr:uid="{00000000-0005-0000-0000-00005F5B0000}"/>
    <cellStyle name="40% - Accent6 2 6 3 7 3" xfId="26909" xr:uid="{00000000-0005-0000-0000-0000605B0000}"/>
    <cellStyle name="40% - Accent6 2 6 3 8" xfId="12751" xr:uid="{00000000-0005-0000-0000-0000615B0000}"/>
    <cellStyle name="40% - Accent6 2 6 3 8 2" xfId="32152" xr:uid="{00000000-0005-0000-0000-0000625B0000}"/>
    <cellStyle name="40% - Accent6 2 6 3 9" xfId="22454" xr:uid="{00000000-0005-0000-0000-0000635B0000}"/>
    <cellStyle name="40% - Accent6 2 7" xfId="1742" xr:uid="{00000000-0005-0000-0000-0000645B0000}"/>
    <cellStyle name="40% - Accent6 2 7 2" xfId="2904" xr:uid="{00000000-0005-0000-0000-0000655B0000}"/>
    <cellStyle name="40% - Accent6 2 7 2 2" xfId="5173" xr:uid="{00000000-0005-0000-0000-0000665B0000}"/>
    <cellStyle name="40% - Accent6 2 7 2 2 2" xfId="9637" xr:uid="{00000000-0005-0000-0000-0000675B0000}"/>
    <cellStyle name="40% - Accent6 2 7 2 2 2 2" xfId="19633" xr:uid="{00000000-0005-0000-0000-0000685B0000}"/>
    <cellStyle name="40% - Accent6 2 7 2 2 2 2 2" xfId="39033" xr:uid="{00000000-0005-0000-0000-0000695B0000}"/>
    <cellStyle name="40% - Accent6 2 7 2 2 2 3" xfId="29335" xr:uid="{00000000-0005-0000-0000-00006A5B0000}"/>
    <cellStyle name="40% - Accent6 2 7 2 2 3" xfId="15178" xr:uid="{00000000-0005-0000-0000-00006B5B0000}"/>
    <cellStyle name="40% - Accent6 2 7 2 2 3 2" xfId="34578" xr:uid="{00000000-0005-0000-0000-00006C5B0000}"/>
    <cellStyle name="40% - Accent6 2 7 2 2 4" xfId="24880" xr:uid="{00000000-0005-0000-0000-00006D5B0000}"/>
    <cellStyle name="40% - Accent6 2 7 2 3" xfId="7409" xr:uid="{00000000-0005-0000-0000-00006E5B0000}"/>
    <cellStyle name="40% - Accent6 2 7 2 3 2" xfId="17405" xr:uid="{00000000-0005-0000-0000-00006F5B0000}"/>
    <cellStyle name="40% - Accent6 2 7 2 3 2 2" xfId="36805" xr:uid="{00000000-0005-0000-0000-0000705B0000}"/>
    <cellStyle name="40% - Accent6 2 7 2 3 3" xfId="27107" xr:uid="{00000000-0005-0000-0000-0000715B0000}"/>
    <cellStyle name="40% - Accent6 2 7 2 4" xfId="12950" xr:uid="{00000000-0005-0000-0000-0000725B0000}"/>
    <cellStyle name="40% - Accent6 2 7 2 4 2" xfId="32350" xr:uid="{00000000-0005-0000-0000-0000735B0000}"/>
    <cellStyle name="40% - Accent6 2 7 2 5" xfId="22652" xr:uid="{00000000-0005-0000-0000-0000745B0000}"/>
    <cellStyle name="40% - Accent6 2 7 3" xfId="3487" xr:uid="{00000000-0005-0000-0000-0000755B0000}"/>
    <cellStyle name="40% - Accent6 2 7 3 2" xfId="4617" xr:uid="{00000000-0005-0000-0000-0000765B0000}"/>
    <cellStyle name="40% - Accent6 2 7 3 2 2" xfId="9081" xr:uid="{00000000-0005-0000-0000-0000775B0000}"/>
    <cellStyle name="40% - Accent6 2 7 3 2 2 2" xfId="19077" xr:uid="{00000000-0005-0000-0000-0000785B0000}"/>
    <cellStyle name="40% - Accent6 2 7 3 2 2 2 2" xfId="38477" xr:uid="{00000000-0005-0000-0000-0000795B0000}"/>
    <cellStyle name="40% - Accent6 2 7 3 2 2 3" xfId="28779" xr:uid="{00000000-0005-0000-0000-00007A5B0000}"/>
    <cellStyle name="40% - Accent6 2 7 3 2 3" xfId="14622" xr:uid="{00000000-0005-0000-0000-00007B5B0000}"/>
    <cellStyle name="40% - Accent6 2 7 3 2 3 2" xfId="34022" xr:uid="{00000000-0005-0000-0000-00007C5B0000}"/>
    <cellStyle name="40% - Accent6 2 7 3 2 4" xfId="24324" xr:uid="{00000000-0005-0000-0000-00007D5B0000}"/>
    <cellStyle name="40% - Accent6 2 7 3 3" xfId="7966" xr:uid="{00000000-0005-0000-0000-00007E5B0000}"/>
    <cellStyle name="40% - Accent6 2 7 3 3 2" xfId="17962" xr:uid="{00000000-0005-0000-0000-00007F5B0000}"/>
    <cellStyle name="40% - Accent6 2 7 3 3 2 2" xfId="37362" xr:uid="{00000000-0005-0000-0000-0000805B0000}"/>
    <cellStyle name="40% - Accent6 2 7 3 3 3" xfId="27664" xr:uid="{00000000-0005-0000-0000-0000815B0000}"/>
    <cellStyle name="40% - Accent6 2 7 3 4" xfId="13507" xr:uid="{00000000-0005-0000-0000-0000825B0000}"/>
    <cellStyle name="40% - Accent6 2 7 3 4 2" xfId="32907" xr:uid="{00000000-0005-0000-0000-0000835B0000}"/>
    <cellStyle name="40% - Accent6 2 7 3 5" xfId="23209" xr:uid="{00000000-0005-0000-0000-0000845B0000}"/>
    <cellStyle name="40% - Accent6 2 7 4" xfId="4060" xr:uid="{00000000-0005-0000-0000-0000855B0000}"/>
    <cellStyle name="40% - Accent6 2 7 4 2" xfId="8524" xr:uid="{00000000-0005-0000-0000-0000865B0000}"/>
    <cellStyle name="40% - Accent6 2 7 4 2 2" xfId="18520" xr:uid="{00000000-0005-0000-0000-0000875B0000}"/>
    <cellStyle name="40% - Accent6 2 7 4 2 2 2" xfId="37920" xr:uid="{00000000-0005-0000-0000-0000885B0000}"/>
    <cellStyle name="40% - Accent6 2 7 4 2 3" xfId="28222" xr:uid="{00000000-0005-0000-0000-0000895B0000}"/>
    <cellStyle name="40% - Accent6 2 7 4 3" xfId="14065" xr:uid="{00000000-0005-0000-0000-00008A5B0000}"/>
    <cellStyle name="40% - Accent6 2 7 4 3 2" xfId="33465" xr:uid="{00000000-0005-0000-0000-00008B5B0000}"/>
    <cellStyle name="40% - Accent6 2 7 4 4" xfId="23767" xr:uid="{00000000-0005-0000-0000-00008C5B0000}"/>
    <cellStyle name="40% - Accent6 2 7 5" xfId="5730" xr:uid="{00000000-0005-0000-0000-00008D5B0000}"/>
    <cellStyle name="40% - Accent6 2 7 5 2" xfId="10194" xr:uid="{00000000-0005-0000-0000-00008E5B0000}"/>
    <cellStyle name="40% - Accent6 2 7 5 2 2" xfId="20190" xr:uid="{00000000-0005-0000-0000-00008F5B0000}"/>
    <cellStyle name="40% - Accent6 2 7 5 2 2 2" xfId="39590" xr:uid="{00000000-0005-0000-0000-0000905B0000}"/>
    <cellStyle name="40% - Accent6 2 7 5 2 3" xfId="29892" xr:uid="{00000000-0005-0000-0000-0000915B0000}"/>
    <cellStyle name="40% - Accent6 2 7 5 3" xfId="15735" xr:uid="{00000000-0005-0000-0000-0000925B0000}"/>
    <cellStyle name="40% - Accent6 2 7 5 3 2" xfId="35135" xr:uid="{00000000-0005-0000-0000-0000935B0000}"/>
    <cellStyle name="40% - Accent6 2 7 5 4" xfId="25437" xr:uid="{00000000-0005-0000-0000-0000945B0000}"/>
    <cellStyle name="40% - Accent6 2 7 6" xfId="6296" xr:uid="{00000000-0005-0000-0000-0000955B0000}"/>
    <cellStyle name="40% - Accent6 2 7 6 2" xfId="10751" xr:uid="{00000000-0005-0000-0000-0000965B0000}"/>
    <cellStyle name="40% - Accent6 2 7 6 2 2" xfId="20747" xr:uid="{00000000-0005-0000-0000-0000975B0000}"/>
    <cellStyle name="40% - Accent6 2 7 6 2 2 2" xfId="40147" xr:uid="{00000000-0005-0000-0000-0000985B0000}"/>
    <cellStyle name="40% - Accent6 2 7 6 2 3" xfId="30449" xr:uid="{00000000-0005-0000-0000-0000995B0000}"/>
    <cellStyle name="40% - Accent6 2 7 6 3" xfId="16292" xr:uid="{00000000-0005-0000-0000-00009A5B0000}"/>
    <cellStyle name="40% - Accent6 2 7 6 3 2" xfId="35692" xr:uid="{00000000-0005-0000-0000-00009B5B0000}"/>
    <cellStyle name="40% - Accent6 2 7 6 4" xfId="25994" xr:uid="{00000000-0005-0000-0000-00009C5B0000}"/>
    <cellStyle name="40% - Accent6 2 7 7" xfId="6853" xr:uid="{00000000-0005-0000-0000-00009D5B0000}"/>
    <cellStyle name="40% - Accent6 2 7 7 2" xfId="16849" xr:uid="{00000000-0005-0000-0000-00009E5B0000}"/>
    <cellStyle name="40% - Accent6 2 7 7 2 2" xfId="36249" xr:uid="{00000000-0005-0000-0000-00009F5B0000}"/>
    <cellStyle name="40% - Accent6 2 7 7 3" xfId="26551" xr:uid="{00000000-0005-0000-0000-0000A05B0000}"/>
    <cellStyle name="40% - Accent6 2 7 8" xfId="12393" xr:uid="{00000000-0005-0000-0000-0000A15B0000}"/>
    <cellStyle name="40% - Accent6 2 7 8 2" xfId="31794" xr:uid="{00000000-0005-0000-0000-0000A25B0000}"/>
    <cellStyle name="40% - Accent6 2 7 9" xfId="22096" xr:uid="{00000000-0005-0000-0000-0000A35B0000}"/>
    <cellStyle name="40% - Accent6 2 8" xfId="1846" xr:uid="{00000000-0005-0000-0000-0000A45B0000}"/>
    <cellStyle name="40% - Accent6 2 8 2" xfId="2918" xr:uid="{00000000-0005-0000-0000-0000A55B0000}"/>
    <cellStyle name="40% - Accent6 2 8 2 2" xfId="5187" xr:uid="{00000000-0005-0000-0000-0000A65B0000}"/>
    <cellStyle name="40% - Accent6 2 8 2 2 2" xfId="9651" xr:uid="{00000000-0005-0000-0000-0000A75B0000}"/>
    <cellStyle name="40% - Accent6 2 8 2 2 2 2" xfId="19647" xr:uid="{00000000-0005-0000-0000-0000A85B0000}"/>
    <cellStyle name="40% - Accent6 2 8 2 2 2 2 2" xfId="39047" xr:uid="{00000000-0005-0000-0000-0000A95B0000}"/>
    <cellStyle name="40% - Accent6 2 8 2 2 2 3" xfId="29349" xr:uid="{00000000-0005-0000-0000-0000AA5B0000}"/>
    <cellStyle name="40% - Accent6 2 8 2 2 3" xfId="15192" xr:uid="{00000000-0005-0000-0000-0000AB5B0000}"/>
    <cellStyle name="40% - Accent6 2 8 2 2 3 2" xfId="34592" xr:uid="{00000000-0005-0000-0000-0000AC5B0000}"/>
    <cellStyle name="40% - Accent6 2 8 2 2 4" xfId="24894" xr:uid="{00000000-0005-0000-0000-0000AD5B0000}"/>
    <cellStyle name="40% - Accent6 2 8 2 3" xfId="7423" xr:uid="{00000000-0005-0000-0000-0000AE5B0000}"/>
    <cellStyle name="40% - Accent6 2 8 2 3 2" xfId="17419" xr:uid="{00000000-0005-0000-0000-0000AF5B0000}"/>
    <cellStyle name="40% - Accent6 2 8 2 3 2 2" xfId="36819" xr:uid="{00000000-0005-0000-0000-0000B05B0000}"/>
    <cellStyle name="40% - Accent6 2 8 2 3 3" xfId="27121" xr:uid="{00000000-0005-0000-0000-0000B15B0000}"/>
    <cellStyle name="40% - Accent6 2 8 2 4" xfId="12964" xr:uid="{00000000-0005-0000-0000-0000B25B0000}"/>
    <cellStyle name="40% - Accent6 2 8 2 4 2" xfId="32364" xr:uid="{00000000-0005-0000-0000-0000B35B0000}"/>
    <cellStyle name="40% - Accent6 2 8 2 5" xfId="22666" xr:uid="{00000000-0005-0000-0000-0000B45B0000}"/>
    <cellStyle name="40% - Accent6 2 8 3" xfId="3501" xr:uid="{00000000-0005-0000-0000-0000B55B0000}"/>
    <cellStyle name="40% - Accent6 2 8 3 2" xfId="4631" xr:uid="{00000000-0005-0000-0000-0000B65B0000}"/>
    <cellStyle name="40% - Accent6 2 8 3 2 2" xfId="9095" xr:uid="{00000000-0005-0000-0000-0000B75B0000}"/>
    <cellStyle name="40% - Accent6 2 8 3 2 2 2" xfId="19091" xr:uid="{00000000-0005-0000-0000-0000B85B0000}"/>
    <cellStyle name="40% - Accent6 2 8 3 2 2 2 2" xfId="38491" xr:uid="{00000000-0005-0000-0000-0000B95B0000}"/>
    <cellStyle name="40% - Accent6 2 8 3 2 2 3" xfId="28793" xr:uid="{00000000-0005-0000-0000-0000BA5B0000}"/>
    <cellStyle name="40% - Accent6 2 8 3 2 3" xfId="14636" xr:uid="{00000000-0005-0000-0000-0000BB5B0000}"/>
    <cellStyle name="40% - Accent6 2 8 3 2 3 2" xfId="34036" xr:uid="{00000000-0005-0000-0000-0000BC5B0000}"/>
    <cellStyle name="40% - Accent6 2 8 3 2 4" xfId="24338" xr:uid="{00000000-0005-0000-0000-0000BD5B0000}"/>
    <cellStyle name="40% - Accent6 2 8 3 3" xfId="7980" xr:uid="{00000000-0005-0000-0000-0000BE5B0000}"/>
    <cellStyle name="40% - Accent6 2 8 3 3 2" xfId="17976" xr:uid="{00000000-0005-0000-0000-0000BF5B0000}"/>
    <cellStyle name="40% - Accent6 2 8 3 3 2 2" xfId="37376" xr:uid="{00000000-0005-0000-0000-0000C05B0000}"/>
    <cellStyle name="40% - Accent6 2 8 3 3 3" xfId="27678" xr:uid="{00000000-0005-0000-0000-0000C15B0000}"/>
    <cellStyle name="40% - Accent6 2 8 3 4" xfId="13521" xr:uid="{00000000-0005-0000-0000-0000C25B0000}"/>
    <cellStyle name="40% - Accent6 2 8 3 4 2" xfId="32921" xr:uid="{00000000-0005-0000-0000-0000C35B0000}"/>
    <cellStyle name="40% - Accent6 2 8 3 5" xfId="23223" xr:uid="{00000000-0005-0000-0000-0000C45B0000}"/>
    <cellStyle name="40% - Accent6 2 8 4" xfId="4074" xr:uid="{00000000-0005-0000-0000-0000C55B0000}"/>
    <cellStyle name="40% - Accent6 2 8 4 2" xfId="8538" xr:uid="{00000000-0005-0000-0000-0000C65B0000}"/>
    <cellStyle name="40% - Accent6 2 8 4 2 2" xfId="18534" xr:uid="{00000000-0005-0000-0000-0000C75B0000}"/>
    <cellStyle name="40% - Accent6 2 8 4 2 2 2" xfId="37934" xr:uid="{00000000-0005-0000-0000-0000C85B0000}"/>
    <cellStyle name="40% - Accent6 2 8 4 2 3" xfId="28236" xr:uid="{00000000-0005-0000-0000-0000C95B0000}"/>
    <cellStyle name="40% - Accent6 2 8 4 3" xfId="14079" xr:uid="{00000000-0005-0000-0000-0000CA5B0000}"/>
    <cellStyle name="40% - Accent6 2 8 4 3 2" xfId="33479" xr:uid="{00000000-0005-0000-0000-0000CB5B0000}"/>
    <cellStyle name="40% - Accent6 2 8 4 4" xfId="23781" xr:uid="{00000000-0005-0000-0000-0000CC5B0000}"/>
    <cellStyle name="40% - Accent6 2 8 5" xfId="5744" xr:uid="{00000000-0005-0000-0000-0000CD5B0000}"/>
    <cellStyle name="40% - Accent6 2 8 5 2" xfId="10208" xr:uid="{00000000-0005-0000-0000-0000CE5B0000}"/>
    <cellStyle name="40% - Accent6 2 8 5 2 2" xfId="20204" xr:uid="{00000000-0005-0000-0000-0000CF5B0000}"/>
    <cellStyle name="40% - Accent6 2 8 5 2 2 2" xfId="39604" xr:uid="{00000000-0005-0000-0000-0000D05B0000}"/>
    <cellStyle name="40% - Accent6 2 8 5 2 3" xfId="29906" xr:uid="{00000000-0005-0000-0000-0000D15B0000}"/>
    <cellStyle name="40% - Accent6 2 8 5 3" xfId="15749" xr:uid="{00000000-0005-0000-0000-0000D25B0000}"/>
    <cellStyle name="40% - Accent6 2 8 5 3 2" xfId="35149" xr:uid="{00000000-0005-0000-0000-0000D35B0000}"/>
    <cellStyle name="40% - Accent6 2 8 5 4" xfId="25451" xr:uid="{00000000-0005-0000-0000-0000D45B0000}"/>
    <cellStyle name="40% - Accent6 2 8 6" xfId="6310" xr:uid="{00000000-0005-0000-0000-0000D55B0000}"/>
    <cellStyle name="40% - Accent6 2 8 6 2" xfId="10765" xr:uid="{00000000-0005-0000-0000-0000D65B0000}"/>
    <cellStyle name="40% - Accent6 2 8 6 2 2" xfId="20761" xr:uid="{00000000-0005-0000-0000-0000D75B0000}"/>
    <cellStyle name="40% - Accent6 2 8 6 2 2 2" xfId="40161" xr:uid="{00000000-0005-0000-0000-0000D85B0000}"/>
    <cellStyle name="40% - Accent6 2 8 6 2 3" xfId="30463" xr:uid="{00000000-0005-0000-0000-0000D95B0000}"/>
    <cellStyle name="40% - Accent6 2 8 6 3" xfId="16306" xr:uid="{00000000-0005-0000-0000-0000DA5B0000}"/>
    <cellStyle name="40% - Accent6 2 8 6 3 2" xfId="35706" xr:uid="{00000000-0005-0000-0000-0000DB5B0000}"/>
    <cellStyle name="40% - Accent6 2 8 6 4" xfId="26008" xr:uid="{00000000-0005-0000-0000-0000DC5B0000}"/>
    <cellStyle name="40% - Accent6 2 8 7" xfId="6867" xr:uid="{00000000-0005-0000-0000-0000DD5B0000}"/>
    <cellStyle name="40% - Accent6 2 8 7 2" xfId="16863" xr:uid="{00000000-0005-0000-0000-0000DE5B0000}"/>
    <cellStyle name="40% - Accent6 2 8 7 2 2" xfId="36263" xr:uid="{00000000-0005-0000-0000-0000DF5B0000}"/>
    <cellStyle name="40% - Accent6 2 8 7 3" xfId="26565" xr:uid="{00000000-0005-0000-0000-0000E05B0000}"/>
    <cellStyle name="40% - Accent6 2 8 8" xfId="12407" xr:uid="{00000000-0005-0000-0000-0000E15B0000}"/>
    <cellStyle name="40% - Accent6 2 8 8 2" xfId="31808" xr:uid="{00000000-0005-0000-0000-0000E25B0000}"/>
    <cellStyle name="40% - Accent6 2 8 9" xfId="22110" xr:uid="{00000000-0005-0000-0000-0000E35B0000}"/>
    <cellStyle name="40% - Accent6 2 9" xfId="2282" xr:uid="{00000000-0005-0000-0000-0000E45B0000}"/>
    <cellStyle name="40% - Accent6 20" xfId="1090" xr:uid="{00000000-0005-0000-0000-0000E55B0000}"/>
    <cellStyle name="40% - Accent6 20 2" xfId="11961" xr:uid="{00000000-0005-0000-0000-0000E65B0000}"/>
    <cellStyle name="40% - Accent6 20 2 2" xfId="21665" xr:uid="{00000000-0005-0000-0000-0000E75B0000}"/>
    <cellStyle name="40% - Accent6 20 2 2 2" xfId="41065" xr:uid="{00000000-0005-0000-0000-0000E85B0000}"/>
    <cellStyle name="40% - Accent6 20 2 3" xfId="31367" xr:uid="{00000000-0005-0000-0000-0000E95B0000}"/>
    <cellStyle name="40% - Accent6 20 3" xfId="12317" xr:uid="{00000000-0005-0000-0000-0000EA5B0000}"/>
    <cellStyle name="40% - Accent6 20 3 2" xfId="31720" xr:uid="{00000000-0005-0000-0000-0000EB5B0000}"/>
    <cellStyle name="40% - Accent6 20 4" xfId="22022" xr:uid="{00000000-0005-0000-0000-0000EC5B0000}"/>
    <cellStyle name="40% - Accent6 21" xfId="11844" xr:uid="{00000000-0005-0000-0000-0000ED5B0000}"/>
    <cellStyle name="40% - Accent6 21 2" xfId="21548" xr:uid="{00000000-0005-0000-0000-0000EE5B0000}"/>
    <cellStyle name="40% - Accent6 21 2 2" xfId="40948" xr:uid="{00000000-0005-0000-0000-0000EF5B0000}"/>
    <cellStyle name="40% - Accent6 21 3" xfId="31250" xr:uid="{00000000-0005-0000-0000-0000F05B0000}"/>
    <cellStyle name="40% - Accent6 22" xfId="12200" xr:uid="{00000000-0005-0000-0000-0000F15B0000}"/>
    <cellStyle name="40% - Accent6 22 2" xfId="31603" xr:uid="{00000000-0005-0000-0000-0000F25B0000}"/>
    <cellStyle name="40% - Accent6 23" xfId="21905" xr:uid="{00000000-0005-0000-0000-0000F35B0000}"/>
    <cellStyle name="40% - Accent6 3" xfId="162" xr:uid="{00000000-0005-0000-0000-0000F45B0000}"/>
    <cellStyle name="40% - Accent6 3 2" xfId="2283" xr:uid="{00000000-0005-0000-0000-0000F55B0000}"/>
    <cellStyle name="40% - Accent6 3 3" xfId="2615" xr:uid="{00000000-0005-0000-0000-0000F65B0000}"/>
    <cellStyle name="40% - Accent6 3 4" xfId="11415" xr:uid="{00000000-0005-0000-0000-0000F75B0000}"/>
    <cellStyle name="40% - Accent6 3 5" xfId="1315" xr:uid="{00000000-0005-0000-0000-0000F85B0000}"/>
    <cellStyle name="40% - Accent6 4" xfId="163" xr:uid="{00000000-0005-0000-0000-0000F95B0000}"/>
    <cellStyle name="40% - Accent6 4 2" xfId="2781" xr:uid="{00000000-0005-0000-0000-0000FA5B0000}"/>
    <cellStyle name="40% - Accent6 4 3" xfId="11416" xr:uid="{00000000-0005-0000-0000-0000FB5B0000}"/>
    <cellStyle name="40% - Accent6 4 4" xfId="1316" xr:uid="{00000000-0005-0000-0000-0000FC5B0000}"/>
    <cellStyle name="40% - Accent6 5" xfId="164" xr:uid="{00000000-0005-0000-0000-0000FD5B0000}"/>
    <cellStyle name="40% - Accent6 5 2" xfId="11417" xr:uid="{00000000-0005-0000-0000-0000FE5B0000}"/>
    <cellStyle name="40% - Accent6 5 3" xfId="1673" xr:uid="{00000000-0005-0000-0000-0000FF5B0000}"/>
    <cellStyle name="40% - Accent6 6" xfId="165" xr:uid="{00000000-0005-0000-0000-0000005C0000}"/>
    <cellStyle name="40% - Accent6 6 2" xfId="11418" xr:uid="{00000000-0005-0000-0000-0000015C0000}"/>
    <cellStyle name="40% - Accent6 6 3" xfId="1845" xr:uid="{00000000-0005-0000-0000-0000025C0000}"/>
    <cellStyle name="40% - Accent6 7" xfId="166" xr:uid="{00000000-0005-0000-0000-0000035C0000}"/>
    <cellStyle name="40% - Accent6 8" xfId="167" xr:uid="{00000000-0005-0000-0000-0000045C0000}"/>
    <cellStyle name="40% - Accent6 9" xfId="168" xr:uid="{00000000-0005-0000-0000-0000055C0000}"/>
    <cellStyle name="60% - Accent1" xfId="943" builtinId="32" customBuiltin="1"/>
    <cellStyle name="60% - Accent1 10" xfId="169" xr:uid="{00000000-0005-0000-0000-0000075C0000}"/>
    <cellStyle name="60% - Accent1 11" xfId="170" xr:uid="{00000000-0005-0000-0000-0000085C0000}"/>
    <cellStyle name="60% - Accent1 12" xfId="171" xr:uid="{00000000-0005-0000-0000-0000095C0000}"/>
    <cellStyle name="60% - Accent1 13" xfId="172" xr:uid="{00000000-0005-0000-0000-00000A5C0000}"/>
    <cellStyle name="60% - Accent1 14" xfId="173" xr:uid="{00000000-0005-0000-0000-00000B5C0000}"/>
    <cellStyle name="60% - Accent1 15" xfId="174" xr:uid="{00000000-0005-0000-0000-00000C5C0000}"/>
    <cellStyle name="60% - Accent1 16" xfId="682" xr:uid="{00000000-0005-0000-0000-00000D5C0000}"/>
    <cellStyle name="60% - Accent1 2" xfId="175" xr:uid="{00000000-0005-0000-0000-00000E5C0000}"/>
    <cellStyle name="60% - Accent1 2 2" xfId="719" xr:uid="{00000000-0005-0000-0000-00000F5C0000}"/>
    <cellStyle name="60% - Accent1 2 2 2" xfId="1756" xr:uid="{00000000-0005-0000-0000-0000105C0000}"/>
    <cellStyle name="60% - Accent1 2 2 3" xfId="1318" xr:uid="{00000000-0005-0000-0000-0000115C0000}"/>
    <cellStyle name="60% - Accent1 2 2 4" xfId="11676" xr:uid="{00000000-0005-0000-0000-0000125C0000}"/>
    <cellStyle name="60% - Accent1 2 2 5" xfId="1183" xr:uid="{00000000-0005-0000-0000-0000135C0000}"/>
    <cellStyle name="60% - Accent1 2 3" xfId="1319" xr:uid="{00000000-0005-0000-0000-0000145C0000}"/>
    <cellStyle name="60% - Accent1 2 3 2" xfId="2667" xr:uid="{00000000-0005-0000-0000-0000155C0000}"/>
    <cellStyle name="60% - Accent1 2 4" xfId="1723" xr:uid="{00000000-0005-0000-0000-0000165C0000}"/>
    <cellStyle name="60% - Accent1 2 5" xfId="1848" xr:uid="{00000000-0005-0000-0000-0000175C0000}"/>
    <cellStyle name="60% - Accent1 2 6" xfId="2866" xr:uid="{00000000-0005-0000-0000-0000185C0000}"/>
    <cellStyle name="60% - Accent1 2 7" xfId="1317" xr:uid="{00000000-0005-0000-0000-0000195C0000}"/>
    <cellStyle name="60% - Accent1 2 8" xfId="11419" xr:uid="{00000000-0005-0000-0000-00001A5C0000}"/>
    <cellStyle name="60% - Accent1 3" xfId="176" xr:uid="{00000000-0005-0000-0000-00001B5C0000}"/>
    <cellStyle name="60% - Accent1 3 2" xfId="2284" xr:uid="{00000000-0005-0000-0000-00001C5C0000}"/>
    <cellStyle name="60% - Accent1 3 3" xfId="2616" xr:uid="{00000000-0005-0000-0000-00001D5C0000}"/>
    <cellStyle name="60% - Accent1 3 4" xfId="11420" xr:uid="{00000000-0005-0000-0000-00001E5C0000}"/>
    <cellStyle name="60% - Accent1 3 5" xfId="1320" xr:uid="{00000000-0005-0000-0000-00001F5C0000}"/>
    <cellStyle name="60% - Accent1 4" xfId="177" xr:uid="{00000000-0005-0000-0000-0000205C0000}"/>
    <cellStyle name="60% - Accent1 4 2" xfId="2782" xr:uid="{00000000-0005-0000-0000-0000215C0000}"/>
    <cellStyle name="60% - Accent1 4 3" xfId="11421" xr:uid="{00000000-0005-0000-0000-0000225C0000}"/>
    <cellStyle name="60% - Accent1 4 4" xfId="1321" xr:uid="{00000000-0005-0000-0000-0000235C0000}"/>
    <cellStyle name="60% - Accent1 5" xfId="178" xr:uid="{00000000-0005-0000-0000-0000245C0000}"/>
    <cellStyle name="60% - Accent1 5 2" xfId="11422" xr:uid="{00000000-0005-0000-0000-0000255C0000}"/>
    <cellStyle name="60% - Accent1 5 3" xfId="1674" xr:uid="{00000000-0005-0000-0000-0000265C0000}"/>
    <cellStyle name="60% - Accent1 6" xfId="179" xr:uid="{00000000-0005-0000-0000-0000275C0000}"/>
    <cellStyle name="60% - Accent1 6 2" xfId="11423" xr:uid="{00000000-0005-0000-0000-0000285C0000}"/>
    <cellStyle name="60% - Accent1 6 3" xfId="1847" xr:uid="{00000000-0005-0000-0000-0000295C0000}"/>
    <cellStyle name="60% - Accent1 7" xfId="180" xr:uid="{00000000-0005-0000-0000-00002A5C0000}"/>
    <cellStyle name="60% - Accent1 8" xfId="181" xr:uid="{00000000-0005-0000-0000-00002B5C0000}"/>
    <cellStyle name="60% - Accent1 9" xfId="182" xr:uid="{00000000-0005-0000-0000-00002C5C0000}"/>
    <cellStyle name="60% - Accent2" xfId="947" builtinId="36" customBuiltin="1"/>
    <cellStyle name="60% - Accent2 10" xfId="183" xr:uid="{00000000-0005-0000-0000-00002E5C0000}"/>
    <cellStyle name="60% - Accent2 11" xfId="184" xr:uid="{00000000-0005-0000-0000-00002F5C0000}"/>
    <cellStyle name="60% - Accent2 12" xfId="185" xr:uid="{00000000-0005-0000-0000-0000305C0000}"/>
    <cellStyle name="60% - Accent2 13" xfId="186" xr:uid="{00000000-0005-0000-0000-0000315C0000}"/>
    <cellStyle name="60% - Accent2 14" xfId="187" xr:uid="{00000000-0005-0000-0000-0000325C0000}"/>
    <cellStyle name="60% - Accent2 15" xfId="188" xr:uid="{00000000-0005-0000-0000-0000335C0000}"/>
    <cellStyle name="60% - Accent2 16" xfId="683" xr:uid="{00000000-0005-0000-0000-0000345C0000}"/>
    <cellStyle name="60% - Accent2 2" xfId="189" xr:uid="{00000000-0005-0000-0000-0000355C0000}"/>
    <cellStyle name="60% - Accent2 2 2" xfId="723" xr:uid="{00000000-0005-0000-0000-0000365C0000}"/>
    <cellStyle name="60% - Accent2 2 2 2" xfId="1757" xr:uid="{00000000-0005-0000-0000-0000375C0000}"/>
    <cellStyle name="60% - Accent2 2 2 3" xfId="1323" xr:uid="{00000000-0005-0000-0000-0000385C0000}"/>
    <cellStyle name="60% - Accent2 2 2 4" xfId="11680" xr:uid="{00000000-0005-0000-0000-0000395C0000}"/>
    <cellStyle name="60% - Accent2 2 2 5" xfId="1185" xr:uid="{00000000-0005-0000-0000-00003A5C0000}"/>
    <cellStyle name="60% - Accent2 2 3" xfId="1324" xr:uid="{00000000-0005-0000-0000-00003B5C0000}"/>
    <cellStyle name="60% - Accent2 2 3 2" xfId="2669" xr:uid="{00000000-0005-0000-0000-00003C5C0000}"/>
    <cellStyle name="60% - Accent2 2 4" xfId="1727" xr:uid="{00000000-0005-0000-0000-00003D5C0000}"/>
    <cellStyle name="60% - Accent2 2 5" xfId="1850" xr:uid="{00000000-0005-0000-0000-00003E5C0000}"/>
    <cellStyle name="60% - Accent2 2 6" xfId="2867" xr:uid="{00000000-0005-0000-0000-00003F5C0000}"/>
    <cellStyle name="60% - Accent2 2 7" xfId="1322" xr:uid="{00000000-0005-0000-0000-0000405C0000}"/>
    <cellStyle name="60% - Accent2 2 8" xfId="11424" xr:uid="{00000000-0005-0000-0000-0000415C0000}"/>
    <cellStyle name="60% - Accent2 3" xfId="190" xr:uid="{00000000-0005-0000-0000-0000425C0000}"/>
    <cellStyle name="60% - Accent2 3 2" xfId="2285" xr:uid="{00000000-0005-0000-0000-0000435C0000}"/>
    <cellStyle name="60% - Accent2 3 3" xfId="2617" xr:uid="{00000000-0005-0000-0000-0000445C0000}"/>
    <cellStyle name="60% - Accent2 3 4" xfId="11425" xr:uid="{00000000-0005-0000-0000-0000455C0000}"/>
    <cellStyle name="60% - Accent2 3 5" xfId="1325" xr:uid="{00000000-0005-0000-0000-0000465C0000}"/>
    <cellStyle name="60% - Accent2 4" xfId="191" xr:uid="{00000000-0005-0000-0000-0000475C0000}"/>
    <cellStyle name="60% - Accent2 4 2" xfId="2783" xr:uid="{00000000-0005-0000-0000-0000485C0000}"/>
    <cellStyle name="60% - Accent2 4 3" xfId="11426" xr:uid="{00000000-0005-0000-0000-0000495C0000}"/>
    <cellStyle name="60% - Accent2 4 4" xfId="1326" xr:uid="{00000000-0005-0000-0000-00004A5C0000}"/>
    <cellStyle name="60% - Accent2 5" xfId="192" xr:uid="{00000000-0005-0000-0000-00004B5C0000}"/>
    <cellStyle name="60% - Accent2 5 2" xfId="11427" xr:uid="{00000000-0005-0000-0000-00004C5C0000}"/>
    <cellStyle name="60% - Accent2 5 3" xfId="1675" xr:uid="{00000000-0005-0000-0000-00004D5C0000}"/>
    <cellStyle name="60% - Accent2 6" xfId="193" xr:uid="{00000000-0005-0000-0000-00004E5C0000}"/>
    <cellStyle name="60% - Accent2 6 2" xfId="11428" xr:uid="{00000000-0005-0000-0000-00004F5C0000}"/>
    <cellStyle name="60% - Accent2 6 3" xfId="1849" xr:uid="{00000000-0005-0000-0000-0000505C0000}"/>
    <cellStyle name="60% - Accent2 7" xfId="194" xr:uid="{00000000-0005-0000-0000-0000515C0000}"/>
    <cellStyle name="60% - Accent2 8" xfId="195" xr:uid="{00000000-0005-0000-0000-0000525C0000}"/>
    <cellStyle name="60% - Accent2 9" xfId="196" xr:uid="{00000000-0005-0000-0000-0000535C0000}"/>
    <cellStyle name="60% - Accent3" xfId="951" builtinId="40" customBuiltin="1"/>
    <cellStyle name="60% - Accent3 10" xfId="197" xr:uid="{00000000-0005-0000-0000-0000555C0000}"/>
    <cellStyle name="60% - Accent3 11" xfId="198" xr:uid="{00000000-0005-0000-0000-0000565C0000}"/>
    <cellStyle name="60% - Accent3 12" xfId="199" xr:uid="{00000000-0005-0000-0000-0000575C0000}"/>
    <cellStyle name="60% - Accent3 13" xfId="200" xr:uid="{00000000-0005-0000-0000-0000585C0000}"/>
    <cellStyle name="60% - Accent3 14" xfId="201" xr:uid="{00000000-0005-0000-0000-0000595C0000}"/>
    <cellStyle name="60% - Accent3 15" xfId="202" xr:uid="{00000000-0005-0000-0000-00005A5C0000}"/>
    <cellStyle name="60% - Accent3 16" xfId="684" xr:uid="{00000000-0005-0000-0000-00005B5C0000}"/>
    <cellStyle name="60% - Accent3 2" xfId="203" xr:uid="{00000000-0005-0000-0000-00005C5C0000}"/>
    <cellStyle name="60% - Accent3 2 2" xfId="727" xr:uid="{00000000-0005-0000-0000-00005D5C0000}"/>
    <cellStyle name="60% - Accent3 2 2 2" xfId="1758" xr:uid="{00000000-0005-0000-0000-00005E5C0000}"/>
    <cellStyle name="60% - Accent3 2 2 3" xfId="1328" xr:uid="{00000000-0005-0000-0000-00005F5C0000}"/>
    <cellStyle name="60% - Accent3 2 2 4" xfId="11684" xr:uid="{00000000-0005-0000-0000-0000605C0000}"/>
    <cellStyle name="60% - Accent3 2 2 5" xfId="1187" xr:uid="{00000000-0005-0000-0000-0000615C0000}"/>
    <cellStyle name="60% - Accent3 2 3" xfId="1329" xr:uid="{00000000-0005-0000-0000-0000625C0000}"/>
    <cellStyle name="60% - Accent3 2 3 2" xfId="2671" xr:uid="{00000000-0005-0000-0000-0000635C0000}"/>
    <cellStyle name="60% - Accent3 2 4" xfId="1731" xr:uid="{00000000-0005-0000-0000-0000645C0000}"/>
    <cellStyle name="60% - Accent3 2 5" xfId="1852" xr:uid="{00000000-0005-0000-0000-0000655C0000}"/>
    <cellStyle name="60% - Accent3 2 6" xfId="2583" xr:uid="{00000000-0005-0000-0000-0000665C0000}"/>
    <cellStyle name="60% - Accent3 2 7" xfId="2868" xr:uid="{00000000-0005-0000-0000-0000675C0000}"/>
    <cellStyle name="60% - Accent3 2 8" xfId="1327" xr:uid="{00000000-0005-0000-0000-0000685C0000}"/>
    <cellStyle name="60% - Accent3 2 9" xfId="11429" xr:uid="{00000000-0005-0000-0000-0000695C0000}"/>
    <cellStyle name="60% - Accent3 3" xfId="204" xr:uid="{00000000-0005-0000-0000-00006A5C0000}"/>
    <cellStyle name="60% - Accent3 3 2" xfId="2286" xr:uid="{00000000-0005-0000-0000-00006B5C0000}"/>
    <cellStyle name="60% - Accent3 3 3" xfId="2618" xr:uid="{00000000-0005-0000-0000-00006C5C0000}"/>
    <cellStyle name="60% - Accent3 3 4" xfId="11430" xr:uid="{00000000-0005-0000-0000-00006D5C0000}"/>
    <cellStyle name="60% - Accent3 3 5" xfId="1330" xr:uid="{00000000-0005-0000-0000-00006E5C0000}"/>
    <cellStyle name="60% - Accent3 4" xfId="205" xr:uid="{00000000-0005-0000-0000-00006F5C0000}"/>
    <cellStyle name="60% - Accent3 4 2" xfId="2784" xr:uid="{00000000-0005-0000-0000-0000705C0000}"/>
    <cellStyle name="60% - Accent3 4 3" xfId="11431" xr:uid="{00000000-0005-0000-0000-0000715C0000}"/>
    <cellStyle name="60% - Accent3 4 4" xfId="1331" xr:uid="{00000000-0005-0000-0000-0000725C0000}"/>
    <cellStyle name="60% - Accent3 5" xfId="206" xr:uid="{00000000-0005-0000-0000-0000735C0000}"/>
    <cellStyle name="60% - Accent3 5 2" xfId="11432" xr:uid="{00000000-0005-0000-0000-0000745C0000}"/>
    <cellStyle name="60% - Accent3 5 3" xfId="1676" xr:uid="{00000000-0005-0000-0000-0000755C0000}"/>
    <cellStyle name="60% - Accent3 6" xfId="207" xr:uid="{00000000-0005-0000-0000-0000765C0000}"/>
    <cellStyle name="60% - Accent3 6 2" xfId="11433" xr:uid="{00000000-0005-0000-0000-0000775C0000}"/>
    <cellStyle name="60% - Accent3 6 3" xfId="1851" xr:uid="{00000000-0005-0000-0000-0000785C0000}"/>
    <cellStyle name="60% - Accent3 7" xfId="208" xr:uid="{00000000-0005-0000-0000-0000795C0000}"/>
    <cellStyle name="60% - Accent3 8" xfId="209" xr:uid="{00000000-0005-0000-0000-00007A5C0000}"/>
    <cellStyle name="60% - Accent3 9" xfId="210" xr:uid="{00000000-0005-0000-0000-00007B5C0000}"/>
    <cellStyle name="60% - Accent4" xfId="955" builtinId="44" customBuiltin="1"/>
    <cellStyle name="60% - Accent4 10" xfId="211" xr:uid="{00000000-0005-0000-0000-00007D5C0000}"/>
    <cellStyle name="60% - Accent4 11" xfId="212" xr:uid="{00000000-0005-0000-0000-00007E5C0000}"/>
    <cellStyle name="60% - Accent4 12" xfId="213" xr:uid="{00000000-0005-0000-0000-00007F5C0000}"/>
    <cellStyle name="60% - Accent4 13" xfId="214" xr:uid="{00000000-0005-0000-0000-0000805C0000}"/>
    <cellStyle name="60% - Accent4 14" xfId="215" xr:uid="{00000000-0005-0000-0000-0000815C0000}"/>
    <cellStyle name="60% - Accent4 15" xfId="216" xr:uid="{00000000-0005-0000-0000-0000825C0000}"/>
    <cellStyle name="60% - Accent4 16" xfId="685" xr:uid="{00000000-0005-0000-0000-0000835C0000}"/>
    <cellStyle name="60% - Accent4 2" xfId="217" xr:uid="{00000000-0005-0000-0000-0000845C0000}"/>
    <cellStyle name="60% - Accent4 2 2" xfId="731" xr:uid="{00000000-0005-0000-0000-0000855C0000}"/>
    <cellStyle name="60% - Accent4 2 2 2" xfId="1759" xr:uid="{00000000-0005-0000-0000-0000865C0000}"/>
    <cellStyle name="60% - Accent4 2 2 3" xfId="1333" xr:uid="{00000000-0005-0000-0000-0000875C0000}"/>
    <cellStyle name="60% - Accent4 2 2 4" xfId="11688" xr:uid="{00000000-0005-0000-0000-0000885C0000}"/>
    <cellStyle name="60% - Accent4 2 2 5" xfId="1189" xr:uid="{00000000-0005-0000-0000-0000895C0000}"/>
    <cellStyle name="60% - Accent4 2 3" xfId="1334" xr:uid="{00000000-0005-0000-0000-00008A5C0000}"/>
    <cellStyle name="60% - Accent4 2 3 2" xfId="2673" xr:uid="{00000000-0005-0000-0000-00008B5C0000}"/>
    <cellStyle name="60% - Accent4 2 4" xfId="1735" xr:uid="{00000000-0005-0000-0000-00008C5C0000}"/>
    <cellStyle name="60% - Accent4 2 5" xfId="1854" xr:uid="{00000000-0005-0000-0000-00008D5C0000}"/>
    <cellStyle name="60% - Accent4 2 6" xfId="2584" xr:uid="{00000000-0005-0000-0000-00008E5C0000}"/>
    <cellStyle name="60% - Accent4 2 7" xfId="2869" xr:uid="{00000000-0005-0000-0000-00008F5C0000}"/>
    <cellStyle name="60% - Accent4 2 8" xfId="1332" xr:uid="{00000000-0005-0000-0000-0000905C0000}"/>
    <cellStyle name="60% - Accent4 2 9" xfId="11434" xr:uid="{00000000-0005-0000-0000-0000915C0000}"/>
    <cellStyle name="60% - Accent4 3" xfId="218" xr:uid="{00000000-0005-0000-0000-0000925C0000}"/>
    <cellStyle name="60% - Accent4 3 2" xfId="2287" xr:uid="{00000000-0005-0000-0000-0000935C0000}"/>
    <cellStyle name="60% - Accent4 3 3" xfId="2619" xr:uid="{00000000-0005-0000-0000-0000945C0000}"/>
    <cellStyle name="60% - Accent4 3 4" xfId="11435" xr:uid="{00000000-0005-0000-0000-0000955C0000}"/>
    <cellStyle name="60% - Accent4 3 5" xfId="1335" xr:uid="{00000000-0005-0000-0000-0000965C0000}"/>
    <cellStyle name="60% - Accent4 4" xfId="219" xr:uid="{00000000-0005-0000-0000-0000975C0000}"/>
    <cellStyle name="60% - Accent4 4 2" xfId="2785" xr:uid="{00000000-0005-0000-0000-0000985C0000}"/>
    <cellStyle name="60% - Accent4 4 3" xfId="11436" xr:uid="{00000000-0005-0000-0000-0000995C0000}"/>
    <cellStyle name="60% - Accent4 4 4" xfId="1336" xr:uid="{00000000-0005-0000-0000-00009A5C0000}"/>
    <cellStyle name="60% - Accent4 5" xfId="220" xr:uid="{00000000-0005-0000-0000-00009B5C0000}"/>
    <cellStyle name="60% - Accent4 5 2" xfId="11437" xr:uid="{00000000-0005-0000-0000-00009C5C0000}"/>
    <cellStyle name="60% - Accent4 5 3" xfId="1677" xr:uid="{00000000-0005-0000-0000-00009D5C0000}"/>
    <cellStyle name="60% - Accent4 6" xfId="221" xr:uid="{00000000-0005-0000-0000-00009E5C0000}"/>
    <cellStyle name="60% - Accent4 6 2" xfId="11438" xr:uid="{00000000-0005-0000-0000-00009F5C0000}"/>
    <cellStyle name="60% - Accent4 6 3" xfId="1853" xr:uid="{00000000-0005-0000-0000-0000A05C0000}"/>
    <cellStyle name="60% - Accent4 7" xfId="222" xr:uid="{00000000-0005-0000-0000-0000A15C0000}"/>
    <cellStyle name="60% - Accent4 8" xfId="223" xr:uid="{00000000-0005-0000-0000-0000A25C0000}"/>
    <cellStyle name="60% - Accent4 9" xfId="224" xr:uid="{00000000-0005-0000-0000-0000A35C0000}"/>
    <cellStyle name="60% - Accent5" xfId="959" builtinId="48" customBuiltin="1"/>
    <cellStyle name="60% - Accent5 10" xfId="225" xr:uid="{00000000-0005-0000-0000-0000A55C0000}"/>
    <cellStyle name="60% - Accent5 11" xfId="226" xr:uid="{00000000-0005-0000-0000-0000A65C0000}"/>
    <cellStyle name="60% - Accent5 12" xfId="227" xr:uid="{00000000-0005-0000-0000-0000A75C0000}"/>
    <cellStyle name="60% - Accent5 13" xfId="228" xr:uid="{00000000-0005-0000-0000-0000A85C0000}"/>
    <cellStyle name="60% - Accent5 14" xfId="229" xr:uid="{00000000-0005-0000-0000-0000A95C0000}"/>
    <cellStyle name="60% - Accent5 15" xfId="230" xr:uid="{00000000-0005-0000-0000-0000AA5C0000}"/>
    <cellStyle name="60% - Accent5 16" xfId="686" xr:uid="{00000000-0005-0000-0000-0000AB5C0000}"/>
    <cellStyle name="60% - Accent5 2" xfId="231" xr:uid="{00000000-0005-0000-0000-0000AC5C0000}"/>
    <cellStyle name="60% - Accent5 2 2" xfId="735" xr:uid="{00000000-0005-0000-0000-0000AD5C0000}"/>
    <cellStyle name="60% - Accent5 2 2 2" xfId="1760" xr:uid="{00000000-0005-0000-0000-0000AE5C0000}"/>
    <cellStyle name="60% - Accent5 2 2 3" xfId="1338" xr:uid="{00000000-0005-0000-0000-0000AF5C0000}"/>
    <cellStyle name="60% - Accent5 2 2 4" xfId="11692" xr:uid="{00000000-0005-0000-0000-0000B05C0000}"/>
    <cellStyle name="60% - Accent5 2 2 5" xfId="1191" xr:uid="{00000000-0005-0000-0000-0000B15C0000}"/>
    <cellStyle name="60% - Accent5 2 3" xfId="1339" xr:uid="{00000000-0005-0000-0000-0000B25C0000}"/>
    <cellStyle name="60% - Accent5 2 3 2" xfId="2675" xr:uid="{00000000-0005-0000-0000-0000B35C0000}"/>
    <cellStyle name="60% - Accent5 2 4" xfId="1739" xr:uid="{00000000-0005-0000-0000-0000B45C0000}"/>
    <cellStyle name="60% - Accent5 2 5" xfId="1856" xr:uid="{00000000-0005-0000-0000-0000B55C0000}"/>
    <cellStyle name="60% - Accent5 2 6" xfId="2870" xr:uid="{00000000-0005-0000-0000-0000B65C0000}"/>
    <cellStyle name="60% - Accent5 2 7" xfId="1337" xr:uid="{00000000-0005-0000-0000-0000B75C0000}"/>
    <cellStyle name="60% - Accent5 2 8" xfId="11439" xr:uid="{00000000-0005-0000-0000-0000B85C0000}"/>
    <cellStyle name="60% - Accent5 3" xfId="232" xr:uid="{00000000-0005-0000-0000-0000B95C0000}"/>
    <cellStyle name="60% - Accent5 3 2" xfId="2288" xr:uid="{00000000-0005-0000-0000-0000BA5C0000}"/>
    <cellStyle name="60% - Accent5 3 3" xfId="2620" xr:uid="{00000000-0005-0000-0000-0000BB5C0000}"/>
    <cellStyle name="60% - Accent5 3 4" xfId="11440" xr:uid="{00000000-0005-0000-0000-0000BC5C0000}"/>
    <cellStyle name="60% - Accent5 3 5" xfId="1340" xr:uid="{00000000-0005-0000-0000-0000BD5C0000}"/>
    <cellStyle name="60% - Accent5 4" xfId="233" xr:uid="{00000000-0005-0000-0000-0000BE5C0000}"/>
    <cellStyle name="60% - Accent5 4 2" xfId="2786" xr:uid="{00000000-0005-0000-0000-0000BF5C0000}"/>
    <cellStyle name="60% - Accent5 4 3" xfId="11441" xr:uid="{00000000-0005-0000-0000-0000C05C0000}"/>
    <cellStyle name="60% - Accent5 4 4" xfId="1341" xr:uid="{00000000-0005-0000-0000-0000C15C0000}"/>
    <cellStyle name="60% - Accent5 5" xfId="234" xr:uid="{00000000-0005-0000-0000-0000C25C0000}"/>
    <cellStyle name="60% - Accent5 5 2" xfId="11442" xr:uid="{00000000-0005-0000-0000-0000C35C0000}"/>
    <cellStyle name="60% - Accent5 5 3" xfId="1678" xr:uid="{00000000-0005-0000-0000-0000C45C0000}"/>
    <cellStyle name="60% - Accent5 6" xfId="235" xr:uid="{00000000-0005-0000-0000-0000C55C0000}"/>
    <cellStyle name="60% - Accent5 6 2" xfId="11443" xr:uid="{00000000-0005-0000-0000-0000C65C0000}"/>
    <cellStyle name="60% - Accent5 6 3" xfId="1855" xr:uid="{00000000-0005-0000-0000-0000C75C0000}"/>
    <cellStyle name="60% - Accent5 7" xfId="236" xr:uid="{00000000-0005-0000-0000-0000C85C0000}"/>
    <cellStyle name="60% - Accent5 8" xfId="237" xr:uid="{00000000-0005-0000-0000-0000C95C0000}"/>
    <cellStyle name="60% - Accent5 9" xfId="238" xr:uid="{00000000-0005-0000-0000-0000CA5C0000}"/>
    <cellStyle name="60% - Accent6" xfId="963" builtinId="52" customBuiltin="1"/>
    <cellStyle name="60% - Accent6 10" xfId="239" xr:uid="{00000000-0005-0000-0000-0000CC5C0000}"/>
    <cellStyle name="60% - Accent6 11" xfId="240" xr:uid="{00000000-0005-0000-0000-0000CD5C0000}"/>
    <cellStyle name="60% - Accent6 12" xfId="241" xr:uid="{00000000-0005-0000-0000-0000CE5C0000}"/>
    <cellStyle name="60% - Accent6 13" xfId="242" xr:uid="{00000000-0005-0000-0000-0000CF5C0000}"/>
    <cellStyle name="60% - Accent6 14" xfId="243" xr:uid="{00000000-0005-0000-0000-0000D05C0000}"/>
    <cellStyle name="60% - Accent6 15" xfId="244" xr:uid="{00000000-0005-0000-0000-0000D15C0000}"/>
    <cellStyle name="60% - Accent6 16" xfId="687" xr:uid="{00000000-0005-0000-0000-0000D25C0000}"/>
    <cellStyle name="60% - Accent6 2" xfId="245" xr:uid="{00000000-0005-0000-0000-0000D35C0000}"/>
    <cellStyle name="60% - Accent6 2 2" xfId="739" xr:uid="{00000000-0005-0000-0000-0000D45C0000}"/>
    <cellStyle name="60% - Accent6 2 2 2" xfId="1761" xr:uid="{00000000-0005-0000-0000-0000D55C0000}"/>
    <cellStyle name="60% - Accent6 2 2 3" xfId="1343" xr:uid="{00000000-0005-0000-0000-0000D65C0000}"/>
    <cellStyle name="60% - Accent6 2 2 4" xfId="11696" xr:uid="{00000000-0005-0000-0000-0000D75C0000}"/>
    <cellStyle name="60% - Accent6 2 2 5" xfId="1193" xr:uid="{00000000-0005-0000-0000-0000D85C0000}"/>
    <cellStyle name="60% - Accent6 2 3" xfId="1344" xr:uid="{00000000-0005-0000-0000-0000D95C0000}"/>
    <cellStyle name="60% - Accent6 2 3 2" xfId="2677" xr:uid="{00000000-0005-0000-0000-0000DA5C0000}"/>
    <cellStyle name="60% - Accent6 2 4" xfId="1743" xr:uid="{00000000-0005-0000-0000-0000DB5C0000}"/>
    <cellStyle name="60% - Accent6 2 5" xfId="1858" xr:uid="{00000000-0005-0000-0000-0000DC5C0000}"/>
    <cellStyle name="60% - Accent6 2 6" xfId="2871" xr:uid="{00000000-0005-0000-0000-0000DD5C0000}"/>
    <cellStyle name="60% - Accent6 2 7" xfId="1342" xr:uid="{00000000-0005-0000-0000-0000DE5C0000}"/>
    <cellStyle name="60% - Accent6 2 8" xfId="11444" xr:uid="{00000000-0005-0000-0000-0000DF5C0000}"/>
    <cellStyle name="60% - Accent6 3" xfId="246" xr:uid="{00000000-0005-0000-0000-0000E05C0000}"/>
    <cellStyle name="60% - Accent6 3 2" xfId="2289" xr:uid="{00000000-0005-0000-0000-0000E15C0000}"/>
    <cellStyle name="60% - Accent6 3 3" xfId="2621" xr:uid="{00000000-0005-0000-0000-0000E25C0000}"/>
    <cellStyle name="60% - Accent6 3 4" xfId="11445" xr:uid="{00000000-0005-0000-0000-0000E35C0000}"/>
    <cellStyle name="60% - Accent6 3 5" xfId="1345" xr:uid="{00000000-0005-0000-0000-0000E45C0000}"/>
    <cellStyle name="60% - Accent6 4" xfId="247" xr:uid="{00000000-0005-0000-0000-0000E55C0000}"/>
    <cellStyle name="60% - Accent6 4 2" xfId="2787" xr:uid="{00000000-0005-0000-0000-0000E65C0000}"/>
    <cellStyle name="60% - Accent6 4 3" xfId="11446" xr:uid="{00000000-0005-0000-0000-0000E75C0000}"/>
    <cellStyle name="60% - Accent6 4 4" xfId="1346" xr:uid="{00000000-0005-0000-0000-0000E85C0000}"/>
    <cellStyle name="60% - Accent6 5" xfId="248" xr:uid="{00000000-0005-0000-0000-0000E95C0000}"/>
    <cellStyle name="60% - Accent6 5 2" xfId="11447" xr:uid="{00000000-0005-0000-0000-0000EA5C0000}"/>
    <cellStyle name="60% - Accent6 5 3" xfId="1679" xr:uid="{00000000-0005-0000-0000-0000EB5C0000}"/>
    <cellStyle name="60% - Accent6 6" xfId="249" xr:uid="{00000000-0005-0000-0000-0000EC5C0000}"/>
    <cellStyle name="60% - Accent6 6 2" xfId="11448" xr:uid="{00000000-0005-0000-0000-0000ED5C0000}"/>
    <cellStyle name="60% - Accent6 6 3" xfId="1857" xr:uid="{00000000-0005-0000-0000-0000EE5C0000}"/>
    <cellStyle name="60% - Accent6 7" xfId="250" xr:uid="{00000000-0005-0000-0000-0000EF5C0000}"/>
    <cellStyle name="60% - Accent6 8" xfId="251" xr:uid="{00000000-0005-0000-0000-0000F05C0000}"/>
    <cellStyle name="60% - Accent6 9" xfId="252" xr:uid="{00000000-0005-0000-0000-0000F15C0000}"/>
    <cellStyle name="Accent1" xfId="940" builtinId="29" customBuiltin="1"/>
    <cellStyle name="Accent1 10" xfId="253" xr:uid="{00000000-0005-0000-0000-0000F35C0000}"/>
    <cellStyle name="Accent1 11" xfId="254" xr:uid="{00000000-0005-0000-0000-0000F45C0000}"/>
    <cellStyle name="Accent1 12" xfId="255" xr:uid="{00000000-0005-0000-0000-0000F55C0000}"/>
    <cellStyle name="Accent1 13" xfId="256" xr:uid="{00000000-0005-0000-0000-0000F65C0000}"/>
    <cellStyle name="Accent1 14" xfId="257" xr:uid="{00000000-0005-0000-0000-0000F75C0000}"/>
    <cellStyle name="Accent1 15" xfId="258" xr:uid="{00000000-0005-0000-0000-0000F85C0000}"/>
    <cellStyle name="Accent1 16" xfId="688" xr:uid="{00000000-0005-0000-0000-0000F95C0000}"/>
    <cellStyle name="Accent1 2" xfId="259" xr:uid="{00000000-0005-0000-0000-0000FA5C0000}"/>
    <cellStyle name="Accent1 2 2" xfId="716" xr:uid="{00000000-0005-0000-0000-0000FB5C0000}"/>
    <cellStyle name="Accent1 2 2 2" xfId="1762" xr:uid="{00000000-0005-0000-0000-0000FC5C0000}"/>
    <cellStyle name="Accent1 2 2 3" xfId="1348" xr:uid="{00000000-0005-0000-0000-0000FD5C0000}"/>
    <cellStyle name="Accent1 2 2 4" xfId="11673" xr:uid="{00000000-0005-0000-0000-0000FE5C0000}"/>
    <cellStyle name="Accent1 2 2 5" xfId="1195" xr:uid="{00000000-0005-0000-0000-0000FF5C0000}"/>
    <cellStyle name="Accent1 2 3" xfId="1349" xr:uid="{00000000-0005-0000-0000-0000005D0000}"/>
    <cellStyle name="Accent1 2 3 2" xfId="2666" xr:uid="{00000000-0005-0000-0000-0000015D0000}"/>
    <cellStyle name="Accent1 2 4" xfId="1720" xr:uid="{00000000-0005-0000-0000-0000025D0000}"/>
    <cellStyle name="Accent1 2 5" xfId="1860" xr:uid="{00000000-0005-0000-0000-0000035D0000}"/>
    <cellStyle name="Accent1 2 6" xfId="2585" xr:uid="{00000000-0005-0000-0000-0000045D0000}"/>
    <cellStyle name="Accent1 2 7" xfId="2872" xr:uid="{00000000-0005-0000-0000-0000055D0000}"/>
    <cellStyle name="Accent1 2 8" xfId="1347" xr:uid="{00000000-0005-0000-0000-0000065D0000}"/>
    <cellStyle name="Accent1 2 9" xfId="11449" xr:uid="{00000000-0005-0000-0000-0000075D0000}"/>
    <cellStyle name="Accent1 3" xfId="260" xr:uid="{00000000-0005-0000-0000-0000085D0000}"/>
    <cellStyle name="Accent1 3 2" xfId="2290" xr:uid="{00000000-0005-0000-0000-0000095D0000}"/>
    <cellStyle name="Accent1 3 3" xfId="2622" xr:uid="{00000000-0005-0000-0000-00000A5D0000}"/>
    <cellStyle name="Accent1 3 4" xfId="11450" xr:uid="{00000000-0005-0000-0000-00000B5D0000}"/>
    <cellStyle name="Accent1 3 5" xfId="1350" xr:uid="{00000000-0005-0000-0000-00000C5D0000}"/>
    <cellStyle name="Accent1 4" xfId="261" xr:uid="{00000000-0005-0000-0000-00000D5D0000}"/>
    <cellStyle name="Accent1 4 2" xfId="2788" xr:uid="{00000000-0005-0000-0000-00000E5D0000}"/>
    <cellStyle name="Accent1 4 3" xfId="11451" xr:uid="{00000000-0005-0000-0000-00000F5D0000}"/>
    <cellStyle name="Accent1 4 4" xfId="1351" xr:uid="{00000000-0005-0000-0000-0000105D0000}"/>
    <cellStyle name="Accent1 5" xfId="262" xr:uid="{00000000-0005-0000-0000-0000115D0000}"/>
    <cellStyle name="Accent1 5 2" xfId="11452" xr:uid="{00000000-0005-0000-0000-0000125D0000}"/>
    <cellStyle name="Accent1 5 3" xfId="1680" xr:uid="{00000000-0005-0000-0000-0000135D0000}"/>
    <cellStyle name="Accent1 6" xfId="263" xr:uid="{00000000-0005-0000-0000-0000145D0000}"/>
    <cellStyle name="Accent1 6 2" xfId="11453" xr:uid="{00000000-0005-0000-0000-0000155D0000}"/>
    <cellStyle name="Accent1 6 3" xfId="1859" xr:uid="{00000000-0005-0000-0000-0000165D0000}"/>
    <cellStyle name="Accent1 7" xfId="264" xr:uid="{00000000-0005-0000-0000-0000175D0000}"/>
    <cellStyle name="Accent1 8" xfId="265" xr:uid="{00000000-0005-0000-0000-0000185D0000}"/>
    <cellStyle name="Accent1 9" xfId="266" xr:uid="{00000000-0005-0000-0000-0000195D0000}"/>
    <cellStyle name="Accent2" xfId="944" builtinId="33" customBuiltin="1"/>
    <cellStyle name="Accent2 10" xfId="267" xr:uid="{00000000-0005-0000-0000-00001B5D0000}"/>
    <cellStyle name="Accent2 11" xfId="268" xr:uid="{00000000-0005-0000-0000-00001C5D0000}"/>
    <cellStyle name="Accent2 12" xfId="269" xr:uid="{00000000-0005-0000-0000-00001D5D0000}"/>
    <cellStyle name="Accent2 13" xfId="270" xr:uid="{00000000-0005-0000-0000-00001E5D0000}"/>
    <cellStyle name="Accent2 14" xfId="271" xr:uid="{00000000-0005-0000-0000-00001F5D0000}"/>
    <cellStyle name="Accent2 15" xfId="272" xr:uid="{00000000-0005-0000-0000-0000205D0000}"/>
    <cellStyle name="Accent2 16" xfId="689" xr:uid="{00000000-0005-0000-0000-0000215D0000}"/>
    <cellStyle name="Accent2 2" xfId="273" xr:uid="{00000000-0005-0000-0000-0000225D0000}"/>
    <cellStyle name="Accent2 2 2" xfId="720" xr:uid="{00000000-0005-0000-0000-0000235D0000}"/>
    <cellStyle name="Accent2 2 2 2" xfId="1763" xr:uid="{00000000-0005-0000-0000-0000245D0000}"/>
    <cellStyle name="Accent2 2 2 3" xfId="1353" xr:uid="{00000000-0005-0000-0000-0000255D0000}"/>
    <cellStyle name="Accent2 2 2 4" xfId="11677" xr:uid="{00000000-0005-0000-0000-0000265D0000}"/>
    <cellStyle name="Accent2 2 2 5" xfId="1197" xr:uid="{00000000-0005-0000-0000-0000275D0000}"/>
    <cellStyle name="Accent2 2 3" xfId="1354" xr:uid="{00000000-0005-0000-0000-0000285D0000}"/>
    <cellStyle name="Accent2 2 3 2" xfId="2668" xr:uid="{00000000-0005-0000-0000-0000295D0000}"/>
    <cellStyle name="Accent2 2 4" xfId="1724" xr:uid="{00000000-0005-0000-0000-00002A5D0000}"/>
    <cellStyle name="Accent2 2 5" xfId="1862" xr:uid="{00000000-0005-0000-0000-00002B5D0000}"/>
    <cellStyle name="Accent2 2 6" xfId="2586" xr:uid="{00000000-0005-0000-0000-00002C5D0000}"/>
    <cellStyle name="Accent2 2 7" xfId="2873" xr:uid="{00000000-0005-0000-0000-00002D5D0000}"/>
    <cellStyle name="Accent2 2 8" xfId="1352" xr:uid="{00000000-0005-0000-0000-00002E5D0000}"/>
    <cellStyle name="Accent2 2 9" xfId="11454" xr:uid="{00000000-0005-0000-0000-00002F5D0000}"/>
    <cellStyle name="Accent2 3" xfId="274" xr:uid="{00000000-0005-0000-0000-0000305D0000}"/>
    <cellStyle name="Accent2 3 2" xfId="2291" xr:uid="{00000000-0005-0000-0000-0000315D0000}"/>
    <cellStyle name="Accent2 3 3" xfId="2623" xr:uid="{00000000-0005-0000-0000-0000325D0000}"/>
    <cellStyle name="Accent2 3 4" xfId="11455" xr:uid="{00000000-0005-0000-0000-0000335D0000}"/>
    <cellStyle name="Accent2 3 5" xfId="1355" xr:uid="{00000000-0005-0000-0000-0000345D0000}"/>
    <cellStyle name="Accent2 4" xfId="275" xr:uid="{00000000-0005-0000-0000-0000355D0000}"/>
    <cellStyle name="Accent2 4 2" xfId="2789" xr:uid="{00000000-0005-0000-0000-0000365D0000}"/>
    <cellStyle name="Accent2 4 3" xfId="11456" xr:uid="{00000000-0005-0000-0000-0000375D0000}"/>
    <cellStyle name="Accent2 4 4" xfId="1356" xr:uid="{00000000-0005-0000-0000-0000385D0000}"/>
    <cellStyle name="Accent2 5" xfId="276" xr:uid="{00000000-0005-0000-0000-0000395D0000}"/>
    <cellStyle name="Accent2 5 2" xfId="11457" xr:uid="{00000000-0005-0000-0000-00003A5D0000}"/>
    <cellStyle name="Accent2 5 3" xfId="1681" xr:uid="{00000000-0005-0000-0000-00003B5D0000}"/>
    <cellStyle name="Accent2 6" xfId="277" xr:uid="{00000000-0005-0000-0000-00003C5D0000}"/>
    <cellStyle name="Accent2 6 2" xfId="11458" xr:uid="{00000000-0005-0000-0000-00003D5D0000}"/>
    <cellStyle name="Accent2 6 3" xfId="1861" xr:uid="{00000000-0005-0000-0000-00003E5D0000}"/>
    <cellStyle name="Accent2 7" xfId="278" xr:uid="{00000000-0005-0000-0000-00003F5D0000}"/>
    <cellStyle name="Accent2 8" xfId="279" xr:uid="{00000000-0005-0000-0000-0000405D0000}"/>
    <cellStyle name="Accent2 9" xfId="280" xr:uid="{00000000-0005-0000-0000-0000415D0000}"/>
    <cellStyle name="Accent3" xfId="948" builtinId="37" customBuiltin="1"/>
    <cellStyle name="Accent3 10" xfId="281" xr:uid="{00000000-0005-0000-0000-0000435D0000}"/>
    <cellStyle name="Accent3 11" xfId="282" xr:uid="{00000000-0005-0000-0000-0000445D0000}"/>
    <cellStyle name="Accent3 12" xfId="283" xr:uid="{00000000-0005-0000-0000-0000455D0000}"/>
    <cellStyle name="Accent3 13" xfId="284" xr:uid="{00000000-0005-0000-0000-0000465D0000}"/>
    <cellStyle name="Accent3 14" xfId="285" xr:uid="{00000000-0005-0000-0000-0000475D0000}"/>
    <cellStyle name="Accent3 15" xfId="286" xr:uid="{00000000-0005-0000-0000-0000485D0000}"/>
    <cellStyle name="Accent3 16" xfId="690" xr:uid="{00000000-0005-0000-0000-0000495D0000}"/>
    <cellStyle name="Accent3 2" xfId="287" xr:uid="{00000000-0005-0000-0000-00004A5D0000}"/>
    <cellStyle name="Accent3 2 2" xfId="724" xr:uid="{00000000-0005-0000-0000-00004B5D0000}"/>
    <cellStyle name="Accent3 2 2 2" xfId="1764" xr:uid="{00000000-0005-0000-0000-00004C5D0000}"/>
    <cellStyle name="Accent3 2 2 3" xfId="1358" xr:uid="{00000000-0005-0000-0000-00004D5D0000}"/>
    <cellStyle name="Accent3 2 2 4" xfId="11681" xr:uid="{00000000-0005-0000-0000-00004E5D0000}"/>
    <cellStyle name="Accent3 2 2 5" xfId="1199" xr:uid="{00000000-0005-0000-0000-00004F5D0000}"/>
    <cellStyle name="Accent3 2 3" xfId="1359" xr:uid="{00000000-0005-0000-0000-0000505D0000}"/>
    <cellStyle name="Accent3 2 3 2" xfId="2670" xr:uid="{00000000-0005-0000-0000-0000515D0000}"/>
    <cellStyle name="Accent3 2 4" xfId="1728" xr:uid="{00000000-0005-0000-0000-0000525D0000}"/>
    <cellStyle name="Accent3 2 5" xfId="1864" xr:uid="{00000000-0005-0000-0000-0000535D0000}"/>
    <cellStyle name="Accent3 2 6" xfId="2587" xr:uid="{00000000-0005-0000-0000-0000545D0000}"/>
    <cellStyle name="Accent3 2 7" xfId="2874" xr:uid="{00000000-0005-0000-0000-0000555D0000}"/>
    <cellStyle name="Accent3 2 8" xfId="1357" xr:uid="{00000000-0005-0000-0000-0000565D0000}"/>
    <cellStyle name="Accent3 2 9" xfId="11459" xr:uid="{00000000-0005-0000-0000-0000575D0000}"/>
    <cellStyle name="Accent3 3" xfId="288" xr:uid="{00000000-0005-0000-0000-0000585D0000}"/>
    <cellStyle name="Accent3 3 2" xfId="2292" xr:uid="{00000000-0005-0000-0000-0000595D0000}"/>
    <cellStyle name="Accent3 3 3" xfId="2624" xr:uid="{00000000-0005-0000-0000-00005A5D0000}"/>
    <cellStyle name="Accent3 3 4" xfId="11460" xr:uid="{00000000-0005-0000-0000-00005B5D0000}"/>
    <cellStyle name="Accent3 3 5" xfId="1360" xr:uid="{00000000-0005-0000-0000-00005C5D0000}"/>
    <cellStyle name="Accent3 4" xfId="289" xr:uid="{00000000-0005-0000-0000-00005D5D0000}"/>
    <cellStyle name="Accent3 4 2" xfId="2790" xr:uid="{00000000-0005-0000-0000-00005E5D0000}"/>
    <cellStyle name="Accent3 4 3" xfId="11461" xr:uid="{00000000-0005-0000-0000-00005F5D0000}"/>
    <cellStyle name="Accent3 4 4" xfId="1361" xr:uid="{00000000-0005-0000-0000-0000605D0000}"/>
    <cellStyle name="Accent3 5" xfId="290" xr:uid="{00000000-0005-0000-0000-0000615D0000}"/>
    <cellStyle name="Accent3 5 2" xfId="11462" xr:uid="{00000000-0005-0000-0000-0000625D0000}"/>
    <cellStyle name="Accent3 5 3" xfId="1682" xr:uid="{00000000-0005-0000-0000-0000635D0000}"/>
    <cellStyle name="Accent3 6" xfId="291" xr:uid="{00000000-0005-0000-0000-0000645D0000}"/>
    <cellStyle name="Accent3 6 2" xfId="11463" xr:uid="{00000000-0005-0000-0000-0000655D0000}"/>
    <cellStyle name="Accent3 6 3" xfId="1863" xr:uid="{00000000-0005-0000-0000-0000665D0000}"/>
    <cellStyle name="Accent3 7" xfId="292" xr:uid="{00000000-0005-0000-0000-0000675D0000}"/>
    <cellStyle name="Accent3 8" xfId="293" xr:uid="{00000000-0005-0000-0000-0000685D0000}"/>
    <cellStyle name="Accent3 9" xfId="294" xr:uid="{00000000-0005-0000-0000-0000695D0000}"/>
    <cellStyle name="Accent4" xfId="952" builtinId="41" customBuiltin="1"/>
    <cellStyle name="Accent4 10" xfId="295" xr:uid="{00000000-0005-0000-0000-00006B5D0000}"/>
    <cellStyle name="Accent4 11" xfId="296" xr:uid="{00000000-0005-0000-0000-00006C5D0000}"/>
    <cellStyle name="Accent4 12" xfId="297" xr:uid="{00000000-0005-0000-0000-00006D5D0000}"/>
    <cellStyle name="Accent4 13" xfId="298" xr:uid="{00000000-0005-0000-0000-00006E5D0000}"/>
    <cellStyle name="Accent4 14" xfId="299" xr:uid="{00000000-0005-0000-0000-00006F5D0000}"/>
    <cellStyle name="Accent4 15" xfId="300" xr:uid="{00000000-0005-0000-0000-0000705D0000}"/>
    <cellStyle name="Accent4 16" xfId="796" xr:uid="{00000000-0005-0000-0000-0000715D0000}"/>
    <cellStyle name="Accent4 2" xfId="301" xr:uid="{00000000-0005-0000-0000-0000725D0000}"/>
    <cellStyle name="Accent4 2 2" xfId="728" xr:uid="{00000000-0005-0000-0000-0000735D0000}"/>
    <cellStyle name="Accent4 2 2 2" xfId="1765" xr:uid="{00000000-0005-0000-0000-0000745D0000}"/>
    <cellStyle name="Accent4 2 2 3" xfId="1363" xr:uid="{00000000-0005-0000-0000-0000755D0000}"/>
    <cellStyle name="Accent4 2 2 4" xfId="11685" xr:uid="{00000000-0005-0000-0000-0000765D0000}"/>
    <cellStyle name="Accent4 2 2 5" xfId="1201" xr:uid="{00000000-0005-0000-0000-0000775D0000}"/>
    <cellStyle name="Accent4 2 3" xfId="1364" xr:uid="{00000000-0005-0000-0000-0000785D0000}"/>
    <cellStyle name="Accent4 2 3 2" xfId="2672" xr:uid="{00000000-0005-0000-0000-0000795D0000}"/>
    <cellStyle name="Accent4 2 4" xfId="1732" xr:uid="{00000000-0005-0000-0000-00007A5D0000}"/>
    <cellStyle name="Accent4 2 5" xfId="1866" xr:uid="{00000000-0005-0000-0000-00007B5D0000}"/>
    <cellStyle name="Accent4 2 6" xfId="2588" xr:uid="{00000000-0005-0000-0000-00007C5D0000}"/>
    <cellStyle name="Accent4 2 7" xfId="2875" xr:uid="{00000000-0005-0000-0000-00007D5D0000}"/>
    <cellStyle name="Accent4 2 8" xfId="1362" xr:uid="{00000000-0005-0000-0000-00007E5D0000}"/>
    <cellStyle name="Accent4 2 9" xfId="11464" xr:uid="{00000000-0005-0000-0000-00007F5D0000}"/>
    <cellStyle name="Accent4 3" xfId="302" xr:uid="{00000000-0005-0000-0000-0000805D0000}"/>
    <cellStyle name="Accent4 3 2" xfId="2293" xr:uid="{00000000-0005-0000-0000-0000815D0000}"/>
    <cellStyle name="Accent4 3 3" xfId="2625" xr:uid="{00000000-0005-0000-0000-0000825D0000}"/>
    <cellStyle name="Accent4 3 4" xfId="11465" xr:uid="{00000000-0005-0000-0000-0000835D0000}"/>
    <cellStyle name="Accent4 3 5" xfId="1365" xr:uid="{00000000-0005-0000-0000-0000845D0000}"/>
    <cellStyle name="Accent4 4" xfId="303" xr:uid="{00000000-0005-0000-0000-0000855D0000}"/>
    <cellStyle name="Accent4 4 2" xfId="2791" xr:uid="{00000000-0005-0000-0000-0000865D0000}"/>
    <cellStyle name="Accent4 4 3" xfId="11466" xr:uid="{00000000-0005-0000-0000-0000875D0000}"/>
    <cellStyle name="Accent4 4 4" xfId="1366" xr:uid="{00000000-0005-0000-0000-0000885D0000}"/>
    <cellStyle name="Accent4 5" xfId="304" xr:uid="{00000000-0005-0000-0000-0000895D0000}"/>
    <cellStyle name="Accent4 5 2" xfId="11467" xr:uid="{00000000-0005-0000-0000-00008A5D0000}"/>
    <cellStyle name="Accent4 5 3" xfId="1683" xr:uid="{00000000-0005-0000-0000-00008B5D0000}"/>
    <cellStyle name="Accent4 6" xfId="305" xr:uid="{00000000-0005-0000-0000-00008C5D0000}"/>
    <cellStyle name="Accent4 6 2" xfId="11468" xr:uid="{00000000-0005-0000-0000-00008D5D0000}"/>
    <cellStyle name="Accent4 6 3" xfId="1865" xr:uid="{00000000-0005-0000-0000-00008E5D0000}"/>
    <cellStyle name="Accent4 7" xfId="306" xr:uid="{00000000-0005-0000-0000-00008F5D0000}"/>
    <cellStyle name="Accent4 8" xfId="307" xr:uid="{00000000-0005-0000-0000-0000905D0000}"/>
    <cellStyle name="Accent4 9" xfId="308" xr:uid="{00000000-0005-0000-0000-0000915D0000}"/>
    <cellStyle name="Accent5" xfId="956" builtinId="45" customBuiltin="1"/>
    <cellStyle name="Accent5 10" xfId="309" xr:uid="{00000000-0005-0000-0000-0000935D0000}"/>
    <cellStyle name="Accent5 11" xfId="310" xr:uid="{00000000-0005-0000-0000-0000945D0000}"/>
    <cellStyle name="Accent5 12" xfId="311" xr:uid="{00000000-0005-0000-0000-0000955D0000}"/>
    <cellStyle name="Accent5 13" xfId="312" xr:uid="{00000000-0005-0000-0000-0000965D0000}"/>
    <cellStyle name="Accent5 14" xfId="313" xr:uid="{00000000-0005-0000-0000-0000975D0000}"/>
    <cellStyle name="Accent5 15" xfId="314" xr:uid="{00000000-0005-0000-0000-0000985D0000}"/>
    <cellStyle name="Accent5 16" xfId="791" xr:uid="{00000000-0005-0000-0000-0000995D0000}"/>
    <cellStyle name="Accent5 2" xfId="315" xr:uid="{00000000-0005-0000-0000-00009A5D0000}"/>
    <cellStyle name="Accent5 2 2" xfId="732" xr:uid="{00000000-0005-0000-0000-00009B5D0000}"/>
    <cellStyle name="Accent5 2 2 2" xfId="1766" xr:uid="{00000000-0005-0000-0000-00009C5D0000}"/>
    <cellStyle name="Accent5 2 2 3" xfId="1368" xr:uid="{00000000-0005-0000-0000-00009D5D0000}"/>
    <cellStyle name="Accent5 2 2 4" xfId="11689" xr:uid="{00000000-0005-0000-0000-00009E5D0000}"/>
    <cellStyle name="Accent5 2 2 5" xfId="1203" xr:uid="{00000000-0005-0000-0000-00009F5D0000}"/>
    <cellStyle name="Accent5 2 3" xfId="1369" xr:uid="{00000000-0005-0000-0000-0000A05D0000}"/>
    <cellStyle name="Accent5 2 3 2" xfId="2674" xr:uid="{00000000-0005-0000-0000-0000A15D0000}"/>
    <cellStyle name="Accent5 2 4" xfId="1736" xr:uid="{00000000-0005-0000-0000-0000A25D0000}"/>
    <cellStyle name="Accent5 2 5" xfId="1868" xr:uid="{00000000-0005-0000-0000-0000A35D0000}"/>
    <cellStyle name="Accent5 2 6" xfId="2876" xr:uid="{00000000-0005-0000-0000-0000A45D0000}"/>
    <cellStyle name="Accent5 2 7" xfId="1367" xr:uid="{00000000-0005-0000-0000-0000A55D0000}"/>
    <cellStyle name="Accent5 2 8" xfId="11469" xr:uid="{00000000-0005-0000-0000-0000A65D0000}"/>
    <cellStyle name="Accent5 3" xfId="316" xr:uid="{00000000-0005-0000-0000-0000A75D0000}"/>
    <cellStyle name="Accent5 3 2" xfId="2294" xr:uid="{00000000-0005-0000-0000-0000A85D0000}"/>
    <cellStyle name="Accent5 3 3" xfId="2626" xr:uid="{00000000-0005-0000-0000-0000A95D0000}"/>
    <cellStyle name="Accent5 3 4" xfId="11470" xr:uid="{00000000-0005-0000-0000-0000AA5D0000}"/>
    <cellStyle name="Accent5 3 5" xfId="1370" xr:uid="{00000000-0005-0000-0000-0000AB5D0000}"/>
    <cellStyle name="Accent5 4" xfId="317" xr:uid="{00000000-0005-0000-0000-0000AC5D0000}"/>
    <cellStyle name="Accent5 4 2" xfId="2792" xr:uid="{00000000-0005-0000-0000-0000AD5D0000}"/>
    <cellStyle name="Accent5 4 3" xfId="11471" xr:uid="{00000000-0005-0000-0000-0000AE5D0000}"/>
    <cellStyle name="Accent5 4 4" xfId="1371" xr:uid="{00000000-0005-0000-0000-0000AF5D0000}"/>
    <cellStyle name="Accent5 5" xfId="318" xr:uid="{00000000-0005-0000-0000-0000B05D0000}"/>
    <cellStyle name="Accent5 5 2" xfId="11472" xr:uid="{00000000-0005-0000-0000-0000B15D0000}"/>
    <cellStyle name="Accent5 5 3" xfId="1684" xr:uid="{00000000-0005-0000-0000-0000B25D0000}"/>
    <cellStyle name="Accent5 6" xfId="319" xr:uid="{00000000-0005-0000-0000-0000B35D0000}"/>
    <cellStyle name="Accent5 6 2" xfId="11473" xr:uid="{00000000-0005-0000-0000-0000B45D0000}"/>
    <cellStyle name="Accent5 6 3" xfId="1867" xr:uid="{00000000-0005-0000-0000-0000B55D0000}"/>
    <cellStyle name="Accent5 7" xfId="320" xr:uid="{00000000-0005-0000-0000-0000B65D0000}"/>
    <cellStyle name="Accent5 8" xfId="321" xr:uid="{00000000-0005-0000-0000-0000B75D0000}"/>
    <cellStyle name="Accent5 9" xfId="322" xr:uid="{00000000-0005-0000-0000-0000B85D0000}"/>
    <cellStyle name="Accent6" xfId="960" builtinId="49" customBuiltin="1"/>
    <cellStyle name="Accent6 10" xfId="323" xr:uid="{00000000-0005-0000-0000-0000BA5D0000}"/>
    <cellStyle name="Accent6 11" xfId="324" xr:uid="{00000000-0005-0000-0000-0000BB5D0000}"/>
    <cellStyle name="Accent6 12" xfId="325" xr:uid="{00000000-0005-0000-0000-0000BC5D0000}"/>
    <cellStyle name="Accent6 13" xfId="326" xr:uid="{00000000-0005-0000-0000-0000BD5D0000}"/>
    <cellStyle name="Accent6 14" xfId="327" xr:uid="{00000000-0005-0000-0000-0000BE5D0000}"/>
    <cellStyle name="Accent6 15" xfId="328" xr:uid="{00000000-0005-0000-0000-0000BF5D0000}"/>
    <cellStyle name="Accent6 16" xfId="795" xr:uid="{00000000-0005-0000-0000-0000C05D0000}"/>
    <cellStyle name="Accent6 2" xfId="329" xr:uid="{00000000-0005-0000-0000-0000C15D0000}"/>
    <cellStyle name="Accent6 2 2" xfId="736" xr:uid="{00000000-0005-0000-0000-0000C25D0000}"/>
    <cellStyle name="Accent6 2 2 2" xfId="1767" xr:uid="{00000000-0005-0000-0000-0000C35D0000}"/>
    <cellStyle name="Accent6 2 2 3" xfId="1373" xr:uid="{00000000-0005-0000-0000-0000C45D0000}"/>
    <cellStyle name="Accent6 2 2 4" xfId="11693" xr:uid="{00000000-0005-0000-0000-0000C55D0000}"/>
    <cellStyle name="Accent6 2 2 5" xfId="1205" xr:uid="{00000000-0005-0000-0000-0000C65D0000}"/>
    <cellStyle name="Accent6 2 3" xfId="1374" xr:uid="{00000000-0005-0000-0000-0000C75D0000}"/>
    <cellStyle name="Accent6 2 3 2" xfId="2676" xr:uid="{00000000-0005-0000-0000-0000C85D0000}"/>
    <cellStyle name="Accent6 2 4" xfId="1740" xr:uid="{00000000-0005-0000-0000-0000C95D0000}"/>
    <cellStyle name="Accent6 2 5" xfId="1870" xr:uid="{00000000-0005-0000-0000-0000CA5D0000}"/>
    <cellStyle name="Accent6 2 6" xfId="2589" xr:uid="{00000000-0005-0000-0000-0000CB5D0000}"/>
    <cellStyle name="Accent6 2 7" xfId="2877" xr:uid="{00000000-0005-0000-0000-0000CC5D0000}"/>
    <cellStyle name="Accent6 2 8" xfId="1372" xr:uid="{00000000-0005-0000-0000-0000CD5D0000}"/>
    <cellStyle name="Accent6 2 9" xfId="11474" xr:uid="{00000000-0005-0000-0000-0000CE5D0000}"/>
    <cellStyle name="Accent6 3" xfId="330" xr:uid="{00000000-0005-0000-0000-0000CF5D0000}"/>
    <cellStyle name="Accent6 3 2" xfId="2295" xr:uid="{00000000-0005-0000-0000-0000D05D0000}"/>
    <cellStyle name="Accent6 3 3" xfId="2627" xr:uid="{00000000-0005-0000-0000-0000D15D0000}"/>
    <cellStyle name="Accent6 3 4" xfId="11475" xr:uid="{00000000-0005-0000-0000-0000D25D0000}"/>
    <cellStyle name="Accent6 3 5" xfId="1375" xr:uid="{00000000-0005-0000-0000-0000D35D0000}"/>
    <cellStyle name="Accent6 4" xfId="331" xr:uid="{00000000-0005-0000-0000-0000D45D0000}"/>
    <cellStyle name="Accent6 4 2" xfId="2793" xr:uid="{00000000-0005-0000-0000-0000D55D0000}"/>
    <cellStyle name="Accent6 4 3" xfId="11476" xr:uid="{00000000-0005-0000-0000-0000D65D0000}"/>
    <cellStyle name="Accent6 4 4" xfId="1376" xr:uid="{00000000-0005-0000-0000-0000D75D0000}"/>
    <cellStyle name="Accent6 5" xfId="332" xr:uid="{00000000-0005-0000-0000-0000D85D0000}"/>
    <cellStyle name="Accent6 5 2" xfId="11477" xr:uid="{00000000-0005-0000-0000-0000D95D0000}"/>
    <cellStyle name="Accent6 5 3" xfId="1685" xr:uid="{00000000-0005-0000-0000-0000DA5D0000}"/>
    <cellStyle name="Accent6 6" xfId="333" xr:uid="{00000000-0005-0000-0000-0000DB5D0000}"/>
    <cellStyle name="Accent6 6 2" xfId="11478" xr:uid="{00000000-0005-0000-0000-0000DC5D0000}"/>
    <cellStyle name="Accent6 6 3" xfId="1869" xr:uid="{00000000-0005-0000-0000-0000DD5D0000}"/>
    <cellStyle name="Accent6 7" xfId="334" xr:uid="{00000000-0005-0000-0000-0000DE5D0000}"/>
    <cellStyle name="Accent6 8" xfId="335" xr:uid="{00000000-0005-0000-0000-0000DF5D0000}"/>
    <cellStyle name="Accent6 9" xfId="336" xr:uid="{00000000-0005-0000-0000-0000E05D0000}"/>
    <cellStyle name="Bad" xfId="930" builtinId="27" customBuiltin="1"/>
    <cellStyle name="Bad 10" xfId="337" xr:uid="{00000000-0005-0000-0000-0000E25D0000}"/>
    <cellStyle name="Bad 11" xfId="338" xr:uid="{00000000-0005-0000-0000-0000E35D0000}"/>
    <cellStyle name="Bad 12" xfId="339" xr:uid="{00000000-0005-0000-0000-0000E45D0000}"/>
    <cellStyle name="Bad 13" xfId="340" xr:uid="{00000000-0005-0000-0000-0000E55D0000}"/>
    <cellStyle name="Bad 14" xfId="341" xr:uid="{00000000-0005-0000-0000-0000E65D0000}"/>
    <cellStyle name="Bad 15" xfId="342" xr:uid="{00000000-0005-0000-0000-0000E75D0000}"/>
    <cellStyle name="Bad 16" xfId="780" xr:uid="{00000000-0005-0000-0000-0000E85D0000}"/>
    <cellStyle name="Bad 2" xfId="343" xr:uid="{00000000-0005-0000-0000-0000E95D0000}"/>
    <cellStyle name="Bad 2 2" xfId="705" xr:uid="{00000000-0005-0000-0000-0000EA5D0000}"/>
    <cellStyle name="Bad 2 2 2" xfId="1768" xr:uid="{00000000-0005-0000-0000-0000EB5D0000}"/>
    <cellStyle name="Bad 2 2 3" xfId="1378" xr:uid="{00000000-0005-0000-0000-0000EC5D0000}"/>
    <cellStyle name="Bad 2 2 4" xfId="11662" xr:uid="{00000000-0005-0000-0000-0000ED5D0000}"/>
    <cellStyle name="Bad 2 2 5" xfId="1207" xr:uid="{00000000-0005-0000-0000-0000EE5D0000}"/>
    <cellStyle name="Bad 2 3" xfId="1379" xr:uid="{00000000-0005-0000-0000-0000EF5D0000}"/>
    <cellStyle name="Bad 2 3 2" xfId="2656" xr:uid="{00000000-0005-0000-0000-0000F05D0000}"/>
    <cellStyle name="Bad 2 4" xfId="1709" xr:uid="{00000000-0005-0000-0000-0000F15D0000}"/>
    <cellStyle name="Bad 2 5" xfId="1872" xr:uid="{00000000-0005-0000-0000-0000F25D0000}"/>
    <cellStyle name="Bad 2 6" xfId="2590" xr:uid="{00000000-0005-0000-0000-0000F35D0000}"/>
    <cellStyle name="Bad 2 7" xfId="1377" xr:uid="{00000000-0005-0000-0000-0000F45D0000}"/>
    <cellStyle name="Bad 2 8" xfId="11479" xr:uid="{00000000-0005-0000-0000-0000F55D0000}"/>
    <cellStyle name="Bad 3" xfId="344" xr:uid="{00000000-0005-0000-0000-0000F65D0000}"/>
    <cellStyle name="Bad 3 2" xfId="2296" xr:uid="{00000000-0005-0000-0000-0000F75D0000}"/>
    <cellStyle name="Bad 3 3" xfId="2628" xr:uid="{00000000-0005-0000-0000-0000F85D0000}"/>
    <cellStyle name="Bad 3 4" xfId="11480" xr:uid="{00000000-0005-0000-0000-0000F95D0000}"/>
    <cellStyle name="Bad 3 5" xfId="1380" xr:uid="{00000000-0005-0000-0000-0000FA5D0000}"/>
    <cellStyle name="Bad 4" xfId="345" xr:uid="{00000000-0005-0000-0000-0000FB5D0000}"/>
    <cellStyle name="Bad 4 2" xfId="2794" xr:uid="{00000000-0005-0000-0000-0000FC5D0000}"/>
    <cellStyle name="Bad 4 3" xfId="11481" xr:uid="{00000000-0005-0000-0000-0000FD5D0000}"/>
    <cellStyle name="Bad 4 4" xfId="1381" xr:uid="{00000000-0005-0000-0000-0000FE5D0000}"/>
    <cellStyle name="Bad 5" xfId="346" xr:uid="{00000000-0005-0000-0000-0000FF5D0000}"/>
    <cellStyle name="Bad 5 2" xfId="11482" xr:uid="{00000000-0005-0000-0000-0000005E0000}"/>
    <cellStyle name="Bad 5 3" xfId="1686" xr:uid="{00000000-0005-0000-0000-0000015E0000}"/>
    <cellStyle name="Bad 6" xfId="347" xr:uid="{00000000-0005-0000-0000-0000025E0000}"/>
    <cellStyle name="Bad 6 2" xfId="11483" xr:uid="{00000000-0005-0000-0000-0000035E0000}"/>
    <cellStyle name="Bad 6 3" xfId="1871" xr:uid="{00000000-0005-0000-0000-0000045E0000}"/>
    <cellStyle name="Bad 7" xfId="348" xr:uid="{00000000-0005-0000-0000-0000055E0000}"/>
    <cellStyle name="Bad 8" xfId="349" xr:uid="{00000000-0005-0000-0000-0000065E0000}"/>
    <cellStyle name="Bad 9" xfId="350" xr:uid="{00000000-0005-0000-0000-0000075E0000}"/>
    <cellStyle name="Calculation" xfId="934" builtinId="22" customBuiltin="1"/>
    <cellStyle name="Calculation 10" xfId="351" xr:uid="{00000000-0005-0000-0000-0000095E0000}"/>
    <cellStyle name="Calculation 11" xfId="352" xr:uid="{00000000-0005-0000-0000-00000A5E0000}"/>
    <cellStyle name="Calculation 12" xfId="353" xr:uid="{00000000-0005-0000-0000-00000B5E0000}"/>
    <cellStyle name="Calculation 13" xfId="354" xr:uid="{00000000-0005-0000-0000-00000C5E0000}"/>
    <cellStyle name="Calculation 14" xfId="355" xr:uid="{00000000-0005-0000-0000-00000D5E0000}"/>
    <cellStyle name="Calculation 15" xfId="356" xr:uid="{00000000-0005-0000-0000-00000E5E0000}"/>
    <cellStyle name="Calculation 16" xfId="691" xr:uid="{00000000-0005-0000-0000-00000F5E0000}"/>
    <cellStyle name="Calculation 2" xfId="357" xr:uid="{00000000-0005-0000-0000-0000105E0000}"/>
    <cellStyle name="Calculation 2 2" xfId="709" xr:uid="{00000000-0005-0000-0000-0000115E0000}"/>
    <cellStyle name="Calculation 2 2 2" xfId="1769" xr:uid="{00000000-0005-0000-0000-0000125E0000}"/>
    <cellStyle name="Calculation 2 2 3" xfId="1383" xr:uid="{00000000-0005-0000-0000-0000135E0000}"/>
    <cellStyle name="Calculation 2 2 4" xfId="11666" xr:uid="{00000000-0005-0000-0000-0000145E0000}"/>
    <cellStyle name="Calculation 2 2 5" xfId="1209" xr:uid="{00000000-0005-0000-0000-0000155E0000}"/>
    <cellStyle name="Calculation 2 3" xfId="1384" xr:uid="{00000000-0005-0000-0000-0000165E0000}"/>
    <cellStyle name="Calculation 2 3 2" xfId="2660" xr:uid="{00000000-0005-0000-0000-0000175E0000}"/>
    <cellStyle name="Calculation 2 3 3" xfId="2881" xr:uid="{00000000-0005-0000-0000-0000185E0000}"/>
    <cellStyle name="Calculation 2 3 4" xfId="3464" xr:uid="{00000000-0005-0000-0000-0000195E0000}"/>
    <cellStyle name="Calculation 2 4" xfId="1713" xr:uid="{00000000-0005-0000-0000-00001A5E0000}"/>
    <cellStyle name="Calculation 2 5" xfId="1874" xr:uid="{00000000-0005-0000-0000-00001B5E0000}"/>
    <cellStyle name="Calculation 2 6" xfId="2591" xr:uid="{00000000-0005-0000-0000-00001C5E0000}"/>
    <cellStyle name="Calculation 2 7" xfId="1382" xr:uid="{00000000-0005-0000-0000-00001D5E0000}"/>
    <cellStyle name="Calculation 2 8" xfId="11484" xr:uid="{00000000-0005-0000-0000-00001E5E0000}"/>
    <cellStyle name="Calculation 3" xfId="358" xr:uid="{00000000-0005-0000-0000-00001F5E0000}"/>
    <cellStyle name="Calculation 3 2" xfId="2297" xr:uid="{00000000-0005-0000-0000-0000205E0000}"/>
    <cellStyle name="Calculation 3 3" xfId="2629" xr:uid="{00000000-0005-0000-0000-0000215E0000}"/>
    <cellStyle name="Calculation 3 4" xfId="11485" xr:uid="{00000000-0005-0000-0000-0000225E0000}"/>
    <cellStyle name="Calculation 3 5" xfId="1385" xr:uid="{00000000-0005-0000-0000-0000235E0000}"/>
    <cellStyle name="Calculation 4" xfId="359" xr:uid="{00000000-0005-0000-0000-0000245E0000}"/>
    <cellStyle name="Calculation 4 2" xfId="2795" xr:uid="{00000000-0005-0000-0000-0000255E0000}"/>
    <cellStyle name="Calculation 4 3" xfId="11486" xr:uid="{00000000-0005-0000-0000-0000265E0000}"/>
    <cellStyle name="Calculation 4 4" xfId="1386" xr:uid="{00000000-0005-0000-0000-0000275E0000}"/>
    <cellStyle name="Calculation 5" xfId="360" xr:uid="{00000000-0005-0000-0000-0000285E0000}"/>
    <cellStyle name="Calculation 5 2" xfId="11487" xr:uid="{00000000-0005-0000-0000-0000295E0000}"/>
    <cellStyle name="Calculation 5 3" xfId="1687" xr:uid="{00000000-0005-0000-0000-00002A5E0000}"/>
    <cellStyle name="Calculation 6" xfId="361" xr:uid="{00000000-0005-0000-0000-00002B5E0000}"/>
    <cellStyle name="Calculation 6 2" xfId="11488" xr:uid="{00000000-0005-0000-0000-00002C5E0000}"/>
    <cellStyle name="Calculation 6 3" xfId="1873" xr:uid="{00000000-0005-0000-0000-00002D5E0000}"/>
    <cellStyle name="Calculation 7" xfId="362" xr:uid="{00000000-0005-0000-0000-00002E5E0000}"/>
    <cellStyle name="Calculation 8" xfId="363" xr:uid="{00000000-0005-0000-0000-00002F5E0000}"/>
    <cellStyle name="Calculation 9" xfId="364" xr:uid="{00000000-0005-0000-0000-0000305E0000}"/>
    <cellStyle name="Check Cell" xfId="936" builtinId="23" customBuiltin="1"/>
    <cellStyle name="Check Cell 10" xfId="365" xr:uid="{00000000-0005-0000-0000-0000325E0000}"/>
    <cellStyle name="Check Cell 11" xfId="366" xr:uid="{00000000-0005-0000-0000-0000335E0000}"/>
    <cellStyle name="Check Cell 12" xfId="367" xr:uid="{00000000-0005-0000-0000-0000345E0000}"/>
    <cellStyle name="Check Cell 13" xfId="368" xr:uid="{00000000-0005-0000-0000-0000355E0000}"/>
    <cellStyle name="Check Cell 14" xfId="369" xr:uid="{00000000-0005-0000-0000-0000365E0000}"/>
    <cellStyle name="Check Cell 15" xfId="370" xr:uid="{00000000-0005-0000-0000-0000375E0000}"/>
    <cellStyle name="Check Cell 16" xfId="776" xr:uid="{00000000-0005-0000-0000-0000385E0000}"/>
    <cellStyle name="Check Cell 2" xfId="371" xr:uid="{00000000-0005-0000-0000-0000395E0000}"/>
    <cellStyle name="Check Cell 2 2" xfId="711" xr:uid="{00000000-0005-0000-0000-00003A5E0000}"/>
    <cellStyle name="Check Cell 2 2 2" xfId="1770" xr:uid="{00000000-0005-0000-0000-00003B5E0000}"/>
    <cellStyle name="Check Cell 2 2 3" xfId="1388" xr:uid="{00000000-0005-0000-0000-00003C5E0000}"/>
    <cellStyle name="Check Cell 2 2 4" xfId="11668" xr:uid="{00000000-0005-0000-0000-00003D5E0000}"/>
    <cellStyle name="Check Cell 2 2 5" xfId="1211" xr:uid="{00000000-0005-0000-0000-00003E5E0000}"/>
    <cellStyle name="Check Cell 2 3" xfId="1389" xr:uid="{00000000-0005-0000-0000-00003F5E0000}"/>
    <cellStyle name="Check Cell 2 3 2" xfId="2662" xr:uid="{00000000-0005-0000-0000-0000405E0000}"/>
    <cellStyle name="Check Cell 2 4" xfId="1715" xr:uid="{00000000-0005-0000-0000-0000415E0000}"/>
    <cellStyle name="Check Cell 2 5" xfId="1876" xr:uid="{00000000-0005-0000-0000-0000425E0000}"/>
    <cellStyle name="Check Cell 2 6" xfId="2592" xr:uid="{00000000-0005-0000-0000-0000435E0000}"/>
    <cellStyle name="Check Cell 2 7" xfId="1387" xr:uid="{00000000-0005-0000-0000-0000445E0000}"/>
    <cellStyle name="Check Cell 2 8" xfId="11489" xr:uid="{00000000-0005-0000-0000-0000455E0000}"/>
    <cellStyle name="Check Cell 3" xfId="372" xr:uid="{00000000-0005-0000-0000-0000465E0000}"/>
    <cellStyle name="Check Cell 3 2" xfId="2298" xr:uid="{00000000-0005-0000-0000-0000475E0000}"/>
    <cellStyle name="Check Cell 3 3" xfId="2630" xr:uid="{00000000-0005-0000-0000-0000485E0000}"/>
    <cellStyle name="Check Cell 3 4" xfId="11490" xr:uid="{00000000-0005-0000-0000-0000495E0000}"/>
    <cellStyle name="Check Cell 3 5" xfId="1390" xr:uid="{00000000-0005-0000-0000-00004A5E0000}"/>
    <cellStyle name="Check Cell 4" xfId="373" xr:uid="{00000000-0005-0000-0000-00004B5E0000}"/>
    <cellStyle name="Check Cell 4 2" xfId="2796" xr:uid="{00000000-0005-0000-0000-00004C5E0000}"/>
    <cellStyle name="Check Cell 4 3" xfId="11491" xr:uid="{00000000-0005-0000-0000-00004D5E0000}"/>
    <cellStyle name="Check Cell 4 4" xfId="1391" xr:uid="{00000000-0005-0000-0000-00004E5E0000}"/>
    <cellStyle name="Check Cell 5" xfId="374" xr:uid="{00000000-0005-0000-0000-00004F5E0000}"/>
    <cellStyle name="Check Cell 5 2" xfId="11492" xr:uid="{00000000-0005-0000-0000-0000505E0000}"/>
    <cellStyle name="Check Cell 5 3" xfId="1688" xr:uid="{00000000-0005-0000-0000-0000515E0000}"/>
    <cellStyle name="Check Cell 6" xfId="375" xr:uid="{00000000-0005-0000-0000-0000525E0000}"/>
    <cellStyle name="Check Cell 6 2" xfId="11493" xr:uid="{00000000-0005-0000-0000-0000535E0000}"/>
    <cellStyle name="Check Cell 6 3" xfId="1875" xr:uid="{00000000-0005-0000-0000-0000545E0000}"/>
    <cellStyle name="Check Cell 7" xfId="376" xr:uid="{00000000-0005-0000-0000-0000555E0000}"/>
    <cellStyle name="Check Cell 8" xfId="377" xr:uid="{00000000-0005-0000-0000-0000565E0000}"/>
    <cellStyle name="Check Cell 9" xfId="378" xr:uid="{00000000-0005-0000-0000-0000575E0000}"/>
    <cellStyle name="Comma" xfId="379" builtinId="3"/>
    <cellStyle name="Comma 10" xfId="975" xr:uid="{00000000-0005-0000-0000-0000595E0000}"/>
    <cellStyle name="Comma 10 10" xfId="12208" xr:uid="{00000000-0005-0000-0000-00005A5E0000}"/>
    <cellStyle name="Comma 10 10 2" xfId="31611" xr:uid="{00000000-0005-0000-0000-00005B5E0000}"/>
    <cellStyle name="Comma 10 11" xfId="21913" xr:uid="{00000000-0005-0000-0000-00005C5E0000}"/>
    <cellStyle name="Comma 10 2" xfId="2887" xr:uid="{00000000-0005-0000-0000-00005D5E0000}"/>
    <cellStyle name="Comma 10 2 2" xfId="5156" xr:uid="{00000000-0005-0000-0000-00005E5E0000}"/>
    <cellStyle name="Comma 10 2 2 2" xfId="9620" xr:uid="{00000000-0005-0000-0000-00005F5E0000}"/>
    <cellStyle name="Comma 10 2 2 2 2" xfId="19616" xr:uid="{00000000-0005-0000-0000-0000605E0000}"/>
    <cellStyle name="Comma 10 2 2 2 2 2" xfId="39016" xr:uid="{00000000-0005-0000-0000-0000615E0000}"/>
    <cellStyle name="Comma 10 2 2 2 3" xfId="29318" xr:uid="{00000000-0005-0000-0000-0000625E0000}"/>
    <cellStyle name="Comma 10 2 2 3" xfId="15161" xr:uid="{00000000-0005-0000-0000-0000635E0000}"/>
    <cellStyle name="Comma 10 2 2 3 2" xfId="34561" xr:uid="{00000000-0005-0000-0000-0000645E0000}"/>
    <cellStyle name="Comma 10 2 2 4" xfId="24863" xr:uid="{00000000-0005-0000-0000-0000655E0000}"/>
    <cellStyle name="Comma 10 2 3" xfId="7392" xr:uid="{00000000-0005-0000-0000-0000665E0000}"/>
    <cellStyle name="Comma 10 2 3 2" xfId="17388" xr:uid="{00000000-0005-0000-0000-0000675E0000}"/>
    <cellStyle name="Comma 10 2 3 2 2" xfId="36788" xr:uid="{00000000-0005-0000-0000-0000685E0000}"/>
    <cellStyle name="Comma 10 2 3 3" xfId="27090" xr:uid="{00000000-0005-0000-0000-0000695E0000}"/>
    <cellStyle name="Comma 10 2 4" xfId="12933" xr:uid="{00000000-0005-0000-0000-00006A5E0000}"/>
    <cellStyle name="Comma 10 2 4 2" xfId="32333" xr:uid="{00000000-0005-0000-0000-00006B5E0000}"/>
    <cellStyle name="Comma 10 2 5" xfId="22635" xr:uid="{00000000-0005-0000-0000-00006C5E0000}"/>
    <cellStyle name="Comma 10 3" xfId="3470" xr:uid="{00000000-0005-0000-0000-00006D5E0000}"/>
    <cellStyle name="Comma 10 3 2" xfId="4600" xr:uid="{00000000-0005-0000-0000-00006E5E0000}"/>
    <cellStyle name="Comma 10 3 2 2" xfId="9064" xr:uid="{00000000-0005-0000-0000-00006F5E0000}"/>
    <cellStyle name="Comma 10 3 2 2 2" xfId="19060" xr:uid="{00000000-0005-0000-0000-0000705E0000}"/>
    <cellStyle name="Comma 10 3 2 2 2 2" xfId="38460" xr:uid="{00000000-0005-0000-0000-0000715E0000}"/>
    <cellStyle name="Comma 10 3 2 2 3" xfId="28762" xr:uid="{00000000-0005-0000-0000-0000725E0000}"/>
    <cellStyle name="Comma 10 3 2 3" xfId="14605" xr:uid="{00000000-0005-0000-0000-0000735E0000}"/>
    <cellStyle name="Comma 10 3 2 3 2" xfId="34005" xr:uid="{00000000-0005-0000-0000-0000745E0000}"/>
    <cellStyle name="Comma 10 3 2 4" xfId="24307" xr:uid="{00000000-0005-0000-0000-0000755E0000}"/>
    <cellStyle name="Comma 10 3 3" xfId="7949" xr:uid="{00000000-0005-0000-0000-0000765E0000}"/>
    <cellStyle name="Comma 10 3 3 2" xfId="17945" xr:uid="{00000000-0005-0000-0000-0000775E0000}"/>
    <cellStyle name="Comma 10 3 3 2 2" xfId="37345" xr:uid="{00000000-0005-0000-0000-0000785E0000}"/>
    <cellStyle name="Comma 10 3 3 3" xfId="27647" xr:uid="{00000000-0005-0000-0000-0000795E0000}"/>
    <cellStyle name="Comma 10 3 4" xfId="13490" xr:uid="{00000000-0005-0000-0000-00007A5E0000}"/>
    <cellStyle name="Comma 10 3 4 2" xfId="32890" xr:uid="{00000000-0005-0000-0000-00007B5E0000}"/>
    <cellStyle name="Comma 10 3 5" xfId="23192" xr:uid="{00000000-0005-0000-0000-00007C5E0000}"/>
    <cellStyle name="Comma 10 4" xfId="4043" xr:uid="{00000000-0005-0000-0000-00007D5E0000}"/>
    <cellStyle name="Comma 10 4 2" xfId="8507" xr:uid="{00000000-0005-0000-0000-00007E5E0000}"/>
    <cellStyle name="Comma 10 4 2 2" xfId="18503" xr:uid="{00000000-0005-0000-0000-00007F5E0000}"/>
    <cellStyle name="Comma 10 4 2 2 2" xfId="37903" xr:uid="{00000000-0005-0000-0000-0000805E0000}"/>
    <cellStyle name="Comma 10 4 2 3" xfId="28205" xr:uid="{00000000-0005-0000-0000-0000815E0000}"/>
    <cellStyle name="Comma 10 4 3" xfId="14048" xr:uid="{00000000-0005-0000-0000-0000825E0000}"/>
    <cellStyle name="Comma 10 4 3 2" xfId="33448" xr:uid="{00000000-0005-0000-0000-0000835E0000}"/>
    <cellStyle name="Comma 10 4 4" xfId="23750" xr:uid="{00000000-0005-0000-0000-0000845E0000}"/>
    <cellStyle name="Comma 10 5" xfId="5713" xr:uid="{00000000-0005-0000-0000-0000855E0000}"/>
    <cellStyle name="Comma 10 5 2" xfId="10177" xr:uid="{00000000-0005-0000-0000-0000865E0000}"/>
    <cellStyle name="Comma 10 5 2 2" xfId="20173" xr:uid="{00000000-0005-0000-0000-0000875E0000}"/>
    <cellStyle name="Comma 10 5 2 2 2" xfId="39573" xr:uid="{00000000-0005-0000-0000-0000885E0000}"/>
    <cellStyle name="Comma 10 5 2 3" xfId="29875" xr:uid="{00000000-0005-0000-0000-0000895E0000}"/>
    <cellStyle name="Comma 10 5 3" xfId="15718" xr:uid="{00000000-0005-0000-0000-00008A5E0000}"/>
    <cellStyle name="Comma 10 5 3 2" xfId="35118" xr:uid="{00000000-0005-0000-0000-00008B5E0000}"/>
    <cellStyle name="Comma 10 5 4" xfId="25420" xr:uid="{00000000-0005-0000-0000-00008C5E0000}"/>
    <cellStyle name="Comma 10 6" xfId="6279" xr:uid="{00000000-0005-0000-0000-00008D5E0000}"/>
    <cellStyle name="Comma 10 6 2" xfId="10734" xr:uid="{00000000-0005-0000-0000-00008E5E0000}"/>
    <cellStyle name="Comma 10 6 2 2" xfId="20730" xr:uid="{00000000-0005-0000-0000-00008F5E0000}"/>
    <cellStyle name="Comma 10 6 2 2 2" xfId="40130" xr:uid="{00000000-0005-0000-0000-0000905E0000}"/>
    <cellStyle name="Comma 10 6 2 3" xfId="30432" xr:uid="{00000000-0005-0000-0000-0000915E0000}"/>
    <cellStyle name="Comma 10 6 3" xfId="16275" xr:uid="{00000000-0005-0000-0000-0000925E0000}"/>
    <cellStyle name="Comma 10 6 3 2" xfId="35675" xr:uid="{00000000-0005-0000-0000-0000935E0000}"/>
    <cellStyle name="Comma 10 6 4" xfId="25977" xr:uid="{00000000-0005-0000-0000-0000945E0000}"/>
    <cellStyle name="Comma 10 7" xfId="6836" xr:uid="{00000000-0005-0000-0000-0000955E0000}"/>
    <cellStyle name="Comma 10 7 2" xfId="16832" xr:uid="{00000000-0005-0000-0000-0000965E0000}"/>
    <cellStyle name="Comma 10 7 2 2" xfId="36232" xr:uid="{00000000-0005-0000-0000-0000975E0000}"/>
    <cellStyle name="Comma 10 7 3" xfId="26534" xr:uid="{00000000-0005-0000-0000-0000985E0000}"/>
    <cellStyle name="Comma 10 8" xfId="11852" xr:uid="{00000000-0005-0000-0000-0000995E0000}"/>
    <cellStyle name="Comma 10 8 2" xfId="21556" xr:uid="{00000000-0005-0000-0000-00009A5E0000}"/>
    <cellStyle name="Comma 10 8 2 2" xfId="40956" xr:uid="{00000000-0005-0000-0000-00009B5E0000}"/>
    <cellStyle name="Comma 10 8 3" xfId="31258" xr:uid="{00000000-0005-0000-0000-00009C5E0000}"/>
    <cellStyle name="Comma 10 9" xfId="1643" xr:uid="{00000000-0005-0000-0000-00009D5E0000}"/>
    <cellStyle name="Comma 10 9 2" xfId="12376" xr:uid="{00000000-0005-0000-0000-00009E5E0000}"/>
    <cellStyle name="Comma 10 9 2 2" xfId="31777" xr:uid="{00000000-0005-0000-0000-00009F5E0000}"/>
    <cellStyle name="Comma 10 9 3" xfId="22079" xr:uid="{00000000-0005-0000-0000-0000A05E0000}"/>
    <cellStyle name="Comma 11" xfId="1060" xr:uid="{00000000-0005-0000-0000-0000A15E0000}"/>
    <cellStyle name="Comma 11 10" xfId="12287" xr:uid="{00000000-0005-0000-0000-0000A25E0000}"/>
    <cellStyle name="Comma 11 10 2" xfId="31690" xr:uid="{00000000-0005-0000-0000-0000A35E0000}"/>
    <cellStyle name="Comma 11 11" xfId="21992" xr:uid="{00000000-0005-0000-0000-0000A45E0000}"/>
    <cellStyle name="Comma 11 2" xfId="2938" xr:uid="{00000000-0005-0000-0000-0000A55E0000}"/>
    <cellStyle name="Comma 11 2 2" xfId="5207" xr:uid="{00000000-0005-0000-0000-0000A65E0000}"/>
    <cellStyle name="Comma 11 2 2 2" xfId="9671" xr:uid="{00000000-0005-0000-0000-0000A75E0000}"/>
    <cellStyle name="Comma 11 2 2 2 2" xfId="19667" xr:uid="{00000000-0005-0000-0000-0000A85E0000}"/>
    <cellStyle name="Comma 11 2 2 2 2 2" xfId="39067" xr:uid="{00000000-0005-0000-0000-0000A95E0000}"/>
    <cellStyle name="Comma 11 2 2 2 3" xfId="29369" xr:uid="{00000000-0005-0000-0000-0000AA5E0000}"/>
    <cellStyle name="Comma 11 2 2 3" xfId="15212" xr:uid="{00000000-0005-0000-0000-0000AB5E0000}"/>
    <cellStyle name="Comma 11 2 2 3 2" xfId="34612" xr:uid="{00000000-0005-0000-0000-0000AC5E0000}"/>
    <cellStyle name="Comma 11 2 2 4" xfId="24914" xr:uid="{00000000-0005-0000-0000-0000AD5E0000}"/>
    <cellStyle name="Comma 11 2 3" xfId="7443" xr:uid="{00000000-0005-0000-0000-0000AE5E0000}"/>
    <cellStyle name="Comma 11 2 3 2" xfId="17439" xr:uid="{00000000-0005-0000-0000-0000AF5E0000}"/>
    <cellStyle name="Comma 11 2 3 2 2" xfId="36839" xr:uid="{00000000-0005-0000-0000-0000B05E0000}"/>
    <cellStyle name="Comma 11 2 3 3" xfId="27141" xr:uid="{00000000-0005-0000-0000-0000B15E0000}"/>
    <cellStyle name="Comma 11 2 4" xfId="12984" xr:uid="{00000000-0005-0000-0000-0000B25E0000}"/>
    <cellStyle name="Comma 11 2 4 2" xfId="32384" xr:uid="{00000000-0005-0000-0000-0000B35E0000}"/>
    <cellStyle name="Comma 11 2 5" xfId="22686" xr:uid="{00000000-0005-0000-0000-0000B45E0000}"/>
    <cellStyle name="Comma 11 3" xfId="3521" xr:uid="{00000000-0005-0000-0000-0000B55E0000}"/>
    <cellStyle name="Comma 11 3 2" xfId="4651" xr:uid="{00000000-0005-0000-0000-0000B65E0000}"/>
    <cellStyle name="Comma 11 3 2 2" xfId="9115" xr:uid="{00000000-0005-0000-0000-0000B75E0000}"/>
    <cellStyle name="Comma 11 3 2 2 2" xfId="19111" xr:uid="{00000000-0005-0000-0000-0000B85E0000}"/>
    <cellStyle name="Comma 11 3 2 2 2 2" xfId="38511" xr:uid="{00000000-0005-0000-0000-0000B95E0000}"/>
    <cellStyle name="Comma 11 3 2 2 3" xfId="28813" xr:uid="{00000000-0005-0000-0000-0000BA5E0000}"/>
    <cellStyle name="Comma 11 3 2 3" xfId="14656" xr:uid="{00000000-0005-0000-0000-0000BB5E0000}"/>
    <cellStyle name="Comma 11 3 2 3 2" xfId="34056" xr:uid="{00000000-0005-0000-0000-0000BC5E0000}"/>
    <cellStyle name="Comma 11 3 2 4" xfId="24358" xr:uid="{00000000-0005-0000-0000-0000BD5E0000}"/>
    <cellStyle name="Comma 11 3 3" xfId="8000" xr:uid="{00000000-0005-0000-0000-0000BE5E0000}"/>
    <cellStyle name="Comma 11 3 3 2" xfId="17996" xr:uid="{00000000-0005-0000-0000-0000BF5E0000}"/>
    <cellStyle name="Comma 11 3 3 2 2" xfId="37396" xr:uid="{00000000-0005-0000-0000-0000C05E0000}"/>
    <cellStyle name="Comma 11 3 3 3" xfId="27698" xr:uid="{00000000-0005-0000-0000-0000C15E0000}"/>
    <cellStyle name="Comma 11 3 4" xfId="13541" xr:uid="{00000000-0005-0000-0000-0000C25E0000}"/>
    <cellStyle name="Comma 11 3 4 2" xfId="32941" xr:uid="{00000000-0005-0000-0000-0000C35E0000}"/>
    <cellStyle name="Comma 11 3 5" xfId="23243" xr:uid="{00000000-0005-0000-0000-0000C45E0000}"/>
    <cellStyle name="Comma 11 4" xfId="4094" xr:uid="{00000000-0005-0000-0000-0000C55E0000}"/>
    <cellStyle name="Comma 11 4 2" xfId="8558" xr:uid="{00000000-0005-0000-0000-0000C65E0000}"/>
    <cellStyle name="Comma 11 4 2 2" xfId="18554" xr:uid="{00000000-0005-0000-0000-0000C75E0000}"/>
    <cellStyle name="Comma 11 4 2 2 2" xfId="37954" xr:uid="{00000000-0005-0000-0000-0000C85E0000}"/>
    <cellStyle name="Comma 11 4 2 3" xfId="28256" xr:uid="{00000000-0005-0000-0000-0000C95E0000}"/>
    <cellStyle name="Comma 11 4 3" xfId="14099" xr:uid="{00000000-0005-0000-0000-0000CA5E0000}"/>
    <cellStyle name="Comma 11 4 3 2" xfId="33499" xr:uid="{00000000-0005-0000-0000-0000CB5E0000}"/>
    <cellStyle name="Comma 11 4 4" xfId="23801" xr:uid="{00000000-0005-0000-0000-0000CC5E0000}"/>
    <cellStyle name="Comma 11 5" xfId="5764" xr:uid="{00000000-0005-0000-0000-0000CD5E0000}"/>
    <cellStyle name="Comma 11 5 2" xfId="10228" xr:uid="{00000000-0005-0000-0000-0000CE5E0000}"/>
    <cellStyle name="Comma 11 5 2 2" xfId="20224" xr:uid="{00000000-0005-0000-0000-0000CF5E0000}"/>
    <cellStyle name="Comma 11 5 2 2 2" xfId="39624" xr:uid="{00000000-0005-0000-0000-0000D05E0000}"/>
    <cellStyle name="Comma 11 5 2 3" xfId="29926" xr:uid="{00000000-0005-0000-0000-0000D15E0000}"/>
    <cellStyle name="Comma 11 5 3" xfId="15769" xr:uid="{00000000-0005-0000-0000-0000D25E0000}"/>
    <cellStyle name="Comma 11 5 3 2" xfId="35169" xr:uid="{00000000-0005-0000-0000-0000D35E0000}"/>
    <cellStyle name="Comma 11 5 4" xfId="25471" xr:uid="{00000000-0005-0000-0000-0000D45E0000}"/>
    <cellStyle name="Comma 11 6" xfId="6330" xr:uid="{00000000-0005-0000-0000-0000D55E0000}"/>
    <cellStyle name="Comma 11 6 2" xfId="10785" xr:uid="{00000000-0005-0000-0000-0000D65E0000}"/>
    <cellStyle name="Comma 11 6 2 2" xfId="20781" xr:uid="{00000000-0005-0000-0000-0000D75E0000}"/>
    <cellStyle name="Comma 11 6 2 2 2" xfId="40181" xr:uid="{00000000-0005-0000-0000-0000D85E0000}"/>
    <cellStyle name="Comma 11 6 2 3" xfId="30483" xr:uid="{00000000-0005-0000-0000-0000D95E0000}"/>
    <cellStyle name="Comma 11 6 3" xfId="16326" xr:uid="{00000000-0005-0000-0000-0000DA5E0000}"/>
    <cellStyle name="Comma 11 6 3 2" xfId="35726" xr:uid="{00000000-0005-0000-0000-0000DB5E0000}"/>
    <cellStyle name="Comma 11 6 4" xfId="26028" xr:uid="{00000000-0005-0000-0000-0000DC5E0000}"/>
    <cellStyle name="Comma 11 7" xfId="6887" xr:uid="{00000000-0005-0000-0000-0000DD5E0000}"/>
    <cellStyle name="Comma 11 7 2" xfId="16883" xr:uid="{00000000-0005-0000-0000-0000DE5E0000}"/>
    <cellStyle name="Comma 11 7 2 2" xfId="36283" xr:uid="{00000000-0005-0000-0000-0000DF5E0000}"/>
    <cellStyle name="Comma 11 7 3" xfId="26585" xr:uid="{00000000-0005-0000-0000-0000E05E0000}"/>
    <cellStyle name="Comma 11 8" xfId="11931" xr:uid="{00000000-0005-0000-0000-0000E15E0000}"/>
    <cellStyle name="Comma 11 8 2" xfId="21635" xr:uid="{00000000-0005-0000-0000-0000E25E0000}"/>
    <cellStyle name="Comma 11 8 2 2" xfId="41035" xr:uid="{00000000-0005-0000-0000-0000E35E0000}"/>
    <cellStyle name="Comma 11 8 3" xfId="31337" xr:uid="{00000000-0005-0000-0000-0000E45E0000}"/>
    <cellStyle name="Comma 11 9" xfId="1935" xr:uid="{00000000-0005-0000-0000-0000E55E0000}"/>
    <cellStyle name="Comma 11 9 2" xfId="12427" xr:uid="{00000000-0005-0000-0000-0000E65E0000}"/>
    <cellStyle name="Comma 11 9 2 2" xfId="31828" xr:uid="{00000000-0005-0000-0000-0000E75E0000}"/>
    <cellStyle name="Comma 11 9 3" xfId="22130" xr:uid="{00000000-0005-0000-0000-0000E85E0000}"/>
    <cellStyle name="Comma 12" xfId="1077" xr:uid="{00000000-0005-0000-0000-0000E95E0000}"/>
    <cellStyle name="Comma 12 2" xfId="4033" xr:uid="{00000000-0005-0000-0000-0000EA5E0000}"/>
    <cellStyle name="Comma 12 3" xfId="6268" xr:uid="{00000000-0005-0000-0000-0000EB5E0000}"/>
    <cellStyle name="Comma 12 4" xfId="11948" xr:uid="{00000000-0005-0000-0000-0000EC5E0000}"/>
    <cellStyle name="Comma 12 4 2" xfId="21652" xr:uid="{00000000-0005-0000-0000-0000ED5E0000}"/>
    <cellStyle name="Comma 12 4 2 2" xfId="41052" xr:uid="{00000000-0005-0000-0000-0000EE5E0000}"/>
    <cellStyle name="Comma 12 4 3" xfId="31354" xr:uid="{00000000-0005-0000-0000-0000EF5E0000}"/>
    <cellStyle name="Comma 12 5" xfId="3448" xr:uid="{00000000-0005-0000-0000-0000F05E0000}"/>
    <cellStyle name="Comma 12 6" xfId="12304" xr:uid="{00000000-0005-0000-0000-0000F15E0000}"/>
    <cellStyle name="Comma 12 6 2" xfId="31707" xr:uid="{00000000-0005-0000-0000-0000F25E0000}"/>
    <cellStyle name="Comma 12 7" xfId="22009" xr:uid="{00000000-0005-0000-0000-0000F35E0000}"/>
    <cellStyle name="Comma 13" xfId="11291" xr:uid="{00000000-0005-0000-0000-0000F45E0000}"/>
    <cellStyle name="Comma 14" xfId="1392" xr:uid="{00000000-0005-0000-0000-0000F55E0000}"/>
    <cellStyle name="Comma 15" xfId="11494" xr:uid="{00000000-0005-0000-0000-0000F65E0000}"/>
    <cellStyle name="Comma 2" xfId="596" xr:uid="{00000000-0005-0000-0000-0000F75E0000}"/>
    <cellStyle name="Comma 2 10" xfId="11316" xr:uid="{00000000-0005-0000-0000-0000F85E0000}"/>
    <cellStyle name="Comma 2 10 2" xfId="21301" xr:uid="{00000000-0005-0000-0000-0000F95E0000}"/>
    <cellStyle name="Comma 2 10 2 2" xfId="40701" xr:uid="{00000000-0005-0000-0000-0000FA5E0000}"/>
    <cellStyle name="Comma 2 10 3" xfId="31003" xr:uid="{00000000-0005-0000-0000-0000FB5E0000}"/>
    <cellStyle name="Comma 2 11" xfId="11346" xr:uid="{00000000-0005-0000-0000-0000FC5E0000}"/>
    <cellStyle name="Comma 2 11 2" xfId="21328" xr:uid="{00000000-0005-0000-0000-0000FD5E0000}"/>
    <cellStyle name="Comma 2 11 2 2" xfId="40728" xr:uid="{00000000-0005-0000-0000-0000FE5E0000}"/>
    <cellStyle name="Comma 2 11 3" xfId="31030" xr:uid="{00000000-0005-0000-0000-0000FF5E0000}"/>
    <cellStyle name="Comma 2 12" xfId="1393" xr:uid="{00000000-0005-0000-0000-0000005F0000}"/>
    <cellStyle name="Comma 2 13" xfId="1142" xr:uid="{00000000-0005-0000-0000-0000015F0000}"/>
    <cellStyle name="Comma 2 13 2" xfId="12361" xr:uid="{00000000-0005-0000-0000-0000025F0000}"/>
    <cellStyle name="Comma 2 13 2 2" xfId="31763" xr:uid="{00000000-0005-0000-0000-0000035F0000}"/>
    <cellStyle name="Comma 2 13 3" xfId="22065" xr:uid="{00000000-0005-0000-0000-0000045F0000}"/>
    <cellStyle name="Comma 2 2" xfId="597" xr:uid="{00000000-0005-0000-0000-0000055F0000}"/>
    <cellStyle name="Comma 2 2 2" xfId="595" xr:uid="{00000000-0005-0000-0000-0000065F0000}"/>
    <cellStyle name="Comma 2 2 2 2" xfId="11591" xr:uid="{00000000-0005-0000-0000-0000075F0000}"/>
    <cellStyle name="Comma 2 2 2 3" xfId="1773" xr:uid="{00000000-0005-0000-0000-0000085F0000}"/>
    <cellStyle name="Comma 2 2 3" xfId="3449" xr:uid="{00000000-0005-0000-0000-0000095F0000}"/>
    <cellStyle name="Comma 2 2 4" xfId="1394" xr:uid="{00000000-0005-0000-0000-00000A5F0000}"/>
    <cellStyle name="Comma 2 2 5" xfId="11592" xr:uid="{00000000-0005-0000-0000-00000B5F0000}"/>
    <cellStyle name="Comma 2 2 6" xfId="1213" xr:uid="{00000000-0005-0000-0000-00000C5F0000}"/>
    <cellStyle name="Comma 2 3" xfId="635" xr:uid="{00000000-0005-0000-0000-00000D5F0000}"/>
    <cellStyle name="Comma 2 3 2" xfId="2515" xr:uid="{00000000-0005-0000-0000-00000E5F0000}"/>
    <cellStyle name="Comma 2 3 2 2" xfId="3404" xr:uid="{00000000-0005-0000-0000-00000F5F0000}"/>
    <cellStyle name="Comma 2 3 2 2 2" xfId="5672" xr:uid="{00000000-0005-0000-0000-0000105F0000}"/>
    <cellStyle name="Comma 2 3 2 2 2 2" xfId="10136" xr:uid="{00000000-0005-0000-0000-0000115F0000}"/>
    <cellStyle name="Comma 2 3 2 2 2 2 2" xfId="20132" xr:uid="{00000000-0005-0000-0000-0000125F0000}"/>
    <cellStyle name="Comma 2 3 2 2 2 2 2 2" xfId="39532" xr:uid="{00000000-0005-0000-0000-0000135F0000}"/>
    <cellStyle name="Comma 2 3 2 2 2 2 3" xfId="29834" xr:uid="{00000000-0005-0000-0000-0000145F0000}"/>
    <cellStyle name="Comma 2 3 2 2 2 3" xfId="15677" xr:uid="{00000000-0005-0000-0000-0000155F0000}"/>
    <cellStyle name="Comma 2 3 2 2 2 3 2" xfId="35077" xr:uid="{00000000-0005-0000-0000-0000165F0000}"/>
    <cellStyle name="Comma 2 3 2 2 2 4" xfId="25379" xr:uid="{00000000-0005-0000-0000-0000175F0000}"/>
    <cellStyle name="Comma 2 3 2 2 3" xfId="7908" xr:uid="{00000000-0005-0000-0000-0000185F0000}"/>
    <cellStyle name="Comma 2 3 2 2 3 2" xfId="17904" xr:uid="{00000000-0005-0000-0000-0000195F0000}"/>
    <cellStyle name="Comma 2 3 2 2 3 2 2" xfId="37304" xr:uid="{00000000-0005-0000-0000-00001A5F0000}"/>
    <cellStyle name="Comma 2 3 2 2 3 3" xfId="27606" xr:uid="{00000000-0005-0000-0000-00001B5F0000}"/>
    <cellStyle name="Comma 2 3 2 2 4" xfId="13449" xr:uid="{00000000-0005-0000-0000-00001C5F0000}"/>
    <cellStyle name="Comma 2 3 2 2 4 2" xfId="32849" xr:uid="{00000000-0005-0000-0000-00001D5F0000}"/>
    <cellStyle name="Comma 2 3 2 2 5" xfId="23151" xr:uid="{00000000-0005-0000-0000-00001E5F0000}"/>
    <cellStyle name="Comma 2 3 2 3" xfId="3987" xr:uid="{00000000-0005-0000-0000-00001F5F0000}"/>
    <cellStyle name="Comma 2 3 2 3 2" xfId="5116" xr:uid="{00000000-0005-0000-0000-0000205F0000}"/>
    <cellStyle name="Comma 2 3 2 3 2 2" xfId="9580" xr:uid="{00000000-0005-0000-0000-0000215F0000}"/>
    <cellStyle name="Comma 2 3 2 3 2 2 2" xfId="19576" xr:uid="{00000000-0005-0000-0000-0000225F0000}"/>
    <cellStyle name="Comma 2 3 2 3 2 2 2 2" xfId="38976" xr:uid="{00000000-0005-0000-0000-0000235F0000}"/>
    <cellStyle name="Comma 2 3 2 3 2 2 3" xfId="29278" xr:uid="{00000000-0005-0000-0000-0000245F0000}"/>
    <cellStyle name="Comma 2 3 2 3 2 3" xfId="15121" xr:uid="{00000000-0005-0000-0000-0000255F0000}"/>
    <cellStyle name="Comma 2 3 2 3 2 3 2" xfId="34521" xr:uid="{00000000-0005-0000-0000-0000265F0000}"/>
    <cellStyle name="Comma 2 3 2 3 2 4" xfId="24823" xr:uid="{00000000-0005-0000-0000-0000275F0000}"/>
    <cellStyle name="Comma 2 3 2 3 3" xfId="8465" xr:uid="{00000000-0005-0000-0000-0000285F0000}"/>
    <cellStyle name="Comma 2 3 2 3 3 2" xfId="18461" xr:uid="{00000000-0005-0000-0000-0000295F0000}"/>
    <cellStyle name="Comma 2 3 2 3 3 2 2" xfId="37861" xr:uid="{00000000-0005-0000-0000-00002A5F0000}"/>
    <cellStyle name="Comma 2 3 2 3 3 3" xfId="28163" xr:uid="{00000000-0005-0000-0000-00002B5F0000}"/>
    <cellStyle name="Comma 2 3 2 3 4" xfId="14006" xr:uid="{00000000-0005-0000-0000-00002C5F0000}"/>
    <cellStyle name="Comma 2 3 2 3 4 2" xfId="33406" xr:uid="{00000000-0005-0000-0000-00002D5F0000}"/>
    <cellStyle name="Comma 2 3 2 3 5" xfId="23708" xr:uid="{00000000-0005-0000-0000-00002E5F0000}"/>
    <cellStyle name="Comma 2 3 2 4" xfId="4559" xr:uid="{00000000-0005-0000-0000-00002F5F0000}"/>
    <cellStyle name="Comma 2 3 2 4 2" xfId="9023" xr:uid="{00000000-0005-0000-0000-0000305F0000}"/>
    <cellStyle name="Comma 2 3 2 4 2 2" xfId="19019" xr:uid="{00000000-0005-0000-0000-0000315F0000}"/>
    <cellStyle name="Comma 2 3 2 4 2 2 2" xfId="38419" xr:uid="{00000000-0005-0000-0000-0000325F0000}"/>
    <cellStyle name="Comma 2 3 2 4 2 3" xfId="28721" xr:uid="{00000000-0005-0000-0000-0000335F0000}"/>
    <cellStyle name="Comma 2 3 2 4 3" xfId="14564" xr:uid="{00000000-0005-0000-0000-0000345F0000}"/>
    <cellStyle name="Comma 2 3 2 4 3 2" xfId="33964" xr:uid="{00000000-0005-0000-0000-0000355F0000}"/>
    <cellStyle name="Comma 2 3 2 4 4" xfId="24266" xr:uid="{00000000-0005-0000-0000-0000365F0000}"/>
    <cellStyle name="Comma 2 3 2 5" xfId="6229" xr:uid="{00000000-0005-0000-0000-0000375F0000}"/>
    <cellStyle name="Comma 2 3 2 5 2" xfId="10693" xr:uid="{00000000-0005-0000-0000-0000385F0000}"/>
    <cellStyle name="Comma 2 3 2 5 2 2" xfId="20689" xr:uid="{00000000-0005-0000-0000-0000395F0000}"/>
    <cellStyle name="Comma 2 3 2 5 2 2 2" xfId="40089" xr:uid="{00000000-0005-0000-0000-00003A5F0000}"/>
    <cellStyle name="Comma 2 3 2 5 2 3" xfId="30391" xr:uid="{00000000-0005-0000-0000-00003B5F0000}"/>
    <cellStyle name="Comma 2 3 2 5 3" xfId="16234" xr:uid="{00000000-0005-0000-0000-00003C5F0000}"/>
    <cellStyle name="Comma 2 3 2 5 3 2" xfId="35634" xr:uid="{00000000-0005-0000-0000-00003D5F0000}"/>
    <cellStyle name="Comma 2 3 2 5 4" xfId="25936" xr:uid="{00000000-0005-0000-0000-00003E5F0000}"/>
    <cellStyle name="Comma 2 3 2 6" xfId="6795" xr:uid="{00000000-0005-0000-0000-00003F5F0000}"/>
    <cellStyle name="Comma 2 3 2 6 2" xfId="11250" xr:uid="{00000000-0005-0000-0000-0000405F0000}"/>
    <cellStyle name="Comma 2 3 2 6 2 2" xfId="21246" xr:uid="{00000000-0005-0000-0000-0000415F0000}"/>
    <cellStyle name="Comma 2 3 2 6 2 2 2" xfId="40646" xr:uid="{00000000-0005-0000-0000-0000425F0000}"/>
    <cellStyle name="Comma 2 3 2 6 2 3" xfId="30948" xr:uid="{00000000-0005-0000-0000-0000435F0000}"/>
    <cellStyle name="Comma 2 3 2 6 3" xfId="16791" xr:uid="{00000000-0005-0000-0000-0000445F0000}"/>
    <cellStyle name="Comma 2 3 2 6 3 2" xfId="36191" xr:uid="{00000000-0005-0000-0000-0000455F0000}"/>
    <cellStyle name="Comma 2 3 2 6 4" xfId="26493" xr:uid="{00000000-0005-0000-0000-0000465F0000}"/>
    <cellStyle name="Comma 2 3 2 7" xfId="7352" xr:uid="{00000000-0005-0000-0000-0000475F0000}"/>
    <cellStyle name="Comma 2 3 2 7 2" xfId="17348" xr:uid="{00000000-0005-0000-0000-0000485F0000}"/>
    <cellStyle name="Comma 2 3 2 7 2 2" xfId="36748" xr:uid="{00000000-0005-0000-0000-0000495F0000}"/>
    <cellStyle name="Comma 2 3 2 7 3" xfId="27050" xr:uid="{00000000-0005-0000-0000-00004A5F0000}"/>
    <cellStyle name="Comma 2 3 2 8" xfId="12892" xr:uid="{00000000-0005-0000-0000-00004B5F0000}"/>
    <cellStyle name="Comma 2 3 2 8 2" xfId="32293" xr:uid="{00000000-0005-0000-0000-00004C5F0000}"/>
    <cellStyle name="Comma 2 3 2 9" xfId="22595" xr:uid="{00000000-0005-0000-0000-00004D5F0000}"/>
    <cellStyle name="Comma 2 3 3" xfId="2680" xr:uid="{00000000-0005-0000-0000-00004E5F0000}"/>
    <cellStyle name="Comma 2 3 4" xfId="11621" xr:uid="{00000000-0005-0000-0000-00004F5F0000}"/>
    <cellStyle name="Comma 2 3 5" xfId="1395" xr:uid="{00000000-0005-0000-0000-0000505F0000}"/>
    <cellStyle name="Comma 2 4" xfId="741" xr:uid="{00000000-0005-0000-0000-0000515F0000}"/>
    <cellStyle name="Comma 2 4 2" xfId="2705" xr:uid="{00000000-0005-0000-0000-0000525F0000}"/>
    <cellStyle name="Comma 2 4 2 2" xfId="3428" xr:uid="{00000000-0005-0000-0000-0000535F0000}"/>
    <cellStyle name="Comma 2 4 2 2 2" xfId="5696" xr:uid="{00000000-0005-0000-0000-0000545F0000}"/>
    <cellStyle name="Comma 2 4 2 2 2 2" xfId="10160" xr:uid="{00000000-0005-0000-0000-0000555F0000}"/>
    <cellStyle name="Comma 2 4 2 2 2 2 2" xfId="20156" xr:uid="{00000000-0005-0000-0000-0000565F0000}"/>
    <cellStyle name="Comma 2 4 2 2 2 2 2 2" xfId="39556" xr:uid="{00000000-0005-0000-0000-0000575F0000}"/>
    <cellStyle name="Comma 2 4 2 2 2 2 3" xfId="29858" xr:uid="{00000000-0005-0000-0000-0000585F0000}"/>
    <cellStyle name="Comma 2 4 2 2 2 3" xfId="15701" xr:uid="{00000000-0005-0000-0000-0000595F0000}"/>
    <cellStyle name="Comma 2 4 2 2 2 3 2" xfId="35101" xr:uid="{00000000-0005-0000-0000-00005A5F0000}"/>
    <cellStyle name="Comma 2 4 2 2 2 4" xfId="25403" xr:uid="{00000000-0005-0000-0000-00005B5F0000}"/>
    <cellStyle name="Comma 2 4 2 2 3" xfId="7932" xr:uid="{00000000-0005-0000-0000-00005C5F0000}"/>
    <cellStyle name="Comma 2 4 2 2 3 2" xfId="17928" xr:uid="{00000000-0005-0000-0000-00005D5F0000}"/>
    <cellStyle name="Comma 2 4 2 2 3 2 2" xfId="37328" xr:uid="{00000000-0005-0000-0000-00005E5F0000}"/>
    <cellStyle name="Comma 2 4 2 2 3 3" xfId="27630" xr:uid="{00000000-0005-0000-0000-00005F5F0000}"/>
    <cellStyle name="Comma 2 4 2 2 4" xfId="13473" xr:uid="{00000000-0005-0000-0000-0000605F0000}"/>
    <cellStyle name="Comma 2 4 2 2 4 2" xfId="32873" xr:uid="{00000000-0005-0000-0000-0000615F0000}"/>
    <cellStyle name="Comma 2 4 2 2 5" xfId="23175" xr:uid="{00000000-0005-0000-0000-0000625F0000}"/>
    <cellStyle name="Comma 2 4 2 3" xfId="4011" xr:uid="{00000000-0005-0000-0000-0000635F0000}"/>
    <cellStyle name="Comma 2 4 2 3 2" xfId="5140" xr:uid="{00000000-0005-0000-0000-0000645F0000}"/>
    <cellStyle name="Comma 2 4 2 3 2 2" xfId="9604" xr:uid="{00000000-0005-0000-0000-0000655F0000}"/>
    <cellStyle name="Comma 2 4 2 3 2 2 2" xfId="19600" xr:uid="{00000000-0005-0000-0000-0000665F0000}"/>
    <cellStyle name="Comma 2 4 2 3 2 2 2 2" xfId="39000" xr:uid="{00000000-0005-0000-0000-0000675F0000}"/>
    <cellStyle name="Comma 2 4 2 3 2 2 3" xfId="29302" xr:uid="{00000000-0005-0000-0000-0000685F0000}"/>
    <cellStyle name="Comma 2 4 2 3 2 3" xfId="15145" xr:uid="{00000000-0005-0000-0000-0000695F0000}"/>
    <cellStyle name="Comma 2 4 2 3 2 3 2" xfId="34545" xr:uid="{00000000-0005-0000-0000-00006A5F0000}"/>
    <cellStyle name="Comma 2 4 2 3 2 4" xfId="24847" xr:uid="{00000000-0005-0000-0000-00006B5F0000}"/>
    <cellStyle name="Comma 2 4 2 3 3" xfId="8489" xr:uid="{00000000-0005-0000-0000-00006C5F0000}"/>
    <cellStyle name="Comma 2 4 2 3 3 2" xfId="18485" xr:uid="{00000000-0005-0000-0000-00006D5F0000}"/>
    <cellStyle name="Comma 2 4 2 3 3 2 2" xfId="37885" xr:uid="{00000000-0005-0000-0000-00006E5F0000}"/>
    <cellStyle name="Comma 2 4 2 3 3 3" xfId="28187" xr:uid="{00000000-0005-0000-0000-00006F5F0000}"/>
    <cellStyle name="Comma 2 4 2 3 4" xfId="14030" xr:uid="{00000000-0005-0000-0000-0000705F0000}"/>
    <cellStyle name="Comma 2 4 2 3 4 2" xfId="33430" xr:uid="{00000000-0005-0000-0000-0000715F0000}"/>
    <cellStyle name="Comma 2 4 2 3 5" xfId="23732" xr:uid="{00000000-0005-0000-0000-0000725F0000}"/>
    <cellStyle name="Comma 2 4 2 4" xfId="4583" xr:uid="{00000000-0005-0000-0000-0000735F0000}"/>
    <cellStyle name="Comma 2 4 2 4 2" xfId="9047" xr:uid="{00000000-0005-0000-0000-0000745F0000}"/>
    <cellStyle name="Comma 2 4 2 4 2 2" xfId="19043" xr:uid="{00000000-0005-0000-0000-0000755F0000}"/>
    <cellStyle name="Comma 2 4 2 4 2 2 2" xfId="38443" xr:uid="{00000000-0005-0000-0000-0000765F0000}"/>
    <cellStyle name="Comma 2 4 2 4 2 3" xfId="28745" xr:uid="{00000000-0005-0000-0000-0000775F0000}"/>
    <cellStyle name="Comma 2 4 2 4 3" xfId="14588" xr:uid="{00000000-0005-0000-0000-0000785F0000}"/>
    <cellStyle name="Comma 2 4 2 4 3 2" xfId="33988" xr:uid="{00000000-0005-0000-0000-0000795F0000}"/>
    <cellStyle name="Comma 2 4 2 4 4" xfId="24290" xr:uid="{00000000-0005-0000-0000-00007A5F0000}"/>
    <cellStyle name="Comma 2 4 2 5" xfId="6253" xr:uid="{00000000-0005-0000-0000-00007B5F0000}"/>
    <cellStyle name="Comma 2 4 2 5 2" xfId="10717" xr:uid="{00000000-0005-0000-0000-00007C5F0000}"/>
    <cellStyle name="Comma 2 4 2 5 2 2" xfId="20713" xr:uid="{00000000-0005-0000-0000-00007D5F0000}"/>
    <cellStyle name="Comma 2 4 2 5 2 2 2" xfId="40113" xr:uid="{00000000-0005-0000-0000-00007E5F0000}"/>
    <cellStyle name="Comma 2 4 2 5 2 3" xfId="30415" xr:uid="{00000000-0005-0000-0000-00007F5F0000}"/>
    <cellStyle name="Comma 2 4 2 5 3" xfId="16258" xr:uid="{00000000-0005-0000-0000-0000805F0000}"/>
    <cellStyle name="Comma 2 4 2 5 3 2" xfId="35658" xr:uid="{00000000-0005-0000-0000-0000815F0000}"/>
    <cellStyle name="Comma 2 4 2 5 4" xfId="25960" xr:uid="{00000000-0005-0000-0000-0000825F0000}"/>
    <cellStyle name="Comma 2 4 2 6" xfId="6819" xr:uid="{00000000-0005-0000-0000-0000835F0000}"/>
    <cellStyle name="Comma 2 4 2 6 2" xfId="11274" xr:uid="{00000000-0005-0000-0000-0000845F0000}"/>
    <cellStyle name="Comma 2 4 2 6 2 2" xfId="21270" xr:uid="{00000000-0005-0000-0000-0000855F0000}"/>
    <cellStyle name="Comma 2 4 2 6 2 2 2" xfId="40670" xr:uid="{00000000-0005-0000-0000-0000865F0000}"/>
    <cellStyle name="Comma 2 4 2 6 2 3" xfId="30972" xr:uid="{00000000-0005-0000-0000-0000875F0000}"/>
    <cellStyle name="Comma 2 4 2 6 3" xfId="16815" xr:uid="{00000000-0005-0000-0000-0000885F0000}"/>
    <cellStyle name="Comma 2 4 2 6 3 2" xfId="36215" xr:uid="{00000000-0005-0000-0000-0000895F0000}"/>
    <cellStyle name="Comma 2 4 2 6 4" xfId="26517" xr:uid="{00000000-0005-0000-0000-00008A5F0000}"/>
    <cellStyle name="Comma 2 4 2 7" xfId="7376" xr:uid="{00000000-0005-0000-0000-00008B5F0000}"/>
    <cellStyle name="Comma 2 4 2 7 2" xfId="17372" xr:uid="{00000000-0005-0000-0000-00008C5F0000}"/>
    <cellStyle name="Comma 2 4 2 7 2 2" xfId="36772" xr:uid="{00000000-0005-0000-0000-00008D5F0000}"/>
    <cellStyle name="Comma 2 4 2 7 3" xfId="27074" xr:uid="{00000000-0005-0000-0000-00008E5F0000}"/>
    <cellStyle name="Comma 2 4 2 8" xfId="12917" xr:uid="{00000000-0005-0000-0000-00008F5F0000}"/>
    <cellStyle name="Comma 2 4 2 8 2" xfId="32317" xr:uid="{00000000-0005-0000-0000-0000905F0000}"/>
    <cellStyle name="Comma 2 4 2 9" xfId="22619" xr:uid="{00000000-0005-0000-0000-0000915F0000}"/>
    <cellStyle name="Comma 2 4 3" xfId="11698" xr:uid="{00000000-0005-0000-0000-0000925F0000}"/>
    <cellStyle name="Comma 2 4 3 2" xfId="21411" xr:uid="{00000000-0005-0000-0000-0000935F0000}"/>
    <cellStyle name="Comma 2 4 3 2 2" xfId="40811" xr:uid="{00000000-0005-0000-0000-0000945F0000}"/>
    <cellStyle name="Comma 2 4 3 3" xfId="31113" xr:uid="{00000000-0005-0000-0000-0000955F0000}"/>
    <cellStyle name="Comma 2 4 4" xfId="1396" xr:uid="{00000000-0005-0000-0000-0000965F0000}"/>
    <cellStyle name="Comma 2 4 5" xfId="12063" xr:uid="{00000000-0005-0000-0000-0000975F0000}"/>
    <cellStyle name="Comma 2 4 5 2" xfId="31466" xr:uid="{00000000-0005-0000-0000-0000985F0000}"/>
    <cellStyle name="Comma 2 4 6" xfId="21768" xr:uid="{00000000-0005-0000-0000-0000995F0000}"/>
    <cellStyle name="Comma 2 5" xfId="1112" xr:uid="{00000000-0005-0000-0000-00009A5F0000}"/>
    <cellStyle name="Comma 2 5 2" xfId="2768" xr:uid="{00000000-0005-0000-0000-00009B5F0000}"/>
    <cellStyle name="Comma 2 5 3" xfId="11977" xr:uid="{00000000-0005-0000-0000-00009C5F0000}"/>
    <cellStyle name="Comma 2 5 3 2" xfId="21681" xr:uid="{00000000-0005-0000-0000-00009D5F0000}"/>
    <cellStyle name="Comma 2 5 3 2 2" xfId="41081" xr:uid="{00000000-0005-0000-0000-00009E5F0000}"/>
    <cellStyle name="Comma 2 5 3 3" xfId="31383" xr:uid="{00000000-0005-0000-0000-00009F5F0000}"/>
    <cellStyle name="Comma 2 5 4" xfId="1397" xr:uid="{00000000-0005-0000-0000-0000A05F0000}"/>
    <cellStyle name="Comma 2 5 5" xfId="12333" xr:uid="{00000000-0005-0000-0000-0000A15F0000}"/>
    <cellStyle name="Comma 2 5 5 2" xfId="31736" xr:uid="{00000000-0005-0000-0000-0000A25F0000}"/>
    <cellStyle name="Comma 2 5 6" xfId="22038" xr:uid="{00000000-0005-0000-0000-0000A35F0000}"/>
    <cellStyle name="Comma 2 6" xfId="1398" xr:uid="{00000000-0005-0000-0000-0000A45F0000}"/>
    <cellStyle name="Comma 2 6 2" xfId="2808" xr:uid="{00000000-0005-0000-0000-0000A55F0000}"/>
    <cellStyle name="Comma 2 7" xfId="1657" xr:uid="{00000000-0005-0000-0000-0000A65F0000}"/>
    <cellStyle name="Comma 2 7 2" xfId="2891" xr:uid="{00000000-0005-0000-0000-0000A75F0000}"/>
    <cellStyle name="Comma 2 7 2 2" xfId="5160" xr:uid="{00000000-0005-0000-0000-0000A85F0000}"/>
    <cellStyle name="Comma 2 7 2 2 2" xfId="9624" xr:uid="{00000000-0005-0000-0000-0000A95F0000}"/>
    <cellStyle name="Comma 2 7 2 2 2 2" xfId="19620" xr:uid="{00000000-0005-0000-0000-0000AA5F0000}"/>
    <cellStyle name="Comma 2 7 2 2 2 2 2" xfId="39020" xr:uid="{00000000-0005-0000-0000-0000AB5F0000}"/>
    <cellStyle name="Comma 2 7 2 2 2 3" xfId="29322" xr:uid="{00000000-0005-0000-0000-0000AC5F0000}"/>
    <cellStyle name="Comma 2 7 2 2 3" xfId="15165" xr:uid="{00000000-0005-0000-0000-0000AD5F0000}"/>
    <cellStyle name="Comma 2 7 2 2 3 2" xfId="34565" xr:uid="{00000000-0005-0000-0000-0000AE5F0000}"/>
    <cellStyle name="Comma 2 7 2 2 4" xfId="24867" xr:uid="{00000000-0005-0000-0000-0000AF5F0000}"/>
    <cellStyle name="Comma 2 7 2 3" xfId="7396" xr:uid="{00000000-0005-0000-0000-0000B05F0000}"/>
    <cellStyle name="Comma 2 7 2 3 2" xfId="17392" xr:uid="{00000000-0005-0000-0000-0000B15F0000}"/>
    <cellStyle name="Comma 2 7 2 3 2 2" xfId="36792" xr:uid="{00000000-0005-0000-0000-0000B25F0000}"/>
    <cellStyle name="Comma 2 7 2 3 3" xfId="27094" xr:uid="{00000000-0005-0000-0000-0000B35F0000}"/>
    <cellStyle name="Comma 2 7 2 4" xfId="12937" xr:uid="{00000000-0005-0000-0000-0000B45F0000}"/>
    <cellStyle name="Comma 2 7 2 4 2" xfId="32337" xr:uid="{00000000-0005-0000-0000-0000B55F0000}"/>
    <cellStyle name="Comma 2 7 2 5" xfId="22639" xr:uid="{00000000-0005-0000-0000-0000B65F0000}"/>
    <cellStyle name="Comma 2 7 3" xfId="3474" xr:uid="{00000000-0005-0000-0000-0000B75F0000}"/>
    <cellStyle name="Comma 2 7 3 2" xfId="4604" xr:uid="{00000000-0005-0000-0000-0000B85F0000}"/>
    <cellStyle name="Comma 2 7 3 2 2" xfId="9068" xr:uid="{00000000-0005-0000-0000-0000B95F0000}"/>
    <cellStyle name="Comma 2 7 3 2 2 2" xfId="19064" xr:uid="{00000000-0005-0000-0000-0000BA5F0000}"/>
    <cellStyle name="Comma 2 7 3 2 2 2 2" xfId="38464" xr:uid="{00000000-0005-0000-0000-0000BB5F0000}"/>
    <cellStyle name="Comma 2 7 3 2 2 3" xfId="28766" xr:uid="{00000000-0005-0000-0000-0000BC5F0000}"/>
    <cellStyle name="Comma 2 7 3 2 3" xfId="14609" xr:uid="{00000000-0005-0000-0000-0000BD5F0000}"/>
    <cellStyle name="Comma 2 7 3 2 3 2" xfId="34009" xr:uid="{00000000-0005-0000-0000-0000BE5F0000}"/>
    <cellStyle name="Comma 2 7 3 2 4" xfId="24311" xr:uid="{00000000-0005-0000-0000-0000BF5F0000}"/>
    <cellStyle name="Comma 2 7 3 3" xfId="7953" xr:uid="{00000000-0005-0000-0000-0000C05F0000}"/>
    <cellStyle name="Comma 2 7 3 3 2" xfId="17949" xr:uid="{00000000-0005-0000-0000-0000C15F0000}"/>
    <cellStyle name="Comma 2 7 3 3 2 2" xfId="37349" xr:uid="{00000000-0005-0000-0000-0000C25F0000}"/>
    <cellStyle name="Comma 2 7 3 3 3" xfId="27651" xr:uid="{00000000-0005-0000-0000-0000C35F0000}"/>
    <cellStyle name="Comma 2 7 3 4" xfId="13494" xr:uid="{00000000-0005-0000-0000-0000C45F0000}"/>
    <cellStyle name="Comma 2 7 3 4 2" xfId="32894" xr:uid="{00000000-0005-0000-0000-0000C55F0000}"/>
    <cellStyle name="Comma 2 7 3 5" xfId="23196" xr:uid="{00000000-0005-0000-0000-0000C65F0000}"/>
    <cellStyle name="Comma 2 7 4" xfId="4047" xr:uid="{00000000-0005-0000-0000-0000C75F0000}"/>
    <cellStyle name="Comma 2 7 4 2" xfId="8511" xr:uid="{00000000-0005-0000-0000-0000C85F0000}"/>
    <cellStyle name="Comma 2 7 4 2 2" xfId="18507" xr:uid="{00000000-0005-0000-0000-0000C95F0000}"/>
    <cellStyle name="Comma 2 7 4 2 2 2" xfId="37907" xr:uid="{00000000-0005-0000-0000-0000CA5F0000}"/>
    <cellStyle name="Comma 2 7 4 2 3" xfId="28209" xr:uid="{00000000-0005-0000-0000-0000CB5F0000}"/>
    <cellStyle name="Comma 2 7 4 3" xfId="14052" xr:uid="{00000000-0005-0000-0000-0000CC5F0000}"/>
    <cellStyle name="Comma 2 7 4 3 2" xfId="33452" xr:uid="{00000000-0005-0000-0000-0000CD5F0000}"/>
    <cellStyle name="Comma 2 7 4 4" xfId="23754" xr:uid="{00000000-0005-0000-0000-0000CE5F0000}"/>
    <cellStyle name="Comma 2 7 5" xfId="5717" xr:uid="{00000000-0005-0000-0000-0000CF5F0000}"/>
    <cellStyle name="Comma 2 7 5 2" xfId="10181" xr:uid="{00000000-0005-0000-0000-0000D05F0000}"/>
    <cellStyle name="Comma 2 7 5 2 2" xfId="20177" xr:uid="{00000000-0005-0000-0000-0000D15F0000}"/>
    <cellStyle name="Comma 2 7 5 2 2 2" xfId="39577" xr:uid="{00000000-0005-0000-0000-0000D25F0000}"/>
    <cellStyle name="Comma 2 7 5 2 3" xfId="29879" xr:uid="{00000000-0005-0000-0000-0000D35F0000}"/>
    <cellStyle name="Comma 2 7 5 3" xfId="15722" xr:uid="{00000000-0005-0000-0000-0000D45F0000}"/>
    <cellStyle name="Comma 2 7 5 3 2" xfId="35122" xr:uid="{00000000-0005-0000-0000-0000D55F0000}"/>
    <cellStyle name="Comma 2 7 5 4" xfId="25424" xr:uid="{00000000-0005-0000-0000-0000D65F0000}"/>
    <cellStyle name="Comma 2 7 6" xfId="6283" xr:uid="{00000000-0005-0000-0000-0000D75F0000}"/>
    <cellStyle name="Comma 2 7 6 2" xfId="10738" xr:uid="{00000000-0005-0000-0000-0000D85F0000}"/>
    <cellStyle name="Comma 2 7 6 2 2" xfId="20734" xr:uid="{00000000-0005-0000-0000-0000D95F0000}"/>
    <cellStyle name="Comma 2 7 6 2 2 2" xfId="40134" xr:uid="{00000000-0005-0000-0000-0000DA5F0000}"/>
    <cellStyle name="Comma 2 7 6 2 3" xfId="30436" xr:uid="{00000000-0005-0000-0000-0000DB5F0000}"/>
    <cellStyle name="Comma 2 7 6 3" xfId="16279" xr:uid="{00000000-0005-0000-0000-0000DC5F0000}"/>
    <cellStyle name="Comma 2 7 6 3 2" xfId="35679" xr:uid="{00000000-0005-0000-0000-0000DD5F0000}"/>
    <cellStyle name="Comma 2 7 6 4" xfId="25981" xr:uid="{00000000-0005-0000-0000-0000DE5F0000}"/>
    <cellStyle name="Comma 2 7 7" xfId="6840" xr:uid="{00000000-0005-0000-0000-0000DF5F0000}"/>
    <cellStyle name="Comma 2 7 7 2" xfId="16836" xr:uid="{00000000-0005-0000-0000-0000E05F0000}"/>
    <cellStyle name="Comma 2 7 7 2 2" xfId="36236" xr:uid="{00000000-0005-0000-0000-0000E15F0000}"/>
    <cellStyle name="Comma 2 7 7 3" xfId="26538" xr:uid="{00000000-0005-0000-0000-0000E25F0000}"/>
    <cellStyle name="Comma 2 7 8" xfId="12380" xr:uid="{00000000-0005-0000-0000-0000E35F0000}"/>
    <cellStyle name="Comma 2 7 8 2" xfId="31781" xr:uid="{00000000-0005-0000-0000-0000E45F0000}"/>
    <cellStyle name="Comma 2 7 9" xfId="22083" xr:uid="{00000000-0005-0000-0000-0000E55F0000}"/>
    <cellStyle name="Comma 2 8" xfId="1772" xr:uid="{00000000-0005-0000-0000-0000E65F0000}"/>
    <cellStyle name="Comma 2 9" xfId="1877" xr:uid="{00000000-0005-0000-0000-0000E75F0000}"/>
    <cellStyle name="Comma 2 9 2" xfId="2919" xr:uid="{00000000-0005-0000-0000-0000E85F0000}"/>
    <cellStyle name="Comma 2 9 2 2" xfId="5188" xr:uid="{00000000-0005-0000-0000-0000E95F0000}"/>
    <cellStyle name="Comma 2 9 2 2 2" xfId="9652" xr:uid="{00000000-0005-0000-0000-0000EA5F0000}"/>
    <cellStyle name="Comma 2 9 2 2 2 2" xfId="19648" xr:uid="{00000000-0005-0000-0000-0000EB5F0000}"/>
    <cellStyle name="Comma 2 9 2 2 2 2 2" xfId="39048" xr:uid="{00000000-0005-0000-0000-0000EC5F0000}"/>
    <cellStyle name="Comma 2 9 2 2 2 3" xfId="29350" xr:uid="{00000000-0005-0000-0000-0000ED5F0000}"/>
    <cellStyle name="Comma 2 9 2 2 3" xfId="15193" xr:uid="{00000000-0005-0000-0000-0000EE5F0000}"/>
    <cellStyle name="Comma 2 9 2 2 3 2" xfId="34593" xr:uid="{00000000-0005-0000-0000-0000EF5F0000}"/>
    <cellStyle name="Comma 2 9 2 2 4" xfId="24895" xr:uid="{00000000-0005-0000-0000-0000F05F0000}"/>
    <cellStyle name="Comma 2 9 2 3" xfId="7424" xr:uid="{00000000-0005-0000-0000-0000F15F0000}"/>
    <cellStyle name="Comma 2 9 2 3 2" xfId="17420" xr:uid="{00000000-0005-0000-0000-0000F25F0000}"/>
    <cellStyle name="Comma 2 9 2 3 2 2" xfId="36820" xr:uid="{00000000-0005-0000-0000-0000F35F0000}"/>
    <cellStyle name="Comma 2 9 2 3 3" xfId="27122" xr:uid="{00000000-0005-0000-0000-0000F45F0000}"/>
    <cellStyle name="Comma 2 9 2 4" xfId="12965" xr:uid="{00000000-0005-0000-0000-0000F55F0000}"/>
    <cellStyle name="Comma 2 9 2 4 2" xfId="32365" xr:uid="{00000000-0005-0000-0000-0000F65F0000}"/>
    <cellStyle name="Comma 2 9 2 5" xfId="22667" xr:uid="{00000000-0005-0000-0000-0000F75F0000}"/>
    <cellStyle name="Comma 2 9 3" xfId="3502" xr:uid="{00000000-0005-0000-0000-0000F85F0000}"/>
    <cellStyle name="Comma 2 9 3 2" xfId="4632" xr:uid="{00000000-0005-0000-0000-0000F95F0000}"/>
    <cellStyle name="Comma 2 9 3 2 2" xfId="9096" xr:uid="{00000000-0005-0000-0000-0000FA5F0000}"/>
    <cellStyle name="Comma 2 9 3 2 2 2" xfId="19092" xr:uid="{00000000-0005-0000-0000-0000FB5F0000}"/>
    <cellStyle name="Comma 2 9 3 2 2 2 2" xfId="38492" xr:uid="{00000000-0005-0000-0000-0000FC5F0000}"/>
    <cellStyle name="Comma 2 9 3 2 2 3" xfId="28794" xr:uid="{00000000-0005-0000-0000-0000FD5F0000}"/>
    <cellStyle name="Comma 2 9 3 2 3" xfId="14637" xr:uid="{00000000-0005-0000-0000-0000FE5F0000}"/>
    <cellStyle name="Comma 2 9 3 2 3 2" xfId="34037" xr:uid="{00000000-0005-0000-0000-0000FF5F0000}"/>
    <cellStyle name="Comma 2 9 3 2 4" xfId="24339" xr:uid="{00000000-0005-0000-0000-000000600000}"/>
    <cellStyle name="Comma 2 9 3 3" xfId="7981" xr:uid="{00000000-0005-0000-0000-000001600000}"/>
    <cellStyle name="Comma 2 9 3 3 2" xfId="17977" xr:uid="{00000000-0005-0000-0000-000002600000}"/>
    <cellStyle name="Comma 2 9 3 3 2 2" xfId="37377" xr:uid="{00000000-0005-0000-0000-000003600000}"/>
    <cellStyle name="Comma 2 9 3 3 3" xfId="27679" xr:uid="{00000000-0005-0000-0000-000004600000}"/>
    <cellStyle name="Comma 2 9 3 4" xfId="13522" xr:uid="{00000000-0005-0000-0000-000005600000}"/>
    <cellStyle name="Comma 2 9 3 4 2" xfId="32922" xr:uid="{00000000-0005-0000-0000-000006600000}"/>
    <cellStyle name="Comma 2 9 3 5" xfId="23224" xr:uid="{00000000-0005-0000-0000-000007600000}"/>
    <cellStyle name="Comma 2 9 4" xfId="4075" xr:uid="{00000000-0005-0000-0000-000008600000}"/>
    <cellStyle name="Comma 2 9 4 2" xfId="8539" xr:uid="{00000000-0005-0000-0000-000009600000}"/>
    <cellStyle name="Comma 2 9 4 2 2" xfId="18535" xr:uid="{00000000-0005-0000-0000-00000A600000}"/>
    <cellStyle name="Comma 2 9 4 2 2 2" xfId="37935" xr:uid="{00000000-0005-0000-0000-00000B600000}"/>
    <cellStyle name="Comma 2 9 4 2 3" xfId="28237" xr:uid="{00000000-0005-0000-0000-00000C600000}"/>
    <cellStyle name="Comma 2 9 4 3" xfId="14080" xr:uid="{00000000-0005-0000-0000-00000D600000}"/>
    <cellStyle name="Comma 2 9 4 3 2" xfId="33480" xr:uid="{00000000-0005-0000-0000-00000E600000}"/>
    <cellStyle name="Comma 2 9 4 4" xfId="23782" xr:uid="{00000000-0005-0000-0000-00000F600000}"/>
    <cellStyle name="Comma 2 9 5" xfId="5745" xr:uid="{00000000-0005-0000-0000-000010600000}"/>
    <cellStyle name="Comma 2 9 5 2" xfId="10209" xr:uid="{00000000-0005-0000-0000-000011600000}"/>
    <cellStyle name="Comma 2 9 5 2 2" xfId="20205" xr:uid="{00000000-0005-0000-0000-000012600000}"/>
    <cellStyle name="Comma 2 9 5 2 2 2" xfId="39605" xr:uid="{00000000-0005-0000-0000-000013600000}"/>
    <cellStyle name="Comma 2 9 5 2 3" xfId="29907" xr:uid="{00000000-0005-0000-0000-000014600000}"/>
    <cellStyle name="Comma 2 9 5 3" xfId="15750" xr:uid="{00000000-0005-0000-0000-000015600000}"/>
    <cellStyle name="Comma 2 9 5 3 2" xfId="35150" xr:uid="{00000000-0005-0000-0000-000016600000}"/>
    <cellStyle name="Comma 2 9 5 4" xfId="25452" xr:uid="{00000000-0005-0000-0000-000017600000}"/>
    <cellStyle name="Comma 2 9 6" xfId="6311" xr:uid="{00000000-0005-0000-0000-000018600000}"/>
    <cellStyle name="Comma 2 9 6 2" xfId="10766" xr:uid="{00000000-0005-0000-0000-000019600000}"/>
    <cellStyle name="Comma 2 9 6 2 2" xfId="20762" xr:uid="{00000000-0005-0000-0000-00001A600000}"/>
    <cellStyle name="Comma 2 9 6 2 2 2" xfId="40162" xr:uid="{00000000-0005-0000-0000-00001B600000}"/>
    <cellStyle name="Comma 2 9 6 2 3" xfId="30464" xr:uid="{00000000-0005-0000-0000-00001C600000}"/>
    <cellStyle name="Comma 2 9 6 3" xfId="16307" xr:uid="{00000000-0005-0000-0000-00001D600000}"/>
    <cellStyle name="Comma 2 9 6 3 2" xfId="35707" xr:uid="{00000000-0005-0000-0000-00001E600000}"/>
    <cellStyle name="Comma 2 9 6 4" xfId="26009" xr:uid="{00000000-0005-0000-0000-00001F600000}"/>
    <cellStyle name="Comma 2 9 7" xfId="6868" xr:uid="{00000000-0005-0000-0000-000020600000}"/>
    <cellStyle name="Comma 2 9 7 2" xfId="16864" xr:uid="{00000000-0005-0000-0000-000021600000}"/>
    <cellStyle name="Comma 2 9 7 2 2" xfId="36264" xr:uid="{00000000-0005-0000-0000-000022600000}"/>
    <cellStyle name="Comma 2 9 7 3" xfId="26566" xr:uid="{00000000-0005-0000-0000-000023600000}"/>
    <cellStyle name="Comma 2 9 8" xfId="12408" xr:uid="{00000000-0005-0000-0000-000024600000}"/>
    <cellStyle name="Comma 2 9 8 2" xfId="31809" xr:uid="{00000000-0005-0000-0000-000025600000}"/>
    <cellStyle name="Comma 2 9 9" xfId="22111" xr:uid="{00000000-0005-0000-0000-000026600000}"/>
    <cellStyle name="Comma 3" xfId="380" xr:uid="{00000000-0005-0000-0000-000027600000}"/>
    <cellStyle name="Comma 3 10" xfId="1399" xr:uid="{00000000-0005-0000-0000-000028600000}"/>
    <cellStyle name="Comma 3 11" xfId="1145" xr:uid="{00000000-0005-0000-0000-000029600000}"/>
    <cellStyle name="Comma 3 11 2" xfId="12364" xr:uid="{00000000-0005-0000-0000-00002A600000}"/>
    <cellStyle name="Comma 3 11 2 2" xfId="31766" xr:uid="{00000000-0005-0000-0000-00002B600000}"/>
    <cellStyle name="Comma 3 11 3" xfId="22068" xr:uid="{00000000-0005-0000-0000-00002C600000}"/>
    <cellStyle name="Comma 3 2" xfId="598" xr:uid="{00000000-0005-0000-0000-00002D600000}"/>
    <cellStyle name="Comma 3 2 2" xfId="769" xr:uid="{00000000-0005-0000-0000-00002E600000}"/>
    <cellStyle name="Comma 3 2 2 2" xfId="11704" xr:uid="{00000000-0005-0000-0000-00002F600000}"/>
    <cellStyle name="Comma 3 2 2 2 2" xfId="21417" xr:uid="{00000000-0005-0000-0000-000030600000}"/>
    <cellStyle name="Comma 3 2 2 2 2 2" xfId="40817" xr:uid="{00000000-0005-0000-0000-000031600000}"/>
    <cellStyle name="Comma 3 2 2 2 3" xfId="31119" xr:uid="{00000000-0005-0000-0000-000032600000}"/>
    <cellStyle name="Comma 3 2 2 3" xfId="1775" xr:uid="{00000000-0005-0000-0000-000033600000}"/>
    <cellStyle name="Comma 3 2 2 4" xfId="12069" xr:uid="{00000000-0005-0000-0000-000034600000}"/>
    <cellStyle name="Comma 3 2 2 4 2" xfId="31472" xr:uid="{00000000-0005-0000-0000-000035600000}"/>
    <cellStyle name="Comma 3 2 2 5" xfId="21774" xr:uid="{00000000-0005-0000-0000-000036600000}"/>
    <cellStyle name="Comma 3 2 3" xfId="1122" xr:uid="{00000000-0005-0000-0000-000037600000}"/>
    <cellStyle name="Comma 3 2 3 2" xfId="11987" xr:uid="{00000000-0005-0000-0000-000038600000}"/>
    <cellStyle name="Comma 3 2 3 2 2" xfId="21691" xr:uid="{00000000-0005-0000-0000-000039600000}"/>
    <cellStyle name="Comma 3 2 3 2 2 2" xfId="41091" xr:uid="{00000000-0005-0000-0000-00003A600000}"/>
    <cellStyle name="Comma 3 2 3 2 3" xfId="31393" xr:uid="{00000000-0005-0000-0000-00003B600000}"/>
    <cellStyle name="Comma 3 2 3 3" xfId="11326" xr:uid="{00000000-0005-0000-0000-00003C600000}"/>
    <cellStyle name="Comma 3 2 3 3 2" xfId="21311" xr:uid="{00000000-0005-0000-0000-00003D600000}"/>
    <cellStyle name="Comma 3 2 3 3 2 2" xfId="40711" xr:uid="{00000000-0005-0000-0000-00003E600000}"/>
    <cellStyle name="Comma 3 2 3 3 3" xfId="31013" xr:uid="{00000000-0005-0000-0000-00003F600000}"/>
    <cellStyle name="Comma 3 2 3 4" xfId="12343" xr:uid="{00000000-0005-0000-0000-000040600000}"/>
    <cellStyle name="Comma 3 2 3 4 2" xfId="31746" xr:uid="{00000000-0005-0000-0000-000041600000}"/>
    <cellStyle name="Comma 3 2 3 5" xfId="22048" xr:uid="{00000000-0005-0000-0000-000042600000}"/>
    <cellStyle name="Comma 3 2 4" xfId="11357" xr:uid="{00000000-0005-0000-0000-000043600000}"/>
    <cellStyle name="Comma 3 2 4 2" xfId="21338" xr:uid="{00000000-0005-0000-0000-000044600000}"/>
    <cellStyle name="Comma 3 2 4 2 2" xfId="40738" xr:uid="{00000000-0005-0000-0000-000045600000}"/>
    <cellStyle name="Comma 3 2 4 3" xfId="31040" xr:uid="{00000000-0005-0000-0000-000046600000}"/>
    <cellStyle name="Comma 3 2 5" xfId="1400" xr:uid="{00000000-0005-0000-0000-000047600000}"/>
    <cellStyle name="Comma 3 2 6" xfId="11593" xr:uid="{00000000-0005-0000-0000-000048600000}"/>
    <cellStyle name="Comma 3 2 7" xfId="1152" xr:uid="{00000000-0005-0000-0000-000049600000}"/>
    <cellStyle name="Comma 3 2 7 2" xfId="12371" xr:uid="{00000000-0005-0000-0000-00004A600000}"/>
    <cellStyle name="Comma 3 2 7 2 2" xfId="31773" xr:uid="{00000000-0005-0000-0000-00004B600000}"/>
    <cellStyle name="Comma 3 2 7 3" xfId="22075" xr:uid="{00000000-0005-0000-0000-00004C600000}"/>
    <cellStyle name="Comma 3 3" xfId="743" xr:uid="{00000000-0005-0000-0000-00004D600000}"/>
    <cellStyle name="Comma 3 3 2" xfId="2498" xr:uid="{00000000-0005-0000-0000-00004E600000}"/>
    <cellStyle name="Comma 3 3 3" xfId="2681" xr:uid="{00000000-0005-0000-0000-00004F600000}"/>
    <cellStyle name="Comma 3 3 4" xfId="11700" xr:uid="{00000000-0005-0000-0000-000050600000}"/>
    <cellStyle name="Comma 3 3 4 2" xfId="21413" xr:uid="{00000000-0005-0000-0000-000051600000}"/>
    <cellStyle name="Comma 3 3 4 2 2" xfId="40813" xr:uid="{00000000-0005-0000-0000-000052600000}"/>
    <cellStyle name="Comma 3 3 4 3" xfId="31115" xr:uid="{00000000-0005-0000-0000-000053600000}"/>
    <cellStyle name="Comma 3 3 5" xfId="1401" xr:uid="{00000000-0005-0000-0000-000054600000}"/>
    <cellStyle name="Comma 3 3 6" xfId="12065" xr:uid="{00000000-0005-0000-0000-000055600000}"/>
    <cellStyle name="Comma 3 3 6 2" xfId="31468" xr:uid="{00000000-0005-0000-0000-000056600000}"/>
    <cellStyle name="Comma 3 3 7" xfId="21770" xr:uid="{00000000-0005-0000-0000-000057600000}"/>
    <cellStyle name="Comma 3 4" xfId="971" xr:uid="{00000000-0005-0000-0000-000058600000}"/>
    <cellStyle name="Comma 3 4 2" xfId="2707" xr:uid="{00000000-0005-0000-0000-000059600000}"/>
    <cellStyle name="Comma 3 4 2 2" xfId="3430" xr:uid="{00000000-0005-0000-0000-00005A600000}"/>
    <cellStyle name="Comma 3 4 2 2 2" xfId="5698" xr:uid="{00000000-0005-0000-0000-00005B600000}"/>
    <cellStyle name="Comma 3 4 2 2 2 2" xfId="10162" xr:uid="{00000000-0005-0000-0000-00005C600000}"/>
    <cellStyle name="Comma 3 4 2 2 2 2 2" xfId="20158" xr:uid="{00000000-0005-0000-0000-00005D600000}"/>
    <cellStyle name="Comma 3 4 2 2 2 2 2 2" xfId="39558" xr:uid="{00000000-0005-0000-0000-00005E600000}"/>
    <cellStyle name="Comma 3 4 2 2 2 2 3" xfId="29860" xr:uid="{00000000-0005-0000-0000-00005F600000}"/>
    <cellStyle name="Comma 3 4 2 2 2 3" xfId="15703" xr:uid="{00000000-0005-0000-0000-000060600000}"/>
    <cellStyle name="Comma 3 4 2 2 2 3 2" xfId="35103" xr:uid="{00000000-0005-0000-0000-000061600000}"/>
    <cellStyle name="Comma 3 4 2 2 2 4" xfId="25405" xr:uid="{00000000-0005-0000-0000-000062600000}"/>
    <cellStyle name="Comma 3 4 2 2 3" xfId="7934" xr:uid="{00000000-0005-0000-0000-000063600000}"/>
    <cellStyle name="Comma 3 4 2 2 3 2" xfId="17930" xr:uid="{00000000-0005-0000-0000-000064600000}"/>
    <cellStyle name="Comma 3 4 2 2 3 2 2" xfId="37330" xr:uid="{00000000-0005-0000-0000-000065600000}"/>
    <cellStyle name="Comma 3 4 2 2 3 3" xfId="27632" xr:uid="{00000000-0005-0000-0000-000066600000}"/>
    <cellStyle name="Comma 3 4 2 2 4" xfId="13475" xr:uid="{00000000-0005-0000-0000-000067600000}"/>
    <cellStyle name="Comma 3 4 2 2 4 2" xfId="32875" xr:uid="{00000000-0005-0000-0000-000068600000}"/>
    <cellStyle name="Comma 3 4 2 2 5" xfId="23177" xr:uid="{00000000-0005-0000-0000-000069600000}"/>
    <cellStyle name="Comma 3 4 2 3" xfId="4013" xr:uid="{00000000-0005-0000-0000-00006A600000}"/>
    <cellStyle name="Comma 3 4 2 3 2" xfId="5142" xr:uid="{00000000-0005-0000-0000-00006B600000}"/>
    <cellStyle name="Comma 3 4 2 3 2 2" xfId="9606" xr:uid="{00000000-0005-0000-0000-00006C600000}"/>
    <cellStyle name="Comma 3 4 2 3 2 2 2" xfId="19602" xr:uid="{00000000-0005-0000-0000-00006D600000}"/>
    <cellStyle name="Comma 3 4 2 3 2 2 2 2" xfId="39002" xr:uid="{00000000-0005-0000-0000-00006E600000}"/>
    <cellStyle name="Comma 3 4 2 3 2 2 3" xfId="29304" xr:uid="{00000000-0005-0000-0000-00006F600000}"/>
    <cellStyle name="Comma 3 4 2 3 2 3" xfId="15147" xr:uid="{00000000-0005-0000-0000-000070600000}"/>
    <cellStyle name="Comma 3 4 2 3 2 3 2" xfId="34547" xr:uid="{00000000-0005-0000-0000-000071600000}"/>
    <cellStyle name="Comma 3 4 2 3 2 4" xfId="24849" xr:uid="{00000000-0005-0000-0000-000072600000}"/>
    <cellStyle name="Comma 3 4 2 3 3" xfId="8491" xr:uid="{00000000-0005-0000-0000-000073600000}"/>
    <cellStyle name="Comma 3 4 2 3 3 2" xfId="18487" xr:uid="{00000000-0005-0000-0000-000074600000}"/>
    <cellStyle name="Comma 3 4 2 3 3 2 2" xfId="37887" xr:uid="{00000000-0005-0000-0000-000075600000}"/>
    <cellStyle name="Comma 3 4 2 3 3 3" xfId="28189" xr:uid="{00000000-0005-0000-0000-000076600000}"/>
    <cellStyle name="Comma 3 4 2 3 4" xfId="14032" xr:uid="{00000000-0005-0000-0000-000077600000}"/>
    <cellStyle name="Comma 3 4 2 3 4 2" xfId="33432" xr:uid="{00000000-0005-0000-0000-000078600000}"/>
    <cellStyle name="Comma 3 4 2 3 5" xfId="23734" xr:uid="{00000000-0005-0000-0000-000079600000}"/>
    <cellStyle name="Comma 3 4 2 4" xfId="4585" xr:uid="{00000000-0005-0000-0000-00007A600000}"/>
    <cellStyle name="Comma 3 4 2 4 2" xfId="9049" xr:uid="{00000000-0005-0000-0000-00007B600000}"/>
    <cellStyle name="Comma 3 4 2 4 2 2" xfId="19045" xr:uid="{00000000-0005-0000-0000-00007C600000}"/>
    <cellStyle name="Comma 3 4 2 4 2 2 2" xfId="38445" xr:uid="{00000000-0005-0000-0000-00007D600000}"/>
    <cellStyle name="Comma 3 4 2 4 2 3" xfId="28747" xr:uid="{00000000-0005-0000-0000-00007E600000}"/>
    <cellStyle name="Comma 3 4 2 4 3" xfId="14590" xr:uid="{00000000-0005-0000-0000-00007F600000}"/>
    <cellStyle name="Comma 3 4 2 4 3 2" xfId="33990" xr:uid="{00000000-0005-0000-0000-000080600000}"/>
    <cellStyle name="Comma 3 4 2 4 4" xfId="24292" xr:uid="{00000000-0005-0000-0000-000081600000}"/>
    <cellStyle name="Comma 3 4 2 5" xfId="6255" xr:uid="{00000000-0005-0000-0000-000082600000}"/>
    <cellStyle name="Comma 3 4 2 5 2" xfId="10719" xr:uid="{00000000-0005-0000-0000-000083600000}"/>
    <cellStyle name="Comma 3 4 2 5 2 2" xfId="20715" xr:uid="{00000000-0005-0000-0000-000084600000}"/>
    <cellStyle name="Comma 3 4 2 5 2 2 2" xfId="40115" xr:uid="{00000000-0005-0000-0000-000085600000}"/>
    <cellStyle name="Comma 3 4 2 5 2 3" xfId="30417" xr:uid="{00000000-0005-0000-0000-000086600000}"/>
    <cellStyle name="Comma 3 4 2 5 3" xfId="16260" xr:uid="{00000000-0005-0000-0000-000087600000}"/>
    <cellStyle name="Comma 3 4 2 5 3 2" xfId="35660" xr:uid="{00000000-0005-0000-0000-000088600000}"/>
    <cellStyle name="Comma 3 4 2 5 4" xfId="25962" xr:uid="{00000000-0005-0000-0000-000089600000}"/>
    <cellStyle name="Comma 3 4 2 6" xfId="6821" xr:uid="{00000000-0005-0000-0000-00008A600000}"/>
    <cellStyle name="Comma 3 4 2 6 2" xfId="11276" xr:uid="{00000000-0005-0000-0000-00008B600000}"/>
    <cellStyle name="Comma 3 4 2 6 2 2" xfId="21272" xr:uid="{00000000-0005-0000-0000-00008C600000}"/>
    <cellStyle name="Comma 3 4 2 6 2 2 2" xfId="40672" xr:uid="{00000000-0005-0000-0000-00008D600000}"/>
    <cellStyle name="Comma 3 4 2 6 2 3" xfId="30974" xr:uid="{00000000-0005-0000-0000-00008E600000}"/>
    <cellStyle name="Comma 3 4 2 6 3" xfId="16817" xr:uid="{00000000-0005-0000-0000-00008F600000}"/>
    <cellStyle name="Comma 3 4 2 6 3 2" xfId="36217" xr:uid="{00000000-0005-0000-0000-000090600000}"/>
    <cellStyle name="Comma 3 4 2 6 4" xfId="26519" xr:uid="{00000000-0005-0000-0000-000091600000}"/>
    <cellStyle name="Comma 3 4 2 7" xfId="7378" xr:uid="{00000000-0005-0000-0000-000092600000}"/>
    <cellStyle name="Comma 3 4 2 7 2" xfId="17374" xr:uid="{00000000-0005-0000-0000-000093600000}"/>
    <cellStyle name="Comma 3 4 2 7 2 2" xfId="36774" xr:uid="{00000000-0005-0000-0000-000094600000}"/>
    <cellStyle name="Comma 3 4 2 7 3" xfId="27076" xr:uid="{00000000-0005-0000-0000-000095600000}"/>
    <cellStyle name="Comma 3 4 2 8" xfId="12919" xr:uid="{00000000-0005-0000-0000-000096600000}"/>
    <cellStyle name="Comma 3 4 2 8 2" xfId="32319" xr:uid="{00000000-0005-0000-0000-000097600000}"/>
    <cellStyle name="Comma 3 4 2 9" xfId="22621" xr:uid="{00000000-0005-0000-0000-000098600000}"/>
    <cellStyle name="Comma 3 4 3" xfId="11850" xr:uid="{00000000-0005-0000-0000-000099600000}"/>
    <cellStyle name="Comma 3 4 3 2" xfId="21554" xr:uid="{00000000-0005-0000-0000-00009A600000}"/>
    <cellStyle name="Comma 3 4 3 2 2" xfId="40954" xr:uid="{00000000-0005-0000-0000-00009B600000}"/>
    <cellStyle name="Comma 3 4 3 3" xfId="31256" xr:uid="{00000000-0005-0000-0000-00009C600000}"/>
    <cellStyle name="Comma 3 4 4" xfId="1402" xr:uid="{00000000-0005-0000-0000-00009D600000}"/>
    <cellStyle name="Comma 3 4 5" xfId="12206" xr:uid="{00000000-0005-0000-0000-00009E600000}"/>
    <cellStyle name="Comma 3 4 5 2" xfId="31609" xr:uid="{00000000-0005-0000-0000-00009F600000}"/>
    <cellStyle name="Comma 3 4 6" xfId="21911" xr:uid="{00000000-0005-0000-0000-0000A0600000}"/>
    <cellStyle name="Comma 3 5" xfId="1115" xr:uid="{00000000-0005-0000-0000-0000A1600000}"/>
    <cellStyle name="Comma 3 5 2" xfId="11980" xr:uid="{00000000-0005-0000-0000-0000A2600000}"/>
    <cellStyle name="Comma 3 5 2 2" xfId="21684" xr:uid="{00000000-0005-0000-0000-0000A3600000}"/>
    <cellStyle name="Comma 3 5 2 2 2" xfId="41084" xr:uid="{00000000-0005-0000-0000-0000A4600000}"/>
    <cellStyle name="Comma 3 5 2 3" xfId="31386" xr:uid="{00000000-0005-0000-0000-0000A5600000}"/>
    <cellStyle name="Comma 3 5 3" xfId="1774" xr:uid="{00000000-0005-0000-0000-0000A6600000}"/>
    <cellStyle name="Comma 3 5 4" xfId="12336" xr:uid="{00000000-0005-0000-0000-0000A7600000}"/>
    <cellStyle name="Comma 3 5 4 2" xfId="31739" xr:uid="{00000000-0005-0000-0000-0000A8600000}"/>
    <cellStyle name="Comma 3 5 5" xfId="22041" xr:uid="{00000000-0005-0000-0000-0000A9600000}"/>
    <cellStyle name="Comma 3 6" xfId="1878" xr:uid="{00000000-0005-0000-0000-0000AA600000}"/>
    <cellStyle name="Comma 3 6 2" xfId="2920" xr:uid="{00000000-0005-0000-0000-0000AB600000}"/>
    <cellStyle name="Comma 3 6 2 2" xfId="5189" xr:uid="{00000000-0005-0000-0000-0000AC600000}"/>
    <cellStyle name="Comma 3 6 2 2 2" xfId="9653" xr:uid="{00000000-0005-0000-0000-0000AD600000}"/>
    <cellStyle name="Comma 3 6 2 2 2 2" xfId="19649" xr:uid="{00000000-0005-0000-0000-0000AE600000}"/>
    <cellStyle name="Comma 3 6 2 2 2 2 2" xfId="39049" xr:uid="{00000000-0005-0000-0000-0000AF600000}"/>
    <cellStyle name="Comma 3 6 2 2 2 3" xfId="29351" xr:uid="{00000000-0005-0000-0000-0000B0600000}"/>
    <cellStyle name="Comma 3 6 2 2 3" xfId="15194" xr:uid="{00000000-0005-0000-0000-0000B1600000}"/>
    <cellStyle name="Comma 3 6 2 2 3 2" xfId="34594" xr:uid="{00000000-0005-0000-0000-0000B2600000}"/>
    <cellStyle name="Comma 3 6 2 2 4" xfId="24896" xr:uid="{00000000-0005-0000-0000-0000B3600000}"/>
    <cellStyle name="Comma 3 6 2 3" xfId="7425" xr:uid="{00000000-0005-0000-0000-0000B4600000}"/>
    <cellStyle name="Comma 3 6 2 3 2" xfId="17421" xr:uid="{00000000-0005-0000-0000-0000B5600000}"/>
    <cellStyle name="Comma 3 6 2 3 2 2" xfId="36821" xr:uid="{00000000-0005-0000-0000-0000B6600000}"/>
    <cellStyle name="Comma 3 6 2 3 3" xfId="27123" xr:uid="{00000000-0005-0000-0000-0000B7600000}"/>
    <cellStyle name="Comma 3 6 2 4" xfId="12966" xr:uid="{00000000-0005-0000-0000-0000B8600000}"/>
    <cellStyle name="Comma 3 6 2 4 2" xfId="32366" xr:uid="{00000000-0005-0000-0000-0000B9600000}"/>
    <cellStyle name="Comma 3 6 2 5" xfId="22668" xr:uid="{00000000-0005-0000-0000-0000BA600000}"/>
    <cellStyle name="Comma 3 6 3" xfId="3503" xr:uid="{00000000-0005-0000-0000-0000BB600000}"/>
    <cellStyle name="Comma 3 6 3 2" xfId="4633" xr:uid="{00000000-0005-0000-0000-0000BC600000}"/>
    <cellStyle name="Comma 3 6 3 2 2" xfId="9097" xr:uid="{00000000-0005-0000-0000-0000BD600000}"/>
    <cellStyle name="Comma 3 6 3 2 2 2" xfId="19093" xr:uid="{00000000-0005-0000-0000-0000BE600000}"/>
    <cellStyle name="Comma 3 6 3 2 2 2 2" xfId="38493" xr:uid="{00000000-0005-0000-0000-0000BF600000}"/>
    <cellStyle name="Comma 3 6 3 2 2 3" xfId="28795" xr:uid="{00000000-0005-0000-0000-0000C0600000}"/>
    <cellStyle name="Comma 3 6 3 2 3" xfId="14638" xr:uid="{00000000-0005-0000-0000-0000C1600000}"/>
    <cellStyle name="Comma 3 6 3 2 3 2" xfId="34038" xr:uid="{00000000-0005-0000-0000-0000C2600000}"/>
    <cellStyle name="Comma 3 6 3 2 4" xfId="24340" xr:uid="{00000000-0005-0000-0000-0000C3600000}"/>
    <cellStyle name="Comma 3 6 3 3" xfId="7982" xr:uid="{00000000-0005-0000-0000-0000C4600000}"/>
    <cellStyle name="Comma 3 6 3 3 2" xfId="17978" xr:uid="{00000000-0005-0000-0000-0000C5600000}"/>
    <cellStyle name="Comma 3 6 3 3 2 2" xfId="37378" xr:uid="{00000000-0005-0000-0000-0000C6600000}"/>
    <cellStyle name="Comma 3 6 3 3 3" xfId="27680" xr:uid="{00000000-0005-0000-0000-0000C7600000}"/>
    <cellStyle name="Comma 3 6 3 4" xfId="13523" xr:uid="{00000000-0005-0000-0000-0000C8600000}"/>
    <cellStyle name="Comma 3 6 3 4 2" xfId="32923" xr:uid="{00000000-0005-0000-0000-0000C9600000}"/>
    <cellStyle name="Comma 3 6 3 5" xfId="23225" xr:uid="{00000000-0005-0000-0000-0000CA600000}"/>
    <cellStyle name="Comma 3 6 4" xfId="4076" xr:uid="{00000000-0005-0000-0000-0000CB600000}"/>
    <cellStyle name="Comma 3 6 4 2" xfId="8540" xr:uid="{00000000-0005-0000-0000-0000CC600000}"/>
    <cellStyle name="Comma 3 6 4 2 2" xfId="18536" xr:uid="{00000000-0005-0000-0000-0000CD600000}"/>
    <cellStyle name="Comma 3 6 4 2 2 2" xfId="37936" xr:uid="{00000000-0005-0000-0000-0000CE600000}"/>
    <cellStyle name="Comma 3 6 4 2 3" xfId="28238" xr:uid="{00000000-0005-0000-0000-0000CF600000}"/>
    <cellStyle name="Comma 3 6 4 3" xfId="14081" xr:uid="{00000000-0005-0000-0000-0000D0600000}"/>
    <cellStyle name="Comma 3 6 4 3 2" xfId="33481" xr:uid="{00000000-0005-0000-0000-0000D1600000}"/>
    <cellStyle name="Comma 3 6 4 4" xfId="23783" xr:uid="{00000000-0005-0000-0000-0000D2600000}"/>
    <cellStyle name="Comma 3 6 5" xfId="5746" xr:uid="{00000000-0005-0000-0000-0000D3600000}"/>
    <cellStyle name="Comma 3 6 5 2" xfId="10210" xr:uid="{00000000-0005-0000-0000-0000D4600000}"/>
    <cellStyle name="Comma 3 6 5 2 2" xfId="20206" xr:uid="{00000000-0005-0000-0000-0000D5600000}"/>
    <cellStyle name="Comma 3 6 5 2 2 2" xfId="39606" xr:uid="{00000000-0005-0000-0000-0000D6600000}"/>
    <cellStyle name="Comma 3 6 5 2 3" xfId="29908" xr:uid="{00000000-0005-0000-0000-0000D7600000}"/>
    <cellStyle name="Comma 3 6 5 3" xfId="15751" xr:uid="{00000000-0005-0000-0000-0000D8600000}"/>
    <cellStyle name="Comma 3 6 5 3 2" xfId="35151" xr:uid="{00000000-0005-0000-0000-0000D9600000}"/>
    <cellStyle name="Comma 3 6 5 4" xfId="25453" xr:uid="{00000000-0005-0000-0000-0000DA600000}"/>
    <cellStyle name="Comma 3 6 6" xfId="6312" xr:uid="{00000000-0005-0000-0000-0000DB600000}"/>
    <cellStyle name="Comma 3 6 6 2" xfId="10767" xr:uid="{00000000-0005-0000-0000-0000DC600000}"/>
    <cellStyle name="Comma 3 6 6 2 2" xfId="20763" xr:uid="{00000000-0005-0000-0000-0000DD600000}"/>
    <cellStyle name="Comma 3 6 6 2 2 2" xfId="40163" xr:uid="{00000000-0005-0000-0000-0000DE600000}"/>
    <cellStyle name="Comma 3 6 6 2 3" xfId="30465" xr:uid="{00000000-0005-0000-0000-0000DF600000}"/>
    <cellStyle name="Comma 3 6 6 3" xfId="16308" xr:uid="{00000000-0005-0000-0000-0000E0600000}"/>
    <cellStyle name="Comma 3 6 6 3 2" xfId="35708" xr:uid="{00000000-0005-0000-0000-0000E1600000}"/>
    <cellStyle name="Comma 3 6 6 4" xfId="26010" xr:uid="{00000000-0005-0000-0000-0000E2600000}"/>
    <cellStyle name="Comma 3 6 7" xfId="6869" xr:uid="{00000000-0005-0000-0000-0000E3600000}"/>
    <cellStyle name="Comma 3 6 7 2" xfId="16865" xr:uid="{00000000-0005-0000-0000-0000E4600000}"/>
    <cellStyle name="Comma 3 6 7 2 2" xfId="36265" xr:uid="{00000000-0005-0000-0000-0000E5600000}"/>
    <cellStyle name="Comma 3 6 7 3" xfId="26567" xr:uid="{00000000-0005-0000-0000-0000E6600000}"/>
    <cellStyle name="Comma 3 6 8" xfId="12409" xr:uid="{00000000-0005-0000-0000-0000E7600000}"/>
    <cellStyle name="Comma 3 6 8 2" xfId="31810" xr:uid="{00000000-0005-0000-0000-0000E8600000}"/>
    <cellStyle name="Comma 3 6 9" xfId="22112" xr:uid="{00000000-0005-0000-0000-0000E9600000}"/>
    <cellStyle name="Comma 3 7" xfId="3461" xr:uid="{00000000-0005-0000-0000-0000EA600000}"/>
    <cellStyle name="Comma 3 8" xfId="11319" xr:uid="{00000000-0005-0000-0000-0000EB600000}"/>
    <cellStyle name="Comma 3 8 2" xfId="21304" xr:uid="{00000000-0005-0000-0000-0000EC600000}"/>
    <cellStyle name="Comma 3 8 2 2" xfId="40704" xr:uid="{00000000-0005-0000-0000-0000ED600000}"/>
    <cellStyle name="Comma 3 8 3" xfId="31006" xr:uid="{00000000-0005-0000-0000-0000EE600000}"/>
    <cellStyle name="Comma 3 9" xfId="11349" xr:uid="{00000000-0005-0000-0000-0000EF600000}"/>
    <cellStyle name="Comma 3 9 2" xfId="21331" xr:uid="{00000000-0005-0000-0000-0000F0600000}"/>
    <cellStyle name="Comma 3 9 2 2" xfId="40731" xr:uid="{00000000-0005-0000-0000-0000F1600000}"/>
    <cellStyle name="Comma 3 9 3" xfId="31033" xr:uid="{00000000-0005-0000-0000-0000F2600000}"/>
    <cellStyle name="Comma 4" xfId="599" xr:uid="{00000000-0005-0000-0000-0000F3600000}"/>
    <cellStyle name="Comma 4 10" xfId="11594" xr:uid="{00000000-0005-0000-0000-0000F4600000}"/>
    <cellStyle name="Comma 4 10 2" xfId="21344" xr:uid="{00000000-0005-0000-0000-0000F5600000}"/>
    <cellStyle name="Comma 4 10 2 2" xfId="40744" xr:uid="{00000000-0005-0000-0000-0000F6600000}"/>
    <cellStyle name="Comma 4 10 3" xfId="31046" xr:uid="{00000000-0005-0000-0000-0000F7600000}"/>
    <cellStyle name="Comma 4 11" xfId="1150" xr:uid="{00000000-0005-0000-0000-0000F8600000}"/>
    <cellStyle name="Comma 4 11 2" xfId="12369" xr:uid="{00000000-0005-0000-0000-0000F9600000}"/>
    <cellStyle name="Comma 4 11 2 2" xfId="31771" xr:uid="{00000000-0005-0000-0000-0000FA600000}"/>
    <cellStyle name="Comma 4 11 3" xfId="22073" xr:uid="{00000000-0005-0000-0000-0000FB600000}"/>
    <cellStyle name="Comma 4 12" xfId="11996" xr:uid="{00000000-0005-0000-0000-0000FC600000}"/>
    <cellStyle name="Comma 4 12 2" xfId="31399" xr:uid="{00000000-0005-0000-0000-0000FD600000}"/>
    <cellStyle name="Comma 4 13" xfId="21701" xr:uid="{00000000-0005-0000-0000-0000FE600000}"/>
    <cellStyle name="Comma 4 2" xfId="619" xr:uid="{00000000-0005-0000-0000-0000FF600000}"/>
    <cellStyle name="Comma 4 2 2" xfId="656" xr:uid="{00000000-0005-0000-0000-000000610000}"/>
    <cellStyle name="Comma 4 2 2 2" xfId="835" xr:uid="{00000000-0005-0000-0000-000001610000}"/>
    <cellStyle name="Comma 4 2 2 2 2" xfId="11754" xr:uid="{00000000-0005-0000-0000-000002610000}"/>
    <cellStyle name="Comma 4 2 2 2 2 2" xfId="21463" xr:uid="{00000000-0005-0000-0000-000003610000}"/>
    <cellStyle name="Comma 4 2 2 2 2 2 2" xfId="40863" xr:uid="{00000000-0005-0000-0000-000004610000}"/>
    <cellStyle name="Comma 4 2 2 2 2 3" xfId="31165" xr:uid="{00000000-0005-0000-0000-000005610000}"/>
    <cellStyle name="Comma 4 2 2 2 3" xfId="12115" xr:uid="{00000000-0005-0000-0000-000006610000}"/>
    <cellStyle name="Comma 4 2 2 2 3 2" xfId="31518" xr:uid="{00000000-0005-0000-0000-000007610000}"/>
    <cellStyle name="Comma 4 2 2 2 4" xfId="21820" xr:uid="{00000000-0005-0000-0000-000008610000}"/>
    <cellStyle name="Comma 4 2 2 3" xfId="905" xr:uid="{00000000-0005-0000-0000-000009610000}"/>
    <cellStyle name="Comma 4 2 2 3 2" xfId="11812" xr:uid="{00000000-0005-0000-0000-00000A610000}"/>
    <cellStyle name="Comma 4 2 2 3 2 2" xfId="21519" xr:uid="{00000000-0005-0000-0000-00000B610000}"/>
    <cellStyle name="Comma 4 2 2 3 2 2 2" xfId="40919" xr:uid="{00000000-0005-0000-0000-00000C610000}"/>
    <cellStyle name="Comma 4 2 2 3 2 3" xfId="31221" xr:uid="{00000000-0005-0000-0000-00000D610000}"/>
    <cellStyle name="Comma 4 2 2 3 3" xfId="12171" xr:uid="{00000000-0005-0000-0000-00000E610000}"/>
    <cellStyle name="Comma 4 2 2 3 3 2" xfId="31574" xr:uid="{00000000-0005-0000-0000-00000F610000}"/>
    <cellStyle name="Comma 4 2 2 3 4" xfId="21876" xr:uid="{00000000-0005-0000-0000-000010610000}"/>
    <cellStyle name="Comma 4 2 2 4" xfId="11642" xr:uid="{00000000-0005-0000-0000-000011610000}"/>
    <cellStyle name="Comma 4 2 2 4 2" xfId="21382" xr:uid="{00000000-0005-0000-0000-000012610000}"/>
    <cellStyle name="Comma 4 2 2 4 2 2" xfId="40782" xr:uid="{00000000-0005-0000-0000-000013610000}"/>
    <cellStyle name="Comma 4 2 2 4 3" xfId="31084" xr:uid="{00000000-0005-0000-0000-000014610000}"/>
    <cellStyle name="Comma 4 2 2 5" xfId="2682" xr:uid="{00000000-0005-0000-0000-000015610000}"/>
    <cellStyle name="Comma 4 2 2 6" xfId="12034" xr:uid="{00000000-0005-0000-0000-000016610000}"/>
    <cellStyle name="Comma 4 2 2 6 2" xfId="31437" xr:uid="{00000000-0005-0000-0000-000017610000}"/>
    <cellStyle name="Comma 4 2 2 7" xfId="21739" xr:uid="{00000000-0005-0000-0000-000018610000}"/>
    <cellStyle name="Comma 4 2 3" xfId="802" xr:uid="{00000000-0005-0000-0000-000019610000}"/>
    <cellStyle name="Comma 4 2 3 2" xfId="11723" xr:uid="{00000000-0005-0000-0000-00001A610000}"/>
    <cellStyle name="Comma 4 2 3 2 2" xfId="21433" xr:uid="{00000000-0005-0000-0000-00001B610000}"/>
    <cellStyle name="Comma 4 2 3 2 2 2" xfId="40833" xr:uid="{00000000-0005-0000-0000-00001C610000}"/>
    <cellStyle name="Comma 4 2 3 2 3" xfId="31135" xr:uid="{00000000-0005-0000-0000-00001D610000}"/>
    <cellStyle name="Comma 4 2 3 3" xfId="12085" xr:uid="{00000000-0005-0000-0000-00001E610000}"/>
    <cellStyle name="Comma 4 2 3 3 2" xfId="31488" xr:uid="{00000000-0005-0000-0000-00001F610000}"/>
    <cellStyle name="Comma 4 2 3 4" xfId="21790" xr:uid="{00000000-0005-0000-0000-000020610000}"/>
    <cellStyle name="Comma 4 2 4" xfId="875" xr:uid="{00000000-0005-0000-0000-000021610000}"/>
    <cellStyle name="Comma 4 2 4 2" xfId="11782" xr:uid="{00000000-0005-0000-0000-000022610000}"/>
    <cellStyle name="Comma 4 2 4 2 2" xfId="21489" xr:uid="{00000000-0005-0000-0000-000023610000}"/>
    <cellStyle name="Comma 4 2 4 2 2 2" xfId="40889" xr:uid="{00000000-0005-0000-0000-000024610000}"/>
    <cellStyle name="Comma 4 2 4 2 3" xfId="31191" xr:uid="{00000000-0005-0000-0000-000025610000}"/>
    <cellStyle name="Comma 4 2 4 3" xfId="12141" xr:uid="{00000000-0005-0000-0000-000026610000}"/>
    <cellStyle name="Comma 4 2 4 3 2" xfId="31544" xr:uid="{00000000-0005-0000-0000-000027610000}"/>
    <cellStyle name="Comma 4 2 4 4" xfId="21846" xr:uid="{00000000-0005-0000-0000-000028610000}"/>
    <cellStyle name="Comma 4 2 5" xfId="11605" xr:uid="{00000000-0005-0000-0000-000029610000}"/>
    <cellStyle name="Comma 4 2 5 2" xfId="21352" xr:uid="{00000000-0005-0000-0000-00002A610000}"/>
    <cellStyle name="Comma 4 2 5 2 2" xfId="40752" xr:uid="{00000000-0005-0000-0000-00002B610000}"/>
    <cellStyle name="Comma 4 2 5 3" xfId="31054" xr:uid="{00000000-0005-0000-0000-00002C610000}"/>
    <cellStyle name="Comma 4 2 6" xfId="1404" xr:uid="{00000000-0005-0000-0000-00002D610000}"/>
    <cellStyle name="Comma 4 2 7" xfId="12004" xr:uid="{00000000-0005-0000-0000-00002E610000}"/>
    <cellStyle name="Comma 4 2 7 2" xfId="31407" xr:uid="{00000000-0005-0000-0000-00002F610000}"/>
    <cellStyle name="Comma 4 2 8" xfId="21709" xr:uid="{00000000-0005-0000-0000-000030610000}"/>
    <cellStyle name="Comma 4 3" xfId="627" xr:uid="{00000000-0005-0000-0000-000031610000}"/>
    <cellStyle name="Comma 4 3 2" xfId="664" xr:uid="{00000000-0005-0000-0000-000032610000}"/>
    <cellStyle name="Comma 4 3 2 10" xfId="12042" xr:uid="{00000000-0005-0000-0000-000033610000}"/>
    <cellStyle name="Comma 4 3 2 10 2" xfId="31445" xr:uid="{00000000-0005-0000-0000-000034610000}"/>
    <cellStyle name="Comma 4 3 2 11" xfId="21747" xr:uid="{00000000-0005-0000-0000-000035610000}"/>
    <cellStyle name="Comma 4 3 2 2" xfId="843" xr:uid="{00000000-0005-0000-0000-000036610000}"/>
    <cellStyle name="Comma 4 3 2 2 2" xfId="5702" xr:uid="{00000000-0005-0000-0000-000037610000}"/>
    <cellStyle name="Comma 4 3 2 2 2 2" xfId="10166" xr:uid="{00000000-0005-0000-0000-000038610000}"/>
    <cellStyle name="Comma 4 3 2 2 2 2 2" xfId="20162" xr:uid="{00000000-0005-0000-0000-000039610000}"/>
    <cellStyle name="Comma 4 3 2 2 2 2 2 2" xfId="39562" xr:uid="{00000000-0005-0000-0000-00003A610000}"/>
    <cellStyle name="Comma 4 3 2 2 2 2 3" xfId="29864" xr:uid="{00000000-0005-0000-0000-00003B610000}"/>
    <cellStyle name="Comma 4 3 2 2 2 3" xfId="15707" xr:uid="{00000000-0005-0000-0000-00003C610000}"/>
    <cellStyle name="Comma 4 3 2 2 2 3 2" xfId="35107" xr:uid="{00000000-0005-0000-0000-00003D610000}"/>
    <cellStyle name="Comma 4 3 2 2 2 4" xfId="25409" xr:uid="{00000000-0005-0000-0000-00003E610000}"/>
    <cellStyle name="Comma 4 3 2 2 3" xfId="7938" xr:uid="{00000000-0005-0000-0000-00003F610000}"/>
    <cellStyle name="Comma 4 3 2 2 3 2" xfId="17934" xr:uid="{00000000-0005-0000-0000-000040610000}"/>
    <cellStyle name="Comma 4 3 2 2 3 2 2" xfId="37334" xr:uid="{00000000-0005-0000-0000-000041610000}"/>
    <cellStyle name="Comma 4 3 2 2 3 3" xfId="27636" xr:uid="{00000000-0005-0000-0000-000042610000}"/>
    <cellStyle name="Comma 4 3 2 2 4" xfId="11762" xr:uid="{00000000-0005-0000-0000-000043610000}"/>
    <cellStyle name="Comma 4 3 2 2 4 2" xfId="21471" xr:uid="{00000000-0005-0000-0000-000044610000}"/>
    <cellStyle name="Comma 4 3 2 2 4 2 2" xfId="40871" xr:uid="{00000000-0005-0000-0000-000045610000}"/>
    <cellStyle name="Comma 4 3 2 2 4 3" xfId="31173" xr:uid="{00000000-0005-0000-0000-000046610000}"/>
    <cellStyle name="Comma 4 3 2 2 5" xfId="3434" xr:uid="{00000000-0005-0000-0000-000047610000}"/>
    <cellStyle name="Comma 4 3 2 2 5 2" xfId="13479" xr:uid="{00000000-0005-0000-0000-000048610000}"/>
    <cellStyle name="Comma 4 3 2 2 5 2 2" xfId="32879" xr:uid="{00000000-0005-0000-0000-000049610000}"/>
    <cellStyle name="Comma 4 3 2 2 5 3" xfId="23181" xr:uid="{00000000-0005-0000-0000-00004A610000}"/>
    <cellStyle name="Comma 4 3 2 2 6" xfId="12123" xr:uid="{00000000-0005-0000-0000-00004B610000}"/>
    <cellStyle name="Comma 4 3 2 2 6 2" xfId="31526" xr:uid="{00000000-0005-0000-0000-00004C610000}"/>
    <cellStyle name="Comma 4 3 2 2 7" xfId="21828" xr:uid="{00000000-0005-0000-0000-00004D610000}"/>
    <cellStyle name="Comma 4 3 2 3" xfId="913" xr:uid="{00000000-0005-0000-0000-00004E610000}"/>
    <cellStyle name="Comma 4 3 2 3 2" xfId="5146" xr:uid="{00000000-0005-0000-0000-00004F610000}"/>
    <cellStyle name="Comma 4 3 2 3 2 2" xfId="9610" xr:uid="{00000000-0005-0000-0000-000050610000}"/>
    <cellStyle name="Comma 4 3 2 3 2 2 2" xfId="19606" xr:uid="{00000000-0005-0000-0000-000051610000}"/>
    <cellStyle name="Comma 4 3 2 3 2 2 2 2" xfId="39006" xr:uid="{00000000-0005-0000-0000-000052610000}"/>
    <cellStyle name="Comma 4 3 2 3 2 2 3" xfId="29308" xr:uid="{00000000-0005-0000-0000-000053610000}"/>
    <cellStyle name="Comma 4 3 2 3 2 3" xfId="15151" xr:uid="{00000000-0005-0000-0000-000054610000}"/>
    <cellStyle name="Comma 4 3 2 3 2 3 2" xfId="34551" xr:uid="{00000000-0005-0000-0000-000055610000}"/>
    <cellStyle name="Comma 4 3 2 3 2 4" xfId="24853" xr:uid="{00000000-0005-0000-0000-000056610000}"/>
    <cellStyle name="Comma 4 3 2 3 3" xfId="8495" xr:uid="{00000000-0005-0000-0000-000057610000}"/>
    <cellStyle name="Comma 4 3 2 3 3 2" xfId="18491" xr:uid="{00000000-0005-0000-0000-000058610000}"/>
    <cellStyle name="Comma 4 3 2 3 3 2 2" xfId="37891" xr:uid="{00000000-0005-0000-0000-000059610000}"/>
    <cellStyle name="Comma 4 3 2 3 3 3" xfId="28193" xr:uid="{00000000-0005-0000-0000-00005A610000}"/>
    <cellStyle name="Comma 4 3 2 3 4" xfId="11820" xr:uid="{00000000-0005-0000-0000-00005B610000}"/>
    <cellStyle name="Comma 4 3 2 3 4 2" xfId="21527" xr:uid="{00000000-0005-0000-0000-00005C610000}"/>
    <cellStyle name="Comma 4 3 2 3 4 2 2" xfId="40927" xr:uid="{00000000-0005-0000-0000-00005D610000}"/>
    <cellStyle name="Comma 4 3 2 3 4 3" xfId="31229" xr:uid="{00000000-0005-0000-0000-00005E610000}"/>
    <cellStyle name="Comma 4 3 2 3 5" xfId="4017" xr:uid="{00000000-0005-0000-0000-00005F610000}"/>
    <cellStyle name="Comma 4 3 2 3 5 2" xfId="14036" xr:uid="{00000000-0005-0000-0000-000060610000}"/>
    <cellStyle name="Comma 4 3 2 3 5 2 2" xfId="33436" xr:uid="{00000000-0005-0000-0000-000061610000}"/>
    <cellStyle name="Comma 4 3 2 3 5 3" xfId="23738" xr:uid="{00000000-0005-0000-0000-000062610000}"/>
    <cellStyle name="Comma 4 3 2 3 6" xfId="12179" xr:uid="{00000000-0005-0000-0000-000063610000}"/>
    <cellStyle name="Comma 4 3 2 3 6 2" xfId="31582" xr:uid="{00000000-0005-0000-0000-000064610000}"/>
    <cellStyle name="Comma 4 3 2 3 7" xfId="21884" xr:uid="{00000000-0005-0000-0000-000065610000}"/>
    <cellStyle name="Comma 4 3 2 4" xfId="4589" xr:uid="{00000000-0005-0000-0000-000066610000}"/>
    <cellStyle name="Comma 4 3 2 4 2" xfId="9053" xr:uid="{00000000-0005-0000-0000-000067610000}"/>
    <cellStyle name="Comma 4 3 2 4 2 2" xfId="19049" xr:uid="{00000000-0005-0000-0000-000068610000}"/>
    <cellStyle name="Comma 4 3 2 4 2 2 2" xfId="38449" xr:uid="{00000000-0005-0000-0000-000069610000}"/>
    <cellStyle name="Comma 4 3 2 4 2 3" xfId="28751" xr:uid="{00000000-0005-0000-0000-00006A610000}"/>
    <cellStyle name="Comma 4 3 2 4 3" xfId="14594" xr:uid="{00000000-0005-0000-0000-00006B610000}"/>
    <cellStyle name="Comma 4 3 2 4 3 2" xfId="33994" xr:uid="{00000000-0005-0000-0000-00006C610000}"/>
    <cellStyle name="Comma 4 3 2 4 4" xfId="24296" xr:uid="{00000000-0005-0000-0000-00006D610000}"/>
    <cellStyle name="Comma 4 3 2 5" xfId="6259" xr:uid="{00000000-0005-0000-0000-00006E610000}"/>
    <cellStyle name="Comma 4 3 2 5 2" xfId="10723" xr:uid="{00000000-0005-0000-0000-00006F610000}"/>
    <cellStyle name="Comma 4 3 2 5 2 2" xfId="20719" xr:uid="{00000000-0005-0000-0000-000070610000}"/>
    <cellStyle name="Comma 4 3 2 5 2 2 2" xfId="40119" xr:uid="{00000000-0005-0000-0000-000071610000}"/>
    <cellStyle name="Comma 4 3 2 5 2 3" xfId="30421" xr:uid="{00000000-0005-0000-0000-000072610000}"/>
    <cellStyle name="Comma 4 3 2 5 3" xfId="16264" xr:uid="{00000000-0005-0000-0000-000073610000}"/>
    <cellStyle name="Comma 4 3 2 5 3 2" xfId="35664" xr:uid="{00000000-0005-0000-0000-000074610000}"/>
    <cellStyle name="Comma 4 3 2 5 4" xfId="25966" xr:uid="{00000000-0005-0000-0000-000075610000}"/>
    <cellStyle name="Comma 4 3 2 6" xfId="6825" xr:uid="{00000000-0005-0000-0000-000076610000}"/>
    <cellStyle name="Comma 4 3 2 6 2" xfId="11280" xr:uid="{00000000-0005-0000-0000-000077610000}"/>
    <cellStyle name="Comma 4 3 2 6 2 2" xfId="21276" xr:uid="{00000000-0005-0000-0000-000078610000}"/>
    <cellStyle name="Comma 4 3 2 6 2 2 2" xfId="40676" xr:uid="{00000000-0005-0000-0000-000079610000}"/>
    <cellStyle name="Comma 4 3 2 6 2 3" xfId="30978" xr:uid="{00000000-0005-0000-0000-00007A610000}"/>
    <cellStyle name="Comma 4 3 2 6 3" xfId="16821" xr:uid="{00000000-0005-0000-0000-00007B610000}"/>
    <cellStyle name="Comma 4 3 2 6 3 2" xfId="36221" xr:uid="{00000000-0005-0000-0000-00007C610000}"/>
    <cellStyle name="Comma 4 3 2 6 4" xfId="26523" xr:uid="{00000000-0005-0000-0000-00007D610000}"/>
    <cellStyle name="Comma 4 3 2 7" xfId="7382" xr:uid="{00000000-0005-0000-0000-00007E610000}"/>
    <cellStyle name="Comma 4 3 2 7 2" xfId="17378" xr:uid="{00000000-0005-0000-0000-00007F610000}"/>
    <cellStyle name="Comma 4 3 2 7 2 2" xfId="36778" xr:uid="{00000000-0005-0000-0000-000080610000}"/>
    <cellStyle name="Comma 4 3 2 7 3" xfId="27080" xr:uid="{00000000-0005-0000-0000-000081610000}"/>
    <cellStyle name="Comma 4 3 2 8" xfId="11650" xr:uid="{00000000-0005-0000-0000-000082610000}"/>
    <cellStyle name="Comma 4 3 2 8 2" xfId="21390" xr:uid="{00000000-0005-0000-0000-000083610000}"/>
    <cellStyle name="Comma 4 3 2 8 2 2" xfId="40790" xr:uid="{00000000-0005-0000-0000-000084610000}"/>
    <cellStyle name="Comma 4 3 2 8 3" xfId="31092" xr:uid="{00000000-0005-0000-0000-000085610000}"/>
    <cellStyle name="Comma 4 3 2 9" xfId="2711" xr:uid="{00000000-0005-0000-0000-000086610000}"/>
    <cellStyle name="Comma 4 3 2 9 2" xfId="12923" xr:uid="{00000000-0005-0000-0000-000087610000}"/>
    <cellStyle name="Comma 4 3 2 9 2 2" xfId="32323" xr:uid="{00000000-0005-0000-0000-000088610000}"/>
    <cellStyle name="Comma 4 3 2 9 3" xfId="22625" xr:uid="{00000000-0005-0000-0000-000089610000}"/>
    <cellStyle name="Comma 4 3 3" xfId="810" xr:uid="{00000000-0005-0000-0000-00008A610000}"/>
    <cellStyle name="Comma 4 3 3 2" xfId="11731" xr:uid="{00000000-0005-0000-0000-00008B610000}"/>
    <cellStyle name="Comma 4 3 3 2 2" xfId="21441" xr:uid="{00000000-0005-0000-0000-00008C610000}"/>
    <cellStyle name="Comma 4 3 3 2 2 2" xfId="40841" xr:uid="{00000000-0005-0000-0000-00008D610000}"/>
    <cellStyle name="Comma 4 3 3 2 3" xfId="31143" xr:uid="{00000000-0005-0000-0000-00008E610000}"/>
    <cellStyle name="Comma 4 3 3 3" xfId="12093" xr:uid="{00000000-0005-0000-0000-00008F610000}"/>
    <cellStyle name="Comma 4 3 3 3 2" xfId="31496" xr:uid="{00000000-0005-0000-0000-000090610000}"/>
    <cellStyle name="Comma 4 3 3 4" xfId="21798" xr:uid="{00000000-0005-0000-0000-000091610000}"/>
    <cellStyle name="Comma 4 3 4" xfId="883" xr:uid="{00000000-0005-0000-0000-000092610000}"/>
    <cellStyle name="Comma 4 3 4 2" xfId="11790" xr:uid="{00000000-0005-0000-0000-000093610000}"/>
    <cellStyle name="Comma 4 3 4 2 2" xfId="21497" xr:uid="{00000000-0005-0000-0000-000094610000}"/>
    <cellStyle name="Comma 4 3 4 2 2 2" xfId="40897" xr:uid="{00000000-0005-0000-0000-000095610000}"/>
    <cellStyle name="Comma 4 3 4 2 3" xfId="31199" xr:uid="{00000000-0005-0000-0000-000096610000}"/>
    <cellStyle name="Comma 4 3 4 3" xfId="12149" xr:uid="{00000000-0005-0000-0000-000097610000}"/>
    <cellStyle name="Comma 4 3 4 3 2" xfId="31552" xr:uid="{00000000-0005-0000-0000-000098610000}"/>
    <cellStyle name="Comma 4 3 4 4" xfId="21854" xr:uid="{00000000-0005-0000-0000-000099610000}"/>
    <cellStyle name="Comma 4 3 5" xfId="11613" xr:uid="{00000000-0005-0000-0000-00009A610000}"/>
    <cellStyle name="Comma 4 3 5 2" xfId="21360" xr:uid="{00000000-0005-0000-0000-00009B610000}"/>
    <cellStyle name="Comma 4 3 5 2 2" xfId="40760" xr:uid="{00000000-0005-0000-0000-00009C610000}"/>
    <cellStyle name="Comma 4 3 5 3" xfId="31062" xr:uid="{00000000-0005-0000-0000-00009D610000}"/>
    <cellStyle name="Comma 4 3 6" xfId="1405" xr:uid="{00000000-0005-0000-0000-00009E610000}"/>
    <cellStyle name="Comma 4 3 7" xfId="12012" xr:uid="{00000000-0005-0000-0000-00009F610000}"/>
    <cellStyle name="Comma 4 3 7 2" xfId="31415" xr:uid="{00000000-0005-0000-0000-0000A0610000}"/>
    <cellStyle name="Comma 4 3 8" xfId="21717" xr:uid="{00000000-0005-0000-0000-0000A1610000}"/>
    <cellStyle name="Comma 4 4" xfId="648" xr:uid="{00000000-0005-0000-0000-0000A2610000}"/>
    <cellStyle name="Comma 4 4 2" xfId="827" xr:uid="{00000000-0005-0000-0000-0000A3610000}"/>
    <cellStyle name="Comma 4 4 2 2" xfId="11746" xr:uid="{00000000-0005-0000-0000-0000A4610000}"/>
    <cellStyle name="Comma 4 4 2 2 2" xfId="21455" xr:uid="{00000000-0005-0000-0000-0000A5610000}"/>
    <cellStyle name="Comma 4 4 2 2 2 2" xfId="40855" xr:uid="{00000000-0005-0000-0000-0000A6610000}"/>
    <cellStyle name="Comma 4 4 2 2 3" xfId="31157" xr:uid="{00000000-0005-0000-0000-0000A7610000}"/>
    <cellStyle name="Comma 4 4 2 3" xfId="12107" xr:uid="{00000000-0005-0000-0000-0000A8610000}"/>
    <cellStyle name="Comma 4 4 2 3 2" xfId="31510" xr:uid="{00000000-0005-0000-0000-0000A9610000}"/>
    <cellStyle name="Comma 4 4 2 4" xfId="21812" xr:uid="{00000000-0005-0000-0000-0000AA610000}"/>
    <cellStyle name="Comma 4 4 3" xfId="897" xr:uid="{00000000-0005-0000-0000-0000AB610000}"/>
    <cellStyle name="Comma 4 4 3 2" xfId="11804" xr:uid="{00000000-0005-0000-0000-0000AC610000}"/>
    <cellStyle name="Comma 4 4 3 2 2" xfId="21511" xr:uid="{00000000-0005-0000-0000-0000AD610000}"/>
    <cellStyle name="Comma 4 4 3 2 2 2" xfId="40911" xr:uid="{00000000-0005-0000-0000-0000AE610000}"/>
    <cellStyle name="Comma 4 4 3 2 3" xfId="31213" xr:uid="{00000000-0005-0000-0000-0000AF610000}"/>
    <cellStyle name="Comma 4 4 3 3" xfId="12163" xr:uid="{00000000-0005-0000-0000-0000B0610000}"/>
    <cellStyle name="Comma 4 4 3 3 2" xfId="31566" xr:uid="{00000000-0005-0000-0000-0000B1610000}"/>
    <cellStyle name="Comma 4 4 3 4" xfId="21868" xr:uid="{00000000-0005-0000-0000-0000B2610000}"/>
    <cellStyle name="Comma 4 4 4" xfId="11634" xr:uid="{00000000-0005-0000-0000-0000B3610000}"/>
    <cellStyle name="Comma 4 4 4 2" xfId="21374" xr:uid="{00000000-0005-0000-0000-0000B4610000}"/>
    <cellStyle name="Comma 4 4 4 2 2" xfId="40774" xr:uid="{00000000-0005-0000-0000-0000B5610000}"/>
    <cellStyle name="Comma 4 4 4 3" xfId="31076" xr:uid="{00000000-0005-0000-0000-0000B6610000}"/>
    <cellStyle name="Comma 4 4 5" xfId="1776" xr:uid="{00000000-0005-0000-0000-0000B7610000}"/>
    <cellStyle name="Comma 4 4 6" xfId="12026" xr:uid="{00000000-0005-0000-0000-0000B8610000}"/>
    <cellStyle name="Comma 4 4 6 2" xfId="31429" xr:uid="{00000000-0005-0000-0000-0000B9610000}"/>
    <cellStyle name="Comma 4 4 7" xfId="21731" xr:uid="{00000000-0005-0000-0000-0000BA610000}"/>
    <cellStyle name="Comma 4 5" xfId="788" xr:uid="{00000000-0005-0000-0000-0000BB610000}"/>
    <cellStyle name="Comma 4 5 10" xfId="12075" xr:uid="{00000000-0005-0000-0000-0000BC610000}"/>
    <cellStyle name="Comma 4 5 10 2" xfId="31478" xr:uid="{00000000-0005-0000-0000-0000BD610000}"/>
    <cellStyle name="Comma 4 5 11" xfId="21780" xr:uid="{00000000-0005-0000-0000-0000BE610000}"/>
    <cellStyle name="Comma 4 5 2" xfId="2921" xr:uid="{00000000-0005-0000-0000-0000BF610000}"/>
    <cellStyle name="Comma 4 5 2 2" xfId="5190" xr:uid="{00000000-0005-0000-0000-0000C0610000}"/>
    <cellStyle name="Comma 4 5 2 2 2" xfId="9654" xr:uid="{00000000-0005-0000-0000-0000C1610000}"/>
    <cellStyle name="Comma 4 5 2 2 2 2" xfId="19650" xr:uid="{00000000-0005-0000-0000-0000C2610000}"/>
    <cellStyle name="Comma 4 5 2 2 2 2 2" xfId="39050" xr:uid="{00000000-0005-0000-0000-0000C3610000}"/>
    <cellStyle name="Comma 4 5 2 2 2 3" xfId="29352" xr:uid="{00000000-0005-0000-0000-0000C4610000}"/>
    <cellStyle name="Comma 4 5 2 2 3" xfId="15195" xr:uid="{00000000-0005-0000-0000-0000C5610000}"/>
    <cellStyle name="Comma 4 5 2 2 3 2" xfId="34595" xr:uid="{00000000-0005-0000-0000-0000C6610000}"/>
    <cellStyle name="Comma 4 5 2 2 4" xfId="24897" xr:uid="{00000000-0005-0000-0000-0000C7610000}"/>
    <cellStyle name="Comma 4 5 2 3" xfId="7426" xr:uid="{00000000-0005-0000-0000-0000C8610000}"/>
    <cellStyle name="Comma 4 5 2 3 2" xfId="17422" xr:uid="{00000000-0005-0000-0000-0000C9610000}"/>
    <cellStyle name="Comma 4 5 2 3 2 2" xfId="36822" xr:uid="{00000000-0005-0000-0000-0000CA610000}"/>
    <cellStyle name="Comma 4 5 2 3 3" xfId="27124" xr:uid="{00000000-0005-0000-0000-0000CB610000}"/>
    <cellStyle name="Comma 4 5 2 4" xfId="12967" xr:uid="{00000000-0005-0000-0000-0000CC610000}"/>
    <cellStyle name="Comma 4 5 2 4 2" xfId="32367" xr:uid="{00000000-0005-0000-0000-0000CD610000}"/>
    <cellStyle name="Comma 4 5 2 5" xfId="22669" xr:uid="{00000000-0005-0000-0000-0000CE610000}"/>
    <cellStyle name="Comma 4 5 3" xfId="3504" xr:uid="{00000000-0005-0000-0000-0000CF610000}"/>
    <cellStyle name="Comma 4 5 3 2" xfId="4634" xr:uid="{00000000-0005-0000-0000-0000D0610000}"/>
    <cellStyle name="Comma 4 5 3 2 2" xfId="9098" xr:uid="{00000000-0005-0000-0000-0000D1610000}"/>
    <cellStyle name="Comma 4 5 3 2 2 2" xfId="19094" xr:uid="{00000000-0005-0000-0000-0000D2610000}"/>
    <cellStyle name="Comma 4 5 3 2 2 2 2" xfId="38494" xr:uid="{00000000-0005-0000-0000-0000D3610000}"/>
    <cellStyle name="Comma 4 5 3 2 2 3" xfId="28796" xr:uid="{00000000-0005-0000-0000-0000D4610000}"/>
    <cellStyle name="Comma 4 5 3 2 3" xfId="14639" xr:uid="{00000000-0005-0000-0000-0000D5610000}"/>
    <cellStyle name="Comma 4 5 3 2 3 2" xfId="34039" xr:uid="{00000000-0005-0000-0000-0000D6610000}"/>
    <cellStyle name="Comma 4 5 3 2 4" xfId="24341" xr:uid="{00000000-0005-0000-0000-0000D7610000}"/>
    <cellStyle name="Comma 4 5 3 3" xfId="7983" xr:uid="{00000000-0005-0000-0000-0000D8610000}"/>
    <cellStyle name="Comma 4 5 3 3 2" xfId="17979" xr:uid="{00000000-0005-0000-0000-0000D9610000}"/>
    <cellStyle name="Comma 4 5 3 3 2 2" xfId="37379" xr:uid="{00000000-0005-0000-0000-0000DA610000}"/>
    <cellStyle name="Comma 4 5 3 3 3" xfId="27681" xr:uid="{00000000-0005-0000-0000-0000DB610000}"/>
    <cellStyle name="Comma 4 5 3 4" xfId="13524" xr:uid="{00000000-0005-0000-0000-0000DC610000}"/>
    <cellStyle name="Comma 4 5 3 4 2" xfId="32924" xr:uid="{00000000-0005-0000-0000-0000DD610000}"/>
    <cellStyle name="Comma 4 5 3 5" xfId="23226" xr:uid="{00000000-0005-0000-0000-0000DE610000}"/>
    <cellStyle name="Comma 4 5 4" xfId="4077" xr:uid="{00000000-0005-0000-0000-0000DF610000}"/>
    <cellStyle name="Comma 4 5 4 2" xfId="8541" xr:uid="{00000000-0005-0000-0000-0000E0610000}"/>
    <cellStyle name="Comma 4 5 4 2 2" xfId="18537" xr:uid="{00000000-0005-0000-0000-0000E1610000}"/>
    <cellStyle name="Comma 4 5 4 2 2 2" xfId="37937" xr:uid="{00000000-0005-0000-0000-0000E2610000}"/>
    <cellStyle name="Comma 4 5 4 2 3" xfId="28239" xr:uid="{00000000-0005-0000-0000-0000E3610000}"/>
    <cellStyle name="Comma 4 5 4 3" xfId="14082" xr:uid="{00000000-0005-0000-0000-0000E4610000}"/>
    <cellStyle name="Comma 4 5 4 3 2" xfId="33482" xr:uid="{00000000-0005-0000-0000-0000E5610000}"/>
    <cellStyle name="Comma 4 5 4 4" xfId="23784" xr:uid="{00000000-0005-0000-0000-0000E6610000}"/>
    <cellStyle name="Comma 4 5 5" xfId="5747" xr:uid="{00000000-0005-0000-0000-0000E7610000}"/>
    <cellStyle name="Comma 4 5 5 2" xfId="10211" xr:uid="{00000000-0005-0000-0000-0000E8610000}"/>
    <cellStyle name="Comma 4 5 5 2 2" xfId="20207" xr:uid="{00000000-0005-0000-0000-0000E9610000}"/>
    <cellStyle name="Comma 4 5 5 2 2 2" xfId="39607" xr:uid="{00000000-0005-0000-0000-0000EA610000}"/>
    <cellStyle name="Comma 4 5 5 2 3" xfId="29909" xr:uid="{00000000-0005-0000-0000-0000EB610000}"/>
    <cellStyle name="Comma 4 5 5 3" xfId="15752" xr:uid="{00000000-0005-0000-0000-0000EC610000}"/>
    <cellStyle name="Comma 4 5 5 3 2" xfId="35152" xr:uid="{00000000-0005-0000-0000-0000ED610000}"/>
    <cellStyle name="Comma 4 5 5 4" xfId="25454" xr:uid="{00000000-0005-0000-0000-0000EE610000}"/>
    <cellStyle name="Comma 4 5 6" xfId="6313" xr:uid="{00000000-0005-0000-0000-0000EF610000}"/>
    <cellStyle name="Comma 4 5 6 2" xfId="10768" xr:uid="{00000000-0005-0000-0000-0000F0610000}"/>
    <cellStyle name="Comma 4 5 6 2 2" xfId="20764" xr:uid="{00000000-0005-0000-0000-0000F1610000}"/>
    <cellStyle name="Comma 4 5 6 2 2 2" xfId="40164" xr:uid="{00000000-0005-0000-0000-0000F2610000}"/>
    <cellStyle name="Comma 4 5 6 2 3" xfId="30466" xr:uid="{00000000-0005-0000-0000-0000F3610000}"/>
    <cellStyle name="Comma 4 5 6 3" xfId="16309" xr:uid="{00000000-0005-0000-0000-0000F4610000}"/>
    <cellStyle name="Comma 4 5 6 3 2" xfId="35709" xr:uid="{00000000-0005-0000-0000-0000F5610000}"/>
    <cellStyle name="Comma 4 5 6 4" xfId="26011" xr:uid="{00000000-0005-0000-0000-0000F6610000}"/>
    <cellStyle name="Comma 4 5 7" xfId="6870" xr:uid="{00000000-0005-0000-0000-0000F7610000}"/>
    <cellStyle name="Comma 4 5 7 2" xfId="16866" xr:uid="{00000000-0005-0000-0000-0000F8610000}"/>
    <cellStyle name="Comma 4 5 7 2 2" xfId="36266" xr:uid="{00000000-0005-0000-0000-0000F9610000}"/>
    <cellStyle name="Comma 4 5 7 3" xfId="26568" xr:uid="{00000000-0005-0000-0000-0000FA610000}"/>
    <cellStyle name="Comma 4 5 8" xfId="11712" xr:uid="{00000000-0005-0000-0000-0000FB610000}"/>
    <cellStyle name="Comma 4 5 8 2" xfId="21423" xr:uid="{00000000-0005-0000-0000-0000FC610000}"/>
    <cellStyle name="Comma 4 5 8 2 2" xfId="40823" xr:uid="{00000000-0005-0000-0000-0000FD610000}"/>
    <cellStyle name="Comma 4 5 8 3" xfId="31125" xr:uid="{00000000-0005-0000-0000-0000FE610000}"/>
    <cellStyle name="Comma 4 5 9" xfId="1879" xr:uid="{00000000-0005-0000-0000-0000FF610000}"/>
    <cellStyle name="Comma 4 5 9 2" xfId="12410" xr:uid="{00000000-0005-0000-0000-000000620000}"/>
    <cellStyle name="Comma 4 5 9 2 2" xfId="31811" xr:uid="{00000000-0005-0000-0000-000001620000}"/>
    <cellStyle name="Comma 4 5 9 3" xfId="22113" xr:uid="{00000000-0005-0000-0000-000002620000}"/>
    <cellStyle name="Comma 4 6" xfId="867" xr:uid="{00000000-0005-0000-0000-000003620000}"/>
    <cellStyle name="Comma 4 6 2" xfId="11774" xr:uid="{00000000-0005-0000-0000-000004620000}"/>
    <cellStyle name="Comma 4 6 2 2" xfId="21481" xr:uid="{00000000-0005-0000-0000-000005620000}"/>
    <cellStyle name="Comma 4 6 2 2 2" xfId="40881" xr:uid="{00000000-0005-0000-0000-000006620000}"/>
    <cellStyle name="Comma 4 6 2 3" xfId="31183" xr:uid="{00000000-0005-0000-0000-000007620000}"/>
    <cellStyle name="Comma 4 6 3" xfId="3450" xr:uid="{00000000-0005-0000-0000-000008620000}"/>
    <cellStyle name="Comma 4 6 4" xfId="12133" xr:uid="{00000000-0005-0000-0000-000009620000}"/>
    <cellStyle name="Comma 4 6 4 2" xfId="31536" xr:uid="{00000000-0005-0000-0000-00000A620000}"/>
    <cellStyle name="Comma 4 6 5" xfId="21838" xr:uid="{00000000-0005-0000-0000-00000B620000}"/>
    <cellStyle name="Comma 4 7" xfId="1120" xr:uid="{00000000-0005-0000-0000-00000C620000}"/>
    <cellStyle name="Comma 4 7 2" xfId="11985" xr:uid="{00000000-0005-0000-0000-00000D620000}"/>
    <cellStyle name="Comma 4 7 2 2" xfId="21689" xr:uid="{00000000-0005-0000-0000-00000E620000}"/>
    <cellStyle name="Comma 4 7 2 2 2" xfId="41089" xr:uid="{00000000-0005-0000-0000-00000F620000}"/>
    <cellStyle name="Comma 4 7 2 3" xfId="31391" xr:uid="{00000000-0005-0000-0000-000010620000}"/>
    <cellStyle name="Comma 4 7 3" xfId="11324" xr:uid="{00000000-0005-0000-0000-000011620000}"/>
    <cellStyle name="Comma 4 7 3 2" xfId="21309" xr:uid="{00000000-0005-0000-0000-000012620000}"/>
    <cellStyle name="Comma 4 7 3 2 2" xfId="40709" xr:uid="{00000000-0005-0000-0000-000013620000}"/>
    <cellStyle name="Comma 4 7 3 3" xfId="31011" xr:uid="{00000000-0005-0000-0000-000014620000}"/>
    <cellStyle name="Comma 4 7 4" xfId="12341" xr:uid="{00000000-0005-0000-0000-000015620000}"/>
    <cellStyle name="Comma 4 7 4 2" xfId="31744" xr:uid="{00000000-0005-0000-0000-000016620000}"/>
    <cellStyle name="Comma 4 7 5" xfId="22046" xr:uid="{00000000-0005-0000-0000-000017620000}"/>
    <cellStyle name="Comma 4 8" xfId="11354" xr:uid="{00000000-0005-0000-0000-000018620000}"/>
    <cellStyle name="Comma 4 8 2" xfId="21336" xr:uid="{00000000-0005-0000-0000-000019620000}"/>
    <cellStyle name="Comma 4 8 2 2" xfId="40736" xr:uid="{00000000-0005-0000-0000-00001A620000}"/>
    <cellStyle name="Comma 4 8 3" xfId="31038" xr:uid="{00000000-0005-0000-0000-00001B620000}"/>
    <cellStyle name="Comma 4 9" xfId="1403" xr:uid="{00000000-0005-0000-0000-00001C620000}"/>
    <cellStyle name="Comma 5" xfId="642" xr:uid="{00000000-0005-0000-0000-00001D620000}"/>
    <cellStyle name="Comma 5 2" xfId="1777" xr:uid="{00000000-0005-0000-0000-00001E620000}"/>
    <cellStyle name="Comma 5 3" xfId="1880" xr:uid="{00000000-0005-0000-0000-00001F620000}"/>
    <cellStyle name="Comma 5 3 2" xfId="2922" xr:uid="{00000000-0005-0000-0000-000020620000}"/>
    <cellStyle name="Comma 5 3 2 2" xfId="5191" xr:uid="{00000000-0005-0000-0000-000021620000}"/>
    <cellStyle name="Comma 5 3 2 2 2" xfId="9655" xr:uid="{00000000-0005-0000-0000-000022620000}"/>
    <cellStyle name="Comma 5 3 2 2 2 2" xfId="19651" xr:uid="{00000000-0005-0000-0000-000023620000}"/>
    <cellStyle name="Comma 5 3 2 2 2 2 2" xfId="39051" xr:uid="{00000000-0005-0000-0000-000024620000}"/>
    <cellStyle name="Comma 5 3 2 2 2 3" xfId="29353" xr:uid="{00000000-0005-0000-0000-000025620000}"/>
    <cellStyle name="Comma 5 3 2 2 3" xfId="15196" xr:uid="{00000000-0005-0000-0000-000026620000}"/>
    <cellStyle name="Comma 5 3 2 2 3 2" xfId="34596" xr:uid="{00000000-0005-0000-0000-000027620000}"/>
    <cellStyle name="Comma 5 3 2 2 4" xfId="24898" xr:uid="{00000000-0005-0000-0000-000028620000}"/>
    <cellStyle name="Comma 5 3 2 3" xfId="7427" xr:uid="{00000000-0005-0000-0000-000029620000}"/>
    <cellStyle name="Comma 5 3 2 3 2" xfId="17423" xr:uid="{00000000-0005-0000-0000-00002A620000}"/>
    <cellStyle name="Comma 5 3 2 3 2 2" xfId="36823" xr:uid="{00000000-0005-0000-0000-00002B620000}"/>
    <cellStyle name="Comma 5 3 2 3 3" xfId="27125" xr:uid="{00000000-0005-0000-0000-00002C620000}"/>
    <cellStyle name="Comma 5 3 2 4" xfId="12968" xr:uid="{00000000-0005-0000-0000-00002D620000}"/>
    <cellStyle name="Comma 5 3 2 4 2" xfId="32368" xr:uid="{00000000-0005-0000-0000-00002E620000}"/>
    <cellStyle name="Comma 5 3 2 5" xfId="22670" xr:uid="{00000000-0005-0000-0000-00002F620000}"/>
    <cellStyle name="Comma 5 3 3" xfId="3505" xr:uid="{00000000-0005-0000-0000-000030620000}"/>
    <cellStyle name="Comma 5 3 3 2" xfId="4635" xr:uid="{00000000-0005-0000-0000-000031620000}"/>
    <cellStyle name="Comma 5 3 3 2 2" xfId="9099" xr:uid="{00000000-0005-0000-0000-000032620000}"/>
    <cellStyle name="Comma 5 3 3 2 2 2" xfId="19095" xr:uid="{00000000-0005-0000-0000-000033620000}"/>
    <cellStyle name="Comma 5 3 3 2 2 2 2" xfId="38495" xr:uid="{00000000-0005-0000-0000-000034620000}"/>
    <cellStyle name="Comma 5 3 3 2 2 3" xfId="28797" xr:uid="{00000000-0005-0000-0000-000035620000}"/>
    <cellStyle name="Comma 5 3 3 2 3" xfId="14640" xr:uid="{00000000-0005-0000-0000-000036620000}"/>
    <cellStyle name="Comma 5 3 3 2 3 2" xfId="34040" xr:uid="{00000000-0005-0000-0000-000037620000}"/>
    <cellStyle name="Comma 5 3 3 2 4" xfId="24342" xr:uid="{00000000-0005-0000-0000-000038620000}"/>
    <cellStyle name="Comma 5 3 3 3" xfId="7984" xr:uid="{00000000-0005-0000-0000-000039620000}"/>
    <cellStyle name="Comma 5 3 3 3 2" xfId="17980" xr:uid="{00000000-0005-0000-0000-00003A620000}"/>
    <cellStyle name="Comma 5 3 3 3 2 2" xfId="37380" xr:uid="{00000000-0005-0000-0000-00003B620000}"/>
    <cellStyle name="Comma 5 3 3 3 3" xfId="27682" xr:uid="{00000000-0005-0000-0000-00003C620000}"/>
    <cellStyle name="Comma 5 3 3 4" xfId="13525" xr:uid="{00000000-0005-0000-0000-00003D620000}"/>
    <cellStyle name="Comma 5 3 3 4 2" xfId="32925" xr:uid="{00000000-0005-0000-0000-00003E620000}"/>
    <cellStyle name="Comma 5 3 3 5" xfId="23227" xr:uid="{00000000-0005-0000-0000-00003F620000}"/>
    <cellStyle name="Comma 5 3 4" xfId="4078" xr:uid="{00000000-0005-0000-0000-000040620000}"/>
    <cellStyle name="Comma 5 3 4 2" xfId="8542" xr:uid="{00000000-0005-0000-0000-000041620000}"/>
    <cellStyle name="Comma 5 3 4 2 2" xfId="18538" xr:uid="{00000000-0005-0000-0000-000042620000}"/>
    <cellStyle name="Comma 5 3 4 2 2 2" xfId="37938" xr:uid="{00000000-0005-0000-0000-000043620000}"/>
    <cellStyle name="Comma 5 3 4 2 3" xfId="28240" xr:uid="{00000000-0005-0000-0000-000044620000}"/>
    <cellStyle name="Comma 5 3 4 3" xfId="14083" xr:uid="{00000000-0005-0000-0000-000045620000}"/>
    <cellStyle name="Comma 5 3 4 3 2" xfId="33483" xr:uid="{00000000-0005-0000-0000-000046620000}"/>
    <cellStyle name="Comma 5 3 4 4" xfId="23785" xr:uid="{00000000-0005-0000-0000-000047620000}"/>
    <cellStyle name="Comma 5 3 5" xfId="5748" xr:uid="{00000000-0005-0000-0000-000048620000}"/>
    <cellStyle name="Comma 5 3 5 2" xfId="10212" xr:uid="{00000000-0005-0000-0000-000049620000}"/>
    <cellStyle name="Comma 5 3 5 2 2" xfId="20208" xr:uid="{00000000-0005-0000-0000-00004A620000}"/>
    <cellStyle name="Comma 5 3 5 2 2 2" xfId="39608" xr:uid="{00000000-0005-0000-0000-00004B620000}"/>
    <cellStyle name="Comma 5 3 5 2 3" xfId="29910" xr:uid="{00000000-0005-0000-0000-00004C620000}"/>
    <cellStyle name="Comma 5 3 5 3" xfId="15753" xr:uid="{00000000-0005-0000-0000-00004D620000}"/>
    <cellStyle name="Comma 5 3 5 3 2" xfId="35153" xr:uid="{00000000-0005-0000-0000-00004E620000}"/>
    <cellStyle name="Comma 5 3 5 4" xfId="25455" xr:uid="{00000000-0005-0000-0000-00004F620000}"/>
    <cellStyle name="Comma 5 3 6" xfId="6314" xr:uid="{00000000-0005-0000-0000-000050620000}"/>
    <cellStyle name="Comma 5 3 6 2" xfId="10769" xr:uid="{00000000-0005-0000-0000-000051620000}"/>
    <cellStyle name="Comma 5 3 6 2 2" xfId="20765" xr:uid="{00000000-0005-0000-0000-000052620000}"/>
    <cellStyle name="Comma 5 3 6 2 2 2" xfId="40165" xr:uid="{00000000-0005-0000-0000-000053620000}"/>
    <cellStyle name="Comma 5 3 6 2 3" xfId="30467" xr:uid="{00000000-0005-0000-0000-000054620000}"/>
    <cellStyle name="Comma 5 3 6 3" xfId="16310" xr:uid="{00000000-0005-0000-0000-000055620000}"/>
    <cellStyle name="Comma 5 3 6 3 2" xfId="35710" xr:uid="{00000000-0005-0000-0000-000056620000}"/>
    <cellStyle name="Comma 5 3 6 4" xfId="26012" xr:uid="{00000000-0005-0000-0000-000057620000}"/>
    <cellStyle name="Comma 5 3 7" xfId="6871" xr:uid="{00000000-0005-0000-0000-000058620000}"/>
    <cellStyle name="Comma 5 3 7 2" xfId="16867" xr:uid="{00000000-0005-0000-0000-000059620000}"/>
    <cellStyle name="Comma 5 3 7 2 2" xfId="36267" xr:uid="{00000000-0005-0000-0000-00005A620000}"/>
    <cellStyle name="Comma 5 3 7 3" xfId="26569" xr:uid="{00000000-0005-0000-0000-00005B620000}"/>
    <cellStyle name="Comma 5 3 8" xfId="12411" xr:uid="{00000000-0005-0000-0000-00005C620000}"/>
    <cellStyle name="Comma 5 3 8 2" xfId="31812" xr:uid="{00000000-0005-0000-0000-00005D620000}"/>
    <cellStyle name="Comma 5 3 9" xfId="22114" xr:uid="{00000000-0005-0000-0000-00005E620000}"/>
    <cellStyle name="Comma 5 4" xfId="11628" xr:uid="{00000000-0005-0000-0000-00005F620000}"/>
    <cellStyle name="Comma 5 5" xfId="1406" xr:uid="{00000000-0005-0000-0000-000060620000}"/>
    <cellStyle name="Comma 6" xfId="639" xr:uid="{00000000-0005-0000-0000-000061620000}"/>
    <cellStyle name="Comma 6 2" xfId="820" xr:uid="{00000000-0005-0000-0000-000062620000}"/>
    <cellStyle name="Comma 6 2 2" xfId="11740" xr:uid="{00000000-0005-0000-0000-000063620000}"/>
    <cellStyle name="Comma 6 2 2 2" xfId="21449" xr:uid="{00000000-0005-0000-0000-000064620000}"/>
    <cellStyle name="Comma 6 2 2 2 2" xfId="40849" xr:uid="{00000000-0005-0000-0000-000065620000}"/>
    <cellStyle name="Comma 6 2 2 3" xfId="31151" xr:uid="{00000000-0005-0000-0000-000066620000}"/>
    <cellStyle name="Comma 6 2 3" xfId="1771" xr:uid="{00000000-0005-0000-0000-000067620000}"/>
    <cellStyle name="Comma 6 2 4" xfId="12101" xr:uid="{00000000-0005-0000-0000-000068620000}"/>
    <cellStyle name="Comma 6 2 4 2" xfId="31504" xr:uid="{00000000-0005-0000-0000-000069620000}"/>
    <cellStyle name="Comma 6 2 5" xfId="21806" xr:uid="{00000000-0005-0000-0000-00006A620000}"/>
    <cellStyle name="Comma 6 3" xfId="891" xr:uid="{00000000-0005-0000-0000-00006B620000}"/>
    <cellStyle name="Comma 6 3 2" xfId="11798" xr:uid="{00000000-0005-0000-0000-00006C620000}"/>
    <cellStyle name="Comma 6 3 2 2" xfId="21505" xr:uid="{00000000-0005-0000-0000-00006D620000}"/>
    <cellStyle name="Comma 6 3 2 2 2" xfId="40905" xr:uid="{00000000-0005-0000-0000-00006E620000}"/>
    <cellStyle name="Comma 6 3 2 3" xfId="31207" xr:uid="{00000000-0005-0000-0000-00006F620000}"/>
    <cellStyle name="Comma 6 3 3" xfId="12157" xr:uid="{00000000-0005-0000-0000-000070620000}"/>
    <cellStyle name="Comma 6 3 3 2" xfId="31560" xr:uid="{00000000-0005-0000-0000-000071620000}"/>
    <cellStyle name="Comma 6 3 4" xfId="21862" xr:uid="{00000000-0005-0000-0000-000072620000}"/>
    <cellStyle name="Comma 6 4" xfId="11625" xr:uid="{00000000-0005-0000-0000-000073620000}"/>
    <cellStyle name="Comma 6 4 2" xfId="21368" xr:uid="{00000000-0005-0000-0000-000074620000}"/>
    <cellStyle name="Comma 6 4 2 2" xfId="40768" xr:uid="{00000000-0005-0000-0000-000075620000}"/>
    <cellStyle name="Comma 6 4 3" xfId="31070" xr:uid="{00000000-0005-0000-0000-000076620000}"/>
    <cellStyle name="Comma 6 5" xfId="1407" xr:uid="{00000000-0005-0000-0000-000077620000}"/>
    <cellStyle name="Comma 6 6" xfId="12020" xr:uid="{00000000-0005-0000-0000-000078620000}"/>
    <cellStyle name="Comma 6 6 2" xfId="31423" xr:uid="{00000000-0005-0000-0000-000079620000}"/>
    <cellStyle name="Comma 6 7" xfId="21725" xr:uid="{00000000-0005-0000-0000-00007A620000}"/>
    <cellStyle name="Comma 7" xfId="797" xr:uid="{00000000-0005-0000-0000-00007B620000}"/>
    <cellStyle name="Comma 7 2" xfId="1409" xr:uid="{00000000-0005-0000-0000-00007C620000}"/>
    <cellStyle name="Comma 7 2 2" xfId="2755" xr:uid="{00000000-0005-0000-0000-00007D620000}"/>
    <cellStyle name="Comma 7 2 2 2" xfId="3436" xr:uid="{00000000-0005-0000-0000-00007E620000}"/>
    <cellStyle name="Comma 7 2 2 2 2" xfId="5704" xr:uid="{00000000-0005-0000-0000-00007F620000}"/>
    <cellStyle name="Comma 7 2 2 2 2 2" xfId="10168" xr:uid="{00000000-0005-0000-0000-000080620000}"/>
    <cellStyle name="Comma 7 2 2 2 2 2 2" xfId="20164" xr:uid="{00000000-0005-0000-0000-000081620000}"/>
    <cellStyle name="Comma 7 2 2 2 2 2 2 2" xfId="39564" xr:uid="{00000000-0005-0000-0000-000082620000}"/>
    <cellStyle name="Comma 7 2 2 2 2 2 3" xfId="29866" xr:uid="{00000000-0005-0000-0000-000083620000}"/>
    <cellStyle name="Comma 7 2 2 2 2 3" xfId="15709" xr:uid="{00000000-0005-0000-0000-000084620000}"/>
    <cellStyle name="Comma 7 2 2 2 2 3 2" xfId="35109" xr:uid="{00000000-0005-0000-0000-000085620000}"/>
    <cellStyle name="Comma 7 2 2 2 2 4" xfId="25411" xr:uid="{00000000-0005-0000-0000-000086620000}"/>
    <cellStyle name="Comma 7 2 2 2 3" xfId="7940" xr:uid="{00000000-0005-0000-0000-000087620000}"/>
    <cellStyle name="Comma 7 2 2 2 3 2" xfId="17936" xr:uid="{00000000-0005-0000-0000-000088620000}"/>
    <cellStyle name="Comma 7 2 2 2 3 2 2" xfId="37336" xr:uid="{00000000-0005-0000-0000-000089620000}"/>
    <cellStyle name="Comma 7 2 2 2 3 3" xfId="27638" xr:uid="{00000000-0005-0000-0000-00008A620000}"/>
    <cellStyle name="Comma 7 2 2 2 4" xfId="13481" xr:uid="{00000000-0005-0000-0000-00008B620000}"/>
    <cellStyle name="Comma 7 2 2 2 4 2" xfId="32881" xr:uid="{00000000-0005-0000-0000-00008C620000}"/>
    <cellStyle name="Comma 7 2 2 2 5" xfId="23183" xr:uid="{00000000-0005-0000-0000-00008D620000}"/>
    <cellStyle name="Comma 7 2 2 3" xfId="4019" xr:uid="{00000000-0005-0000-0000-00008E620000}"/>
    <cellStyle name="Comma 7 2 2 3 2" xfId="5148" xr:uid="{00000000-0005-0000-0000-00008F620000}"/>
    <cellStyle name="Comma 7 2 2 3 2 2" xfId="9612" xr:uid="{00000000-0005-0000-0000-000090620000}"/>
    <cellStyle name="Comma 7 2 2 3 2 2 2" xfId="19608" xr:uid="{00000000-0005-0000-0000-000091620000}"/>
    <cellStyle name="Comma 7 2 2 3 2 2 2 2" xfId="39008" xr:uid="{00000000-0005-0000-0000-000092620000}"/>
    <cellStyle name="Comma 7 2 2 3 2 2 3" xfId="29310" xr:uid="{00000000-0005-0000-0000-000093620000}"/>
    <cellStyle name="Comma 7 2 2 3 2 3" xfId="15153" xr:uid="{00000000-0005-0000-0000-000094620000}"/>
    <cellStyle name="Comma 7 2 2 3 2 3 2" xfId="34553" xr:uid="{00000000-0005-0000-0000-000095620000}"/>
    <cellStyle name="Comma 7 2 2 3 2 4" xfId="24855" xr:uid="{00000000-0005-0000-0000-000096620000}"/>
    <cellStyle name="Comma 7 2 2 3 3" xfId="8497" xr:uid="{00000000-0005-0000-0000-000097620000}"/>
    <cellStyle name="Comma 7 2 2 3 3 2" xfId="18493" xr:uid="{00000000-0005-0000-0000-000098620000}"/>
    <cellStyle name="Comma 7 2 2 3 3 2 2" xfId="37893" xr:uid="{00000000-0005-0000-0000-000099620000}"/>
    <cellStyle name="Comma 7 2 2 3 3 3" xfId="28195" xr:uid="{00000000-0005-0000-0000-00009A620000}"/>
    <cellStyle name="Comma 7 2 2 3 4" xfId="14038" xr:uid="{00000000-0005-0000-0000-00009B620000}"/>
    <cellStyle name="Comma 7 2 2 3 4 2" xfId="33438" xr:uid="{00000000-0005-0000-0000-00009C620000}"/>
    <cellStyle name="Comma 7 2 2 3 5" xfId="23740" xr:uid="{00000000-0005-0000-0000-00009D620000}"/>
    <cellStyle name="Comma 7 2 2 4" xfId="4591" xr:uid="{00000000-0005-0000-0000-00009E620000}"/>
    <cellStyle name="Comma 7 2 2 4 2" xfId="9055" xr:uid="{00000000-0005-0000-0000-00009F620000}"/>
    <cellStyle name="Comma 7 2 2 4 2 2" xfId="19051" xr:uid="{00000000-0005-0000-0000-0000A0620000}"/>
    <cellStyle name="Comma 7 2 2 4 2 2 2" xfId="38451" xr:uid="{00000000-0005-0000-0000-0000A1620000}"/>
    <cellStyle name="Comma 7 2 2 4 2 3" xfId="28753" xr:uid="{00000000-0005-0000-0000-0000A2620000}"/>
    <cellStyle name="Comma 7 2 2 4 3" xfId="14596" xr:uid="{00000000-0005-0000-0000-0000A3620000}"/>
    <cellStyle name="Comma 7 2 2 4 3 2" xfId="33996" xr:uid="{00000000-0005-0000-0000-0000A4620000}"/>
    <cellStyle name="Comma 7 2 2 4 4" xfId="24298" xr:uid="{00000000-0005-0000-0000-0000A5620000}"/>
    <cellStyle name="Comma 7 2 2 5" xfId="6261" xr:uid="{00000000-0005-0000-0000-0000A6620000}"/>
    <cellStyle name="Comma 7 2 2 5 2" xfId="10725" xr:uid="{00000000-0005-0000-0000-0000A7620000}"/>
    <cellStyle name="Comma 7 2 2 5 2 2" xfId="20721" xr:uid="{00000000-0005-0000-0000-0000A8620000}"/>
    <cellStyle name="Comma 7 2 2 5 2 2 2" xfId="40121" xr:uid="{00000000-0005-0000-0000-0000A9620000}"/>
    <cellStyle name="Comma 7 2 2 5 2 3" xfId="30423" xr:uid="{00000000-0005-0000-0000-0000AA620000}"/>
    <cellStyle name="Comma 7 2 2 5 3" xfId="16266" xr:uid="{00000000-0005-0000-0000-0000AB620000}"/>
    <cellStyle name="Comma 7 2 2 5 3 2" xfId="35666" xr:uid="{00000000-0005-0000-0000-0000AC620000}"/>
    <cellStyle name="Comma 7 2 2 5 4" xfId="25968" xr:uid="{00000000-0005-0000-0000-0000AD620000}"/>
    <cellStyle name="Comma 7 2 2 6" xfId="6827" xr:uid="{00000000-0005-0000-0000-0000AE620000}"/>
    <cellStyle name="Comma 7 2 2 6 2" xfId="11282" xr:uid="{00000000-0005-0000-0000-0000AF620000}"/>
    <cellStyle name="Comma 7 2 2 6 2 2" xfId="21278" xr:uid="{00000000-0005-0000-0000-0000B0620000}"/>
    <cellStyle name="Comma 7 2 2 6 2 2 2" xfId="40678" xr:uid="{00000000-0005-0000-0000-0000B1620000}"/>
    <cellStyle name="Comma 7 2 2 6 2 3" xfId="30980" xr:uid="{00000000-0005-0000-0000-0000B2620000}"/>
    <cellStyle name="Comma 7 2 2 6 3" xfId="16823" xr:uid="{00000000-0005-0000-0000-0000B3620000}"/>
    <cellStyle name="Comma 7 2 2 6 3 2" xfId="36223" xr:uid="{00000000-0005-0000-0000-0000B4620000}"/>
    <cellStyle name="Comma 7 2 2 6 4" xfId="26525" xr:uid="{00000000-0005-0000-0000-0000B5620000}"/>
    <cellStyle name="Comma 7 2 2 7" xfId="7384" xr:uid="{00000000-0005-0000-0000-0000B6620000}"/>
    <cellStyle name="Comma 7 2 2 7 2" xfId="17380" xr:uid="{00000000-0005-0000-0000-0000B7620000}"/>
    <cellStyle name="Comma 7 2 2 7 2 2" xfId="36780" xr:uid="{00000000-0005-0000-0000-0000B8620000}"/>
    <cellStyle name="Comma 7 2 2 7 3" xfId="27082" xr:uid="{00000000-0005-0000-0000-0000B9620000}"/>
    <cellStyle name="Comma 7 2 2 8" xfId="12925" xr:uid="{00000000-0005-0000-0000-0000BA620000}"/>
    <cellStyle name="Comma 7 2 2 8 2" xfId="32325" xr:uid="{00000000-0005-0000-0000-0000BB620000}"/>
    <cellStyle name="Comma 7 2 2 9" xfId="22627" xr:uid="{00000000-0005-0000-0000-0000BC620000}"/>
    <cellStyle name="Comma 7 3" xfId="1410" xr:uid="{00000000-0005-0000-0000-0000BD620000}"/>
    <cellStyle name="Comma 7 3 2" xfId="2762" xr:uid="{00000000-0005-0000-0000-0000BE620000}"/>
    <cellStyle name="Comma 7 3 2 2" xfId="3439" xr:uid="{00000000-0005-0000-0000-0000BF620000}"/>
    <cellStyle name="Comma 7 3 2 2 2" xfId="5707" xr:uid="{00000000-0005-0000-0000-0000C0620000}"/>
    <cellStyle name="Comma 7 3 2 2 2 2" xfId="10171" xr:uid="{00000000-0005-0000-0000-0000C1620000}"/>
    <cellStyle name="Comma 7 3 2 2 2 2 2" xfId="20167" xr:uid="{00000000-0005-0000-0000-0000C2620000}"/>
    <cellStyle name="Comma 7 3 2 2 2 2 2 2" xfId="39567" xr:uid="{00000000-0005-0000-0000-0000C3620000}"/>
    <cellStyle name="Comma 7 3 2 2 2 2 3" xfId="29869" xr:uid="{00000000-0005-0000-0000-0000C4620000}"/>
    <cellStyle name="Comma 7 3 2 2 2 3" xfId="15712" xr:uid="{00000000-0005-0000-0000-0000C5620000}"/>
    <cellStyle name="Comma 7 3 2 2 2 3 2" xfId="35112" xr:uid="{00000000-0005-0000-0000-0000C6620000}"/>
    <cellStyle name="Comma 7 3 2 2 2 4" xfId="25414" xr:uid="{00000000-0005-0000-0000-0000C7620000}"/>
    <cellStyle name="Comma 7 3 2 2 3" xfId="7943" xr:uid="{00000000-0005-0000-0000-0000C8620000}"/>
    <cellStyle name="Comma 7 3 2 2 3 2" xfId="17939" xr:uid="{00000000-0005-0000-0000-0000C9620000}"/>
    <cellStyle name="Comma 7 3 2 2 3 2 2" xfId="37339" xr:uid="{00000000-0005-0000-0000-0000CA620000}"/>
    <cellStyle name="Comma 7 3 2 2 3 3" xfId="27641" xr:uid="{00000000-0005-0000-0000-0000CB620000}"/>
    <cellStyle name="Comma 7 3 2 2 4" xfId="13484" xr:uid="{00000000-0005-0000-0000-0000CC620000}"/>
    <cellStyle name="Comma 7 3 2 2 4 2" xfId="32884" xr:uid="{00000000-0005-0000-0000-0000CD620000}"/>
    <cellStyle name="Comma 7 3 2 2 5" xfId="23186" xr:uid="{00000000-0005-0000-0000-0000CE620000}"/>
    <cellStyle name="Comma 7 3 2 3" xfId="4022" xr:uid="{00000000-0005-0000-0000-0000CF620000}"/>
    <cellStyle name="Comma 7 3 2 3 2" xfId="5151" xr:uid="{00000000-0005-0000-0000-0000D0620000}"/>
    <cellStyle name="Comma 7 3 2 3 2 2" xfId="9615" xr:uid="{00000000-0005-0000-0000-0000D1620000}"/>
    <cellStyle name="Comma 7 3 2 3 2 2 2" xfId="19611" xr:uid="{00000000-0005-0000-0000-0000D2620000}"/>
    <cellStyle name="Comma 7 3 2 3 2 2 2 2" xfId="39011" xr:uid="{00000000-0005-0000-0000-0000D3620000}"/>
    <cellStyle name="Comma 7 3 2 3 2 2 3" xfId="29313" xr:uid="{00000000-0005-0000-0000-0000D4620000}"/>
    <cellStyle name="Comma 7 3 2 3 2 3" xfId="15156" xr:uid="{00000000-0005-0000-0000-0000D5620000}"/>
    <cellStyle name="Comma 7 3 2 3 2 3 2" xfId="34556" xr:uid="{00000000-0005-0000-0000-0000D6620000}"/>
    <cellStyle name="Comma 7 3 2 3 2 4" xfId="24858" xr:uid="{00000000-0005-0000-0000-0000D7620000}"/>
    <cellStyle name="Comma 7 3 2 3 3" xfId="8500" xr:uid="{00000000-0005-0000-0000-0000D8620000}"/>
    <cellStyle name="Comma 7 3 2 3 3 2" xfId="18496" xr:uid="{00000000-0005-0000-0000-0000D9620000}"/>
    <cellStyle name="Comma 7 3 2 3 3 2 2" xfId="37896" xr:uid="{00000000-0005-0000-0000-0000DA620000}"/>
    <cellStyle name="Comma 7 3 2 3 3 3" xfId="28198" xr:uid="{00000000-0005-0000-0000-0000DB620000}"/>
    <cellStyle name="Comma 7 3 2 3 4" xfId="14041" xr:uid="{00000000-0005-0000-0000-0000DC620000}"/>
    <cellStyle name="Comma 7 3 2 3 4 2" xfId="33441" xr:uid="{00000000-0005-0000-0000-0000DD620000}"/>
    <cellStyle name="Comma 7 3 2 3 5" xfId="23743" xr:uid="{00000000-0005-0000-0000-0000DE620000}"/>
    <cellStyle name="Comma 7 3 2 4" xfId="4594" xr:uid="{00000000-0005-0000-0000-0000DF620000}"/>
    <cellStyle name="Comma 7 3 2 4 2" xfId="9058" xr:uid="{00000000-0005-0000-0000-0000E0620000}"/>
    <cellStyle name="Comma 7 3 2 4 2 2" xfId="19054" xr:uid="{00000000-0005-0000-0000-0000E1620000}"/>
    <cellStyle name="Comma 7 3 2 4 2 2 2" xfId="38454" xr:uid="{00000000-0005-0000-0000-0000E2620000}"/>
    <cellStyle name="Comma 7 3 2 4 2 3" xfId="28756" xr:uid="{00000000-0005-0000-0000-0000E3620000}"/>
    <cellStyle name="Comma 7 3 2 4 3" xfId="14599" xr:uid="{00000000-0005-0000-0000-0000E4620000}"/>
    <cellStyle name="Comma 7 3 2 4 3 2" xfId="33999" xr:uid="{00000000-0005-0000-0000-0000E5620000}"/>
    <cellStyle name="Comma 7 3 2 4 4" xfId="24301" xr:uid="{00000000-0005-0000-0000-0000E6620000}"/>
    <cellStyle name="Comma 7 3 2 5" xfId="6264" xr:uid="{00000000-0005-0000-0000-0000E7620000}"/>
    <cellStyle name="Comma 7 3 2 5 2" xfId="10728" xr:uid="{00000000-0005-0000-0000-0000E8620000}"/>
    <cellStyle name="Comma 7 3 2 5 2 2" xfId="20724" xr:uid="{00000000-0005-0000-0000-0000E9620000}"/>
    <cellStyle name="Comma 7 3 2 5 2 2 2" xfId="40124" xr:uid="{00000000-0005-0000-0000-0000EA620000}"/>
    <cellStyle name="Comma 7 3 2 5 2 3" xfId="30426" xr:uid="{00000000-0005-0000-0000-0000EB620000}"/>
    <cellStyle name="Comma 7 3 2 5 3" xfId="16269" xr:uid="{00000000-0005-0000-0000-0000EC620000}"/>
    <cellStyle name="Comma 7 3 2 5 3 2" xfId="35669" xr:uid="{00000000-0005-0000-0000-0000ED620000}"/>
    <cellStyle name="Comma 7 3 2 5 4" xfId="25971" xr:uid="{00000000-0005-0000-0000-0000EE620000}"/>
    <cellStyle name="Comma 7 3 2 6" xfId="6830" xr:uid="{00000000-0005-0000-0000-0000EF620000}"/>
    <cellStyle name="Comma 7 3 2 6 2" xfId="11285" xr:uid="{00000000-0005-0000-0000-0000F0620000}"/>
    <cellStyle name="Comma 7 3 2 6 2 2" xfId="21281" xr:uid="{00000000-0005-0000-0000-0000F1620000}"/>
    <cellStyle name="Comma 7 3 2 6 2 2 2" xfId="40681" xr:uid="{00000000-0005-0000-0000-0000F2620000}"/>
    <cellStyle name="Comma 7 3 2 6 2 3" xfId="30983" xr:uid="{00000000-0005-0000-0000-0000F3620000}"/>
    <cellStyle name="Comma 7 3 2 6 3" xfId="16826" xr:uid="{00000000-0005-0000-0000-0000F4620000}"/>
    <cellStyle name="Comma 7 3 2 6 3 2" xfId="36226" xr:uid="{00000000-0005-0000-0000-0000F5620000}"/>
    <cellStyle name="Comma 7 3 2 6 4" xfId="26528" xr:uid="{00000000-0005-0000-0000-0000F6620000}"/>
    <cellStyle name="Comma 7 3 2 7" xfId="7387" xr:uid="{00000000-0005-0000-0000-0000F7620000}"/>
    <cellStyle name="Comma 7 3 2 7 2" xfId="17383" xr:uid="{00000000-0005-0000-0000-0000F8620000}"/>
    <cellStyle name="Comma 7 3 2 7 2 2" xfId="36783" xr:uid="{00000000-0005-0000-0000-0000F9620000}"/>
    <cellStyle name="Comma 7 3 2 7 3" xfId="27085" xr:uid="{00000000-0005-0000-0000-0000FA620000}"/>
    <cellStyle name="Comma 7 3 2 8" xfId="12928" xr:uid="{00000000-0005-0000-0000-0000FB620000}"/>
    <cellStyle name="Comma 7 3 2 8 2" xfId="32328" xr:uid="{00000000-0005-0000-0000-0000FC620000}"/>
    <cellStyle name="Comma 7 3 2 9" xfId="22630" xr:uid="{00000000-0005-0000-0000-0000FD620000}"/>
    <cellStyle name="Comma 7 4" xfId="2299" xr:uid="{00000000-0005-0000-0000-0000FE620000}"/>
    <cellStyle name="Comma 7 5" xfId="2300" xr:uid="{00000000-0005-0000-0000-0000FF620000}"/>
    <cellStyle name="Comma 7 5 2" xfId="3263" xr:uid="{00000000-0005-0000-0000-000000630000}"/>
    <cellStyle name="Comma 7 5 2 2" xfId="5532" xr:uid="{00000000-0005-0000-0000-000001630000}"/>
    <cellStyle name="Comma 7 5 2 2 2" xfId="9996" xr:uid="{00000000-0005-0000-0000-000002630000}"/>
    <cellStyle name="Comma 7 5 2 2 2 2" xfId="19992" xr:uid="{00000000-0005-0000-0000-000003630000}"/>
    <cellStyle name="Comma 7 5 2 2 2 2 2" xfId="39392" xr:uid="{00000000-0005-0000-0000-000004630000}"/>
    <cellStyle name="Comma 7 5 2 2 2 3" xfId="29694" xr:uid="{00000000-0005-0000-0000-000005630000}"/>
    <cellStyle name="Comma 7 5 2 2 3" xfId="15537" xr:uid="{00000000-0005-0000-0000-000006630000}"/>
    <cellStyle name="Comma 7 5 2 2 3 2" xfId="34937" xr:uid="{00000000-0005-0000-0000-000007630000}"/>
    <cellStyle name="Comma 7 5 2 2 4" xfId="25239" xr:uid="{00000000-0005-0000-0000-000008630000}"/>
    <cellStyle name="Comma 7 5 2 3" xfId="7768" xr:uid="{00000000-0005-0000-0000-000009630000}"/>
    <cellStyle name="Comma 7 5 2 3 2" xfId="17764" xr:uid="{00000000-0005-0000-0000-00000A630000}"/>
    <cellStyle name="Comma 7 5 2 3 2 2" xfId="37164" xr:uid="{00000000-0005-0000-0000-00000B630000}"/>
    <cellStyle name="Comma 7 5 2 3 3" xfId="27466" xr:uid="{00000000-0005-0000-0000-00000C630000}"/>
    <cellStyle name="Comma 7 5 2 4" xfId="13309" xr:uid="{00000000-0005-0000-0000-00000D630000}"/>
    <cellStyle name="Comma 7 5 2 4 2" xfId="32709" xr:uid="{00000000-0005-0000-0000-00000E630000}"/>
    <cellStyle name="Comma 7 5 2 5" xfId="23011" xr:uid="{00000000-0005-0000-0000-00000F630000}"/>
    <cellStyle name="Comma 7 5 3" xfId="3846" xr:uid="{00000000-0005-0000-0000-000010630000}"/>
    <cellStyle name="Comma 7 5 3 2" xfId="4976" xr:uid="{00000000-0005-0000-0000-000011630000}"/>
    <cellStyle name="Comma 7 5 3 2 2" xfId="9440" xr:uid="{00000000-0005-0000-0000-000012630000}"/>
    <cellStyle name="Comma 7 5 3 2 2 2" xfId="19436" xr:uid="{00000000-0005-0000-0000-000013630000}"/>
    <cellStyle name="Comma 7 5 3 2 2 2 2" xfId="38836" xr:uid="{00000000-0005-0000-0000-000014630000}"/>
    <cellStyle name="Comma 7 5 3 2 2 3" xfId="29138" xr:uid="{00000000-0005-0000-0000-000015630000}"/>
    <cellStyle name="Comma 7 5 3 2 3" xfId="14981" xr:uid="{00000000-0005-0000-0000-000016630000}"/>
    <cellStyle name="Comma 7 5 3 2 3 2" xfId="34381" xr:uid="{00000000-0005-0000-0000-000017630000}"/>
    <cellStyle name="Comma 7 5 3 2 4" xfId="24683" xr:uid="{00000000-0005-0000-0000-000018630000}"/>
    <cellStyle name="Comma 7 5 3 3" xfId="8325" xr:uid="{00000000-0005-0000-0000-000019630000}"/>
    <cellStyle name="Comma 7 5 3 3 2" xfId="18321" xr:uid="{00000000-0005-0000-0000-00001A630000}"/>
    <cellStyle name="Comma 7 5 3 3 2 2" xfId="37721" xr:uid="{00000000-0005-0000-0000-00001B630000}"/>
    <cellStyle name="Comma 7 5 3 3 3" xfId="28023" xr:uid="{00000000-0005-0000-0000-00001C630000}"/>
    <cellStyle name="Comma 7 5 3 4" xfId="13866" xr:uid="{00000000-0005-0000-0000-00001D630000}"/>
    <cellStyle name="Comma 7 5 3 4 2" xfId="33266" xr:uid="{00000000-0005-0000-0000-00001E630000}"/>
    <cellStyle name="Comma 7 5 3 5" xfId="23568" xr:uid="{00000000-0005-0000-0000-00001F630000}"/>
    <cellStyle name="Comma 7 5 4" xfId="4419" xr:uid="{00000000-0005-0000-0000-000020630000}"/>
    <cellStyle name="Comma 7 5 4 2" xfId="8883" xr:uid="{00000000-0005-0000-0000-000021630000}"/>
    <cellStyle name="Comma 7 5 4 2 2" xfId="18879" xr:uid="{00000000-0005-0000-0000-000022630000}"/>
    <cellStyle name="Comma 7 5 4 2 2 2" xfId="38279" xr:uid="{00000000-0005-0000-0000-000023630000}"/>
    <cellStyle name="Comma 7 5 4 2 3" xfId="28581" xr:uid="{00000000-0005-0000-0000-000024630000}"/>
    <cellStyle name="Comma 7 5 4 3" xfId="14424" xr:uid="{00000000-0005-0000-0000-000025630000}"/>
    <cellStyle name="Comma 7 5 4 3 2" xfId="33824" xr:uid="{00000000-0005-0000-0000-000026630000}"/>
    <cellStyle name="Comma 7 5 4 4" xfId="24126" xr:uid="{00000000-0005-0000-0000-000027630000}"/>
    <cellStyle name="Comma 7 5 5" xfId="6089" xr:uid="{00000000-0005-0000-0000-000028630000}"/>
    <cellStyle name="Comma 7 5 5 2" xfId="10553" xr:uid="{00000000-0005-0000-0000-000029630000}"/>
    <cellStyle name="Comma 7 5 5 2 2" xfId="20549" xr:uid="{00000000-0005-0000-0000-00002A630000}"/>
    <cellStyle name="Comma 7 5 5 2 2 2" xfId="39949" xr:uid="{00000000-0005-0000-0000-00002B630000}"/>
    <cellStyle name="Comma 7 5 5 2 3" xfId="30251" xr:uid="{00000000-0005-0000-0000-00002C630000}"/>
    <cellStyle name="Comma 7 5 5 3" xfId="16094" xr:uid="{00000000-0005-0000-0000-00002D630000}"/>
    <cellStyle name="Comma 7 5 5 3 2" xfId="35494" xr:uid="{00000000-0005-0000-0000-00002E630000}"/>
    <cellStyle name="Comma 7 5 5 4" xfId="25796" xr:uid="{00000000-0005-0000-0000-00002F630000}"/>
    <cellStyle name="Comma 7 5 6" xfId="6655" xr:uid="{00000000-0005-0000-0000-000030630000}"/>
    <cellStyle name="Comma 7 5 6 2" xfId="11110" xr:uid="{00000000-0005-0000-0000-000031630000}"/>
    <cellStyle name="Comma 7 5 6 2 2" xfId="21106" xr:uid="{00000000-0005-0000-0000-000032630000}"/>
    <cellStyle name="Comma 7 5 6 2 2 2" xfId="40506" xr:uid="{00000000-0005-0000-0000-000033630000}"/>
    <cellStyle name="Comma 7 5 6 2 3" xfId="30808" xr:uid="{00000000-0005-0000-0000-000034630000}"/>
    <cellStyle name="Comma 7 5 6 3" xfId="16651" xr:uid="{00000000-0005-0000-0000-000035630000}"/>
    <cellStyle name="Comma 7 5 6 3 2" xfId="36051" xr:uid="{00000000-0005-0000-0000-000036630000}"/>
    <cellStyle name="Comma 7 5 6 4" xfId="26353" xr:uid="{00000000-0005-0000-0000-000037630000}"/>
    <cellStyle name="Comma 7 5 7" xfId="7212" xr:uid="{00000000-0005-0000-0000-000038630000}"/>
    <cellStyle name="Comma 7 5 7 2" xfId="17208" xr:uid="{00000000-0005-0000-0000-000039630000}"/>
    <cellStyle name="Comma 7 5 7 2 2" xfId="36608" xr:uid="{00000000-0005-0000-0000-00003A630000}"/>
    <cellStyle name="Comma 7 5 7 3" xfId="26910" xr:uid="{00000000-0005-0000-0000-00003B630000}"/>
    <cellStyle name="Comma 7 5 8" xfId="12752" xr:uid="{00000000-0005-0000-0000-00003C630000}"/>
    <cellStyle name="Comma 7 5 8 2" xfId="32153" xr:uid="{00000000-0005-0000-0000-00003D630000}"/>
    <cellStyle name="Comma 7 5 9" xfId="22455" xr:uid="{00000000-0005-0000-0000-00003E630000}"/>
    <cellStyle name="Comma 7 6" xfId="11718" xr:uid="{00000000-0005-0000-0000-00003F630000}"/>
    <cellStyle name="Comma 7 7" xfId="1408" xr:uid="{00000000-0005-0000-0000-000040630000}"/>
    <cellStyle name="Comma 8" xfId="920" xr:uid="{00000000-0005-0000-0000-000041630000}"/>
    <cellStyle name="Comma 8 2" xfId="2631" xr:uid="{00000000-0005-0000-0000-000042630000}"/>
    <cellStyle name="Comma 8 3" xfId="11827" xr:uid="{00000000-0005-0000-0000-000043630000}"/>
    <cellStyle name="Comma 8 3 2" xfId="21534" xr:uid="{00000000-0005-0000-0000-000044630000}"/>
    <cellStyle name="Comma 8 3 2 2" xfId="40934" xr:uid="{00000000-0005-0000-0000-000045630000}"/>
    <cellStyle name="Comma 8 3 3" xfId="31236" xr:uid="{00000000-0005-0000-0000-000046630000}"/>
    <cellStyle name="Comma 8 4" xfId="1411" xr:uid="{00000000-0005-0000-0000-000047630000}"/>
    <cellStyle name="Comma 8 5" xfId="12186" xr:uid="{00000000-0005-0000-0000-000048630000}"/>
    <cellStyle name="Comma 8 5 2" xfId="31589" xr:uid="{00000000-0005-0000-0000-000049630000}"/>
    <cellStyle name="Comma 8 6" xfId="21891" xr:uid="{00000000-0005-0000-0000-00004A630000}"/>
    <cellStyle name="Comma 9" xfId="967" xr:uid="{00000000-0005-0000-0000-00004B630000}"/>
    <cellStyle name="Comma 9 2" xfId="11848" xr:uid="{00000000-0005-0000-0000-00004C630000}"/>
    <cellStyle name="Comma 9 2 2" xfId="21552" xr:uid="{00000000-0005-0000-0000-00004D630000}"/>
    <cellStyle name="Comma 9 2 2 2" xfId="40952" xr:uid="{00000000-0005-0000-0000-00004E630000}"/>
    <cellStyle name="Comma 9 2 3" xfId="31254" xr:uid="{00000000-0005-0000-0000-00004F630000}"/>
    <cellStyle name="Comma 9 3" xfId="1636" xr:uid="{00000000-0005-0000-0000-000050630000}"/>
    <cellStyle name="Comma 9 4" xfId="12204" xr:uid="{00000000-0005-0000-0000-000051630000}"/>
    <cellStyle name="Comma 9 4 2" xfId="31607" xr:uid="{00000000-0005-0000-0000-000052630000}"/>
    <cellStyle name="Comma 9 5" xfId="21909" xr:uid="{00000000-0005-0000-0000-000053630000}"/>
    <cellStyle name="Comma0" xfId="755" xr:uid="{00000000-0005-0000-0000-000054630000}"/>
    <cellStyle name="Comma0 2" xfId="1413" xr:uid="{00000000-0005-0000-0000-000055630000}"/>
    <cellStyle name="Comma0 2 2" xfId="1778" xr:uid="{00000000-0005-0000-0000-000056630000}"/>
    <cellStyle name="Comma0 3" xfId="1414" xr:uid="{00000000-0005-0000-0000-000057630000}"/>
    <cellStyle name="Comma0 3 2" xfId="2683" xr:uid="{00000000-0005-0000-0000-000058630000}"/>
    <cellStyle name="Comma0 4" xfId="1645" xr:uid="{00000000-0005-0000-0000-000059630000}"/>
    <cellStyle name="Comma0 5" xfId="3451" xr:uid="{00000000-0005-0000-0000-00005A630000}"/>
    <cellStyle name="Comma0 5 2" xfId="4034" xr:uid="{00000000-0005-0000-0000-00005B630000}"/>
    <cellStyle name="Comma0 5 3" xfId="6269" xr:uid="{00000000-0005-0000-0000-00005C630000}"/>
    <cellStyle name="Comma0 6" xfId="11292" xr:uid="{00000000-0005-0000-0000-00005D630000}"/>
    <cellStyle name="Comma0 7" xfId="1412" xr:uid="{00000000-0005-0000-0000-00005E630000}"/>
    <cellStyle name="Currency 2" xfId="381" xr:uid="{00000000-0005-0000-0000-00005F630000}"/>
    <cellStyle name="Currency 2 10" xfId="11353" xr:uid="{00000000-0005-0000-0000-000060630000}"/>
    <cellStyle name="Currency 2 10 2" xfId="21335" xr:uid="{00000000-0005-0000-0000-000061630000}"/>
    <cellStyle name="Currency 2 10 2 2" xfId="40735" xr:uid="{00000000-0005-0000-0000-000062630000}"/>
    <cellStyle name="Currency 2 10 3" xfId="31037" xr:uid="{00000000-0005-0000-0000-000063630000}"/>
    <cellStyle name="Currency 2 11" xfId="1416" xr:uid="{00000000-0005-0000-0000-000064630000}"/>
    <cellStyle name="Currency 2 12" xfId="1149" xr:uid="{00000000-0005-0000-0000-000065630000}"/>
    <cellStyle name="Currency 2 12 2" xfId="12368" xr:uid="{00000000-0005-0000-0000-000066630000}"/>
    <cellStyle name="Currency 2 12 2 2" xfId="31770" xr:uid="{00000000-0005-0000-0000-000067630000}"/>
    <cellStyle name="Currency 2 12 3" xfId="22072" xr:uid="{00000000-0005-0000-0000-000068630000}"/>
    <cellStyle name="Currency 2 2" xfId="600" xr:uid="{00000000-0005-0000-0000-000069630000}"/>
    <cellStyle name="Currency 2 2 2" xfId="1781" xr:uid="{00000000-0005-0000-0000-00006A630000}"/>
    <cellStyle name="Currency 2 2 3" xfId="11595" xr:uid="{00000000-0005-0000-0000-00006B630000}"/>
    <cellStyle name="Currency 2 2 4" xfId="1417" xr:uid="{00000000-0005-0000-0000-00006C630000}"/>
    <cellStyle name="Currency 2 3" xfId="590" xr:uid="{00000000-0005-0000-0000-00006D630000}"/>
    <cellStyle name="Currency 2 3 2" xfId="2521" xr:uid="{00000000-0005-0000-0000-00006E630000}"/>
    <cellStyle name="Currency 2 3 2 2" xfId="3410" xr:uid="{00000000-0005-0000-0000-00006F630000}"/>
    <cellStyle name="Currency 2 3 2 2 2" xfId="5678" xr:uid="{00000000-0005-0000-0000-000070630000}"/>
    <cellStyle name="Currency 2 3 2 2 2 2" xfId="10142" xr:uid="{00000000-0005-0000-0000-000071630000}"/>
    <cellStyle name="Currency 2 3 2 2 2 2 2" xfId="20138" xr:uid="{00000000-0005-0000-0000-000072630000}"/>
    <cellStyle name="Currency 2 3 2 2 2 2 2 2" xfId="39538" xr:uid="{00000000-0005-0000-0000-000073630000}"/>
    <cellStyle name="Currency 2 3 2 2 2 2 3" xfId="29840" xr:uid="{00000000-0005-0000-0000-000074630000}"/>
    <cellStyle name="Currency 2 3 2 2 2 3" xfId="15683" xr:uid="{00000000-0005-0000-0000-000075630000}"/>
    <cellStyle name="Currency 2 3 2 2 2 3 2" xfId="35083" xr:uid="{00000000-0005-0000-0000-000076630000}"/>
    <cellStyle name="Currency 2 3 2 2 2 4" xfId="25385" xr:uid="{00000000-0005-0000-0000-000077630000}"/>
    <cellStyle name="Currency 2 3 2 2 3" xfId="7914" xr:uid="{00000000-0005-0000-0000-000078630000}"/>
    <cellStyle name="Currency 2 3 2 2 3 2" xfId="17910" xr:uid="{00000000-0005-0000-0000-000079630000}"/>
    <cellStyle name="Currency 2 3 2 2 3 2 2" xfId="37310" xr:uid="{00000000-0005-0000-0000-00007A630000}"/>
    <cellStyle name="Currency 2 3 2 2 3 3" xfId="27612" xr:uid="{00000000-0005-0000-0000-00007B630000}"/>
    <cellStyle name="Currency 2 3 2 2 4" xfId="13455" xr:uid="{00000000-0005-0000-0000-00007C630000}"/>
    <cellStyle name="Currency 2 3 2 2 4 2" xfId="32855" xr:uid="{00000000-0005-0000-0000-00007D630000}"/>
    <cellStyle name="Currency 2 3 2 2 5" xfId="23157" xr:uid="{00000000-0005-0000-0000-00007E630000}"/>
    <cellStyle name="Currency 2 3 2 3" xfId="3993" xr:uid="{00000000-0005-0000-0000-00007F630000}"/>
    <cellStyle name="Currency 2 3 2 3 2" xfId="5122" xr:uid="{00000000-0005-0000-0000-000080630000}"/>
    <cellStyle name="Currency 2 3 2 3 2 2" xfId="9586" xr:uid="{00000000-0005-0000-0000-000081630000}"/>
    <cellStyle name="Currency 2 3 2 3 2 2 2" xfId="19582" xr:uid="{00000000-0005-0000-0000-000082630000}"/>
    <cellStyle name="Currency 2 3 2 3 2 2 2 2" xfId="38982" xr:uid="{00000000-0005-0000-0000-000083630000}"/>
    <cellStyle name="Currency 2 3 2 3 2 2 3" xfId="29284" xr:uid="{00000000-0005-0000-0000-000084630000}"/>
    <cellStyle name="Currency 2 3 2 3 2 3" xfId="15127" xr:uid="{00000000-0005-0000-0000-000085630000}"/>
    <cellStyle name="Currency 2 3 2 3 2 3 2" xfId="34527" xr:uid="{00000000-0005-0000-0000-000086630000}"/>
    <cellStyle name="Currency 2 3 2 3 2 4" xfId="24829" xr:uid="{00000000-0005-0000-0000-000087630000}"/>
    <cellStyle name="Currency 2 3 2 3 3" xfId="8471" xr:uid="{00000000-0005-0000-0000-000088630000}"/>
    <cellStyle name="Currency 2 3 2 3 3 2" xfId="18467" xr:uid="{00000000-0005-0000-0000-000089630000}"/>
    <cellStyle name="Currency 2 3 2 3 3 2 2" xfId="37867" xr:uid="{00000000-0005-0000-0000-00008A630000}"/>
    <cellStyle name="Currency 2 3 2 3 3 3" xfId="28169" xr:uid="{00000000-0005-0000-0000-00008B630000}"/>
    <cellStyle name="Currency 2 3 2 3 4" xfId="14012" xr:uid="{00000000-0005-0000-0000-00008C630000}"/>
    <cellStyle name="Currency 2 3 2 3 4 2" xfId="33412" xr:uid="{00000000-0005-0000-0000-00008D630000}"/>
    <cellStyle name="Currency 2 3 2 3 5" xfId="23714" xr:uid="{00000000-0005-0000-0000-00008E630000}"/>
    <cellStyle name="Currency 2 3 2 4" xfId="4565" xr:uid="{00000000-0005-0000-0000-00008F630000}"/>
    <cellStyle name="Currency 2 3 2 4 2" xfId="9029" xr:uid="{00000000-0005-0000-0000-000090630000}"/>
    <cellStyle name="Currency 2 3 2 4 2 2" xfId="19025" xr:uid="{00000000-0005-0000-0000-000091630000}"/>
    <cellStyle name="Currency 2 3 2 4 2 2 2" xfId="38425" xr:uid="{00000000-0005-0000-0000-000092630000}"/>
    <cellStyle name="Currency 2 3 2 4 2 3" xfId="28727" xr:uid="{00000000-0005-0000-0000-000093630000}"/>
    <cellStyle name="Currency 2 3 2 4 3" xfId="14570" xr:uid="{00000000-0005-0000-0000-000094630000}"/>
    <cellStyle name="Currency 2 3 2 4 3 2" xfId="33970" xr:uid="{00000000-0005-0000-0000-000095630000}"/>
    <cellStyle name="Currency 2 3 2 4 4" xfId="24272" xr:uid="{00000000-0005-0000-0000-000096630000}"/>
    <cellStyle name="Currency 2 3 2 5" xfId="6235" xr:uid="{00000000-0005-0000-0000-000097630000}"/>
    <cellStyle name="Currency 2 3 2 5 2" xfId="10699" xr:uid="{00000000-0005-0000-0000-000098630000}"/>
    <cellStyle name="Currency 2 3 2 5 2 2" xfId="20695" xr:uid="{00000000-0005-0000-0000-000099630000}"/>
    <cellStyle name="Currency 2 3 2 5 2 2 2" xfId="40095" xr:uid="{00000000-0005-0000-0000-00009A630000}"/>
    <cellStyle name="Currency 2 3 2 5 2 3" xfId="30397" xr:uid="{00000000-0005-0000-0000-00009B630000}"/>
    <cellStyle name="Currency 2 3 2 5 3" xfId="16240" xr:uid="{00000000-0005-0000-0000-00009C630000}"/>
    <cellStyle name="Currency 2 3 2 5 3 2" xfId="35640" xr:uid="{00000000-0005-0000-0000-00009D630000}"/>
    <cellStyle name="Currency 2 3 2 5 4" xfId="25942" xr:uid="{00000000-0005-0000-0000-00009E630000}"/>
    <cellStyle name="Currency 2 3 2 6" xfId="6801" xr:uid="{00000000-0005-0000-0000-00009F630000}"/>
    <cellStyle name="Currency 2 3 2 6 2" xfId="11256" xr:uid="{00000000-0005-0000-0000-0000A0630000}"/>
    <cellStyle name="Currency 2 3 2 6 2 2" xfId="21252" xr:uid="{00000000-0005-0000-0000-0000A1630000}"/>
    <cellStyle name="Currency 2 3 2 6 2 2 2" xfId="40652" xr:uid="{00000000-0005-0000-0000-0000A2630000}"/>
    <cellStyle name="Currency 2 3 2 6 2 3" xfId="30954" xr:uid="{00000000-0005-0000-0000-0000A3630000}"/>
    <cellStyle name="Currency 2 3 2 6 3" xfId="16797" xr:uid="{00000000-0005-0000-0000-0000A4630000}"/>
    <cellStyle name="Currency 2 3 2 6 3 2" xfId="36197" xr:uid="{00000000-0005-0000-0000-0000A5630000}"/>
    <cellStyle name="Currency 2 3 2 6 4" xfId="26499" xr:uid="{00000000-0005-0000-0000-0000A6630000}"/>
    <cellStyle name="Currency 2 3 2 7" xfId="7358" xr:uid="{00000000-0005-0000-0000-0000A7630000}"/>
    <cellStyle name="Currency 2 3 2 7 2" xfId="17354" xr:uid="{00000000-0005-0000-0000-0000A8630000}"/>
    <cellStyle name="Currency 2 3 2 7 2 2" xfId="36754" xr:uid="{00000000-0005-0000-0000-0000A9630000}"/>
    <cellStyle name="Currency 2 3 2 7 3" xfId="27056" xr:uid="{00000000-0005-0000-0000-0000AA630000}"/>
    <cellStyle name="Currency 2 3 2 8" xfId="12898" xr:uid="{00000000-0005-0000-0000-0000AB630000}"/>
    <cellStyle name="Currency 2 3 2 8 2" xfId="32299" xr:uid="{00000000-0005-0000-0000-0000AC630000}"/>
    <cellStyle name="Currency 2 3 2 9" xfId="22601" xr:uid="{00000000-0005-0000-0000-0000AD630000}"/>
    <cellStyle name="Currency 2 3 3" xfId="2684" xr:uid="{00000000-0005-0000-0000-0000AE630000}"/>
    <cellStyle name="Currency 2 3 4" xfId="11588" xr:uid="{00000000-0005-0000-0000-0000AF630000}"/>
    <cellStyle name="Currency 2 3 5" xfId="1418" xr:uid="{00000000-0005-0000-0000-0000B0630000}"/>
    <cellStyle name="Currency 2 4" xfId="790" xr:uid="{00000000-0005-0000-0000-0000B1630000}"/>
    <cellStyle name="Currency 2 4 2" xfId="2710" xr:uid="{00000000-0005-0000-0000-0000B2630000}"/>
    <cellStyle name="Currency 2 4 2 2" xfId="3433" xr:uid="{00000000-0005-0000-0000-0000B3630000}"/>
    <cellStyle name="Currency 2 4 2 2 2" xfId="5701" xr:uid="{00000000-0005-0000-0000-0000B4630000}"/>
    <cellStyle name="Currency 2 4 2 2 2 2" xfId="10165" xr:uid="{00000000-0005-0000-0000-0000B5630000}"/>
    <cellStyle name="Currency 2 4 2 2 2 2 2" xfId="20161" xr:uid="{00000000-0005-0000-0000-0000B6630000}"/>
    <cellStyle name="Currency 2 4 2 2 2 2 2 2" xfId="39561" xr:uid="{00000000-0005-0000-0000-0000B7630000}"/>
    <cellStyle name="Currency 2 4 2 2 2 2 3" xfId="29863" xr:uid="{00000000-0005-0000-0000-0000B8630000}"/>
    <cellStyle name="Currency 2 4 2 2 2 3" xfId="15706" xr:uid="{00000000-0005-0000-0000-0000B9630000}"/>
    <cellStyle name="Currency 2 4 2 2 2 3 2" xfId="35106" xr:uid="{00000000-0005-0000-0000-0000BA630000}"/>
    <cellStyle name="Currency 2 4 2 2 2 4" xfId="25408" xr:uid="{00000000-0005-0000-0000-0000BB630000}"/>
    <cellStyle name="Currency 2 4 2 2 3" xfId="7937" xr:uid="{00000000-0005-0000-0000-0000BC630000}"/>
    <cellStyle name="Currency 2 4 2 2 3 2" xfId="17933" xr:uid="{00000000-0005-0000-0000-0000BD630000}"/>
    <cellStyle name="Currency 2 4 2 2 3 2 2" xfId="37333" xr:uid="{00000000-0005-0000-0000-0000BE630000}"/>
    <cellStyle name="Currency 2 4 2 2 3 3" xfId="27635" xr:uid="{00000000-0005-0000-0000-0000BF630000}"/>
    <cellStyle name="Currency 2 4 2 2 4" xfId="13478" xr:uid="{00000000-0005-0000-0000-0000C0630000}"/>
    <cellStyle name="Currency 2 4 2 2 4 2" xfId="32878" xr:uid="{00000000-0005-0000-0000-0000C1630000}"/>
    <cellStyle name="Currency 2 4 2 2 5" xfId="23180" xr:uid="{00000000-0005-0000-0000-0000C2630000}"/>
    <cellStyle name="Currency 2 4 2 3" xfId="4016" xr:uid="{00000000-0005-0000-0000-0000C3630000}"/>
    <cellStyle name="Currency 2 4 2 3 2" xfId="5145" xr:uid="{00000000-0005-0000-0000-0000C4630000}"/>
    <cellStyle name="Currency 2 4 2 3 2 2" xfId="9609" xr:uid="{00000000-0005-0000-0000-0000C5630000}"/>
    <cellStyle name="Currency 2 4 2 3 2 2 2" xfId="19605" xr:uid="{00000000-0005-0000-0000-0000C6630000}"/>
    <cellStyle name="Currency 2 4 2 3 2 2 2 2" xfId="39005" xr:uid="{00000000-0005-0000-0000-0000C7630000}"/>
    <cellStyle name="Currency 2 4 2 3 2 2 3" xfId="29307" xr:uid="{00000000-0005-0000-0000-0000C8630000}"/>
    <cellStyle name="Currency 2 4 2 3 2 3" xfId="15150" xr:uid="{00000000-0005-0000-0000-0000C9630000}"/>
    <cellStyle name="Currency 2 4 2 3 2 3 2" xfId="34550" xr:uid="{00000000-0005-0000-0000-0000CA630000}"/>
    <cellStyle name="Currency 2 4 2 3 2 4" xfId="24852" xr:uid="{00000000-0005-0000-0000-0000CB630000}"/>
    <cellStyle name="Currency 2 4 2 3 3" xfId="8494" xr:uid="{00000000-0005-0000-0000-0000CC630000}"/>
    <cellStyle name="Currency 2 4 2 3 3 2" xfId="18490" xr:uid="{00000000-0005-0000-0000-0000CD630000}"/>
    <cellStyle name="Currency 2 4 2 3 3 2 2" xfId="37890" xr:uid="{00000000-0005-0000-0000-0000CE630000}"/>
    <cellStyle name="Currency 2 4 2 3 3 3" xfId="28192" xr:uid="{00000000-0005-0000-0000-0000CF630000}"/>
    <cellStyle name="Currency 2 4 2 3 4" xfId="14035" xr:uid="{00000000-0005-0000-0000-0000D0630000}"/>
    <cellStyle name="Currency 2 4 2 3 4 2" xfId="33435" xr:uid="{00000000-0005-0000-0000-0000D1630000}"/>
    <cellStyle name="Currency 2 4 2 3 5" xfId="23737" xr:uid="{00000000-0005-0000-0000-0000D2630000}"/>
    <cellStyle name="Currency 2 4 2 4" xfId="4588" xr:uid="{00000000-0005-0000-0000-0000D3630000}"/>
    <cellStyle name="Currency 2 4 2 4 2" xfId="9052" xr:uid="{00000000-0005-0000-0000-0000D4630000}"/>
    <cellStyle name="Currency 2 4 2 4 2 2" xfId="19048" xr:uid="{00000000-0005-0000-0000-0000D5630000}"/>
    <cellStyle name="Currency 2 4 2 4 2 2 2" xfId="38448" xr:uid="{00000000-0005-0000-0000-0000D6630000}"/>
    <cellStyle name="Currency 2 4 2 4 2 3" xfId="28750" xr:uid="{00000000-0005-0000-0000-0000D7630000}"/>
    <cellStyle name="Currency 2 4 2 4 3" xfId="14593" xr:uid="{00000000-0005-0000-0000-0000D8630000}"/>
    <cellStyle name="Currency 2 4 2 4 3 2" xfId="33993" xr:uid="{00000000-0005-0000-0000-0000D9630000}"/>
    <cellStyle name="Currency 2 4 2 4 4" xfId="24295" xr:uid="{00000000-0005-0000-0000-0000DA630000}"/>
    <cellStyle name="Currency 2 4 2 5" xfId="6258" xr:uid="{00000000-0005-0000-0000-0000DB630000}"/>
    <cellStyle name="Currency 2 4 2 5 2" xfId="10722" xr:uid="{00000000-0005-0000-0000-0000DC630000}"/>
    <cellStyle name="Currency 2 4 2 5 2 2" xfId="20718" xr:uid="{00000000-0005-0000-0000-0000DD630000}"/>
    <cellStyle name="Currency 2 4 2 5 2 2 2" xfId="40118" xr:uid="{00000000-0005-0000-0000-0000DE630000}"/>
    <cellStyle name="Currency 2 4 2 5 2 3" xfId="30420" xr:uid="{00000000-0005-0000-0000-0000DF630000}"/>
    <cellStyle name="Currency 2 4 2 5 3" xfId="16263" xr:uid="{00000000-0005-0000-0000-0000E0630000}"/>
    <cellStyle name="Currency 2 4 2 5 3 2" xfId="35663" xr:uid="{00000000-0005-0000-0000-0000E1630000}"/>
    <cellStyle name="Currency 2 4 2 5 4" xfId="25965" xr:uid="{00000000-0005-0000-0000-0000E2630000}"/>
    <cellStyle name="Currency 2 4 2 6" xfId="6824" xr:uid="{00000000-0005-0000-0000-0000E3630000}"/>
    <cellStyle name="Currency 2 4 2 6 2" xfId="11279" xr:uid="{00000000-0005-0000-0000-0000E4630000}"/>
    <cellStyle name="Currency 2 4 2 6 2 2" xfId="21275" xr:uid="{00000000-0005-0000-0000-0000E5630000}"/>
    <cellStyle name="Currency 2 4 2 6 2 2 2" xfId="40675" xr:uid="{00000000-0005-0000-0000-0000E6630000}"/>
    <cellStyle name="Currency 2 4 2 6 2 3" xfId="30977" xr:uid="{00000000-0005-0000-0000-0000E7630000}"/>
    <cellStyle name="Currency 2 4 2 6 3" xfId="16820" xr:uid="{00000000-0005-0000-0000-0000E8630000}"/>
    <cellStyle name="Currency 2 4 2 6 3 2" xfId="36220" xr:uid="{00000000-0005-0000-0000-0000E9630000}"/>
    <cellStyle name="Currency 2 4 2 6 4" xfId="26522" xr:uid="{00000000-0005-0000-0000-0000EA630000}"/>
    <cellStyle name="Currency 2 4 2 7" xfId="7381" xr:uid="{00000000-0005-0000-0000-0000EB630000}"/>
    <cellStyle name="Currency 2 4 2 7 2" xfId="17377" xr:uid="{00000000-0005-0000-0000-0000EC630000}"/>
    <cellStyle name="Currency 2 4 2 7 2 2" xfId="36777" xr:uid="{00000000-0005-0000-0000-0000ED630000}"/>
    <cellStyle name="Currency 2 4 2 7 3" xfId="27079" xr:uid="{00000000-0005-0000-0000-0000EE630000}"/>
    <cellStyle name="Currency 2 4 2 8" xfId="12922" xr:uid="{00000000-0005-0000-0000-0000EF630000}"/>
    <cellStyle name="Currency 2 4 2 8 2" xfId="32322" xr:uid="{00000000-0005-0000-0000-0000F0630000}"/>
    <cellStyle name="Currency 2 4 2 9" xfId="22624" xr:uid="{00000000-0005-0000-0000-0000F1630000}"/>
    <cellStyle name="Currency 2 4 3" xfId="11714" xr:uid="{00000000-0005-0000-0000-0000F2630000}"/>
    <cellStyle name="Currency 2 4 3 2" xfId="21425" xr:uid="{00000000-0005-0000-0000-0000F3630000}"/>
    <cellStyle name="Currency 2 4 3 2 2" xfId="40825" xr:uid="{00000000-0005-0000-0000-0000F4630000}"/>
    <cellStyle name="Currency 2 4 3 3" xfId="31127" xr:uid="{00000000-0005-0000-0000-0000F5630000}"/>
    <cellStyle name="Currency 2 4 4" xfId="1419" xr:uid="{00000000-0005-0000-0000-0000F6630000}"/>
    <cellStyle name="Currency 2 4 5" xfId="12077" xr:uid="{00000000-0005-0000-0000-0000F7630000}"/>
    <cellStyle name="Currency 2 4 5 2" xfId="31480" xr:uid="{00000000-0005-0000-0000-0000F8630000}"/>
    <cellStyle name="Currency 2 4 6" xfId="21782" xr:uid="{00000000-0005-0000-0000-0000F9630000}"/>
    <cellStyle name="Currency 2 5" xfId="1119" xr:uid="{00000000-0005-0000-0000-0000FA630000}"/>
    <cellStyle name="Currency 2 5 2" xfId="2769" xr:uid="{00000000-0005-0000-0000-0000FB630000}"/>
    <cellStyle name="Currency 2 5 3" xfId="11984" xr:uid="{00000000-0005-0000-0000-0000FC630000}"/>
    <cellStyle name="Currency 2 5 3 2" xfId="21688" xr:uid="{00000000-0005-0000-0000-0000FD630000}"/>
    <cellStyle name="Currency 2 5 3 2 2" xfId="41088" xr:uid="{00000000-0005-0000-0000-0000FE630000}"/>
    <cellStyle name="Currency 2 5 3 3" xfId="31390" xr:uid="{00000000-0005-0000-0000-0000FF630000}"/>
    <cellStyle name="Currency 2 5 4" xfId="1420" xr:uid="{00000000-0005-0000-0000-000000640000}"/>
    <cellStyle name="Currency 2 5 5" xfId="12340" xr:uid="{00000000-0005-0000-0000-000001640000}"/>
    <cellStyle name="Currency 2 5 5 2" xfId="31743" xr:uid="{00000000-0005-0000-0000-000002640000}"/>
    <cellStyle name="Currency 2 5 6" xfId="22045" xr:uid="{00000000-0005-0000-0000-000003640000}"/>
    <cellStyle name="Currency 2 6" xfId="1421" xr:uid="{00000000-0005-0000-0000-000004640000}"/>
    <cellStyle name="Currency 2 6 2" xfId="1156" xr:uid="{00000000-0005-0000-0000-000005640000}"/>
    <cellStyle name="Currency 2 7" xfId="1780" xr:uid="{00000000-0005-0000-0000-000006640000}"/>
    <cellStyle name="Currency 2 8" xfId="1881" xr:uid="{00000000-0005-0000-0000-000007640000}"/>
    <cellStyle name="Currency 2 8 2" xfId="2923" xr:uid="{00000000-0005-0000-0000-000008640000}"/>
    <cellStyle name="Currency 2 8 2 2" xfId="5192" xr:uid="{00000000-0005-0000-0000-000009640000}"/>
    <cellStyle name="Currency 2 8 2 2 2" xfId="9656" xr:uid="{00000000-0005-0000-0000-00000A640000}"/>
    <cellStyle name="Currency 2 8 2 2 2 2" xfId="19652" xr:uid="{00000000-0005-0000-0000-00000B640000}"/>
    <cellStyle name="Currency 2 8 2 2 2 2 2" xfId="39052" xr:uid="{00000000-0005-0000-0000-00000C640000}"/>
    <cellStyle name="Currency 2 8 2 2 2 3" xfId="29354" xr:uid="{00000000-0005-0000-0000-00000D640000}"/>
    <cellStyle name="Currency 2 8 2 2 3" xfId="15197" xr:uid="{00000000-0005-0000-0000-00000E640000}"/>
    <cellStyle name="Currency 2 8 2 2 3 2" xfId="34597" xr:uid="{00000000-0005-0000-0000-00000F640000}"/>
    <cellStyle name="Currency 2 8 2 2 4" xfId="24899" xr:uid="{00000000-0005-0000-0000-000010640000}"/>
    <cellStyle name="Currency 2 8 2 3" xfId="7428" xr:uid="{00000000-0005-0000-0000-000011640000}"/>
    <cellStyle name="Currency 2 8 2 3 2" xfId="17424" xr:uid="{00000000-0005-0000-0000-000012640000}"/>
    <cellStyle name="Currency 2 8 2 3 2 2" xfId="36824" xr:uid="{00000000-0005-0000-0000-000013640000}"/>
    <cellStyle name="Currency 2 8 2 3 3" xfId="27126" xr:uid="{00000000-0005-0000-0000-000014640000}"/>
    <cellStyle name="Currency 2 8 2 4" xfId="12969" xr:uid="{00000000-0005-0000-0000-000015640000}"/>
    <cellStyle name="Currency 2 8 2 4 2" xfId="32369" xr:uid="{00000000-0005-0000-0000-000016640000}"/>
    <cellStyle name="Currency 2 8 2 5" xfId="22671" xr:uid="{00000000-0005-0000-0000-000017640000}"/>
    <cellStyle name="Currency 2 8 3" xfId="3506" xr:uid="{00000000-0005-0000-0000-000018640000}"/>
    <cellStyle name="Currency 2 8 3 2" xfId="4636" xr:uid="{00000000-0005-0000-0000-000019640000}"/>
    <cellStyle name="Currency 2 8 3 2 2" xfId="9100" xr:uid="{00000000-0005-0000-0000-00001A640000}"/>
    <cellStyle name="Currency 2 8 3 2 2 2" xfId="19096" xr:uid="{00000000-0005-0000-0000-00001B640000}"/>
    <cellStyle name="Currency 2 8 3 2 2 2 2" xfId="38496" xr:uid="{00000000-0005-0000-0000-00001C640000}"/>
    <cellStyle name="Currency 2 8 3 2 2 3" xfId="28798" xr:uid="{00000000-0005-0000-0000-00001D640000}"/>
    <cellStyle name="Currency 2 8 3 2 3" xfId="14641" xr:uid="{00000000-0005-0000-0000-00001E640000}"/>
    <cellStyle name="Currency 2 8 3 2 3 2" xfId="34041" xr:uid="{00000000-0005-0000-0000-00001F640000}"/>
    <cellStyle name="Currency 2 8 3 2 4" xfId="24343" xr:uid="{00000000-0005-0000-0000-000020640000}"/>
    <cellStyle name="Currency 2 8 3 3" xfId="7985" xr:uid="{00000000-0005-0000-0000-000021640000}"/>
    <cellStyle name="Currency 2 8 3 3 2" xfId="17981" xr:uid="{00000000-0005-0000-0000-000022640000}"/>
    <cellStyle name="Currency 2 8 3 3 2 2" xfId="37381" xr:uid="{00000000-0005-0000-0000-000023640000}"/>
    <cellStyle name="Currency 2 8 3 3 3" xfId="27683" xr:uid="{00000000-0005-0000-0000-000024640000}"/>
    <cellStyle name="Currency 2 8 3 4" xfId="13526" xr:uid="{00000000-0005-0000-0000-000025640000}"/>
    <cellStyle name="Currency 2 8 3 4 2" xfId="32926" xr:uid="{00000000-0005-0000-0000-000026640000}"/>
    <cellStyle name="Currency 2 8 3 5" xfId="23228" xr:uid="{00000000-0005-0000-0000-000027640000}"/>
    <cellStyle name="Currency 2 8 4" xfId="4079" xr:uid="{00000000-0005-0000-0000-000028640000}"/>
    <cellStyle name="Currency 2 8 4 2" xfId="8543" xr:uid="{00000000-0005-0000-0000-000029640000}"/>
    <cellStyle name="Currency 2 8 4 2 2" xfId="18539" xr:uid="{00000000-0005-0000-0000-00002A640000}"/>
    <cellStyle name="Currency 2 8 4 2 2 2" xfId="37939" xr:uid="{00000000-0005-0000-0000-00002B640000}"/>
    <cellStyle name="Currency 2 8 4 2 3" xfId="28241" xr:uid="{00000000-0005-0000-0000-00002C640000}"/>
    <cellStyle name="Currency 2 8 4 3" xfId="14084" xr:uid="{00000000-0005-0000-0000-00002D640000}"/>
    <cellStyle name="Currency 2 8 4 3 2" xfId="33484" xr:uid="{00000000-0005-0000-0000-00002E640000}"/>
    <cellStyle name="Currency 2 8 4 4" xfId="23786" xr:uid="{00000000-0005-0000-0000-00002F640000}"/>
    <cellStyle name="Currency 2 8 5" xfId="5749" xr:uid="{00000000-0005-0000-0000-000030640000}"/>
    <cellStyle name="Currency 2 8 5 2" xfId="10213" xr:uid="{00000000-0005-0000-0000-000031640000}"/>
    <cellStyle name="Currency 2 8 5 2 2" xfId="20209" xr:uid="{00000000-0005-0000-0000-000032640000}"/>
    <cellStyle name="Currency 2 8 5 2 2 2" xfId="39609" xr:uid="{00000000-0005-0000-0000-000033640000}"/>
    <cellStyle name="Currency 2 8 5 2 3" xfId="29911" xr:uid="{00000000-0005-0000-0000-000034640000}"/>
    <cellStyle name="Currency 2 8 5 3" xfId="15754" xr:uid="{00000000-0005-0000-0000-000035640000}"/>
    <cellStyle name="Currency 2 8 5 3 2" xfId="35154" xr:uid="{00000000-0005-0000-0000-000036640000}"/>
    <cellStyle name="Currency 2 8 5 4" xfId="25456" xr:uid="{00000000-0005-0000-0000-000037640000}"/>
    <cellStyle name="Currency 2 8 6" xfId="6315" xr:uid="{00000000-0005-0000-0000-000038640000}"/>
    <cellStyle name="Currency 2 8 6 2" xfId="10770" xr:uid="{00000000-0005-0000-0000-000039640000}"/>
    <cellStyle name="Currency 2 8 6 2 2" xfId="20766" xr:uid="{00000000-0005-0000-0000-00003A640000}"/>
    <cellStyle name="Currency 2 8 6 2 2 2" xfId="40166" xr:uid="{00000000-0005-0000-0000-00003B640000}"/>
    <cellStyle name="Currency 2 8 6 2 3" xfId="30468" xr:uid="{00000000-0005-0000-0000-00003C640000}"/>
    <cellStyle name="Currency 2 8 6 3" xfId="16311" xr:uid="{00000000-0005-0000-0000-00003D640000}"/>
    <cellStyle name="Currency 2 8 6 3 2" xfId="35711" xr:uid="{00000000-0005-0000-0000-00003E640000}"/>
    <cellStyle name="Currency 2 8 6 4" xfId="26013" xr:uid="{00000000-0005-0000-0000-00003F640000}"/>
    <cellStyle name="Currency 2 8 7" xfId="6872" xr:uid="{00000000-0005-0000-0000-000040640000}"/>
    <cellStyle name="Currency 2 8 7 2" xfId="16868" xr:uid="{00000000-0005-0000-0000-000041640000}"/>
    <cellStyle name="Currency 2 8 7 2 2" xfId="36268" xr:uid="{00000000-0005-0000-0000-000042640000}"/>
    <cellStyle name="Currency 2 8 7 3" xfId="26570" xr:uid="{00000000-0005-0000-0000-000043640000}"/>
    <cellStyle name="Currency 2 8 8" xfId="12412" xr:uid="{00000000-0005-0000-0000-000044640000}"/>
    <cellStyle name="Currency 2 8 8 2" xfId="31813" xr:uid="{00000000-0005-0000-0000-000045640000}"/>
    <cellStyle name="Currency 2 8 9" xfId="22115" xr:uid="{00000000-0005-0000-0000-000046640000}"/>
    <cellStyle name="Currency 2 9" xfId="11323" xr:uid="{00000000-0005-0000-0000-000047640000}"/>
    <cellStyle name="Currency 2 9 2" xfId="21308" xr:uid="{00000000-0005-0000-0000-000048640000}"/>
    <cellStyle name="Currency 2 9 2 2" xfId="40708" xr:uid="{00000000-0005-0000-0000-000049640000}"/>
    <cellStyle name="Currency 2 9 3" xfId="31010" xr:uid="{00000000-0005-0000-0000-00004A640000}"/>
    <cellStyle name="Currency 3" xfId="382" xr:uid="{00000000-0005-0000-0000-00004B640000}"/>
    <cellStyle name="Currency 3 2" xfId="601" xr:uid="{00000000-0005-0000-0000-00004C640000}"/>
    <cellStyle name="Currency 3 2 2" xfId="2499" xr:uid="{00000000-0005-0000-0000-00004D640000}"/>
    <cellStyle name="Currency 3 3" xfId="591" xr:uid="{00000000-0005-0000-0000-00004E640000}"/>
    <cellStyle name="Currency 3 4" xfId="771" xr:uid="{00000000-0005-0000-0000-00004F640000}"/>
    <cellStyle name="Currency 3 4 2" xfId="11706" xr:uid="{00000000-0005-0000-0000-000050640000}"/>
    <cellStyle name="Currency 3 4 3" xfId="1422" xr:uid="{00000000-0005-0000-0000-000051640000}"/>
    <cellStyle name="Currency 4" xfId="1423" xr:uid="{00000000-0005-0000-0000-000052640000}"/>
    <cellStyle name="Currency 4 2" xfId="1779" xr:uid="{00000000-0005-0000-0000-000053640000}"/>
    <cellStyle name="Currency 5" xfId="383" xr:uid="{00000000-0005-0000-0000-000054640000}"/>
    <cellStyle name="Currency 5 2" xfId="2301" xr:uid="{00000000-0005-0000-0000-000055640000}"/>
    <cellStyle name="Currency 5 2 2" xfId="3264" xr:uid="{00000000-0005-0000-0000-000056640000}"/>
    <cellStyle name="Currency 5 2 2 2" xfId="5533" xr:uid="{00000000-0005-0000-0000-000057640000}"/>
    <cellStyle name="Currency 5 2 2 2 2" xfId="9997" xr:uid="{00000000-0005-0000-0000-000058640000}"/>
    <cellStyle name="Currency 5 2 2 2 2 2" xfId="19993" xr:uid="{00000000-0005-0000-0000-000059640000}"/>
    <cellStyle name="Currency 5 2 2 2 2 2 2" xfId="39393" xr:uid="{00000000-0005-0000-0000-00005A640000}"/>
    <cellStyle name="Currency 5 2 2 2 2 3" xfId="29695" xr:uid="{00000000-0005-0000-0000-00005B640000}"/>
    <cellStyle name="Currency 5 2 2 2 3" xfId="15538" xr:uid="{00000000-0005-0000-0000-00005C640000}"/>
    <cellStyle name="Currency 5 2 2 2 3 2" xfId="34938" xr:uid="{00000000-0005-0000-0000-00005D640000}"/>
    <cellStyle name="Currency 5 2 2 2 4" xfId="25240" xr:uid="{00000000-0005-0000-0000-00005E640000}"/>
    <cellStyle name="Currency 5 2 2 3" xfId="7769" xr:uid="{00000000-0005-0000-0000-00005F640000}"/>
    <cellStyle name="Currency 5 2 2 3 2" xfId="17765" xr:uid="{00000000-0005-0000-0000-000060640000}"/>
    <cellStyle name="Currency 5 2 2 3 2 2" xfId="37165" xr:uid="{00000000-0005-0000-0000-000061640000}"/>
    <cellStyle name="Currency 5 2 2 3 3" xfId="27467" xr:uid="{00000000-0005-0000-0000-000062640000}"/>
    <cellStyle name="Currency 5 2 2 4" xfId="13310" xr:uid="{00000000-0005-0000-0000-000063640000}"/>
    <cellStyle name="Currency 5 2 2 4 2" xfId="32710" xr:uid="{00000000-0005-0000-0000-000064640000}"/>
    <cellStyle name="Currency 5 2 2 5" xfId="23012" xr:uid="{00000000-0005-0000-0000-000065640000}"/>
    <cellStyle name="Currency 5 2 3" xfId="3847" xr:uid="{00000000-0005-0000-0000-000066640000}"/>
    <cellStyle name="Currency 5 2 3 2" xfId="4977" xr:uid="{00000000-0005-0000-0000-000067640000}"/>
    <cellStyle name="Currency 5 2 3 2 2" xfId="9441" xr:uid="{00000000-0005-0000-0000-000068640000}"/>
    <cellStyle name="Currency 5 2 3 2 2 2" xfId="19437" xr:uid="{00000000-0005-0000-0000-000069640000}"/>
    <cellStyle name="Currency 5 2 3 2 2 2 2" xfId="38837" xr:uid="{00000000-0005-0000-0000-00006A640000}"/>
    <cellStyle name="Currency 5 2 3 2 2 3" xfId="29139" xr:uid="{00000000-0005-0000-0000-00006B640000}"/>
    <cellStyle name="Currency 5 2 3 2 3" xfId="14982" xr:uid="{00000000-0005-0000-0000-00006C640000}"/>
    <cellStyle name="Currency 5 2 3 2 3 2" xfId="34382" xr:uid="{00000000-0005-0000-0000-00006D640000}"/>
    <cellStyle name="Currency 5 2 3 2 4" xfId="24684" xr:uid="{00000000-0005-0000-0000-00006E640000}"/>
    <cellStyle name="Currency 5 2 3 3" xfId="8326" xr:uid="{00000000-0005-0000-0000-00006F640000}"/>
    <cellStyle name="Currency 5 2 3 3 2" xfId="18322" xr:uid="{00000000-0005-0000-0000-000070640000}"/>
    <cellStyle name="Currency 5 2 3 3 2 2" xfId="37722" xr:uid="{00000000-0005-0000-0000-000071640000}"/>
    <cellStyle name="Currency 5 2 3 3 3" xfId="28024" xr:uid="{00000000-0005-0000-0000-000072640000}"/>
    <cellStyle name="Currency 5 2 3 4" xfId="13867" xr:uid="{00000000-0005-0000-0000-000073640000}"/>
    <cellStyle name="Currency 5 2 3 4 2" xfId="33267" xr:uid="{00000000-0005-0000-0000-000074640000}"/>
    <cellStyle name="Currency 5 2 3 5" xfId="23569" xr:uid="{00000000-0005-0000-0000-000075640000}"/>
    <cellStyle name="Currency 5 2 4" xfId="4420" xr:uid="{00000000-0005-0000-0000-000076640000}"/>
    <cellStyle name="Currency 5 2 4 2" xfId="8884" xr:uid="{00000000-0005-0000-0000-000077640000}"/>
    <cellStyle name="Currency 5 2 4 2 2" xfId="18880" xr:uid="{00000000-0005-0000-0000-000078640000}"/>
    <cellStyle name="Currency 5 2 4 2 2 2" xfId="38280" xr:uid="{00000000-0005-0000-0000-000079640000}"/>
    <cellStyle name="Currency 5 2 4 2 3" xfId="28582" xr:uid="{00000000-0005-0000-0000-00007A640000}"/>
    <cellStyle name="Currency 5 2 4 3" xfId="14425" xr:uid="{00000000-0005-0000-0000-00007B640000}"/>
    <cellStyle name="Currency 5 2 4 3 2" xfId="33825" xr:uid="{00000000-0005-0000-0000-00007C640000}"/>
    <cellStyle name="Currency 5 2 4 4" xfId="24127" xr:uid="{00000000-0005-0000-0000-00007D640000}"/>
    <cellStyle name="Currency 5 2 5" xfId="6090" xr:uid="{00000000-0005-0000-0000-00007E640000}"/>
    <cellStyle name="Currency 5 2 5 2" xfId="10554" xr:uid="{00000000-0005-0000-0000-00007F640000}"/>
    <cellStyle name="Currency 5 2 5 2 2" xfId="20550" xr:uid="{00000000-0005-0000-0000-000080640000}"/>
    <cellStyle name="Currency 5 2 5 2 2 2" xfId="39950" xr:uid="{00000000-0005-0000-0000-000081640000}"/>
    <cellStyle name="Currency 5 2 5 2 3" xfId="30252" xr:uid="{00000000-0005-0000-0000-000082640000}"/>
    <cellStyle name="Currency 5 2 5 3" xfId="16095" xr:uid="{00000000-0005-0000-0000-000083640000}"/>
    <cellStyle name="Currency 5 2 5 3 2" xfId="35495" xr:uid="{00000000-0005-0000-0000-000084640000}"/>
    <cellStyle name="Currency 5 2 5 4" xfId="25797" xr:uid="{00000000-0005-0000-0000-000085640000}"/>
    <cellStyle name="Currency 5 2 6" xfId="6656" xr:uid="{00000000-0005-0000-0000-000086640000}"/>
    <cellStyle name="Currency 5 2 6 2" xfId="11111" xr:uid="{00000000-0005-0000-0000-000087640000}"/>
    <cellStyle name="Currency 5 2 6 2 2" xfId="21107" xr:uid="{00000000-0005-0000-0000-000088640000}"/>
    <cellStyle name="Currency 5 2 6 2 2 2" xfId="40507" xr:uid="{00000000-0005-0000-0000-000089640000}"/>
    <cellStyle name="Currency 5 2 6 2 3" xfId="30809" xr:uid="{00000000-0005-0000-0000-00008A640000}"/>
    <cellStyle name="Currency 5 2 6 3" xfId="16652" xr:uid="{00000000-0005-0000-0000-00008B640000}"/>
    <cellStyle name="Currency 5 2 6 3 2" xfId="36052" xr:uid="{00000000-0005-0000-0000-00008C640000}"/>
    <cellStyle name="Currency 5 2 6 4" xfId="26354" xr:uid="{00000000-0005-0000-0000-00008D640000}"/>
    <cellStyle name="Currency 5 2 7" xfId="7213" xr:uid="{00000000-0005-0000-0000-00008E640000}"/>
    <cellStyle name="Currency 5 2 7 2" xfId="17209" xr:uid="{00000000-0005-0000-0000-00008F640000}"/>
    <cellStyle name="Currency 5 2 7 2 2" xfId="36609" xr:uid="{00000000-0005-0000-0000-000090640000}"/>
    <cellStyle name="Currency 5 2 7 3" xfId="26911" xr:uid="{00000000-0005-0000-0000-000091640000}"/>
    <cellStyle name="Currency 5 2 8" xfId="12753" xr:uid="{00000000-0005-0000-0000-000092640000}"/>
    <cellStyle name="Currency 5 2 8 2" xfId="32154" xr:uid="{00000000-0005-0000-0000-000093640000}"/>
    <cellStyle name="Currency 5 2 9" xfId="22456" xr:uid="{00000000-0005-0000-0000-000094640000}"/>
    <cellStyle name="Currency 5 3" xfId="2302" xr:uid="{00000000-0005-0000-0000-000095640000}"/>
    <cellStyle name="Currency 5 3 2" xfId="3265" xr:uid="{00000000-0005-0000-0000-000096640000}"/>
    <cellStyle name="Currency 5 3 2 2" xfId="5534" xr:uid="{00000000-0005-0000-0000-000097640000}"/>
    <cellStyle name="Currency 5 3 2 2 2" xfId="9998" xr:uid="{00000000-0005-0000-0000-000098640000}"/>
    <cellStyle name="Currency 5 3 2 2 2 2" xfId="19994" xr:uid="{00000000-0005-0000-0000-000099640000}"/>
    <cellStyle name="Currency 5 3 2 2 2 2 2" xfId="39394" xr:uid="{00000000-0005-0000-0000-00009A640000}"/>
    <cellStyle name="Currency 5 3 2 2 2 3" xfId="29696" xr:uid="{00000000-0005-0000-0000-00009B640000}"/>
    <cellStyle name="Currency 5 3 2 2 3" xfId="15539" xr:uid="{00000000-0005-0000-0000-00009C640000}"/>
    <cellStyle name="Currency 5 3 2 2 3 2" xfId="34939" xr:uid="{00000000-0005-0000-0000-00009D640000}"/>
    <cellStyle name="Currency 5 3 2 2 4" xfId="25241" xr:uid="{00000000-0005-0000-0000-00009E640000}"/>
    <cellStyle name="Currency 5 3 2 3" xfId="7770" xr:uid="{00000000-0005-0000-0000-00009F640000}"/>
    <cellStyle name="Currency 5 3 2 3 2" xfId="17766" xr:uid="{00000000-0005-0000-0000-0000A0640000}"/>
    <cellStyle name="Currency 5 3 2 3 2 2" xfId="37166" xr:uid="{00000000-0005-0000-0000-0000A1640000}"/>
    <cellStyle name="Currency 5 3 2 3 3" xfId="27468" xr:uid="{00000000-0005-0000-0000-0000A2640000}"/>
    <cellStyle name="Currency 5 3 2 4" xfId="13311" xr:uid="{00000000-0005-0000-0000-0000A3640000}"/>
    <cellStyle name="Currency 5 3 2 4 2" xfId="32711" xr:uid="{00000000-0005-0000-0000-0000A4640000}"/>
    <cellStyle name="Currency 5 3 2 5" xfId="23013" xr:uid="{00000000-0005-0000-0000-0000A5640000}"/>
    <cellStyle name="Currency 5 3 3" xfId="3848" xr:uid="{00000000-0005-0000-0000-0000A6640000}"/>
    <cellStyle name="Currency 5 3 3 2" xfId="4978" xr:uid="{00000000-0005-0000-0000-0000A7640000}"/>
    <cellStyle name="Currency 5 3 3 2 2" xfId="9442" xr:uid="{00000000-0005-0000-0000-0000A8640000}"/>
    <cellStyle name="Currency 5 3 3 2 2 2" xfId="19438" xr:uid="{00000000-0005-0000-0000-0000A9640000}"/>
    <cellStyle name="Currency 5 3 3 2 2 2 2" xfId="38838" xr:uid="{00000000-0005-0000-0000-0000AA640000}"/>
    <cellStyle name="Currency 5 3 3 2 2 3" xfId="29140" xr:uid="{00000000-0005-0000-0000-0000AB640000}"/>
    <cellStyle name="Currency 5 3 3 2 3" xfId="14983" xr:uid="{00000000-0005-0000-0000-0000AC640000}"/>
    <cellStyle name="Currency 5 3 3 2 3 2" xfId="34383" xr:uid="{00000000-0005-0000-0000-0000AD640000}"/>
    <cellStyle name="Currency 5 3 3 2 4" xfId="24685" xr:uid="{00000000-0005-0000-0000-0000AE640000}"/>
    <cellStyle name="Currency 5 3 3 3" xfId="8327" xr:uid="{00000000-0005-0000-0000-0000AF640000}"/>
    <cellStyle name="Currency 5 3 3 3 2" xfId="18323" xr:uid="{00000000-0005-0000-0000-0000B0640000}"/>
    <cellStyle name="Currency 5 3 3 3 2 2" xfId="37723" xr:uid="{00000000-0005-0000-0000-0000B1640000}"/>
    <cellStyle name="Currency 5 3 3 3 3" xfId="28025" xr:uid="{00000000-0005-0000-0000-0000B2640000}"/>
    <cellStyle name="Currency 5 3 3 4" xfId="13868" xr:uid="{00000000-0005-0000-0000-0000B3640000}"/>
    <cellStyle name="Currency 5 3 3 4 2" xfId="33268" xr:uid="{00000000-0005-0000-0000-0000B4640000}"/>
    <cellStyle name="Currency 5 3 3 5" xfId="23570" xr:uid="{00000000-0005-0000-0000-0000B5640000}"/>
    <cellStyle name="Currency 5 3 4" xfId="4421" xr:uid="{00000000-0005-0000-0000-0000B6640000}"/>
    <cellStyle name="Currency 5 3 4 2" xfId="8885" xr:uid="{00000000-0005-0000-0000-0000B7640000}"/>
    <cellStyle name="Currency 5 3 4 2 2" xfId="18881" xr:uid="{00000000-0005-0000-0000-0000B8640000}"/>
    <cellStyle name="Currency 5 3 4 2 2 2" xfId="38281" xr:uid="{00000000-0005-0000-0000-0000B9640000}"/>
    <cellStyle name="Currency 5 3 4 2 3" xfId="28583" xr:uid="{00000000-0005-0000-0000-0000BA640000}"/>
    <cellStyle name="Currency 5 3 4 3" xfId="14426" xr:uid="{00000000-0005-0000-0000-0000BB640000}"/>
    <cellStyle name="Currency 5 3 4 3 2" xfId="33826" xr:uid="{00000000-0005-0000-0000-0000BC640000}"/>
    <cellStyle name="Currency 5 3 4 4" xfId="24128" xr:uid="{00000000-0005-0000-0000-0000BD640000}"/>
    <cellStyle name="Currency 5 3 5" xfId="6091" xr:uid="{00000000-0005-0000-0000-0000BE640000}"/>
    <cellStyle name="Currency 5 3 5 2" xfId="10555" xr:uid="{00000000-0005-0000-0000-0000BF640000}"/>
    <cellStyle name="Currency 5 3 5 2 2" xfId="20551" xr:uid="{00000000-0005-0000-0000-0000C0640000}"/>
    <cellStyle name="Currency 5 3 5 2 2 2" xfId="39951" xr:uid="{00000000-0005-0000-0000-0000C1640000}"/>
    <cellStyle name="Currency 5 3 5 2 3" xfId="30253" xr:uid="{00000000-0005-0000-0000-0000C2640000}"/>
    <cellStyle name="Currency 5 3 5 3" xfId="16096" xr:uid="{00000000-0005-0000-0000-0000C3640000}"/>
    <cellStyle name="Currency 5 3 5 3 2" xfId="35496" xr:uid="{00000000-0005-0000-0000-0000C4640000}"/>
    <cellStyle name="Currency 5 3 5 4" xfId="25798" xr:uid="{00000000-0005-0000-0000-0000C5640000}"/>
    <cellStyle name="Currency 5 3 6" xfId="6657" xr:uid="{00000000-0005-0000-0000-0000C6640000}"/>
    <cellStyle name="Currency 5 3 6 2" xfId="11112" xr:uid="{00000000-0005-0000-0000-0000C7640000}"/>
    <cellStyle name="Currency 5 3 6 2 2" xfId="21108" xr:uid="{00000000-0005-0000-0000-0000C8640000}"/>
    <cellStyle name="Currency 5 3 6 2 2 2" xfId="40508" xr:uid="{00000000-0005-0000-0000-0000C9640000}"/>
    <cellStyle name="Currency 5 3 6 2 3" xfId="30810" xr:uid="{00000000-0005-0000-0000-0000CA640000}"/>
    <cellStyle name="Currency 5 3 6 3" xfId="16653" xr:uid="{00000000-0005-0000-0000-0000CB640000}"/>
    <cellStyle name="Currency 5 3 6 3 2" xfId="36053" xr:uid="{00000000-0005-0000-0000-0000CC640000}"/>
    <cellStyle name="Currency 5 3 6 4" xfId="26355" xr:uid="{00000000-0005-0000-0000-0000CD640000}"/>
    <cellStyle name="Currency 5 3 7" xfId="7214" xr:uid="{00000000-0005-0000-0000-0000CE640000}"/>
    <cellStyle name="Currency 5 3 7 2" xfId="17210" xr:uid="{00000000-0005-0000-0000-0000CF640000}"/>
    <cellStyle name="Currency 5 3 7 2 2" xfId="36610" xr:uid="{00000000-0005-0000-0000-0000D0640000}"/>
    <cellStyle name="Currency 5 3 7 3" xfId="26912" xr:uid="{00000000-0005-0000-0000-0000D1640000}"/>
    <cellStyle name="Currency 5 3 8" xfId="12754" xr:uid="{00000000-0005-0000-0000-0000D2640000}"/>
    <cellStyle name="Currency 5 3 8 2" xfId="32155" xr:uid="{00000000-0005-0000-0000-0000D3640000}"/>
    <cellStyle name="Currency 5 3 9" xfId="22457" xr:uid="{00000000-0005-0000-0000-0000D4640000}"/>
    <cellStyle name="Currency 5 4" xfId="2303" xr:uid="{00000000-0005-0000-0000-0000D5640000}"/>
    <cellStyle name="Currency 5 4 2" xfId="3266" xr:uid="{00000000-0005-0000-0000-0000D6640000}"/>
    <cellStyle name="Currency 5 4 2 2" xfId="5535" xr:uid="{00000000-0005-0000-0000-0000D7640000}"/>
    <cellStyle name="Currency 5 4 2 2 2" xfId="9999" xr:uid="{00000000-0005-0000-0000-0000D8640000}"/>
    <cellStyle name="Currency 5 4 2 2 2 2" xfId="19995" xr:uid="{00000000-0005-0000-0000-0000D9640000}"/>
    <cellStyle name="Currency 5 4 2 2 2 2 2" xfId="39395" xr:uid="{00000000-0005-0000-0000-0000DA640000}"/>
    <cellStyle name="Currency 5 4 2 2 2 3" xfId="29697" xr:uid="{00000000-0005-0000-0000-0000DB640000}"/>
    <cellStyle name="Currency 5 4 2 2 3" xfId="15540" xr:uid="{00000000-0005-0000-0000-0000DC640000}"/>
    <cellStyle name="Currency 5 4 2 2 3 2" xfId="34940" xr:uid="{00000000-0005-0000-0000-0000DD640000}"/>
    <cellStyle name="Currency 5 4 2 2 4" xfId="25242" xr:uid="{00000000-0005-0000-0000-0000DE640000}"/>
    <cellStyle name="Currency 5 4 2 3" xfId="7771" xr:uid="{00000000-0005-0000-0000-0000DF640000}"/>
    <cellStyle name="Currency 5 4 2 3 2" xfId="17767" xr:uid="{00000000-0005-0000-0000-0000E0640000}"/>
    <cellStyle name="Currency 5 4 2 3 2 2" xfId="37167" xr:uid="{00000000-0005-0000-0000-0000E1640000}"/>
    <cellStyle name="Currency 5 4 2 3 3" xfId="27469" xr:uid="{00000000-0005-0000-0000-0000E2640000}"/>
    <cellStyle name="Currency 5 4 2 4" xfId="13312" xr:uid="{00000000-0005-0000-0000-0000E3640000}"/>
    <cellStyle name="Currency 5 4 2 4 2" xfId="32712" xr:uid="{00000000-0005-0000-0000-0000E4640000}"/>
    <cellStyle name="Currency 5 4 2 5" xfId="23014" xr:uid="{00000000-0005-0000-0000-0000E5640000}"/>
    <cellStyle name="Currency 5 4 3" xfId="3849" xr:uid="{00000000-0005-0000-0000-0000E6640000}"/>
    <cellStyle name="Currency 5 4 3 2" xfId="4979" xr:uid="{00000000-0005-0000-0000-0000E7640000}"/>
    <cellStyle name="Currency 5 4 3 2 2" xfId="9443" xr:uid="{00000000-0005-0000-0000-0000E8640000}"/>
    <cellStyle name="Currency 5 4 3 2 2 2" xfId="19439" xr:uid="{00000000-0005-0000-0000-0000E9640000}"/>
    <cellStyle name="Currency 5 4 3 2 2 2 2" xfId="38839" xr:uid="{00000000-0005-0000-0000-0000EA640000}"/>
    <cellStyle name="Currency 5 4 3 2 2 3" xfId="29141" xr:uid="{00000000-0005-0000-0000-0000EB640000}"/>
    <cellStyle name="Currency 5 4 3 2 3" xfId="14984" xr:uid="{00000000-0005-0000-0000-0000EC640000}"/>
    <cellStyle name="Currency 5 4 3 2 3 2" xfId="34384" xr:uid="{00000000-0005-0000-0000-0000ED640000}"/>
    <cellStyle name="Currency 5 4 3 2 4" xfId="24686" xr:uid="{00000000-0005-0000-0000-0000EE640000}"/>
    <cellStyle name="Currency 5 4 3 3" xfId="8328" xr:uid="{00000000-0005-0000-0000-0000EF640000}"/>
    <cellStyle name="Currency 5 4 3 3 2" xfId="18324" xr:uid="{00000000-0005-0000-0000-0000F0640000}"/>
    <cellStyle name="Currency 5 4 3 3 2 2" xfId="37724" xr:uid="{00000000-0005-0000-0000-0000F1640000}"/>
    <cellStyle name="Currency 5 4 3 3 3" xfId="28026" xr:uid="{00000000-0005-0000-0000-0000F2640000}"/>
    <cellStyle name="Currency 5 4 3 4" xfId="13869" xr:uid="{00000000-0005-0000-0000-0000F3640000}"/>
    <cellStyle name="Currency 5 4 3 4 2" xfId="33269" xr:uid="{00000000-0005-0000-0000-0000F4640000}"/>
    <cellStyle name="Currency 5 4 3 5" xfId="23571" xr:uid="{00000000-0005-0000-0000-0000F5640000}"/>
    <cellStyle name="Currency 5 4 4" xfId="4422" xr:uid="{00000000-0005-0000-0000-0000F6640000}"/>
    <cellStyle name="Currency 5 4 4 2" xfId="8886" xr:uid="{00000000-0005-0000-0000-0000F7640000}"/>
    <cellStyle name="Currency 5 4 4 2 2" xfId="18882" xr:uid="{00000000-0005-0000-0000-0000F8640000}"/>
    <cellStyle name="Currency 5 4 4 2 2 2" xfId="38282" xr:uid="{00000000-0005-0000-0000-0000F9640000}"/>
    <cellStyle name="Currency 5 4 4 2 3" xfId="28584" xr:uid="{00000000-0005-0000-0000-0000FA640000}"/>
    <cellStyle name="Currency 5 4 4 3" xfId="14427" xr:uid="{00000000-0005-0000-0000-0000FB640000}"/>
    <cellStyle name="Currency 5 4 4 3 2" xfId="33827" xr:uid="{00000000-0005-0000-0000-0000FC640000}"/>
    <cellStyle name="Currency 5 4 4 4" xfId="24129" xr:uid="{00000000-0005-0000-0000-0000FD640000}"/>
    <cellStyle name="Currency 5 4 5" xfId="6092" xr:uid="{00000000-0005-0000-0000-0000FE640000}"/>
    <cellStyle name="Currency 5 4 5 2" xfId="10556" xr:uid="{00000000-0005-0000-0000-0000FF640000}"/>
    <cellStyle name="Currency 5 4 5 2 2" xfId="20552" xr:uid="{00000000-0005-0000-0000-000000650000}"/>
    <cellStyle name="Currency 5 4 5 2 2 2" xfId="39952" xr:uid="{00000000-0005-0000-0000-000001650000}"/>
    <cellStyle name="Currency 5 4 5 2 3" xfId="30254" xr:uid="{00000000-0005-0000-0000-000002650000}"/>
    <cellStyle name="Currency 5 4 5 3" xfId="16097" xr:uid="{00000000-0005-0000-0000-000003650000}"/>
    <cellStyle name="Currency 5 4 5 3 2" xfId="35497" xr:uid="{00000000-0005-0000-0000-000004650000}"/>
    <cellStyle name="Currency 5 4 5 4" xfId="25799" xr:uid="{00000000-0005-0000-0000-000005650000}"/>
    <cellStyle name="Currency 5 4 6" xfId="6658" xr:uid="{00000000-0005-0000-0000-000006650000}"/>
    <cellStyle name="Currency 5 4 6 2" xfId="11113" xr:uid="{00000000-0005-0000-0000-000007650000}"/>
    <cellStyle name="Currency 5 4 6 2 2" xfId="21109" xr:uid="{00000000-0005-0000-0000-000008650000}"/>
    <cellStyle name="Currency 5 4 6 2 2 2" xfId="40509" xr:uid="{00000000-0005-0000-0000-000009650000}"/>
    <cellStyle name="Currency 5 4 6 2 3" xfId="30811" xr:uid="{00000000-0005-0000-0000-00000A650000}"/>
    <cellStyle name="Currency 5 4 6 3" xfId="16654" xr:uid="{00000000-0005-0000-0000-00000B650000}"/>
    <cellStyle name="Currency 5 4 6 3 2" xfId="36054" xr:uid="{00000000-0005-0000-0000-00000C650000}"/>
    <cellStyle name="Currency 5 4 6 4" xfId="26356" xr:uid="{00000000-0005-0000-0000-00000D650000}"/>
    <cellStyle name="Currency 5 4 7" xfId="7215" xr:uid="{00000000-0005-0000-0000-00000E650000}"/>
    <cellStyle name="Currency 5 4 7 2" xfId="17211" xr:uid="{00000000-0005-0000-0000-00000F650000}"/>
    <cellStyle name="Currency 5 4 7 2 2" xfId="36611" xr:uid="{00000000-0005-0000-0000-000010650000}"/>
    <cellStyle name="Currency 5 4 7 3" xfId="26913" xr:uid="{00000000-0005-0000-0000-000011650000}"/>
    <cellStyle name="Currency 5 4 8" xfId="12755" xr:uid="{00000000-0005-0000-0000-000012650000}"/>
    <cellStyle name="Currency 5 4 8 2" xfId="32156" xr:uid="{00000000-0005-0000-0000-000013650000}"/>
    <cellStyle name="Currency 5 4 9" xfId="22458" xr:uid="{00000000-0005-0000-0000-000014650000}"/>
    <cellStyle name="Currency 5 5" xfId="2632" xr:uid="{00000000-0005-0000-0000-000015650000}"/>
    <cellStyle name="Currency 5 6" xfId="1424" xr:uid="{00000000-0005-0000-0000-000016650000}"/>
    <cellStyle name="Currency 6" xfId="1155" xr:uid="{00000000-0005-0000-0000-000017650000}"/>
    <cellStyle name="Currency 6 2" xfId="2304" xr:uid="{00000000-0005-0000-0000-000018650000}"/>
    <cellStyle name="Currency 6 2 2" xfId="3267" xr:uid="{00000000-0005-0000-0000-000019650000}"/>
    <cellStyle name="Currency 6 2 2 2" xfId="5536" xr:uid="{00000000-0005-0000-0000-00001A650000}"/>
    <cellStyle name="Currency 6 2 2 2 2" xfId="10000" xr:uid="{00000000-0005-0000-0000-00001B650000}"/>
    <cellStyle name="Currency 6 2 2 2 2 2" xfId="19996" xr:uid="{00000000-0005-0000-0000-00001C650000}"/>
    <cellStyle name="Currency 6 2 2 2 2 2 2" xfId="39396" xr:uid="{00000000-0005-0000-0000-00001D650000}"/>
    <cellStyle name="Currency 6 2 2 2 2 3" xfId="29698" xr:uid="{00000000-0005-0000-0000-00001E650000}"/>
    <cellStyle name="Currency 6 2 2 2 3" xfId="15541" xr:uid="{00000000-0005-0000-0000-00001F650000}"/>
    <cellStyle name="Currency 6 2 2 2 3 2" xfId="34941" xr:uid="{00000000-0005-0000-0000-000020650000}"/>
    <cellStyle name="Currency 6 2 2 2 4" xfId="25243" xr:uid="{00000000-0005-0000-0000-000021650000}"/>
    <cellStyle name="Currency 6 2 2 3" xfId="7772" xr:uid="{00000000-0005-0000-0000-000022650000}"/>
    <cellStyle name="Currency 6 2 2 3 2" xfId="17768" xr:uid="{00000000-0005-0000-0000-000023650000}"/>
    <cellStyle name="Currency 6 2 2 3 2 2" xfId="37168" xr:uid="{00000000-0005-0000-0000-000024650000}"/>
    <cellStyle name="Currency 6 2 2 3 3" xfId="27470" xr:uid="{00000000-0005-0000-0000-000025650000}"/>
    <cellStyle name="Currency 6 2 2 4" xfId="13313" xr:uid="{00000000-0005-0000-0000-000026650000}"/>
    <cellStyle name="Currency 6 2 2 4 2" xfId="32713" xr:uid="{00000000-0005-0000-0000-000027650000}"/>
    <cellStyle name="Currency 6 2 2 5" xfId="23015" xr:uid="{00000000-0005-0000-0000-000028650000}"/>
    <cellStyle name="Currency 6 2 3" xfId="3850" xr:uid="{00000000-0005-0000-0000-000029650000}"/>
    <cellStyle name="Currency 6 2 3 2" xfId="4980" xr:uid="{00000000-0005-0000-0000-00002A650000}"/>
    <cellStyle name="Currency 6 2 3 2 2" xfId="9444" xr:uid="{00000000-0005-0000-0000-00002B650000}"/>
    <cellStyle name="Currency 6 2 3 2 2 2" xfId="19440" xr:uid="{00000000-0005-0000-0000-00002C650000}"/>
    <cellStyle name="Currency 6 2 3 2 2 2 2" xfId="38840" xr:uid="{00000000-0005-0000-0000-00002D650000}"/>
    <cellStyle name="Currency 6 2 3 2 2 3" xfId="29142" xr:uid="{00000000-0005-0000-0000-00002E650000}"/>
    <cellStyle name="Currency 6 2 3 2 3" xfId="14985" xr:uid="{00000000-0005-0000-0000-00002F650000}"/>
    <cellStyle name="Currency 6 2 3 2 3 2" xfId="34385" xr:uid="{00000000-0005-0000-0000-000030650000}"/>
    <cellStyle name="Currency 6 2 3 2 4" xfId="24687" xr:uid="{00000000-0005-0000-0000-000031650000}"/>
    <cellStyle name="Currency 6 2 3 3" xfId="8329" xr:uid="{00000000-0005-0000-0000-000032650000}"/>
    <cellStyle name="Currency 6 2 3 3 2" xfId="18325" xr:uid="{00000000-0005-0000-0000-000033650000}"/>
    <cellStyle name="Currency 6 2 3 3 2 2" xfId="37725" xr:uid="{00000000-0005-0000-0000-000034650000}"/>
    <cellStyle name="Currency 6 2 3 3 3" xfId="28027" xr:uid="{00000000-0005-0000-0000-000035650000}"/>
    <cellStyle name="Currency 6 2 3 4" xfId="13870" xr:uid="{00000000-0005-0000-0000-000036650000}"/>
    <cellStyle name="Currency 6 2 3 4 2" xfId="33270" xr:uid="{00000000-0005-0000-0000-000037650000}"/>
    <cellStyle name="Currency 6 2 3 5" xfId="23572" xr:uid="{00000000-0005-0000-0000-000038650000}"/>
    <cellStyle name="Currency 6 2 4" xfId="4423" xr:uid="{00000000-0005-0000-0000-000039650000}"/>
    <cellStyle name="Currency 6 2 4 2" xfId="8887" xr:uid="{00000000-0005-0000-0000-00003A650000}"/>
    <cellStyle name="Currency 6 2 4 2 2" xfId="18883" xr:uid="{00000000-0005-0000-0000-00003B650000}"/>
    <cellStyle name="Currency 6 2 4 2 2 2" xfId="38283" xr:uid="{00000000-0005-0000-0000-00003C650000}"/>
    <cellStyle name="Currency 6 2 4 2 3" xfId="28585" xr:uid="{00000000-0005-0000-0000-00003D650000}"/>
    <cellStyle name="Currency 6 2 4 3" xfId="14428" xr:uid="{00000000-0005-0000-0000-00003E650000}"/>
    <cellStyle name="Currency 6 2 4 3 2" xfId="33828" xr:uid="{00000000-0005-0000-0000-00003F650000}"/>
    <cellStyle name="Currency 6 2 4 4" xfId="24130" xr:uid="{00000000-0005-0000-0000-000040650000}"/>
    <cellStyle name="Currency 6 2 5" xfId="6093" xr:uid="{00000000-0005-0000-0000-000041650000}"/>
    <cellStyle name="Currency 6 2 5 2" xfId="10557" xr:uid="{00000000-0005-0000-0000-000042650000}"/>
    <cellStyle name="Currency 6 2 5 2 2" xfId="20553" xr:uid="{00000000-0005-0000-0000-000043650000}"/>
    <cellStyle name="Currency 6 2 5 2 2 2" xfId="39953" xr:uid="{00000000-0005-0000-0000-000044650000}"/>
    <cellStyle name="Currency 6 2 5 2 3" xfId="30255" xr:uid="{00000000-0005-0000-0000-000045650000}"/>
    <cellStyle name="Currency 6 2 5 3" xfId="16098" xr:uid="{00000000-0005-0000-0000-000046650000}"/>
    <cellStyle name="Currency 6 2 5 3 2" xfId="35498" xr:uid="{00000000-0005-0000-0000-000047650000}"/>
    <cellStyle name="Currency 6 2 5 4" xfId="25800" xr:uid="{00000000-0005-0000-0000-000048650000}"/>
    <cellStyle name="Currency 6 2 6" xfId="6659" xr:uid="{00000000-0005-0000-0000-000049650000}"/>
    <cellStyle name="Currency 6 2 6 2" xfId="11114" xr:uid="{00000000-0005-0000-0000-00004A650000}"/>
    <cellStyle name="Currency 6 2 6 2 2" xfId="21110" xr:uid="{00000000-0005-0000-0000-00004B650000}"/>
    <cellStyle name="Currency 6 2 6 2 2 2" xfId="40510" xr:uid="{00000000-0005-0000-0000-00004C650000}"/>
    <cellStyle name="Currency 6 2 6 2 3" xfId="30812" xr:uid="{00000000-0005-0000-0000-00004D650000}"/>
    <cellStyle name="Currency 6 2 6 3" xfId="16655" xr:uid="{00000000-0005-0000-0000-00004E650000}"/>
    <cellStyle name="Currency 6 2 6 3 2" xfId="36055" xr:uid="{00000000-0005-0000-0000-00004F650000}"/>
    <cellStyle name="Currency 6 2 6 4" xfId="26357" xr:uid="{00000000-0005-0000-0000-000050650000}"/>
    <cellStyle name="Currency 6 2 7" xfId="7216" xr:uid="{00000000-0005-0000-0000-000051650000}"/>
    <cellStyle name="Currency 6 2 7 2" xfId="17212" xr:uid="{00000000-0005-0000-0000-000052650000}"/>
    <cellStyle name="Currency 6 2 7 2 2" xfId="36612" xr:uid="{00000000-0005-0000-0000-000053650000}"/>
    <cellStyle name="Currency 6 2 7 3" xfId="26914" xr:uid="{00000000-0005-0000-0000-000054650000}"/>
    <cellStyle name="Currency 6 2 8" xfId="12756" xr:uid="{00000000-0005-0000-0000-000055650000}"/>
    <cellStyle name="Currency 6 2 8 2" xfId="32157" xr:uid="{00000000-0005-0000-0000-000056650000}"/>
    <cellStyle name="Currency 6 2 9" xfId="22459" xr:uid="{00000000-0005-0000-0000-000057650000}"/>
    <cellStyle name="Currency 7" xfId="1640" xr:uid="{00000000-0005-0000-0000-000058650000}"/>
    <cellStyle name="Currency 8" xfId="1415" xr:uid="{00000000-0005-0000-0000-000059650000}"/>
    <cellStyle name="Currency0" xfId="756" xr:uid="{00000000-0005-0000-0000-00005A650000}"/>
    <cellStyle name="Currency0 2" xfId="1426" xr:uid="{00000000-0005-0000-0000-00005B650000}"/>
    <cellStyle name="Currency0 2 2" xfId="1782" xr:uid="{00000000-0005-0000-0000-00005C650000}"/>
    <cellStyle name="Currency0 3" xfId="1427" xr:uid="{00000000-0005-0000-0000-00005D650000}"/>
    <cellStyle name="Currency0 3 2" xfId="2685" xr:uid="{00000000-0005-0000-0000-00005E650000}"/>
    <cellStyle name="Currency0 4" xfId="1646" xr:uid="{00000000-0005-0000-0000-00005F650000}"/>
    <cellStyle name="Currency0 5" xfId="3452" xr:uid="{00000000-0005-0000-0000-000060650000}"/>
    <cellStyle name="Currency0 5 2" xfId="4035" xr:uid="{00000000-0005-0000-0000-000061650000}"/>
    <cellStyle name="Currency0 5 3" xfId="6270" xr:uid="{00000000-0005-0000-0000-000062650000}"/>
    <cellStyle name="Currency0 6" xfId="11293" xr:uid="{00000000-0005-0000-0000-000063650000}"/>
    <cellStyle name="Currency0 7" xfId="1425" xr:uid="{00000000-0005-0000-0000-000064650000}"/>
    <cellStyle name="Date" xfId="757" xr:uid="{00000000-0005-0000-0000-000065650000}"/>
    <cellStyle name="Date 2" xfId="1429" xr:uid="{00000000-0005-0000-0000-000066650000}"/>
    <cellStyle name="Date 2 2" xfId="1783" xr:uid="{00000000-0005-0000-0000-000067650000}"/>
    <cellStyle name="Date 3" xfId="1430" xr:uid="{00000000-0005-0000-0000-000068650000}"/>
    <cellStyle name="Date 3 2" xfId="2686" xr:uid="{00000000-0005-0000-0000-000069650000}"/>
    <cellStyle name="Date 4" xfId="1647" xr:uid="{00000000-0005-0000-0000-00006A650000}"/>
    <cellStyle name="Date 5" xfId="3453" xr:uid="{00000000-0005-0000-0000-00006B650000}"/>
    <cellStyle name="Date 5 2" xfId="4036" xr:uid="{00000000-0005-0000-0000-00006C650000}"/>
    <cellStyle name="Date 5 3" xfId="6271" xr:uid="{00000000-0005-0000-0000-00006D650000}"/>
    <cellStyle name="Date 6" xfId="11294" xr:uid="{00000000-0005-0000-0000-00006E650000}"/>
    <cellStyle name="Date 7" xfId="1428" xr:uid="{00000000-0005-0000-0000-00006F650000}"/>
    <cellStyle name="Excel Built-in Good" xfId="1431" xr:uid="{00000000-0005-0000-0000-000070650000}"/>
    <cellStyle name="Excel Built-in Good 2" xfId="2603" xr:uid="{00000000-0005-0000-0000-000071650000}"/>
    <cellStyle name="Excel Built-in Normal" xfId="1639" xr:uid="{00000000-0005-0000-0000-000072650000}"/>
    <cellStyle name="Explanatory Text" xfId="938" builtinId="53" customBuiltin="1"/>
    <cellStyle name="Explanatory Text 10" xfId="384" xr:uid="{00000000-0005-0000-0000-000074650000}"/>
    <cellStyle name="Explanatory Text 11" xfId="385" xr:uid="{00000000-0005-0000-0000-000075650000}"/>
    <cellStyle name="Explanatory Text 12" xfId="386" xr:uid="{00000000-0005-0000-0000-000076650000}"/>
    <cellStyle name="Explanatory Text 13" xfId="387" xr:uid="{00000000-0005-0000-0000-000077650000}"/>
    <cellStyle name="Explanatory Text 14" xfId="388" xr:uid="{00000000-0005-0000-0000-000078650000}"/>
    <cellStyle name="Explanatory Text 15" xfId="389" xr:uid="{00000000-0005-0000-0000-000079650000}"/>
    <cellStyle name="Explanatory Text 16" xfId="783" xr:uid="{00000000-0005-0000-0000-00007A650000}"/>
    <cellStyle name="Explanatory Text 2" xfId="390" xr:uid="{00000000-0005-0000-0000-00007B650000}"/>
    <cellStyle name="Explanatory Text 2 2" xfId="714" xr:uid="{00000000-0005-0000-0000-00007C650000}"/>
    <cellStyle name="Explanatory Text 2 2 2" xfId="1784" xr:uid="{00000000-0005-0000-0000-00007D650000}"/>
    <cellStyle name="Explanatory Text 2 2 3" xfId="1433" xr:uid="{00000000-0005-0000-0000-00007E650000}"/>
    <cellStyle name="Explanatory Text 2 2 4" xfId="11671" xr:uid="{00000000-0005-0000-0000-00007F650000}"/>
    <cellStyle name="Explanatory Text 2 2 5" xfId="1217" xr:uid="{00000000-0005-0000-0000-000080650000}"/>
    <cellStyle name="Explanatory Text 2 3" xfId="1434" xr:uid="{00000000-0005-0000-0000-000081650000}"/>
    <cellStyle name="Explanatory Text 2 3 2" xfId="2664" xr:uid="{00000000-0005-0000-0000-000082650000}"/>
    <cellStyle name="Explanatory Text 2 4" xfId="1718" xr:uid="{00000000-0005-0000-0000-000083650000}"/>
    <cellStyle name="Explanatory Text 2 5" xfId="1883" xr:uid="{00000000-0005-0000-0000-000084650000}"/>
    <cellStyle name="Explanatory Text 2 6" xfId="2593" xr:uid="{00000000-0005-0000-0000-000085650000}"/>
    <cellStyle name="Explanatory Text 2 7" xfId="1432" xr:uid="{00000000-0005-0000-0000-000086650000}"/>
    <cellStyle name="Explanatory Text 2 8" xfId="11495" xr:uid="{00000000-0005-0000-0000-000087650000}"/>
    <cellStyle name="Explanatory Text 3" xfId="391" xr:uid="{00000000-0005-0000-0000-000088650000}"/>
    <cellStyle name="Explanatory Text 3 2" xfId="2305" xr:uid="{00000000-0005-0000-0000-000089650000}"/>
    <cellStyle name="Explanatory Text 3 3" xfId="2633" xr:uid="{00000000-0005-0000-0000-00008A650000}"/>
    <cellStyle name="Explanatory Text 3 4" xfId="11496" xr:uid="{00000000-0005-0000-0000-00008B650000}"/>
    <cellStyle name="Explanatory Text 3 5" xfId="1435" xr:uid="{00000000-0005-0000-0000-00008C650000}"/>
    <cellStyle name="Explanatory Text 4" xfId="392" xr:uid="{00000000-0005-0000-0000-00008D650000}"/>
    <cellStyle name="Explanatory Text 4 2" xfId="2797" xr:uid="{00000000-0005-0000-0000-00008E650000}"/>
    <cellStyle name="Explanatory Text 4 3" xfId="11497" xr:uid="{00000000-0005-0000-0000-00008F650000}"/>
    <cellStyle name="Explanatory Text 4 4" xfId="1436" xr:uid="{00000000-0005-0000-0000-000090650000}"/>
    <cellStyle name="Explanatory Text 5" xfId="393" xr:uid="{00000000-0005-0000-0000-000091650000}"/>
    <cellStyle name="Explanatory Text 5 2" xfId="11498" xr:uid="{00000000-0005-0000-0000-000092650000}"/>
    <cellStyle name="Explanatory Text 5 3" xfId="1689" xr:uid="{00000000-0005-0000-0000-000093650000}"/>
    <cellStyle name="Explanatory Text 6" xfId="394" xr:uid="{00000000-0005-0000-0000-000094650000}"/>
    <cellStyle name="Explanatory Text 6 2" xfId="11499" xr:uid="{00000000-0005-0000-0000-000095650000}"/>
    <cellStyle name="Explanatory Text 6 3" xfId="1882" xr:uid="{00000000-0005-0000-0000-000096650000}"/>
    <cellStyle name="Explanatory Text 7" xfId="395" xr:uid="{00000000-0005-0000-0000-000097650000}"/>
    <cellStyle name="Explanatory Text 8" xfId="396" xr:uid="{00000000-0005-0000-0000-000098650000}"/>
    <cellStyle name="Explanatory Text 9" xfId="397" xr:uid="{00000000-0005-0000-0000-000099650000}"/>
    <cellStyle name="fitness_general" xfId="2460" xr:uid="{00000000-0005-0000-0000-00009A650000}"/>
    <cellStyle name="Fitness-header" xfId="2461" xr:uid="{00000000-0005-0000-0000-00009B650000}"/>
    <cellStyle name="Fixed" xfId="758" xr:uid="{00000000-0005-0000-0000-00009C650000}"/>
    <cellStyle name="Fixed 2" xfId="1438" xr:uid="{00000000-0005-0000-0000-00009D650000}"/>
    <cellStyle name="Fixed 2 2" xfId="1785" xr:uid="{00000000-0005-0000-0000-00009E650000}"/>
    <cellStyle name="Fixed 3" xfId="1439" xr:uid="{00000000-0005-0000-0000-00009F650000}"/>
    <cellStyle name="Fixed 3 2" xfId="2687" xr:uid="{00000000-0005-0000-0000-0000A0650000}"/>
    <cellStyle name="Fixed 4" xfId="1648" xr:uid="{00000000-0005-0000-0000-0000A1650000}"/>
    <cellStyle name="Fixed 5" xfId="3454" xr:uid="{00000000-0005-0000-0000-0000A2650000}"/>
    <cellStyle name="Fixed 5 2" xfId="4037" xr:uid="{00000000-0005-0000-0000-0000A3650000}"/>
    <cellStyle name="Fixed 5 3" xfId="6272" xr:uid="{00000000-0005-0000-0000-0000A4650000}"/>
    <cellStyle name="Fixed 6" xfId="11295" xr:uid="{00000000-0005-0000-0000-0000A5650000}"/>
    <cellStyle name="Fixed 7" xfId="1437" xr:uid="{00000000-0005-0000-0000-0000A6650000}"/>
    <cellStyle name="Good" xfId="929" builtinId="26" customBuiltin="1"/>
    <cellStyle name="Good 10" xfId="398" xr:uid="{00000000-0005-0000-0000-0000A8650000}"/>
    <cellStyle name="Good 11" xfId="399" xr:uid="{00000000-0005-0000-0000-0000A9650000}"/>
    <cellStyle name="Good 12" xfId="400" xr:uid="{00000000-0005-0000-0000-0000AA650000}"/>
    <cellStyle name="Good 13" xfId="401" xr:uid="{00000000-0005-0000-0000-0000AB650000}"/>
    <cellStyle name="Good 14" xfId="402" xr:uid="{00000000-0005-0000-0000-0000AC650000}"/>
    <cellStyle name="Good 15" xfId="403" xr:uid="{00000000-0005-0000-0000-0000AD650000}"/>
    <cellStyle name="Good 16" xfId="779" xr:uid="{00000000-0005-0000-0000-0000AE650000}"/>
    <cellStyle name="Good 2" xfId="404" xr:uid="{00000000-0005-0000-0000-0000AF650000}"/>
    <cellStyle name="Good 2 2" xfId="704" xr:uid="{00000000-0005-0000-0000-0000B0650000}"/>
    <cellStyle name="Good 2 2 2" xfId="1786" xr:uid="{00000000-0005-0000-0000-0000B1650000}"/>
    <cellStyle name="Good 2 2 3" xfId="1441" xr:uid="{00000000-0005-0000-0000-0000B2650000}"/>
    <cellStyle name="Good 2 2 4" xfId="11661" xr:uid="{00000000-0005-0000-0000-0000B3650000}"/>
    <cellStyle name="Good 2 2 5" xfId="1219" xr:uid="{00000000-0005-0000-0000-0000B4650000}"/>
    <cellStyle name="Good 2 3" xfId="1442" xr:uid="{00000000-0005-0000-0000-0000B5650000}"/>
    <cellStyle name="Good 2 3 2" xfId="2655" xr:uid="{00000000-0005-0000-0000-0000B6650000}"/>
    <cellStyle name="Good 2 3 3" xfId="2882" xr:uid="{00000000-0005-0000-0000-0000B7650000}"/>
    <cellStyle name="Good 2 3 4" xfId="3465" xr:uid="{00000000-0005-0000-0000-0000B8650000}"/>
    <cellStyle name="Good 2 4" xfId="1708" xr:uid="{00000000-0005-0000-0000-0000B9650000}"/>
    <cellStyle name="Good 2 5" xfId="1885" xr:uid="{00000000-0005-0000-0000-0000BA650000}"/>
    <cellStyle name="Good 2 6" xfId="2594" xr:uid="{00000000-0005-0000-0000-0000BB650000}"/>
    <cellStyle name="Good 2 7" xfId="1440" xr:uid="{00000000-0005-0000-0000-0000BC650000}"/>
    <cellStyle name="Good 2 8" xfId="11500" xr:uid="{00000000-0005-0000-0000-0000BD650000}"/>
    <cellStyle name="Good 3" xfId="405" xr:uid="{00000000-0005-0000-0000-0000BE650000}"/>
    <cellStyle name="Good 3 2" xfId="2306" xr:uid="{00000000-0005-0000-0000-0000BF650000}"/>
    <cellStyle name="Good 3 3" xfId="2634" xr:uid="{00000000-0005-0000-0000-0000C0650000}"/>
    <cellStyle name="Good 3 4" xfId="11501" xr:uid="{00000000-0005-0000-0000-0000C1650000}"/>
    <cellStyle name="Good 3 5" xfId="1443" xr:uid="{00000000-0005-0000-0000-0000C2650000}"/>
    <cellStyle name="Good 4" xfId="406" xr:uid="{00000000-0005-0000-0000-0000C3650000}"/>
    <cellStyle name="Good 4 2" xfId="2798" xr:uid="{00000000-0005-0000-0000-0000C4650000}"/>
    <cellStyle name="Good 4 3" xfId="11502" xr:uid="{00000000-0005-0000-0000-0000C5650000}"/>
    <cellStyle name="Good 4 4" xfId="1444" xr:uid="{00000000-0005-0000-0000-0000C6650000}"/>
    <cellStyle name="Good 5" xfId="407" xr:uid="{00000000-0005-0000-0000-0000C7650000}"/>
    <cellStyle name="Good 5 2" xfId="11503" xr:uid="{00000000-0005-0000-0000-0000C8650000}"/>
    <cellStyle name="Good 5 3" xfId="1690" xr:uid="{00000000-0005-0000-0000-0000C9650000}"/>
    <cellStyle name="Good 6" xfId="408" xr:uid="{00000000-0005-0000-0000-0000CA650000}"/>
    <cellStyle name="Good 6 2" xfId="11504" xr:uid="{00000000-0005-0000-0000-0000CB650000}"/>
    <cellStyle name="Good 6 3" xfId="1884" xr:uid="{00000000-0005-0000-0000-0000CC650000}"/>
    <cellStyle name="Good 7" xfId="409" xr:uid="{00000000-0005-0000-0000-0000CD650000}"/>
    <cellStyle name="Good 8" xfId="410" xr:uid="{00000000-0005-0000-0000-0000CE650000}"/>
    <cellStyle name="Good 9" xfId="411" xr:uid="{00000000-0005-0000-0000-0000CF650000}"/>
    <cellStyle name="Grey" xfId="759" xr:uid="{00000000-0005-0000-0000-0000D0650000}"/>
    <cellStyle name="Grey 2" xfId="1446" xr:uid="{00000000-0005-0000-0000-0000D1650000}"/>
    <cellStyle name="Grey 2 2" xfId="2720" xr:uid="{00000000-0005-0000-0000-0000D2650000}"/>
    <cellStyle name="Grey 3" xfId="1886" xr:uid="{00000000-0005-0000-0000-0000D3650000}"/>
    <cellStyle name="Grey 4" xfId="2595" xr:uid="{00000000-0005-0000-0000-0000D4650000}"/>
    <cellStyle name="Grey 5" xfId="1445" xr:uid="{00000000-0005-0000-0000-0000D5650000}"/>
    <cellStyle name="Heading 1" xfId="925" builtinId="16" customBuiltin="1"/>
    <cellStyle name="Heading 1 10" xfId="412" xr:uid="{00000000-0005-0000-0000-0000D7650000}"/>
    <cellStyle name="Heading 1 11" xfId="413" xr:uid="{00000000-0005-0000-0000-0000D8650000}"/>
    <cellStyle name="Heading 1 12" xfId="414" xr:uid="{00000000-0005-0000-0000-0000D9650000}"/>
    <cellStyle name="Heading 1 13" xfId="415" xr:uid="{00000000-0005-0000-0000-0000DA650000}"/>
    <cellStyle name="Heading 1 14" xfId="416" xr:uid="{00000000-0005-0000-0000-0000DB650000}"/>
    <cellStyle name="Heading 1 15" xfId="417" xr:uid="{00000000-0005-0000-0000-0000DC650000}"/>
    <cellStyle name="Heading 1 16" xfId="784" xr:uid="{00000000-0005-0000-0000-0000DD650000}"/>
    <cellStyle name="Heading 1 2" xfId="418" xr:uid="{00000000-0005-0000-0000-0000DE650000}"/>
    <cellStyle name="Heading 1 2 2" xfId="700" xr:uid="{00000000-0005-0000-0000-0000DF650000}"/>
    <cellStyle name="Heading 1 2 2 2" xfId="2652" xr:uid="{00000000-0005-0000-0000-0000E0650000}"/>
    <cellStyle name="Heading 1 2 2 3" xfId="1448" xr:uid="{00000000-0005-0000-0000-0000E1650000}"/>
    <cellStyle name="Heading 1 2 2 4" xfId="1221" xr:uid="{00000000-0005-0000-0000-0000E2650000}"/>
    <cellStyle name="Heading 1 2 3" xfId="1449" xr:uid="{00000000-0005-0000-0000-0000E3650000}"/>
    <cellStyle name="Heading 1 2 3 2" xfId="2764" xr:uid="{00000000-0005-0000-0000-0000E4650000}"/>
    <cellStyle name="Heading 1 2 4" xfId="1705" xr:uid="{00000000-0005-0000-0000-0000E5650000}"/>
    <cellStyle name="Heading 1 2 5" xfId="1888" xr:uid="{00000000-0005-0000-0000-0000E6650000}"/>
    <cellStyle name="Heading 1 2 6" xfId="3455" xr:uid="{00000000-0005-0000-0000-0000E7650000}"/>
    <cellStyle name="Heading 1 2 7" xfId="1447" xr:uid="{00000000-0005-0000-0000-0000E8650000}"/>
    <cellStyle name="Heading 1 2 8" xfId="11505" xr:uid="{00000000-0005-0000-0000-0000E9650000}"/>
    <cellStyle name="Heading 1 3" xfId="419" xr:uid="{00000000-0005-0000-0000-0000EA650000}"/>
    <cellStyle name="Heading 1 3 2" xfId="1787" xr:uid="{00000000-0005-0000-0000-0000EB650000}"/>
    <cellStyle name="Heading 1 3 3" xfId="11506" xr:uid="{00000000-0005-0000-0000-0000EC650000}"/>
    <cellStyle name="Heading 1 3 4" xfId="1450" xr:uid="{00000000-0005-0000-0000-0000ED650000}"/>
    <cellStyle name="Heading 1 4" xfId="420" xr:uid="{00000000-0005-0000-0000-0000EE650000}"/>
    <cellStyle name="Heading 1 4 2" xfId="2307" xr:uid="{00000000-0005-0000-0000-0000EF650000}"/>
    <cellStyle name="Heading 1 4 3" xfId="2635" xr:uid="{00000000-0005-0000-0000-0000F0650000}"/>
    <cellStyle name="Heading 1 4 4" xfId="11507" xr:uid="{00000000-0005-0000-0000-0000F1650000}"/>
    <cellStyle name="Heading 1 4 5" xfId="1451" xr:uid="{00000000-0005-0000-0000-0000F2650000}"/>
    <cellStyle name="Heading 1 5" xfId="421" xr:uid="{00000000-0005-0000-0000-0000F3650000}"/>
    <cellStyle name="Heading 1 5 2" xfId="11508" xr:uid="{00000000-0005-0000-0000-0000F4650000}"/>
    <cellStyle name="Heading 1 5 3" xfId="1649" xr:uid="{00000000-0005-0000-0000-0000F5650000}"/>
    <cellStyle name="Heading 1 6" xfId="422" xr:uid="{00000000-0005-0000-0000-0000F6650000}"/>
    <cellStyle name="Heading 1 6 2" xfId="11509" xr:uid="{00000000-0005-0000-0000-0000F7650000}"/>
    <cellStyle name="Heading 1 6 3" xfId="1691" xr:uid="{00000000-0005-0000-0000-0000F8650000}"/>
    <cellStyle name="Heading 1 7" xfId="423" xr:uid="{00000000-0005-0000-0000-0000F9650000}"/>
    <cellStyle name="Heading 1 7 2" xfId="11510" xr:uid="{00000000-0005-0000-0000-0000FA650000}"/>
    <cellStyle name="Heading 1 7 3" xfId="1887" xr:uid="{00000000-0005-0000-0000-0000FB650000}"/>
    <cellStyle name="Heading 1 8" xfId="424" xr:uid="{00000000-0005-0000-0000-0000FC650000}"/>
    <cellStyle name="Heading 1 9" xfId="425" xr:uid="{00000000-0005-0000-0000-0000FD650000}"/>
    <cellStyle name="Heading 2" xfId="926" builtinId="17" customBuiltin="1"/>
    <cellStyle name="Heading 2 10" xfId="426" xr:uid="{00000000-0005-0000-0000-0000FF650000}"/>
    <cellStyle name="Heading 2 11" xfId="427" xr:uid="{00000000-0005-0000-0000-000000660000}"/>
    <cellStyle name="Heading 2 12" xfId="428" xr:uid="{00000000-0005-0000-0000-000001660000}"/>
    <cellStyle name="Heading 2 13" xfId="429" xr:uid="{00000000-0005-0000-0000-000002660000}"/>
    <cellStyle name="Heading 2 14" xfId="430" xr:uid="{00000000-0005-0000-0000-000003660000}"/>
    <cellStyle name="Heading 2 15" xfId="431" xr:uid="{00000000-0005-0000-0000-000004660000}"/>
    <cellStyle name="Heading 2 16" xfId="782" xr:uid="{00000000-0005-0000-0000-000005660000}"/>
    <cellStyle name="Heading 2 2" xfId="432" xr:uid="{00000000-0005-0000-0000-000006660000}"/>
    <cellStyle name="Heading 2 2 2" xfId="699" xr:uid="{00000000-0005-0000-0000-000007660000}"/>
    <cellStyle name="Heading 2 2 2 2" xfId="2651" xr:uid="{00000000-0005-0000-0000-000008660000}"/>
    <cellStyle name="Heading 2 2 2 3" xfId="1453" xr:uid="{00000000-0005-0000-0000-000009660000}"/>
    <cellStyle name="Heading 2 2 2 4" xfId="1223" xr:uid="{00000000-0005-0000-0000-00000A660000}"/>
    <cellStyle name="Heading 2 2 3" xfId="1454" xr:uid="{00000000-0005-0000-0000-00000B660000}"/>
    <cellStyle name="Heading 2 2 3 2" xfId="2765" xr:uid="{00000000-0005-0000-0000-00000C660000}"/>
    <cellStyle name="Heading 2 2 4" xfId="1704" xr:uid="{00000000-0005-0000-0000-00000D660000}"/>
    <cellStyle name="Heading 2 2 5" xfId="1890" xr:uid="{00000000-0005-0000-0000-00000E660000}"/>
    <cellStyle name="Heading 2 2 6" xfId="3456" xr:uid="{00000000-0005-0000-0000-00000F660000}"/>
    <cellStyle name="Heading 2 2 7" xfId="1452" xr:uid="{00000000-0005-0000-0000-000010660000}"/>
    <cellStyle name="Heading 2 2 8" xfId="11511" xr:uid="{00000000-0005-0000-0000-000011660000}"/>
    <cellStyle name="Heading 2 3" xfId="433" xr:uid="{00000000-0005-0000-0000-000012660000}"/>
    <cellStyle name="Heading 2 3 2" xfId="1788" xr:uid="{00000000-0005-0000-0000-000013660000}"/>
    <cellStyle name="Heading 2 3 3" xfId="11512" xr:uid="{00000000-0005-0000-0000-000014660000}"/>
    <cellStyle name="Heading 2 3 4" xfId="1455" xr:uid="{00000000-0005-0000-0000-000015660000}"/>
    <cellStyle name="Heading 2 4" xfId="434" xr:uid="{00000000-0005-0000-0000-000016660000}"/>
    <cellStyle name="Heading 2 4 2" xfId="2308" xr:uid="{00000000-0005-0000-0000-000017660000}"/>
    <cellStyle name="Heading 2 4 3" xfId="2636" xr:uid="{00000000-0005-0000-0000-000018660000}"/>
    <cellStyle name="Heading 2 4 4" xfId="11513" xr:uid="{00000000-0005-0000-0000-000019660000}"/>
    <cellStyle name="Heading 2 4 5" xfId="1456" xr:uid="{00000000-0005-0000-0000-00001A660000}"/>
    <cellStyle name="Heading 2 5" xfId="435" xr:uid="{00000000-0005-0000-0000-00001B660000}"/>
    <cellStyle name="Heading 2 5 2" xfId="11514" xr:uid="{00000000-0005-0000-0000-00001C660000}"/>
    <cellStyle name="Heading 2 5 3" xfId="1650" xr:uid="{00000000-0005-0000-0000-00001D660000}"/>
    <cellStyle name="Heading 2 6" xfId="436" xr:uid="{00000000-0005-0000-0000-00001E660000}"/>
    <cellStyle name="Heading 2 6 2" xfId="11515" xr:uid="{00000000-0005-0000-0000-00001F660000}"/>
    <cellStyle name="Heading 2 6 3" xfId="1692" xr:uid="{00000000-0005-0000-0000-000020660000}"/>
    <cellStyle name="Heading 2 7" xfId="437" xr:uid="{00000000-0005-0000-0000-000021660000}"/>
    <cellStyle name="Heading 2 7 2" xfId="11516" xr:uid="{00000000-0005-0000-0000-000022660000}"/>
    <cellStyle name="Heading 2 7 3" xfId="1889" xr:uid="{00000000-0005-0000-0000-000023660000}"/>
    <cellStyle name="Heading 2 8" xfId="438" xr:uid="{00000000-0005-0000-0000-000024660000}"/>
    <cellStyle name="Heading 2 9" xfId="439" xr:uid="{00000000-0005-0000-0000-000025660000}"/>
    <cellStyle name="Heading 3" xfId="927" builtinId="18" customBuiltin="1"/>
    <cellStyle name="Heading 3 10" xfId="440" xr:uid="{00000000-0005-0000-0000-000027660000}"/>
    <cellStyle name="Heading 3 11" xfId="441" xr:uid="{00000000-0005-0000-0000-000028660000}"/>
    <cellStyle name="Heading 3 12" xfId="442" xr:uid="{00000000-0005-0000-0000-000029660000}"/>
    <cellStyle name="Heading 3 13" xfId="443" xr:uid="{00000000-0005-0000-0000-00002A660000}"/>
    <cellStyle name="Heading 3 14" xfId="444" xr:uid="{00000000-0005-0000-0000-00002B660000}"/>
    <cellStyle name="Heading 3 15" xfId="445" xr:uid="{00000000-0005-0000-0000-00002C660000}"/>
    <cellStyle name="Heading 3 16" xfId="781" xr:uid="{00000000-0005-0000-0000-00002D660000}"/>
    <cellStyle name="Heading 3 2" xfId="446" xr:uid="{00000000-0005-0000-0000-00002E660000}"/>
    <cellStyle name="Heading 3 2 2" xfId="702" xr:uid="{00000000-0005-0000-0000-00002F660000}"/>
    <cellStyle name="Heading 3 2 2 2" xfId="1789" xr:uid="{00000000-0005-0000-0000-000030660000}"/>
    <cellStyle name="Heading 3 2 2 3" xfId="1458" xr:uid="{00000000-0005-0000-0000-000031660000}"/>
    <cellStyle name="Heading 3 2 2 4" xfId="11659" xr:uid="{00000000-0005-0000-0000-000032660000}"/>
    <cellStyle name="Heading 3 2 2 5" xfId="1225" xr:uid="{00000000-0005-0000-0000-000033660000}"/>
    <cellStyle name="Heading 3 2 3" xfId="1459" xr:uid="{00000000-0005-0000-0000-000034660000}"/>
    <cellStyle name="Heading 3 2 3 2" xfId="2653" xr:uid="{00000000-0005-0000-0000-000035660000}"/>
    <cellStyle name="Heading 3 2 4" xfId="1706" xr:uid="{00000000-0005-0000-0000-000036660000}"/>
    <cellStyle name="Heading 3 2 5" xfId="1892" xr:uid="{00000000-0005-0000-0000-000037660000}"/>
    <cellStyle name="Heading 3 2 6" xfId="1457" xr:uid="{00000000-0005-0000-0000-000038660000}"/>
    <cellStyle name="Heading 3 2 7" xfId="11517" xr:uid="{00000000-0005-0000-0000-000039660000}"/>
    <cellStyle name="Heading 3 3" xfId="447" xr:uid="{00000000-0005-0000-0000-00003A660000}"/>
    <cellStyle name="Heading 3 3 2" xfId="2309" xr:uid="{00000000-0005-0000-0000-00003B660000}"/>
    <cellStyle name="Heading 3 3 3" xfId="2637" xr:uid="{00000000-0005-0000-0000-00003C660000}"/>
    <cellStyle name="Heading 3 3 4" xfId="11518" xr:uid="{00000000-0005-0000-0000-00003D660000}"/>
    <cellStyle name="Heading 3 3 5" xfId="1460" xr:uid="{00000000-0005-0000-0000-00003E660000}"/>
    <cellStyle name="Heading 3 4" xfId="448" xr:uid="{00000000-0005-0000-0000-00003F660000}"/>
    <cellStyle name="Heading 3 4 2" xfId="2799" xr:uid="{00000000-0005-0000-0000-000040660000}"/>
    <cellStyle name="Heading 3 4 3" xfId="11519" xr:uid="{00000000-0005-0000-0000-000041660000}"/>
    <cellStyle name="Heading 3 4 4" xfId="1461" xr:uid="{00000000-0005-0000-0000-000042660000}"/>
    <cellStyle name="Heading 3 5" xfId="449" xr:uid="{00000000-0005-0000-0000-000043660000}"/>
    <cellStyle name="Heading 3 5 2" xfId="11520" xr:uid="{00000000-0005-0000-0000-000044660000}"/>
    <cellStyle name="Heading 3 5 3" xfId="1693" xr:uid="{00000000-0005-0000-0000-000045660000}"/>
    <cellStyle name="Heading 3 6" xfId="450" xr:uid="{00000000-0005-0000-0000-000046660000}"/>
    <cellStyle name="Heading 3 6 2" xfId="11521" xr:uid="{00000000-0005-0000-0000-000047660000}"/>
    <cellStyle name="Heading 3 6 3" xfId="1891" xr:uid="{00000000-0005-0000-0000-000048660000}"/>
    <cellStyle name="Heading 3 7" xfId="451" xr:uid="{00000000-0005-0000-0000-000049660000}"/>
    <cellStyle name="Heading 3 8" xfId="452" xr:uid="{00000000-0005-0000-0000-00004A660000}"/>
    <cellStyle name="Heading 3 9" xfId="453" xr:uid="{00000000-0005-0000-0000-00004B660000}"/>
    <cellStyle name="Heading 4" xfId="928" builtinId="19" customBuiltin="1"/>
    <cellStyle name="Heading 4 10" xfId="454" xr:uid="{00000000-0005-0000-0000-00004D660000}"/>
    <cellStyle name="Heading 4 11" xfId="455" xr:uid="{00000000-0005-0000-0000-00004E660000}"/>
    <cellStyle name="Heading 4 12" xfId="456" xr:uid="{00000000-0005-0000-0000-00004F660000}"/>
    <cellStyle name="Heading 4 13" xfId="457" xr:uid="{00000000-0005-0000-0000-000050660000}"/>
    <cellStyle name="Heading 4 14" xfId="458" xr:uid="{00000000-0005-0000-0000-000051660000}"/>
    <cellStyle name="Heading 4 15" xfId="459" xr:uid="{00000000-0005-0000-0000-000052660000}"/>
    <cellStyle name="Heading 4 16" xfId="824" xr:uid="{00000000-0005-0000-0000-000053660000}"/>
    <cellStyle name="Heading 4 2" xfId="460" xr:uid="{00000000-0005-0000-0000-000054660000}"/>
    <cellStyle name="Heading 4 2 2" xfId="703" xr:uid="{00000000-0005-0000-0000-000055660000}"/>
    <cellStyle name="Heading 4 2 2 2" xfId="1790" xr:uid="{00000000-0005-0000-0000-000056660000}"/>
    <cellStyle name="Heading 4 2 2 3" xfId="1463" xr:uid="{00000000-0005-0000-0000-000057660000}"/>
    <cellStyle name="Heading 4 2 2 4" xfId="11660" xr:uid="{00000000-0005-0000-0000-000058660000}"/>
    <cellStyle name="Heading 4 2 2 5" xfId="1227" xr:uid="{00000000-0005-0000-0000-000059660000}"/>
    <cellStyle name="Heading 4 2 3" xfId="1464" xr:uid="{00000000-0005-0000-0000-00005A660000}"/>
    <cellStyle name="Heading 4 2 3 2" xfId="2654" xr:uid="{00000000-0005-0000-0000-00005B660000}"/>
    <cellStyle name="Heading 4 2 4" xfId="1707" xr:uid="{00000000-0005-0000-0000-00005C660000}"/>
    <cellStyle name="Heading 4 2 5" xfId="1894" xr:uid="{00000000-0005-0000-0000-00005D660000}"/>
    <cellStyle name="Heading 4 2 6" xfId="1462" xr:uid="{00000000-0005-0000-0000-00005E660000}"/>
    <cellStyle name="Heading 4 2 7" xfId="11522" xr:uid="{00000000-0005-0000-0000-00005F660000}"/>
    <cellStyle name="Heading 4 3" xfId="461" xr:uid="{00000000-0005-0000-0000-000060660000}"/>
    <cellStyle name="Heading 4 3 2" xfId="2310" xr:uid="{00000000-0005-0000-0000-000061660000}"/>
    <cellStyle name="Heading 4 3 3" xfId="2638" xr:uid="{00000000-0005-0000-0000-000062660000}"/>
    <cellStyle name="Heading 4 3 4" xfId="11523" xr:uid="{00000000-0005-0000-0000-000063660000}"/>
    <cellStyle name="Heading 4 3 5" xfId="1465" xr:uid="{00000000-0005-0000-0000-000064660000}"/>
    <cellStyle name="Heading 4 4" xfId="462" xr:uid="{00000000-0005-0000-0000-000065660000}"/>
    <cellStyle name="Heading 4 4 2" xfId="2800" xr:uid="{00000000-0005-0000-0000-000066660000}"/>
    <cellStyle name="Heading 4 4 3" xfId="11524" xr:uid="{00000000-0005-0000-0000-000067660000}"/>
    <cellStyle name="Heading 4 4 4" xfId="1466" xr:uid="{00000000-0005-0000-0000-000068660000}"/>
    <cellStyle name="Heading 4 5" xfId="463" xr:uid="{00000000-0005-0000-0000-000069660000}"/>
    <cellStyle name="Heading 4 5 2" xfId="11525" xr:uid="{00000000-0005-0000-0000-00006A660000}"/>
    <cellStyle name="Heading 4 5 3" xfId="1694" xr:uid="{00000000-0005-0000-0000-00006B660000}"/>
    <cellStyle name="Heading 4 6" xfId="464" xr:uid="{00000000-0005-0000-0000-00006C660000}"/>
    <cellStyle name="Heading 4 6 2" xfId="11526" xr:uid="{00000000-0005-0000-0000-00006D660000}"/>
    <cellStyle name="Heading 4 6 3" xfId="1893" xr:uid="{00000000-0005-0000-0000-00006E660000}"/>
    <cellStyle name="Heading 4 7" xfId="465" xr:uid="{00000000-0005-0000-0000-00006F660000}"/>
    <cellStyle name="Heading 4 8" xfId="466" xr:uid="{00000000-0005-0000-0000-000070660000}"/>
    <cellStyle name="Heading 4 9" xfId="467" xr:uid="{00000000-0005-0000-0000-000071660000}"/>
    <cellStyle name="Hyperlink" xfId="589" builtinId="8"/>
    <cellStyle name="Hyperlink 2" xfId="785" xr:uid="{00000000-0005-0000-0000-000073660000}"/>
    <cellStyle name="Hyperlink 2 2" xfId="1791" xr:uid="{00000000-0005-0000-0000-000074660000}"/>
    <cellStyle name="Hyperlink 2 3" xfId="11709" xr:uid="{00000000-0005-0000-0000-000075660000}"/>
    <cellStyle name="Hyperlink 2 4" xfId="1468" xr:uid="{00000000-0005-0000-0000-000076660000}"/>
    <cellStyle name="Hyperlink 3" xfId="692" xr:uid="{00000000-0005-0000-0000-000077660000}"/>
    <cellStyle name="Hyperlink 3 2" xfId="2639" xr:uid="{00000000-0005-0000-0000-000078660000}"/>
    <cellStyle name="Hyperlink 3 3" xfId="1469" xr:uid="{00000000-0005-0000-0000-000079660000}"/>
    <cellStyle name="Hyperlink 4" xfId="1637" xr:uid="{00000000-0005-0000-0000-00007A660000}"/>
    <cellStyle name="Hyperlink 5" xfId="1895" xr:uid="{00000000-0005-0000-0000-00007B660000}"/>
    <cellStyle name="Hyperlink 6" xfId="1467" xr:uid="{00000000-0005-0000-0000-00007C660000}"/>
    <cellStyle name="Hyperlink 7" xfId="11587" xr:uid="{00000000-0005-0000-0000-00007D660000}"/>
    <cellStyle name="Input" xfId="932" builtinId="20" customBuiltin="1"/>
    <cellStyle name="Input [yellow]" xfId="760" xr:uid="{00000000-0005-0000-0000-00007F660000}"/>
    <cellStyle name="Input [yellow] 2" xfId="1471" xr:uid="{00000000-0005-0000-0000-000080660000}"/>
    <cellStyle name="Input [yellow] 2 2" xfId="2721" xr:uid="{00000000-0005-0000-0000-000081660000}"/>
    <cellStyle name="Input [yellow] 3" xfId="1897" xr:uid="{00000000-0005-0000-0000-000082660000}"/>
    <cellStyle name="Input [yellow] 4" xfId="1470" xr:uid="{00000000-0005-0000-0000-000083660000}"/>
    <cellStyle name="Input 10" xfId="468" xr:uid="{00000000-0005-0000-0000-000084660000}"/>
    <cellStyle name="Input 10 2" xfId="2736" xr:uid="{00000000-0005-0000-0000-000085660000}"/>
    <cellStyle name="Input 10 3" xfId="11527" xr:uid="{00000000-0005-0000-0000-000086660000}"/>
    <cellStyle name="Input 10 4" xfId="1472" xr:uid="{00000000-0005-0000-0000-000087660000}"/>
    <cellStyle name="Input 11" xfId="469" xr:uid="{00000000-0005-0000-0000-000088660000}"/>
    <cellStyle name="Input 11 2" xfId="2735" xr:uid="{00000000-0005-0000-0000-000089660000}"/>
    <cellStyle name="Input 11 3" xfId="11528" xr:uid="{00000000-0005-0000-0000-00008A660000}"/>
    <cellStyle name="Input 11 4" xfId="1473" xr:uid="{00000000-0005-0000-0000-00008B660000}"/>
    <cellStyle name="Input 12" xfId="470" xr:uid="{00000000-0005-0000-0000-00008C660000}"/>
    <cellStyle name="Input 12 2" xfId="2742" xr:uid="{00000000-0005-0000-0000-00008D660000}"/>
    <cellStyle name="Input 12 3" xfId="11529" xr:uid="{00000000-0005-0000-0000-00008E660000}"/>
    <cellStyle name="Input 12 4" xfId="1474" xr:uid="{00000000-0005-0000-0000-00008F660000}"/>
    <cellStyle name="Input 13" xfId="471" xr:uid="{00000000-0005-0000-0000-000090660000}"/>
    <cellStyle name="Input 13 2" xfId="2757" xr:uid="{00000000-0005-0000-0000-000091660000}"/>
    <cellStyle name="Input 13 3" xfId="11530" xr:uid="{00000000-0005-0000-0000-000092660000}"/>
    <cellStyle name="Input 13 4" xfId="1475" xr:uid="{00000000-0005-0000-0000-000093660000}"/>
    <cellStyle name="Input 14" xfId="472" xr:uid="{00000000-0005-0000-0000-000094660000}"/>
    <cellStyle name="Input 14 2" xfId="2734" xr:uid="{00000000-0005-0000-0000-000095660000}"/>
    <cellStyle name="Input 14 3" xfId="11531" xr:uid="{00000000-0005-0000-0000-000096660000}"/>
    <cellStyle name="Input 14 4" xfId="1476" xr:uid="{00000000-0005-0000-0000-000097660000}"/>
    <cellStyle name="Input 15" xfId="473" xr:uid="{00000000-0005-0000-0000-000098660000}"/>
    <cellStyle name="Input 15 2" xfId="2732" xr:uid="{00000000-0005-0000-0000-000099660000}"/>
    <cellStyle name="Input 15 3" xfId="11532" xr:uid="{00000000-0005-0000-0000-00009A660000}"/>
    <cellStyle name="Input 15 4" xfId="1477" xr:uid="{00000000-0005-0000-0000-00009B660000}"/>
    <cellStyle name="Input 16" xfId="777" xr:uid="{00000000-0005-0000-0000-00009C660000}"/>
    <cellStyle name="Input 16 2" xfId="2746" xr:uid="{00000000-0005-0000-0000-00009D660000}"/>
    <cellStyle name="Input 16 3" xfId="1478" xr:uid="{00000000-0005-0000-0000-00009E660000}"/>
    <cellStyle name="Input 17" xfId="853" xr:uid="{00000000-0005-0000-0000-00009F660000}"/>
    <cellStyle name="Input 17 2" xfId="2747" xr:uid="{00000000-0005-0000-0000-0000A0660000}"/>
    <cellStyle name="Input 17 3" xfId="1479" xr:uid="{00000000-0005-0000-0000-0000A1660000}"/>
    <cellStyle name="Input 18" xfId="852" xr:uid="{00000000-0005-0000-0000-0000A2660000}"/>
    <cellStyle name="Input 18 2" xfId="2745" xr:uid="{00000000-0005-0000-0000-0000A3660000}"/>
    <cellStyle name="Input 18 3" xfId="1480" xr:uid="{00000000-0005-0000-0000-0000A4660000}"/>
    <cellStyle name="Input 19" xfId="851" xr:uid="{00000000-0005-0000-0000-0000A5660000}"/>
    <cellStyle name="Input 19 2" xfId="2748" xr:uid="{00000000-0005-0000-0000-0000A6660000}"/>
    <cellStyle name="Input 19 3" xfId="1481" xr:uid="{00000000-0005-0000-0000-0000A7660000}"/>
    <cellStyle name="Input 2" xfId="474" xr:uid="{00000000-0005-0000-0000-0000A8660000}"/>
    <cellStyle name="Input 2 2" xfId="707" xr:uid="{00000000-0005-0000-0000-0000A9660000}"/>
    <cellStyle name="Input 2 2 2" xfId="1792" xr:uid="{00000000-0005-0000-0000-0000AA660000}"/>
    <cellStyle name="Input 2 2 3" xfId="1483" xr:uid="{00000000-0005-0000-0000-0000AB660000}"/>
    <cellStyle name="Input 2 2 4" xfId="11664" xr:uid="{00000000-0005-0000-0000-0000AC660000}"/>
    <cellStyle name="Input 2 2 5" xfId="1230" xr:uid="{00000000-0005-0000-0000-0000AD660000}"/>
    <cellStyle name="Input 2 3" xfId="1484" xr:uid="{00000000-0005-0000-0000-0000AE660000}"/>
    <cellStyle name="Input 2 3 2" xfId="2658" xr:uid="{00000000-0005-0000-0000-0000AF660000}"/>
    <cellStyle name="Input 2 3 3" xfId="2883" xr:uid="{00000000-0005-0000-0000-0000B0660000}"/>
    <cellStyle name="Input 2 3 4" xfId="3466" xr:uid="{00000000-0005-0000-0000-0000B1660000}"/>
    <cellStyle name="Input 2 4" xfId="1711" xr:uid="{00000000-0005-0000-0000-0000B2660000}"/>
    <cellStyle name="Input 2 5" xfId="1898" xr:uid="{00000000-0005-0000-0000-0000B3660000}"/>
    <cellStyle name="Input 2 6" xfId="2596" xr:uid="{00000000-0005-0000-0000-0000B4660000}"/>
    <cellStyle name="Input 2 7" xfId="1482" xr:uid="{00000000-0005-0000-0000-0000B5660000}"/>
    <cellStyle name="Input 2 8" xfId="11533" xr:uid="{00000000-0005-0000-0000-0000B6660000}"/>
    <cellStyle name="Input 20" xfId="859" xr:uid="{00000000-0005-0000-0000-0000B7660000}"/>
    <cellStyle name="Input 20 2" xfId="2731" xr:uid="{00000000-0005-0000-0000-0000B8660000}"/>
    <cellStyle name="Input 20 3" xfId="1485" xr:uid="{00000000-0005-0000-0000-0000B9660000}"/>
    <cellStyle name="Input 21" xfId="1093" xr:uid="{00000000-0005-0000-0000-0000BA660000}"/>
    <cellStyle name="Input 21 2" xfId="2751" xr:uid="{00000000-0005-0000-0000-0000BB660000}"/>
    <cellStyle name="Input 21 3" xfId="1486" xr:uid="{00000000-0005-0000-0000-0000BC660000}"/>
    <cellStyle name="Input 22" xfId="1098" xr:uid="{00000000-0005-0000-0000-0000BD660000}"/>
    <cellStyle name="Input 22 2" xfId="2758" xr:uid="{00000000-0005-0000-0000-0000BE660000}"/>
    <cellStyle name="Input 22 3" xfId="1487" xr:uid="{00000000-0005-0000-0000-0000BF660000}"/>
    <cellStyle name="Input 23" xfId="1488" xr:uid="{00000000-0005-0000-0000-0000C0660000}"/>
    <cellStyle name="Input 23 2" xfId="2753" xr:uid="{00000000-0005-0000-0000-0000C1660000}"/>
    <cellStyle name="Input 24" xfId="1489" xr:uid="{00000000-0005-0000-0000-0000C2660000}"/>
    <cellStyle name="Input 24 2" xfId="2749" xr:uid="{00000000-0005-0000-0000-0000C3660000}"/>
    <cellStyle name="Input 25" xfId="1490" xr:uid="{00000000-0005-0000-0000-0000C4660000}"/>
    <cellStyle name="Input 25 2" xfId="2752" xr:uid="{00000000-0005-0000-0000-0000C5660000}"/>
    <cellStyle name="Input 26" xfId="1491" xr:uid="{00000000-0005-0000-0000-0000C6660000}"/>
    <cellStyle name="Input 26 2" xfId="2737" xr:uid="{00000000-0005-0000-0000-0000C7660000}"/>
    <cellStyle name="Input 27" xfId="1492" xr:uid="{00000000-0005-0000-0000-0000C8660000}"/>
    <cellStyle name="Input 27 2" xfId="2733" xr:uid="{00000000-0005-0000-0000-0000C9660000}"/>
    <cellStyle name="Input 28" xfId="1493" xr:uid="{00000000-0005-0000-0000-0000CA660000}"/>
    <cellStyle name="Input 28 2" xfId="2759" xr:uid="{00000000-0005-0000-0000-0000CB660000}"/>
    <cellStyle name="Input 29" xfId="1494" xr:uid="{00000000-0005-0000-0000-0000CC660000}"/>
    <cellStyle name="Input 29 2" xfId="2801" xr:uid="{00000000-0005-0000-0000-0000CD660000}"/>
    <cellStyle name="Input 3" xfId="475" xr:uid="{00000000-0005-0000-0000-0000CE660000}"/>
    <cellStyle name="Input 3 2" xfId="2311" xr:uid="{00000000-0005-0000-0000-0000CF660000}"/>
    <cellStyle name="Input 3 3" xfId="2640" xr:uid="{00000000-0005-0000-0000-0000D0660000}"/>
    <cellStyle name="Input 3 4" xfId="11534" xr:uid="{00000000-0005-0000-0000-0000D1660000}"/>
    <cellStyle name="Input 3 5" xfId="1495" xr:uid="{00000000-0005-0000-0000-0000D2660000}"/>
    <cellStyle name="Input 30" xfId="1695" xr:uid="{00000000-0005-0000-0000-0000D3660000}"/>
    <cellStyle name="Input 31" xfId="1896" xr:uid="{00000000-0005-0000-0000-0000D4660000}"/>
    <cellStyle name="Input 32" xfId="2463" xr:uid="{00000000-0005-0000-0000-0000D5660000}"/>
    <cellStyle name="Input 33" xfId="2844" xr:uid="{00000000-0005-0000-0000-0000D6660000}"/>
    <cellStyle name="Input 34" xfId="2845" xr:uid="{00000000-0005-0000-0000-0000D7660000}"/>
    <cellStyle name="Input 35" xfId="2863" xr:uid="{00000000-0005-0000-0000-0000D8660000}"/>
    <cellStyle name="Input 36" xfId="2835" xr:uid="{00000000-0005-0000-0000-0000D9660000}"/>
    <cellStyle name="Input 37" xfId="2850" xr:uid="{00000000-0005-0000-0000-0000DA660000}"/>
    <cellStyle name="Input 38" xfId="2864" xr:uid="{00000000-0005-0000-0000-0000DB660000}"/>
    <cellStyle name="Input 39" xfId="11300" xr:uid="{00000000-0005-0000-0000-0000DC660000}"/>
    <cellStyle name="Input 4" xfId="476" xr:uid="{00000000-0005-0000-0000-0000DD660000}"/>
    <cellStyle name="Input 4 2" xfId="2469" xr:uid="{00000000-0005-0000-0000-0000DE660000}"/>
    <cellStyle name="Input 4 3" xfId="2692" xr:uid="{00000000-0005-0000-0000-0000DF660000}"/>
    <cellStyle name="Input 4 4" xfId="11535" xr:uid="{00000000-0005-0000-0000-0000E0660000}"/>
    <cellStyle name="Input 4 5" xfId="1496" xr:uid="{00000000-0005-0000-0000-0000E1660000}"/>
    <cellStyle name="Input 40" xfId="11328" xr:uid="{00000000-0005-0000-0000-0000E2660000}"/>
    <cellStyle name="Input 41" xfId="11355" xr:uid="{00000000-0005-0000-0000-0000E3660000}"/>
    <cellStyle name="Input 42" xfId="11832" xr:uid="{00000000-0005-0000-0000-0000E4660000}"/>
    <cellStyle name="Input 43" xfId="1125" xr:uid="{00000000-0005-0000-0000-0000E5660000}"/>
    <cellStyle name="Input 5" xfId="477" xr:uid="{00000000-0005-0000-0000-0000E6660000}"/>
    <cellStyle name="Input 5 2" xfId="2574" xr:uid="{00000000-0005-0000-0000-0000E7660000}"/>
    <cellStyle name="Input 5 3" xfId="2693" xr:uid="{00000000-0005-0000-0000-0000E8660000}"/>
    <cellStyle name="Input 5 4" xfId="11536" xr:uid="{00000000-0005-0000-0000-0000E9660000}"/>
    <cellStyle name="Input 5 5" xfId="1497" xr:uid="{00000000-0005-0000-0000-0000EA660000}"/>
    <cellStyle name="Input 6" xfId="478" xr:uid="{00000000-0005-0000-0000-0000EB660000}"/>
    <cellStyle name="Input 6 2" xfId="2696" xr:uid="{00000000-0005-0000-0000-0000EC660000}"/>
    <cellStyle name="Input 6 3" xfId="11537" xr:uid="{00000000-0005-0000-0000-0000ED660000}"/>
    <cellStyle name="Input 6 4" xfId="1498" xr:uid="{00000000-0005-0000-0000-0000EE660000}"/>
    <cellStyle name="Input 7" xfId="479" xr:uid="{00000000-0005-0000-0000-0000EF660000}"/>
    <cellStyle name="Input 7 2" xfId="2697" xr:uid="{00000000-0005-0000-0000-0000F0660000}"/>
    <cellStyle name="Input 7 3" xfId="11538" xr:uid="{00000000-0005-0000-0000-0000F1660000}"/>
    <cellStyle name="Input 7 4" xfId="1499" xr:uid="{00000000-0005-0000-0000-0000F2660000}"/>
    <cellStyle name="Input 8" xfId="480" xr:uid="{00000000-0005-0000-0000-0000F3660000}"/>
    <cellStyle name="Input 8 2" xfId="2701" xr:uid="{00000000-0005-0000-0000-0000F4660000}"/>
    <cellStyle name="Input 8 3" xfId="11539" xr:uid="{00000000-0005-0000-0000-0000F5660000}"/>
    <cellStyle name="Input 8 4" xfId="1500" xr:uid="{00000000-0005-0000-0000-0000F6660000}"/>
    <cellStyle name="Input 9" xfId="481" xr:uid="{00000000-0005-0000-0000-0000F7660000}"/>
    <cellStyle name="Input 9 2" xfId="2702" xr:uid="{00000000-0005-0000-0000-0000F8660000}"/>
    <cellStyle name="Input 9 3" xfId="11540" xr:uid="{00000000-0005-0000-0000-0000F9660000}"/>
    <cellStyle name="Input 9 4" xfId="1501" xr:uid="{00000000-0005-0000-0000-0000FA660000}"/>
    <cellStyle name="Linked Cell" xfId="935" builtinId="24" customBuiltin="1"/>
    <cellStyle name="Linked Cell 10" xfId="482" xr:uid="{00000000-0005-0000-0000-0000FC660000}"/>
    <cellStyle name="Linked Cell 11" xfId="483" xr:uid="{00000000-0005-0000-0000-0000FD660000}"/>
    <cellStyle name="Linked Cell 12" xfId="484" xr:uid="{00000000-0005-0000-0000-0000FE660000}"/>
    <cellStyle name="Linked Cell 13" xfId="485" xr:uid="{00000000-0005-0000-0000-0000FF660000}"/>
    <cellStyle name="Linked Cell 14" xfId="486" xr:uid="{00000000-0005-0000-0000-000000670000}"/>
    <cellStyle name="Linked Cell 15" xfId="487" xr:uid="{00000000-0005-0000-0000-000001670000}"/>
    <cellStyle name="Linked Cell 16" xfId="818" xr:uid="{00000000-0005-0000-0000-000002670000}"/>
    <cellStyle name="Linked Cell 2" xfId="488" xr:uid="{00000000-0005-0000-0000-000003670000}"/>
    <cellStyle name="Linked Cell 2 2" xfId="710" xr:uid="{00000000-0005-0000-0000-000004670000}"/>
    <cellStyle name="Linked Cell 2 2 2" xfId="1793" xr:uid="{00000000-0005-0000-0000-000005670000}"/>
    <cellStyle name="Linked Cell 2 2 3" xfId="1503" xr:uid="{00000000-0005-0000-0000-000006670000}"/>
    <cellStyle name="Linked Cell 2 2 4" xfId="11667" xr:uid="{00000000-0005-0000-0000-000007670000}"/>
    <cellStyle name="Linked Cell 2 2 5" xfId="1232" xr:uid="{00000000-0005-0000-0000-000008670000}"/>
    <cellStyle name="Linked Cell 2 3" xfId="1504" xr:uid="{00000000-0005-0000-0000-000009670000}"/>
    <cellStyle name="Linked Cell 2 3 2" xfId="2661" xr:uid="{00000000-0005-0000-0000-00000A670000}"/>
    <cellStyle name="Linked Cell 2 3 3" xfId="2884" xr:uid="{00000000-0005-0000-0000-00000B670000}"/>
    <cellStyle name="Linked Cell 2 3 4" xfId="3467" xr:uid="{00000000-0005-0000-0000-00000C670000}"/>
    <cellStyle name="Linked Cell 2 4" xfId="1714" xr:uid="{00000000-0005-0000-0000-00000D670000}"/>
    <cellStyle name="Linked Cell 2 5" xfId="1900" xr:uid="{00000000-0005-0000-0000-00000E670000}"/>
    <cellStyle name="Linked Cell 2 6" xfId="2597" xr:uid="{00000000-0005-0000-0000-00000F670000}"/>
    <cellStyle name="Linked Cell 2 7" xfId="1502" xr:uid="{00000000-0005-0000-0000-000010670000}"/>
    <cellStyle name="Linked Cell 2 8" xfId="11541" xr:uid="{00000000-0005-0000-0000-000011670000}"/>
    <cellStyle name="Linked Cell 3" xfId="489" xr:uid="{00000000-0005-0000-0000-000012670000}"/>
    <cellStyle name="Linked Cell 3 2" xfId="2312" xr:uid="{00000000-0005-0000-0000-000013670000}"/>
    <cellStyle name="Linked Cell 3 3" xfId="2641" xr:uid="{00000000-0005-0000-0000-000014670000}"/>
    <cellStyle name="Linked Cell 3 4" xfId="11542" xr:uid="{00000000-0005-0000-0000-000015670000}"/>
    <cellStyle name="Linked Cell 3 5" xfId="1505" xr:uid="{00000000-0005-0000-0000-000016670000}"/>
    <cellStyle name="Linked Cell 4" xfId="490" xr:uid="{00000000-0005-0000-0000-000017670000}"/>
    <cellStyle name="Linked Cell 4 2" xfId="2802" xr:uid="{00000000-0005-0000-0000-000018670000}"/>
    <cellStyle name="Linked Cell 4 3" xfId="11543" xr:uid="{00000000-0005-0000-0000-000019670000}"/>
    <cellStyle name="Linked Cell 4 4" xfId="1506" xr:uid="{00000000-0005-0000-0000-00001A670000}"/>
    <cellStyle name="Linked Cell 5" xfId="491" xr:uid="{00000000-0005-0000-0000-00001B670000}"/>
    <cellStyle name="Linked Cell 5 2" xfId="11544" xr:uid="{00000000-0005-0000-0000-00001C670000}"/>
    <cellStyle name="Linked Cell 5 3" xfId="1696" xr:uid="{00000000-0005-0000-0000-00001D670000}"/>
    <cellStyle name="Linked Cell 6" xfId="492" xr:uid="{00000000-0005-0000-0000-00001E670000}"/>
    <cellStyle name="Linked Cell 6 2" xfId="11545" xr:uid="{00000000-0005-0000-0000-00001F670000}"/>
    <cellStyle name="Linked Cell 6 3" xfId="1899" xr:uid="{00000000-0005-0000-0000-000020670000}"/>
    <cellStyle name="Linked Cell 7" xfId="493" xr:uid="{00000000-0005-0000-0000-000021670000}"/>
    <cellStyle name="Linked Cell 8" xfId="494" xr:uid="{00000000-0005-0000-0000-000022670000}"/>
    <cellStyle name="Linked Cell 9" xfId="495" xr:uid="{00000000-0005-0000-0000-000023670000}"/>
    <cellStyle name="M" xfId="761" xr:uid="{00000000-0005-0000-0000-000024670000}"/>
    <cellStyle name="M 2" xfId="1508" xr:uid="{00000000-0005-0000-0000-000025670000}"/>
    <cellStyle name="M 2 2" xfId="2722" xr:uid="{00000000-0005-0000-0000-000026670000}"/>
    <cellStyle name="M 3" xfId="1901" xr:uid="{00000000-0005-0000-0000-000027670000}"/>
    <cellStyle name="M 4" xfId="1507" xr:uid="{00000000-0005-0000-0000-000028670000}"/>
    <cellStyle name="M.00" xfId="774" xr:uid="{00000000-0005-0000-0000-000029670000}"/>
    <cellStyle name="M.00 2" xfId="1510" xr:uid="{00000000-0005-0000-0000-00002A670000}"/>
    <cellStyle name="M.00 2 2" xfId="2723" xr:uid="{00000000-0005-0000-0000-00002B670000}"/>
    <cellStyle name="M.00 3" xfId="1902" xr:uid="{00000000-0005-0000-0000-00002C670000}"/>
    <cellStyle name="M.00 4" xfId="1509" xr:uid="{00000000-0005-0000-0000-00002D670000}"/>
    <cellStyle name="M_9. Rev2Cost_GDPIPI" xfId="762" xr:uid="{00000000-0005-0000-0000-00002E670000}"/>
    <cellStyle name="M_9. Rev2Cost_GDPIPI 2" xfId="1512" xr:uid="{00000000-0005-0000-0000-00002F670000}"/>
    <cellStyle name="M_9. Rev2Cost_GDPIPI 2 2" xfId="2724" xr:uid="{00000000-0005-0000-0000-000030670000}"/>
    <cellStyle name="M_9. Rev2Cost_GDPIPI 3" xfId="1903" xr:uid="{00000000-0005-0000-0000-000031670000}"/>
    <cellStyle name="M_9. Rev2Cost_GDPIPI 4" xfId="1511" xr:uid="{00000000-0005-0000-0000-000032670000}"/>
    <cellStyle name="M_lists" xfId="763" xr:uid="{00000000-0005-0000-0000-000033670000}"/>
    <cellStyle name="M_lists 2" xfId="1514" xr:uid="{00000000-0005-0000-0000-000034670000}"/>
    <cellStyle name="M_lists 2 2" xfId="2725" xr:uid="{00000000-0005-0000-0000-000035670000}"/>
    <cellStyle name="M_lists 3" xfId="1904" xr:uid="{00000000-0005-0000-0000-000036670000}"/>
    <cellStyle name="M_lists 4" xfId="1513" xr:uid="{00000000-0005-0000-0000-000037670000}"/>
    <cellStyle name="M_lists_4. Current Monthly Fixed Charge" xfId="764" xr:uid="{00000000-0005-0000-0000-000038670000}"/>
    <cellStyle name="M_lists_4. Current Monthly Fixed Charge 2" xfId="1516" xr:uid="{00000000-0005-0000-0000-000039670000}"/>
    <cellStyle name="M_lists_4. Current Monthly Fixed Charge 2 2" xfId="2726" xr:uid="{00000000-0005-0000-0000-00003A670000}"/>
    <cellStyle name="M_lists_4. Current Monthly Fixed Charge 3" xfId="1905" xr:uid="{00000000-0005-0000-0000-00003B670000}"/>
    <cellStyle name="M_lists_4. Current Monthly Fixed Charge 4" xfId="1515" xr:uid="{00000000-0005-0000-0000-00003C670000}"/>
    <cellStyle name="M_Sheet4" xfId="765" xr:uid="{00000000-0005-0000-0000-00003D670000}"/>
    <cellStyle name="M_Sheet4 2" xfId="1518" xr:uid="{00000000-0005-0000-0000-00003E670000}"/>
    <cellStyle name="M_Sheet4 2 2" xfId="2727" xr:uid="{00000000-0005-0000-0000-00003F670000}"/>
    <cellStyle name="M_Sheet4 3" xfId="1906" xr:uid="{00000000-0005-0000-0000-000040670000}"/>
    <cellStyle name="M_Sheet4 4" xfId="1517" xr:uid="{00000000-0005-0000-0000-000041670000}"/>
    <cellStyle name="Neutral" xfId="931" builtinId="28" customBuiltin="1"/>
    <cellStyle name="Neutral 10" xfId="496" xr:uid="{00000000-0005-0000-0000-000043670000}"/>
    <cellStyle name="Neutral 11" xfId="497" xr:uid="{00000000-0005-0000-0000-000044670000}"/>
    <cellStyle name="Neutral 12" xfId="498" xr:uid="{00000000-0005-0000-0000-000045670000}"/>
    <cellStyle name="Neutral 13" xfId="499" xr:uid="{00000000-0005-0000-0000-000046670000}"/>
    <cellStyle name="Neutral 14" xfId="500" xr:uid="{00000000-0005-0000-0000-000047670000}"/>
    <cellStyle name="Neutral 15" xfId="501" xr:uid="{00000000-0005-0000-0000-000048670000}"/>
    <cellStyle name="Neutral 16" xfId="693" xr:uid="{00000000-0005-0000-0000-000049670000}"/>
    <cellStyle name="Neutral 2" xfId="502" xr:uid="{00000000-0005-0000-0000-00004A670000}"/>
    <cellStyle name="Neutral 2 2" xfId="706" xr:uid="{00000000-0005-0000-0000-00004B670000}"/>
    <cellStyle name="Neutral 2 2 2" xfId="1794" xr:uid="{00000000-0005-0000-0000-00004C670000}"/>
    <cellStyle name="Neutral 2 2 3" xfId="1520" xr:uid="{00000000-0005-0000-0000-00004D670000}"/>
    <cellStyle name="Neutral 2 2 4" xfId="11663" xr:uid="{00000000-0005-0000-0000-00004E670000}"/>
    <cellStyle name="Neutral 2 2 5" xfId="1234" xr:uid="{00000000-0005-0000-0000-00004F670000}"/>
    <cellStyle name="Neutral 2 3" xfId="1521" xr:uid="{00000000-0005-0000-0000-000050670000}"/>
    <cellStyle name="Neutral 2 3 2" xfId="2657" xr:uid="{00000000-0005-0000-0000-000051670000}"/>
    <cellStyle name="Neutral 2 4" xfId="1710" xr:uid="{00000000-0005-0000-0000-000052670000}"/>
    <cellStyle name="Neutral 2 5" xfId="1908" xr:uid="{00000000-0005-0000-0000-000053670000}"/>
    <cellStyle name="Neutral 2 6" xfId="2598" xr:uid="{00000000-0005-0000-0000-000054670000}"/>
    <cellStyle name="Neutral 2 7" xfId="1519" xr:uid="{00000000-0005-0000-0000-000055670000}"/>
    <cellStyle name="Neutral 2 8" xfId="11546" xr:uid="{00000000-0005-0000-0000-000056670000}"/>
    <cellStyle name="Neutral 3" xfId="503" xr:uid="{00000000-0005-0000-0000-000057670000}"/>
    <cellStyle name="Neutral 3 2" xfId="2313" xr:uid="{00000000-0005-0000-0000-000058670000}"/>
    <cellStyle name="Neutral 3 3" xfId="2642" xr:uid="{00000000-0005-0000-0000-000059670000}"/>
    <cellStyle name="Neutral 3 4" xfId="11547" xr:uid="{00000000-0005-0000-0000-00005A670000}"/>
    <cellStyle name="Neutral 3 5" xfId="1522" xr:uid="{00000000-0005-0000-0000-00005B670000}"/>
    <cellStyle name="Neutral 4" xfId="504" xr:uid="{00000000-0005-0000-0000-00005C670000}"/>
    <cellStyle name="Neutral 4 2" xfId="2803" xr:uid="{00000000-0005-0000-0000-00005D670000}"/>
    <cellStyle name="Neutral 4 3" xfId="11548" xr:uid="{00000000-0005-0000-0000-00005E670000}"/>
    <cellStyle name="Neutral 4 4" xfId="1523" xr:uid="{00000000-0005-0000-0000-00005F670000}"/>
    <cellStyle name="Neutral 5" xfId="505" xr:uid="{00000000-0005-0000-0000-000060670000}"/>
    <cellStyle name="Neutral 5 2" xfId="11549" xr:uid="{00000000-0005-0000-0000-000061670000}"/>
    <cellStyle name="Neutral 5 3" xfId="1697" xr:uid="{00000000-0005-0000-0000-000062670000}"/>
    <cellStyle name="Neutral 6" xfId="506" xr:uid="{00000000-0005-0000-0000-000063670000}"/>
    <cellStyle name="Neutral 6 2" xfId="11550" xr:uid="{00000000-0005-0000-0000-000064670000}"/>
    <cellStyle name="Neutral 6 3" xfId="1907" xr:uid="{00000000-0005-0000-0000-000065670000}"/>
    <cellStyle name="Neutral 7" xfId="507" xr:uid="{00000000-0005-0000-0000-000066670000}"/>
    <cellStyle name="Neutral 8" xfId="508" xr:uid="{00000000-0005-0000-0000-000067670000}"/>
    <cellStyle name="Neutral 9" xfId="509" xr:uid="{00000000-0005-0000-0000-000068670000}"/>
    <cellStyle name="Normal" xfId="0" builtinId="0"/>
    <cellStyle name="Normal - Style1" xfId="766" xr:uid="{00000000-0005-0000-0000-00006A670000}"/>
    <cellStyle name="Normal - Style1 2" xfId="1525" xr:uid="{00000000-0005-0000-0000-00006B670000}"/>
    <cellStyle name="Normal - Style1 2 2" xfId="2728" xr:uid="{00000000-0005-0000-0000-00006C670000}"/>
    <cellStyle name="Normal - Style1 3" xfId="1909" xr:uid="{00000000-0005-0000-0000-00006D670000}"/>
    <cellStyle name="Normal - Style1 4" xfId="1524" xr:uid="{00000000-0005-0000-0000-00006E670000}"/>
    <cellStyle name="Normal 10" xfId="510" xr:uid="{00000000-0005-0000-0000-00006F670000}"/>
    <cellStyle name="Normal 10 2" xfId="1813" xr:uid="{00000000-0005-0000-0000-000070670000}"/>
    <cellStyle name="Normal 10 2 2" xfId="2530" xr:uid="{00000000-0005-0000-0000-000071670000}"/>
    <cellStyle name="Normal 10 2 2 2" xfId="3419" xr:uid="{00000000-0005-0000-0000-000072670000}"/>
    <cellStyle name="Normal 10 2 2 2 2" xfId="5687" xr:uid="{00000000-0005-0000-0000-000073670000}"/>
    <cellStyle name="Normal 10 2 2 2 2 2" xfId="10151" xr:uid="{00000000-0005-0000-0000-000074670000}"/>
    <cellStyle name="Normal 10 2 2 2 2 2 2" xfId="20147" xr:uid="{00000000-0005-0000-0000-000075670000}"/>
    <cellStyle name="Normal 10 2 2 2 2 2 2 2" xfId="39547" xr:uid="{00000000-0005-0000-0000-000076670000}"/>
    <cellStyle name="Normal 10 2 2 2 2 2 3" xfId="29849" xr:uid="{00000000-0005-0000-0000-000077670000}"/>
    <cellStyle name="Normal 10 2 2 2 2 3" xfId="15692" xr:uid="{00000000-0005-0000-0000-000078670000}"/>
    <cellStyle name="Normal 10 2 2 2 2 3 2" xfId="35092" xr:uid="{00000000-0005-0000-0000-000079670000}"/>
    <cellStyle name="Normal 10 2 2 2 2 4" xfId="25394" xr:uid="{00000000-0005-0000-0000-00007A670000}"/>
    <cellStyle name="Normal 10 2 2 2 3" xfId="7923" xr:uid="{00000000-0005-0000-0000-00007B670000}"/>
    <cellStyle name="Normal 10 2 2 2 3 2" xfId="17919" xr:uid="{00000000-0005-0000-0000-00007C670000}"/>
    <cellStyle name="Normal 10 2 2 2 3 2 2" xfId="37319" xr:uid="{00000000-0005-0000-0000-00007D670000}"/>
    <cellStyle name="Normal 10 2 2 2 3 3" xfId="27621" xr:uid="{00000000-0005-0000-0000-00007E670000}"/>
    <cellStyle name="Normal 10 2 2 2 4" xfId="13464" xr:uid="{00000000-0005-0000-0000-00007F670000}"/>
    <cellStyle name="Normal 10 2 2 2 4 2" xfId="32864" xr:uid="{00000000-0005-0000-0000-000080670000}"/>
    <cellStyle name="Normal 10 2 2 2 5" xfId="23166" xr:uid="{00000000-0005-0000-0000-000081670000}"/>
    <cellStyle name="Normal 10 2 2 3" xfId="4002" xr:uid="{00000000-0005-0000-0000-000082670000}"/>
    <cellStyle name="Normal 10 2 2 3 2" xfId="5131" xr:uid="{00000000-0005-0000-0000-000083670000}"/>
    <cellStyle name="Normal 10 2 2 3 2 2" xfId="9595" xr:uid="{00000000-0005-0000-0000-000084670000}"/>
    <cellStyle name="Normal 10 2 2 3 2 2 2" xfId="19591" xr:uid="{00000000-0005-0000-0000-000085670000}"/>
    <cellStyle name="Normal 10 2 2 3 2 2 2 2" xfId="38991" xr:uid="{00000000-0005-0000-0000-000086670000}"/>
    <cellStyle name="Normal 10 2 2 3 2 2 3" xfId="29293" xr:uid="{00000000-0005-0000-0000-000087670000}"/>
    <cellStyle name="Normal 10 2 2 3 2 3" xfId="15136" xr:uid="{00000000-0005-0000-0000-000088670000}"/>
    <cellStyle name="Normal 10 2 2 3 2 3 2" xfId="34536" xr:uid="{00000000-0005-0000-0000-000089670000}"/>
    <cellStyle name="Normal 10 2 2 3 2 4" xfId="24838" xr:uid="{00000000-0005-0000-0000-00008A670000}"/>
    <cellStyle name="Normal 10 2 2 3 3" xfId="8480" xr:uid="{00000000-0005-0000-0000-00008B670000}"/>
    <cellStyle name="Normal 10 2 2 3 3 2" xfId="18476" xr:uid="{00000000-0005-0000-0000-00008C670000}"/>
    <cellStyle name="Normal 10 2 2 3 3 2 2" xfId="37876" xr:uid="{00000000-0005-0000-0000-00008D670000}"/>
    <cellStyle name="Normal 10 2 2 3 3 3" xfId="28178" xr:uid="{00000000-0005-0000-0000-00008E670000}"/>
    <cellStyle name="Normal 10 2 2 3 4" xfId="14021" xr:uid="{00000000-0005-0000-0000-00008F670000}"/>
    <cellStyle name="Normal 10 2 2 3 4 2" xfId="33421" xr:uid="{00000000-0005-0000-0000-000090670000}"/>
    <cellStyle name="Normal 10 2 2 3 5" xfId="23723" xr:uid="{00000000-0005-0000-0000-000091670000}"/>
    <cellStyle name="Normal 10 2 2 4" xfId="4574" xr:uid="{00000000-0005-0000-0000-000092670000}"/>
    <cellStyle name="Normal 10 2 2 4 2" xfId="9038" xr:uid="{00000000-0005-0000-0000-000093670000}"/>
    <cellStyle name="Normal 10 2 2 4 2 2" xfId="19034" xr:uid="{00000000-0005-0000-0000-000094670000}"/>
    <cellStyle name="Normal 10 2 2 4 2 2 2" xfId="38434" xr:uid="{00000000-0005-0000-0000-000095670000}"/>
    <cellStyle name="Normal 10 2 2 4 2 3" xfId="28736" xr:uid="{00000000-0005-0000-0000-000096670000}"/>
    <cellStyle name="Normal 10 2 2 4 3" xfId="14579" xr:uid="{00000000-0005-0000-0000-000097670000}"/>
    <cellStyle name="Normal 10 2 2 4 3 2" xfId="33979" xr:uid="{00000000-0005-0000-0000-000098670000}"/>
    <cellStyle name="Normal 10 2 2 4 4" xfId="24281" xr:uid="{00000000-0005-0000-0000-000099670000}"/>
    <cellStyle name="Normal 10 2 2 5" xfId="6244" xr:uid="{00000000-0005-0000-0000-00009A670000}"/>
    <cellStyle name="Normal 10 2 2 5 2" xfId="10708" xr:uid="{00000000-0005-0000-0000-00009B670000}"/>
    <cellStyle name="Normal 10 2 2 5 2 2" xfId="20704" xr:uid="{00000000-0005-0000-0000-00009C670000}"/>
    <cellStyle name="Normal 10 2 2 5 2 2 2" xfId="40104" xr:uid="{00000000-0005-0000-0000-00009D670000}"/>
    <cellStyle name="Normal 10 2 2 5 2 3" xfId="30406" xr:uid="{00000000-0005-0000-0000-00009E670000}"/>
    <cellStyle name="Normal 10 2 2 5 3" xfId="16249" xr:uid="{00000000-0005-0000-0000-00009F670000}"/>
    <cellStyle name="Normal 10 2 2 5 3 2" xfId="35649" xr:uid="{00000000-0005-0000-0000-0000A0670000}"/>
    <cellStyle name="Normal 10 2 2 5 4" xfId="25951" xr:uid="{00000000-0005-0000-0000-0000A1670000}"/>
    <cellStyle name="Normal 10 2 2 6" xfId="6810" xr:uid="{00000000-0005-0000-0000-0000A2670000}"/>
    <cellStyle name="Normal 10 2 2 6 2" xfId="11265" xr:uid="{00000000-0005-0000-0000-0000A3670000}"/>
    <cellStyle name="Normal 10 2 2 6 2 2" xfId="21261" xr:uid="{00000000-0005-0000-0000-0000A4670000}"/>
    <cellStyle name="Normal 10 2 2 6 2 2 2" xfId="40661" xr:uid="{00000000-0005-0000-0000-0000A5670000}"/>
    <cellStyle name="Normal 10 2 2 6 2 3" xfId="30963" xr:uid="{00000000-0005-0000-0000-0000A6670000}"/>
    <cellStyle name="Normal 10 2 2 6 3" xfId="16806" xr:uid="{00000000-0005-0000-0000-0000A7670000}"/>
    <cellStyle name="Normal 10 2 2 6 3 2" xfId="36206" xr:uid="{00000000-0005-0000-0000-0000A8670000}"/>
    <cellStyle name="Normal 10 2 2 6 4" xfId="26508" xr:uid="{00000000-0005-0000-0000-0000A9670000}"/>
    <cellStyle name="Normal 10 2 2 7" xfId="7367" xr:uid="{00000000-0005-0000-0000-0000AA670000}"/>
    <cellStyle name="Normal 10 2 2 7 2" xfId="17363" xr:uid="{00000000-0005-0000-0000-0000AB670000}"/>
    <cellStyle name="Normal 10 2 2 7 2 2" xfId="36763" xr:uid="{00000000-0005-0000-0000-0000AC670000}"/>
    <cellStyle name="Normal 10 2 2 7 3" xfId="27065" xr:uid="{00000000-0005-0000-0000-0000AD670000}"/>
    <cellStyle name="Normal 10 2 2 8" xfId="12907" xr:uid="{00000000-0005-0000-0000-0000AE670000}"/>
    <cellStyle name="Normal 10 2 2 8 2" xfId="32308" xr:uid="{00000000-0005-0000-0000-0000AF670000}"/>
    <cellStyle name="Normal 10 2 2 9" xfId="22610" xr:uid="{00000000-0005-0000-0000-0000B0670000}"/>
    <cellStyle name="Normal 10 3" xfId="1910" xr:uid="{00000000-0005-0000-0000-0000B1670000}"/>
    <cellStyle name="Normal 10 3 2" xfId="2924" xr:uid="{00000000-0005-0000-0000-0000B2670000}"/>
    <cellStyle name="Normal 10 3 2 2" xfId="5193" xr:uid="{00000000-0005-0000-0000-0000B3670000}"/>
    <cellStyle name="Normal 10 3 2 2 2" xfId="9657" xr:uid="{00000000-0005-0000-0000-0000B4670000}"/>
    <cellStyle name="Normal 10 3 2 2 2 2" xfId="19653" xr:uid="{00000000-0005-0000-0000-0000B5670000}"/>
    <cellStyle name="Normal 10 3 2 2 2 2 2" xfId="39053" xr:uid="{00000000-0005-0000-0000-0000B6670000}"/>
    <cellStyle name="Normal 10 3 2 2 2 3" xfId="29355" xr:uid="{00000000-0005-0000-0000-0000B7670000}"/>
    <cellStyle name="Normal 10 3 2 2 3" xfId="15198" xr:uid="{00000000-0005-0000-0000-0000B8670000}"/>
    <cellStyle name="Normal 10 3 2 2 3 2" xfId="34598" xr:uid="{00000000-0005-0000-0000-0000B9670000}"/>
    <cellStyle name="Normal 10 3 2 2 4" xfId="24900" xr:uid="{00000000-0005-0000-0000-0000BA670000}"/>
    <cellStyle name="Normal 10 3 2 3" xfId="7429" xr:uid="{00000000-0005-0000-0000-0000BB670000}"/>
    <cellStyle name="Normal 10 3 2 3 2" xfId="17425" xr:uid="{00000000-0005-0000-0000-0000BC670000}"/>
    <cellStyle name="Normal 10 3 2 3 2 2" xfId="36825" xr:uid="{00000000-0005-0000-0000-0000BD670000}"/>
    <cellStyle name="Normal 10 3 2 3 3" xfId="27127" xr:uid="{00000000-0005-0000-0000-0000BE670000}"/>
    <cellStyle name="Normal 10 3 2 4" xfId="12970" xr:uid="{00000000-0005-0000-0000-0000BF670000}"/>
    <cellStyle name="Normal 10 3 2 4 2" xfId="32370" xr:uid="{00000000-0005-0000-0000-0000C0670000}"/>
    <cellStyle name="Normal 10 3 2 5" xfId="22672" xr:uid="{00000000-0005-0000-0000-0000C1670000}"/>
    <cellStyle name="Normal 10 3 3" xfId="3507" xr:uid="{00000000-0005-0000-0000-0000C2670000}"/>
    <cellStyle name="Normal 10 3 3 2" xfId="4637" xr:uid="{00000000-0005-0000-0000-0000C3670000}"/>
    <cellStyle name="Normal 10 3 3 2 2" xfId="9101" xr:uid="{00000000-0005-0000-0000-0000C4670000}"/>
    <cellStyle name="Normal 10 3 3 2 2 2" xfId="19097" xr:uid="{00000000-0005-0000-0000-0000C5670000}"/>
    <cellStyle name="Normal 10 3 3 2 2 2 2" xfId="38497" xr:uid="{00000000-0005-0000-0000-0000C6670000}"/>
    <cellStyle name="Normal 10 3 3 2 2 3" xfId="28799" xr:uid="{00000000-0005-0000-0000-0000C7670000}"/>
    <cellStyle name="Normal 10 3 3 2 3" xfId="14642" xr:uid="{00000000-0005-0000-0000-0000C8670000}"/>
    <cellStyle name="Normal 10 3 3 2 3 2" xfId="34042" xr:uid="{00000000-0005-0000-0000-0000C9670000}"/>
    <cellStyle name="Normal 10 3 3 2 4" xfId="24344" xr:uid="{00000000-0005-0000-0000-0000CA670000}"/>
    <cellStyle name="Normal 10 3 3 3" xfId="7986" xr:uid="{00000000-0005-0000-0000-0000CB670000}"/>
    <cellStyle name="Normal 10 3 3 3 2" xfId="17982" xr:uid="{00000000-0005-0000-0000-0000CC670000}"/>
    <cellStyle name="Normal 10 3 3 3 2 2" xfId="37382" xr:uid="{00000000-0005-0000-0000-0000CD670000}"/>
    <cellStyle name="Normal 10 3 3 3 3" xfId="27684" xr:uid="{00000000-0005-0000-0000-0000CE670000}"/>
    <cellStyle name="Normal 10 3 3 4" xfId="13527" xr:uid="{00000000-0005-0000-0000-0000CF670000}"/>
    <cellStyle name="Normal 10 3 3 4 2" xfId="32927" xr:uid="{00000000-0005-0000-0000-0000D0670000}"/>
    <cellStyle name="Normal 10 3 3 5" xfId="23229" xr:uid="{00000000-0005-0000-0000-0000D1670000}"/>
    <cellStyle name="Normal 10 3 4" xfId="4080" xr:uid="{00000000-0005-0000-0000-0000D2670000}"/>
    <cellStyle name="Normal 10 3 4 2" xfId="8544" xr:uid="{00000000-0005-0000-0000-0000D3670000}"/>
    <cellStyle name="Normal 10 3 4 2 2" xfId="18540" xr:uid="{00000000-0005-0000-0000-0000D4670000}"/>
    <cellStyle name="Normal 10 3 4 2 2 2" xfId="37940" xr:uid="{00000000-0005-0000-0000-0000D5670000}"/>
    <cellStyle name="Normal 10 3 4 2 3" xfId="28242" xr:uid="{00000000-0005-0000-0000-0000D6670000}"/>
    <cellStyle name="Normal 10 3 4 3" xfId="14085" xr:uid="{00000000-0005-0000-0000-0000D7670000}"/>
    <cellStyle name="Normal 10 3 4 3 2" xfId="33485" xr:uid="{00000000-0005-0000-0000-0000D8670000}"/>
    <cellStyle name="Normal 10 3 4 4" xfId="23787" xr:uid="{00000000-0005-0000-0000-0000D9670000}"/>
    <cellStyle name="Normal 10 3 5" xfId="5750" xr:uid="{00000000-0005-0000-0000-0000DA670000}"/>
    <cellStyle name="Normal 10 3 5 2" xfId="10214" xr:uid="{00000000-0005-0000-0000-0000DB670000}"/>
    <cellStyle name="Normal 10 3 5 2 2" xfId="20210" xr:uid="{00000000-0005-0000-0000-0000DC670000}"/>
    <cellStyle name="Normal 10 3 5 2 2 2" xfId="39610" xr:uid="{00000000-0005-0000-0000-0000DD670000}"/>
    <cellStyle name="Normal 10 3 5 2 3" xfId="29912" xr:uid="{00000000-0005-0000-0000-0000DE670000}"/>
    <cellStyle name="Normal 10 3 5 3" xfId="15755" xr:uid="{00000000-0005-0000-0000-0000DF670000}"/>
    <cellStyle name="Normal 10 3 5 3 2" xfId="35155" xr:uid="{00000000-0005-0000-0000-0000E0670000}"/>
    <cellStyle name="Normal 10 3 5 4" xfId="25457" xr:uid="{00000000-0005-0000-0000-0000E1670000}"/>
    <cellStyle name="Normal 10 3 6" xfId="6316" xr:uid="{00000000-0005-0000-0000-0000E2670000}"/>
    <cellStyle name="Normal 10 3 6 2" xfId="10771" xr:uid="{00000000-0005-0000-0000-0000E3670000}"/>
    <cellStyle name="Normal 10 3 6 2 2" xfId="20767" xr:uid="{00000000-0005-0000-0000-0000E4670000}"/>
    <cellStyle name="Normal 10 3 6 2 2 2" xfId="40167" xr:uid="{00000000-0005-0000-0000-0000E5670000}"/>
    <cellStyle name="Normal 10 3 6 2 3" xfId="30469" xr:uid="{00000000-0005-0000-0000-0000E6670000}"/>
    <cellStyle name="Normal 10 3 6 3" xfId="16312" xr:uid="{00000000-0005-0000-0000-0000E7670000}"/>
    <cellStyle name="Normal 10 3 6 3 2" xfId="35712" xr:uid="{00000000-0005-0000-0000-0000E8670000}"/>
    <cellStyle name="Normal 10 3 6 4" xfId="26014" xr:uid="{00000000-0005-0000-0000-0000E9670000}"/>
    <cellStyle name="Normal 10 3 7" xfId="6873" xr:uid="{00000000-0005-0000-0000-0000EA670000}"/>
    <cellStyle name="Normal 10 3 7 2" xfId="16869" xr:uid="{00000000-0005-0000-0000-0000EB670000}"/>
    <cellStyle name="Normal 10 3 7 2 2" xfId="36269" xr:uid="{00000000-0005-0000-0000-0000EC670000}"/>
    <cellStyle name="Normal 10 3 7 3" xfId="26571" xr:uid="{00000000-0005-0000-0000-0000ED670000}"/>
    <cellStyle name="Normal 10 3 8" xfId="12413" xr:uid="{00000000-0005-0000-0000-0000EE670000}"/>
    <cellStyle name="Normal 10 3 8 2" xfId="31814" xr:uid="{00000000-0005-0000-0000-0000EF670000}"/>
    <cellStyle name="Normal 10 3 9" xfId="22116" xr:uid="{00000000-0005-0000-0000-0000F0670000}"/>
    <cellStyle name="Normal 10 4" xfId="11551" xr:uid="{00000000-0005-0000-0000-0000F1670000}"/>
    <cellStyle name="Normal 10 5" xfId="1526" xr:uid="{00000000-0005-0000-0000-0000F2670000}"/>
    <cellStyle name="Normal 11" xfId="511" xr:uid="{00000000-0005-0000-0000-0000F3670000}"/>
    <cellStyle name="Normal 11 2" xfId="1911" xr:uid="{00000000-0005-0000-0000-0000F4670000}"/>
    <cellStyle name="Normal 11 2 2" xfId="2925" xr:uid="{00000000-0005-0000-0000-0000F5670000}"/>
    <cellStyle name="Normal 11 2 2 2" xfId="5194" xr:uid="{00000000-0005-0000-0000-0000F6670000}"/>
    <cellStyle name="Normal 11 2 2 2 2" xfId="9658" xr:uid="{00000000-0005-0000-0000-0000F7670000}"/>
    <cellStyle name="Normal 11 2 2 2 2 2" xfId="19654" xr:uid="{00000000-0005-0000-0000-0000F8670000}"/>
    <cellStyle name="Normal 11 2 2 2 2 2 2" xfId="39054" xr:uid="{00000000-0005-0000-0000-0000F9670000}"/>
    <cellStyle name="Normal 11 2 2 2 2 3" xfId="29356" xr:uid="{00000000-0005-0000-0000-0000FA670000}"/>
    <cellStyle name="Normal 11 2 2 2 3" xfId="15199" xr:uid="{00000000-0005-0000-0000-0000FB670000}"/>
    <cellStyle name="Normal 11 2 2 2 3 2" xfId="34599" xr:uid="{00000000-0005-0000-0000-0000FC670000}"/>
    <cellStyle name="Normal 11 2 2 2 4" xfId="24901" xr:uid="{00000000-0005-0000-0000-0000FD670000}"/>
    <cellStyle name="Normal 11 2 2 3" xfId="7430" xr:uid="{00000000-0005-0000-0000-0000FE670000}"/>
    <cellStyle name="Normal 11 2 2 3 2" xfId="17426" xr:uid="{00000000-0005-0000-0000-0000FF670000}"/>
    <cellStyle name="Normal 11 2 2 3 2 2" xfId="36826" xr:uid="{00000000-0005-0000-0000-000000680000}"/>
    <cellStyle name="Normal 11 2 2 3 3" xfId="27128" xr:uid="{00000000-0005-0000-0000-000001680000}"/>
    <cellStyle name="Normal 11 2 2 4" xfId="12971" xr:uid="{00000000-0005-0000-0000-000002680000}"/>
    <cellStyle name="Normal 11 2 2 4 2" xfId="32371" xr:uid="{00000000-0005-0000-0000-000003680000}"/>
    <cellStyle name="Normal 11 2 2 5" xfId="22673" xr:uid="{00000000-0005-0000-0000-000004680000}"/>
    <cellStyle name="Normal 11 2 3" xfId="3508" xr:uid="{00000000-0005-0000-0000-000005680000}"/>
    <cellStyle name="Normal 11 2 3 2" xfId="4638" xr:uid="{00000000-0005-0000-0000-000006680000}"/>
    <cellStyle name="Normal 11 2 3 2 2" xfId="9102" xr:uid="{00000000-0005-0000-0000-000007680000}"/>
    <cellStyle name="Normal 11 2 3 2 2 2" xfId="19098" xr:uid="{00000000-0005-0000-0000-000008680000}"/>
    <cellStyle name="Normal 11 2 3 2 2 2 2" xfId="38498" xr:uid="{00000000-0005-0000-0000-000009680000}"/>
    <cellStyle name="Normal 11 2 3 2 2 3" xfId="28800" xr:uid="{00000000-0005-0000-0000-00000A680000}"/>
    <cellStyle name="Normal 11 2 3 2 3" xfId="14643" xr:uid="{00000000-0005-0000-0000-00000B680000}"/>
    <cellStyle name="Normal 11 2 3 2 3 2" xfId="34043" xr:uid="{00000000-0005-0000-0000-00000C680000}"/>
    <cellStyle name="Normal 11 2 3 2 4" xfId="24345" xr:uid="{00000000-0005-0000-0000-00000D680000}"/>
    <cellStyle name="Normal 11 2 3 3" xfId="7987" xr:uid="{00000000-0005-0000-0000-00000E680000}"/>
    <cellStyle name="Normal 11 2 3 3 2" xfId="17983" xr:uid="{00000000-0005-0000-0000-00000F680000}"/>
    <cellStyle name="Normal 11 2 3 3 2 2" xfId="37383" xr:uid="{00000000-0005-0000-0000-000010680000}"/>
    <cellStyle name="Normal 11 2 3 3 3" xfId="27685" xr:uid="{00000000-0005-0000-0000-000011680000}"/>
    <cellStyle name="Normal 11 2 3 4" xfId="13528" xr:uid="{00000000-0005-0000-0000-000012680000}"/>
    <cellStyle name="Normal 11 2 3 4 2" xfId="32928" xr:uid="{00000000-0005-0000-0000-000013680000}"/>
    <cellStyle name="Normal 11 2 3 5" xfId="23230" xr:uid="{00000000-0005-0000-0000-000014680000}"/>
    <cellStyle name="Normal 11 2 4" xfId="4081" xr:uid="{00000000-0005-0000-0000-000015680000}"/>
    <cellStyle name="Normal 11 2 4 2" xfId="8545" xr:uid="{00000000-0005-0000-0000-000016680000}"/>
    <cellStyle name="Normal 11 2 4 2 2" xfId="18541" xr:uid="{00000000-0005-0000-0000-000017680000}"/>
    <cellStyle name="Normal 11 2 4 2 2 2" xfId="37941" xr:uid="{00000000-0005-0000-0000-000018680000}"/>
    <cellStyle name="Normal 11 2 4 2 3" xfId="28243" xr:uid="{00000000-0005-0000-0000-000019680000}"/>
    <cellStyle name="Normal 11 2 4 3" xfId="14086" xr:uid="{00000000-0005-0000-0000-00001A680000}"/>
    <cellStyle name="Normal 11 2 4 3 2" xfId="33486" xr:uid="{00000000-0005-0000-0000-00001B680000}"/>
    <cellStyle name="Normal 11 2 4 4" xfId="23788" xr:uid="{00000000-0005-0000-0000-00001C680000}"/>
    <cellStyle name="Normal 11 2 5" xfId="5751" xr:uid="{00000000-0005-0000-0000-00001D680000}"/>
    <cellStyle name="Normal 11 2 5 2" xfId="10215" xr:uid="{00000000-0005-0000-0000-00001E680000}"/>
    <cellStyle name="Normal 11 2 5 2 2" xfId="20211" xr:uid="{00000000-0005-0000-0000-00001F680000}"/>
    <cellStyle name="Normal 11 2 5 2 2 2" xfId="39611" xr:uid="{00000000-0005-0000-0000-000020680000}"/>
    <cellStyle name="Normal 11 2 5 2 3" xfId="29913" xr:uid="{00000000-0005-0000-0000-000021680000}"/>
    <cellStyle name="Normal 11 2 5 3" xfId="15756" xr:uid="{00000000-0005-0000-0000-000022680000}"/>
    <cellStyle name="Normal 11 2 5 3 2" xfId="35156" xr:uid="{00000000-0005-0000-0000-000023680000}"/>
    <cellStyle name="Normal 11 2 5 4" xfId="25458" xr:uid="{00000000-0005-0000-0000-000024680000}"/>
    <cellStyle name="Normal 11 2 6" xfId="6317" xr:uid="{00000000-0005-0000-0000-000025680000}"/>
    <cellStyle name="Normal 11 2 6 2" xfId="10772" xr:uid="{00000000-0005-0000-0000-000026680000}"/>
    <cellStyle name="Normal 11 2 6 2 2" xfId="20768" xr:uid="{00000000-0005-0000-0000-000027680000}"/>
    <cellStyle name="Normal 11 2 6 2 2 2" xfId="40168" xr:uid="{00000000-0005-0000-0000-000028680000}"/>
    <cellStyle name="Normal 11 2 6 2 3" xfId="30470" xr:uid="{00000000-0005-0000-0000-000029680000}"/>
    <cellStyle name="Normal 11 2 6 3" xfId="16313" xr:uid="{00000000-0005-0000-0000-00002A680000}"/>
    <cellStyle name="Normal 11 2 6 3 2" xfId="35713" xr:uid="{00000000-0005-0000-0000-00002B680000}"/>
    <cellStyle name="Normal 11 2 6 4" xfId="26015" xr:uid="{00000000-0005-0000-0000-00002C680000}"/>
    <cellStyle name="Normal 11 2 7" xfId="6874" xr:uid="{00000000-0005-0000-0000-00002D680000}"/>
    <cellStyle name="Normal 11 2 7 2" xfId="16870" xr:uid="{00000000-0005-0000-0000-00002E680000}"/>
    <cellStyle name="Normal 11 2 7 2 2" xfId="36270" xr:uid="{00000000-0005-0000-0000-00002F680000}"/>
    <cellStyle name="Normal 11 2 7 3" xfId="26572" xr:uid="{00000000-0005-0000-0000-000030680000}"/>
    <cellStyle name="Normal 11 2 8" xfId="12414" xr:uid="{00000000-0005-0000-0000-000031680000}"/>
    <cellStyle name="Normal 11 2 8 2" xfId="31815" xr:uid="{00000000-0005-0000-0000-000032680000}"/>
    <cellStyle name="Normal 11 2 9" xfId="22117" xr:uid="{00000000-0005-0000-0000-000033680000}"/>
    <cellStyle name="Normal 11 3" xfId="2531" xr:uid="{00000000-0005-0000-0000-000034680000}"/>
    <cellStyle name="Normal 11 3 2" xfId="3420" xr:uid="{00000000-0005-0000-0000-000035680000}"/>
    <cellStyle name="Normal 11 3 2 2" xfId="5688" xr:uid="{00000000-0005-0000-0000-000036680000}"/>
    <cellStyle name="Normal 11 3 2 2 2" xfId="10152" xr:uid="{00000000-0005-0000-0000-000037680000}"/>
    <cellStyle name="Normal 11 3 2 2 2 2" xfId="20148" xr:uid="{00000000-0005-0000-0000-000038680000}"/>
    <cellStyle name="Normal 11 3 2 2 2 2 2" xfId="39548" xr:uid="{00000000-0005-0000-0000-000039680000}"/>
    <cellStyle name="Normal 11 3 2 2 2 3" xfId="29850" xr:uid="{00000000-0005-0000-0000-00003A680000}"/>
    <cellStyle name="Normal 11 3 2 2 3" xfId="15693" xr:uid="{00000000-0005-0000-0000-00003B680000}"/>
    <cellStyle name="Normal 11 3 2 2 3 2" xfId="35093" xr:uid="{00000000-0005-0000-0000-00003C680000}"/>
    <cellStyle name="Normal 11 3 2 2 4" xfId="25395" xr:uid="{00000000-0005-0000-0000-00003D680000}"/>
    <cellStyle name="Normal 11 3 2 3" xfId="7924" xr:uid="{00000000-0005-0000-0000-00003E680000}"/>
    <cellStyle name="Normal 11 3 2 3 2" xfId="17920" xr:uid="{00000000-0005-0000-0000-00003F680000}"/>
    <cellStyle name="Normal 11 3 2 3 2 2" xfId="37320" xr:uid="{00000000-0005-0000-0000-000040680000}"/>
    <cellStyle name="Normal 11 3 2 3 3" xfId="27622" xr:uid="{00000000-0005-0000-0000-000041680000}"/>
    <cellStyle name="Normal 11 3 2 4" xfId="13465" xr:uid="{00000000-0005-0000-0000-000042680000}"/>
    <cellStyle name="Normal 11 3 2 4 2" xfId="32865" xr:uid="{00000000-0005-0000-0000-000043680000}"/>
    <cellStyle name="Normal 11 3 2 5" xfId="23167" xr:uid="{00000000-0005-0000-0000-000044680000}"/>
    <cellStyle name="Normal 11 3 3" xfId="4003" xr:uid="{00000000-0005-0000-0000-000045680000}"/>
    <cellStyle name="Normal 11 3 3 2" xfId="5132" xr:uid="{00000000-0005-0000-0000-000046680000}"/>
    <cellStyle name="Normal 11 3 3 2 2" xfId="9596" xr:uid="{00000000-0005-0000-0000-000047680000}"/>
    <cellStyle name="Normal 11 3 3 2 2 2" xfId="19592" xr:uid="{00000000-0005-0000-0000-000048680000}"/>
    <cellStyle name="Normal 11 3 3 2 2 2 2" xfId="38992" xr:uid="{00000000-0005-0000-0000-000049680000}"/>
    <cellStyle name="Normal 11 3 3 2 2 3" xfId="29294" xr:uid="{00000000-0005-0000-0000-00004A680000}"/>
    <cellStyle name="Normal 11 3 3 2 3" xfId="15137" xr:uid="{00000000-0005-0000-0000-00004B680000}"/>
    <cellStyle name="Normal 11 3 3 2 3 2" xfId="34537" xr:uid="{00000000-0005-0000-0000-00004C680000}"/>
    <cellStyle name="Normal 11 3 3 2 4" xfId="24839" xr:uid="{00000000-0005-0000-0000-00004D680000}"/>
    <cellStyle name="Normal 11 3 3 3" xfId="8481" xr:uid="{00000000-0005-0000-0000-00004E680000}"/>
    <cellStyle name="Normal 11 3 3 3 2" xfId="18477" xr:uid="{00000000-0005-0000-0000-00004F680000}"/>
    <cellStyle name="Normal 11 3 3 3 2 2" xfId="37877" xr:uid="{00000000-0005-0000-0000-000050680000}"/>
    <cellStyle name="Normal 11 3 3 3 3" xfId="28179" xr:uid="{00000000-0005-0000-0000-000051680000}"/>
    <cellStyle name="Normal 11 3 3 4" xfId="14022" xr:uid="{00000000-0005-0000-0000-000052680000}"/>
    <cellStyle name="Normal 11 3 3 4 2" xfId="33422" xr:uid="{00000000-0005-0000-0000-000053680000}"/>
    <cellStyle name="Normal 11 3 3 5" xfId="23724" xr:uid="{00000000-0005-0000-0000-000054680000}"/>
    <cellStyle name="Normal 11 3 4" xfId="4575" xr:uid="{00000000-0005-0000-0000-000055680000}"/>
    <cellStyle name="Normal 11 3 4 2" xfId="9039" xr:uid="{00000000-0005-0000-0000-000056680000}"/>
    <cellStyle name="Normal 11 3 4 2 2" xfId="19035" xr:uid="{00000000-0005-0000-0000-000057680000}"/>
    <cellStyle name="Normal 11 3 4 2 2 2" xfId="38435" xr:uid="{00000000-0005-0000-0000-000058680000}"/>
    <cellStyle name="Normal 11 3 4 2 3" xfId="28737" xr:uid="{00000000-0005-0000-0000-000059680000}"/>
    <cellStyle name="Normal 11 3 4 3" xfId="14580" xr:uid="{00000000-0005-0000-0000-00005A680000}"/>
    <cellStyle name="Normal 11 3 4 3 2" xfId="33980" xr:uid="{00000000-0005-0000-0000-00005B680000}"/>
    <cellStyle name="Normal 11 3 4 4" xfId="24282" xr:uid="{00000000-0005-0000-0000-00005C680000}"/>
    <cellStyle name="Normal 11 3 5" xfId="6245" xr:uid="{00000000-0005-0000-0000-00005D680000}"/>
    <cellStyle name="Normal 11 3 5 2" xfId="10709" xr:uid="{00000000-0005-0000-0000-00005E680000}"/>
    <cellStyle name="Normal 11 3 5 2 2" xfId="20705" xr:uid="{00000000-0005-0000-0000-00005F680000}"/>
    <cellStyle name="Normal 11 3 5 2 2 2" xfId="40105" xr:uid="{00000000-0005-0000-0000-000060680000}"/>
    <cellStyle name="Normal 11 3 5 2 3" xfId="30407" xr:uid="{00000000-0005-0000-0000-000061680000}"/>
    <cellStyle name="Normal 11 3 5 3" xfId="16250" xr:uid="{00000000-0005-0000-0000-000062680000}"/>
    <cellStyle name="Normal 11 3 5 3 2" xfId="35650" xr:uid="{00000000-0005-0000-0000-000063680000}"/>
    <cellStyle name="Normal 11 3 5 4" xfId="25952" xr:uid="{00000000-0005-0000-0000-000064680000}"/>
    <cellStyle name="Normal 11 3 6" xfId="6811" xr:uid="{00000000-0005-0000-0000-000065680000}"/>
    <cellStyle name="Normal 11 3 6 2" xfId="11266" xr:uid="{00000000-0005-0000-0000-000066680000}"/>
    <cellStyle name="Normal 11 3 6 2 2" xfId="21262" xr:uid="{00000000-0005-0000-0000-000067680000}"/>
    <cellStyle name="Normal 11 3 6 2 2 2" xfId="40662" xr:uid="{00000000-0005-0000-0000-000068680000}"/>
    <cellStyle name="Normal 11 3 6 2 3" xfId="30964" xr:uid="{00000000-0005-0000-0000-000069680000}"/>
    <cellStyle name="Normal 11 3 6 3" xfId="16807" xr:uid="{00000000-0005-0000-0000-00006A680000}"/>
    <cellStyle name="Normal 11 3 6 3 2" xfId="36207" xr:uid="{00000000-0005-0000-0000-00006B680000}"/>
    <cellStyle name="Normal 11 3 6 4" xfId="26509" xr:uid="{00000000-0005-0000-0000-00006C680000}"/>
    <cellStyle name="Normal 11 3 7" xfId="7368" xr:uid="{00000000-0005-0000-0000-00006D680000}"/>
    <cellStyle name="Normal 11 3 7 2" xfId="17364" xr:uid="{00000000-0005-0000-0000-00006E680000}"/>
    <cellStyle name="Normal 11 3 7 2 2" xfId="36764" xr:uid="{00000000-0005-0000-0000-00006F680000}"/>
    <cellStyle name="Normal 11 3 7 3" xfId="27066" xr:uid="{00000000-0005-0000-0000-000070680000}"/>
    <cellStyle name="Normal 11 3 8" xfId="12908" xr:uid="{00000000-0005-0000-0000-000071680000}"/>
    <cellStyle name="Normal 11 3 8 2" xfId="32309" xr:uid="{00000000-0005-0000-0000-000072680000}"/>
    <cellStyle name="Normal 11 3 9" xfId="22611" xr:uid="{00000000-0005-0000-0000-000073680000}"/>
    <cellStyle name="Normal 11 4" xfId="11552" xr:uid="{00000000-0005-0000-0000-000074680000}"/>
    <cellStyle name="Normal 11 5" xfId="1527" xr:uid="{00000000-0005-0000-0000-000075680000}"/>
    <cellStyle name="Normal 12" xfId="512" xr:uid="{00000000-0005-0000-0000-000076680000}"/>
    <cellStyle name="Normal 12 10" xfId="1642" xr:uid="{00000000-0005-0000-0000-000077680000}"/>
    <cellStyle name="Normal 12 10 2" xfId="12375" xr:uid="{00000000-0005-0000-0000-000078680000}"/>
    <cellStyle name="Normal 12 10 2 2" xfId="31776" xr:uid="{00000000-0005-0000-0000-000079680000}"/>
    <cellStyle name="Normal 12 10 3" xfId="22078" xr:uid="{00000000-0005-0000-0000-00007A680000}"/>
    <cellStyle name="Normal 12 2" xfId="2532" xr:uid="{00000000-0005-0000-0000-00007B680000}"/>
    <cellStyle name="Normal 12 2 2" xfId="3421" xr:uid="{00000000-0005-0000-0000-00007C680000}"/>
    <cellStyle name="Normal 12 2 2 2" xfId="5689" xr:uid="{00000000-0005-0000-0000-00007D680000}"/>
    <cellStyle name="Normal 12 2 2 2 2" xfId="10153" xr:uid="{00000000-0005-0000-0000-00007E680000}"/>
    <cellStyle name="Normal 12 2 2 2 2 2" xfId="20149" xr:uid="{00000000-0005-0000-0000-00007F680000}"/>
    <cellStyle name="Normal 12 2 2 2 2 2 2" xfId="39549" xr:uid="{00000000-0005-0000-0000-000080680000}"/>
    <cellStyle name="Normal 12 2 2 2 2 3" xfId="29851" xr:uid="{00000000-0005-0000-0000-000081680000}"/>
    <cellStyle name="Normal 12 2 2 2 3" xfId="15694" xr:uid="{00000000-0005-0000-0000-000082680000}"/>
    <cellStyle name="Normal 12 2 2 2 3 2" xfId="35094" xr:uid="{00000000-0005-0000-0000-000083680000}"/>
    <cellStyle name="Normal 12 2 2 2 4" xfId="25396" xr:uid="{00000000-0005-0000-0000-000084680000}"/>
    <cellStyle name="Normal 12 2 2 3" xfId="7925" xr:uid="{00000000-0005-0000-0000-000085680000}"/>
    <cellStyle name="Normal 12 2 2 3 2" xfId="17921" xr:uid="{00000000-0005-0000-0000-000086680000}"/>
    <cellStyle name="Normal 12 2 2 3 2 2" xfId="37321" xr:uid="{00000000-0005-0000-0000-000087680000}"/>
    <cellStyle name="Normal 12 2 2 3 3" xfId="27623" xr:uid="{00000000-0005-0000-0000-000088680000}"/>
    <cellStyle name="Normal 12 2 2 4" xfId="13466" xr:uid="{00000000-0005-0000-0000-000089680000}"/>
    <cellStyle name="Normal 12 2 2 4 2" xfId="32866" xr:uid="{00000000-0005-0000-0000-00008A680000}"/>
    <cellStyle name="Normal 12 2 2 5" xfId="23168" xr:uid="{00000000-0005-0000-0000-00008B680000}"/>
    <cellStyle name="Normal 12 2 3" xfId="4004" xr:uid="{00000000-0005-0000-0000-00008C680000}"/>
    <cellStyle name="Normal 12 2 3 2" xfId="5133" xr:uid="{00000000-0005-0000-0000-00008D680000}"/>
    <cellStyle name="Normal 12 2 3 2 2" xfId="9597" xr:uid="{00000000-0005-0000-0000-00008E680000}"/>
    <cellStyle name="Normal 12 2 3 2 2 2" xfId="19593" xr:uid="{00000000-0005-0000-0000-00008F680000}"/>
    <cellStyle name="Normal 12 2 3 2 2 2 2" xfId="38993" xr:uid="{00000000-0005-0000-0000-000090680000}"/>
    <cellStyle name="Normal 12 2 3 2 2 3" xfId="29295" xr:uid="{00000000-0005-0000-0000-000091680000}"/>
    <cellStyle name="Normal 12 2 3 2 3" xfId="15138" xr:uid="{00000000-0005-0000-0000-000092680000}"/>
    <cellStyle name="Normal 12 2 3 2 3 2" xfId="34538" xr:uid="{00000000-0005-0000-0000-000093680000}"/>
    <cellStyle name="Normal 12 2 3 2 4" xfId="24840" xr:uid="{00000000-0005-0000-0000-000094680000}"/>
    <cellStyle name="Normal 12 2 3 3" xfId="8482" xr:uid="{00000000-0005-0000-0000-000095680000}"/>
    <cellStyle name="Normal 12 2 3 3 2" xfId="18478" xr:uid="{00000000-0005-0000-0000-000096680000}"/>
    <cellStyle name="Normal 12 2 3 3 2 2" xfId="37878" xr:uid="{00000000-0005-0000-0000-000097680000}"/>
    <cellStyle name="Normal 12 2 3 3 3" xfId="28180" xr:uid="{00000000-0005-0000-0000-000098680000}"/>
    <cellStyle name="Normal 12 2 3 4" xfId="14023" xr:uid="{00000000-0005-0000-0000-000099680000}"/>
    <cellStyle name="Normal 12 2 3 4 2" xfId="33423" xr:uid="{00000000-0005-0000-0000-00009A680000}"/>
    <cellStyle name="Normal 12 2 3 5" xfId="23725" xr:uid="{00000000-0005-0000-0000-00009B680000}"/>
    <cellStyle name="Normal 12 2 4" xfId="4576" xr:uid="{00000000-0005-0000-0000-00009C680000}"/>
    <cellStyle name="Normal 12 2 4 2" xfId="9040" xr:uid="{00000000-0005-0000-0000-00009D680000}"/>
    <cellStyle name="Normal 12 2 4 2 2" xfId="19036" xr:uid="{00000000-0005-0000-0000-00009E680000}"/>
    <cellStyle name="Normal 12 2 4 2 2 2" xfId="38436" xr:uid="{00000000-0005-0000-0000-00009F680000}"/>
    <cellStyle name="Normal 12 2 4 2 3" xfId="28738" xr:uid="{00000000-0005-0000-0000-0000A0680000}"/>
    <cellStyle name="Normal 12 2 4 3" xfId="14581" xr:uid="{00000000-0005-0000-0000-0000A1680000}"/>
    <cellStyle name="Normal 12 2 4 3 2" xfId="33981" xr:uid="{00000000-0005-0000-0000-0000A2680000}"/>
    <cellStyle name="Normal 12 2 4 4" xfId="24283" xr:uid="{00000000-0005-0000-0000-0000A3680000}"/>
    <cellStyle name="Normal 12 2 5" xfId="6246" xr:uid="{00000000-0005-0000-0000-0000A4680000}"/>
    <cellStyle name="Normal 12 2 5 2" xfId="10710" xr:uid="{00000000-0005-0000-0000-0000A5680000}"/>
    <cellStyle name="Normal 12 2 5 2 2" xfId="20706" xr:uid="{00000000-0005-0000-0000-0000A6680000}"/>
    <cellStyle name="Normal 12 2 5 2 2 2" xfId="40106" xr:uid="{00000000-0005-0000-0000-0000A7680000}"/>
    <cellStyle name="Normal 12 2 5 2 3" xfId="30408" xr:uid="{00000000-0005-0000-0000-0000A8680000}"/>
    <cellStyle name="Normal 12 2 5 3" xfId="16251" xr:uid="{00000000-0005-0000-0000-0000A9680000}"/>
    <cellStyle name="Normal 12 2 5 3 2" xfId="35651" xr:uid="{00000000-0005-0000-0000-0000AA680000}"/>
    <cellStyle name="Normal 12 2 5 4" xfId="25953" xr:uid="{00000000-0005-0000-0000-0000AB680000}"/>
    <cellStyle name="Normal 12 2 6" xfId="6812" xr:uid="{00000000-0005-0000-0000-0000AC680000}"/>
    <cellStyle name="Normal 12 2 6 2" xfId="11267" xr:uid="{00000000-0005-0000-0000-0000AD680000}"/>
    <cellStyle name="Normal 12 2 6 2 2" xfId="21263" xr:uid="{00000000-0005-0000-0000-0000AE680000}"/>
    <cellStyle name="Normal 12 2 6 2 2 2" xfId="40663" xr:uid="{00000000-0005-0000-0000-0000AF680000}"/>
    <cellStyle name="Normal 12 2 6 2 3" xfId="30965" xr:uid="{00000000-0005-0000-0000-0000B0680000}"/>
    <cellStyle name="Normal 12 2 6 3" xfId="16808" xr:uid="{00000000-0005-0000-0000-0000B1680000}"/>
    <cellStyle name="Normal 12 2 6 3 2" xfId="36208" xr:uid="{00000000-0005-0000-0000-0000B2680000}"/>
    <cellStyle name="Normal 12 2 6 4" xfId="26510" xr:uid="{00000000-0005-0000-0000-0000B3680000}"/>
    <cellStyle name="Normal 12 2 7" xfId="7369" xr:uid="{00000000-0005-0000-0000-0000B4680000}"/>
    <cellStyle name="Normal 12 2 7 2" xfId="17365" xr:uid="{00000000-0005-0000-0000-0000B5680000}"/>
    <cellStyle name="Normal 12 2 7 2 2" xfId="36765" xr:uid="{00000000-0005-0000-0000-0000B6680000}"/>
    <cellStyle name="Normal 12 2 7 3" xfId="27067" xr:uid="{00000000-0005-0000-0000-0000B7680000}"/>
    <cellStyle name="Normal 12 2 8" xfId="12909" xr:uid="{00000000-0005-0000-0000-0000B8680000}"/>
    <cellStyle name="Normal 12 2 8 2" xfId="32310" xr:uid="{00000000-0005-0000-0000-0000B9680000}"/>
    <cellStyle name="Normal 12 2 9" xfId="22612" xr:uid="{00000000-0005-0000-0000-0000BA680000}"/>
    <cellStyle name="Normal 12 3" xfId="2886" xr:uid="{00000000-0005-0000-0000-0000BB680000}"/>
    <cellStyle name="Normal 12 3 2" xfId="5155" xr:uid="{00000000-0005-0000-0000-0000BC680000}"/>
    <cellStyle name="Normal 12 3 2 2" xfId="9619" xr:uid="{00000000-0005-0000-0000-0000BD680000}"/>
    <cellStyle name="Normal 12 3 2 2 2" xfId="19615" xr:uid="{00000000-0005-0000-0000-0000BE680000}"/>
    <cellStyle name="Normal 12 3 2 2 2 2" xfId="39015" xr:uid="{00000000-0005-0000-0000-0000BF680000}"/>
    <cellStyle name="Normal 12 3 2 2 3" xfId="29317" xr:uid="{00000000-0005-0000-0000-0000C0680000}"/>
    <cellStyle name="Normal 12 3 2 3" xfId="15160" xr:uid="{00000000-0005-0000-0000-0000C1680000}"/>
    <cellStyle name="Normal 12 3 2 3 2" xfId="34560" xr:uid="{00000000-0005-0000-0000-0000C2680000}"/>
    <cellStyle name="Normal 12 3 2 4" xfId="24862" xr:uid="{00000000-0005-0000-0000-0000C3680000}"/>
    <cellStyle name="Normal 12 3 3" xfId="7391" xr:uid="{00000000-0005-0000-0000-0000C4680000}"/>
    <cellStyle name="Normal 12 3 3 2" xfId="17387" xr:uid="{00000000-0005-0000-0000-0000C5680000}"/>
    <cellStyle name="Normal 12 3 3 2 2" xfId="36787" xr:uid="{00000000-0005-0000-0000-0000C6680000}"/>
    <cellStyle name="Normal 12 3 3 3" xfId="27089" xr:uid="{00000000-0005-0000-0000-0000C7680000}"/>
    <cellStyle name="Normal 12 3 4" xfId="12932" xr:uid="{00000000-0005-0000-0000-0000C8680000}"/>
    <cellStyle name="Normal 12 3 4 2" xfId="32332" xr:uid="{00000000-0005-0000-0000-0000C9680000}"/>
    <cellStyle name="Normal 12 3 5" xfId="22634" xr:uid="{00000000-0005-0000-0000-0000CA680000}"/>
    <cellStyle name="Normal 12 4" xfId="3469" xr:uid="{00000000-0005-0000-0000-0000CB680000}"/>
    <cellStyle name="Normal 12 4 2" xfId="4599" xr:uid="{00000000-0005-0000-0000-0000CC680000}"/>
    <cellStyle name="Normal 12 4 2 2" xfId="9063" xr:uid="{00000000-0005-0000-0000-0000CD680000}"/>
    <cellStyle name="Normal 12 4 2 2 2" xfId="19059" xr:uid="{00000000-0005-0000-0000-0000CE680000}"/>
    <cellStyle name="Normal 12 4 2 2 2 2" xfId="38459" xr:uid="{00000000-0005-0000-0000-0000CF680000}"/>
    <cellStyle name="Normal 12 4 2 2 3" xfId="28761" xr:uid="{00000000-0005-0000-0000-0000D0680000}"/>
    <cellStyle name="Normal 12 4 2 3" xfId="14604" xr:uid="{00000000-0005-0000-0000-0000D1680000}"/>
    <cellStyle name="Normal 12 4 2 3 2" xfId="34004" xr:uid="{00000000-0005-0000-0000-0000D2680000}"/>
    <cellStyle name="Normal 12 4 2 4" xfId="24306" xr:uid="{00000000-0005-0000-0000-0000D3680000}"/>
    <cellStyle name="Normal 12 4 3" xfId="7948" xr:uid="{00000000-0005-0000-0000-0000D4680000}"/>
    <cellStyle name="Normal 12 4 3 2" xfId="17944" xr:uid="{00000000-0005-0000-0000-0000D5680000}"/>
    <cellStyle name="Normal 12 4 3 2 2" xfId="37344" xr:uid="{00000000-0005-0000-0000-0000D6680000}"/>
    <cellStyle name="Normal 12 4 3 3" xfId="27646" xr:uid="{00000000-0005-0000-0000-0000D7680000}"/>
    <cellStyle name="Normal 12 4 4" xfId="13489" xr:uid="{00000000-0005-0000-0000-0000D8680000}"/>
    <cellStyle name="Normal 12 4 4 2" xfId="32889" xr:uid="{00000000-0005-0000-0000-0000D9680000}"/>
    <cellStyle name="Normal 12 4 5" xfId="23191" xr:uid="{00000000-0005-0000-0000-0000DA680000}"/>
    <cellStyle name="Normal 12 5" xfId="4042" xr:uid="{00000000-0005-0000-0000-0000DB680000}"/>
    <cellStyle name="Normal 12 5 2" xfId="8506" xr:uid="{00000000-0005-0000-0000-0000DC680000}"/>
    <cellStyle name="Normal 12 5 2 2" xfId="18502" xr:uid="{00000000-0005-0000-0000-0000DD680000}"/>
    <cellStyle name="Normal 12 5 2 2 2" xfId="37902" xr:uid="{00000000-0005-0000-0000-0000DE680000}"/>
    <cellStyle name="Normal 12 5 2 3" xfId="28204" xr:uid="{00000000-0005-0000-0000-0000DF680000}"/>
    <cellStyle name="Normal 12 5 3" xfId="14047" xr:uid="{00000000-0005-0000-0000-0000E0680000}"/>
    <cellStyle name="Normal 12 5 3 2" xfId="33447" xr:uid="{00000000-0005-0000-0000-0000E1680000}"/>
    <cellStyle name="Normal 12 5 4" xfId="23749" xr:uid="{00000000-0005-0000-0000-0000E2680000}"/>
    <cellStyle name="Normal 12 6" xfId="5712" xr:uid="{00000000-0005-0000-0000-0000E3680000}"/>
    <cellStyle name="Normal 12 6 2" xfId="10176" xr:uid="{00000000-0005-0000-0000-0000E4680000}"/>
    <cellStyle name="Normal 12 6 2 2" xfId="20172" xr:uid="{00000000-0005-0000-0000-0000E5680000}"/>
    <cellStyle name="Normal 12 6 2 2 2" xfId="39572" xr:uid="{00000000-0005-0000-0000-0000E6680000}"/>
    <cellStyle name="Normal 12 6 2 3" xfId="29874" xr:uid="{00000000-0005-0000-0000-0000E7680000}"/>
    <cellStyle name="Normal 12 6 3" xfId="15717" xr:uid="{00000000-0005-0000-0000-0000E8680000}"/>
    <cellStyle name="Normal 12 6 3 2" xfId="35117" xr:uid="{00000000-0005-0000-0000-0000E9680000}"/>
    <cellStyle name="Normal 12 6 4" xfId="25419" xr:uid="{00000000-0005-0000-0000-0000EA680000}"/>
    <cellStyle name="Normal 12 7" xfId="6278" xr:uid="{00000000-0005-0000-0000-0000EB680000}"/>
    <cellStyle name="Normal 12 7 2" xfId="10733" xr:uid="{00000000-0005-0000-0000-0000EC680000}"/>
    <cellStyle name="Normal 12 7 2 2" xfId="20729" xr:uid="{00000000-0005-0000-0000-0000ED680000}"/>
    <cellStyle name="Normal 12 7 2 2 2" xfId="40129" xr:uid="{00000000-0005-0000-0000-0000EE680000}"/>
    <cellStyle name="Normal 12 7 2 3" xfId="30431" xr:uid="{00000000-0005-0000-0000-0000EF680000}"/>
    <cellStyle name="Normal 12 7 3" xfId="16274" xr:uid="{00000000-0005-0000-0000-0000F0680000}"/>
    <cellStyle name="Normal 12 7 3 2" xfId="35674" xr:uid="{00000000-0005-0000-0000-0000F1680000}"/>
    <cellStyle name="Normal 12 7 4" xfId="25976" xr:uid="{00000000-0005-0000-0000-0000F2680000}"/>
    <cellStyle name="Normal 12 8" xfId="6835" xr:uid="{00000000-0005-0000-0000-0000F3680000}"/>
    <cellStyle name="Normal 12 8 2" xfId="16831" xr:uid="{00000000-0005-0000-0000-0000F4680000}"/>
    <cellStyle name="Normal 12 8 2 2" xfId="36231" xr:uid="{00000000-0005-0000-0000-0000F5680000}"/>
    <cellStyle name="Normal 12 8 3" xfId="26533" xr:uid="{00000000-0005-0000-0000-0000F6680000}"/>
    <cellStyle name="Normal 12 9" xfId="11553" xr:uid="{00000000-0005-0000-0000-0000F7680000}"/>
    <cellStyle name="Normal 13" xfId="513" xr:uid="{00000000-0005-0000-0000-0000F8680000}"/>
    <cellStyle name="Normal 13 10" xfId="11554" xr:uid="{00000000-0005-0000-0000-0000F9680000}"/>
    <cellStyle name="Normal 13 11" xfId="1644" xr:uid="{00000000-0005-0000-0000-0000FA680000}"/>
    <cellStyle name="Normal 13 11 2" xfId="12377" xr:uid="{00000000-0005-0000-0000-0000FB680000}"/>
    <cellStyle name="Normal 13 11 2 2" xfId="31778" xr:uid="{00000000-0005-0000-0000-0000FC680000}"/>
    <cellStyle name="Normal 13 11 3" xfId="22080" xr:uid="{00000000-0005-0000-0000-0000FD680000}"/>
    <cellStyle name="Normal 13 2" xfId="2533" xr:uid="{00000000-0005-0000-0000-0000FE680000}"/>
    <cellStyle name="Normal 13 2 2" xfId="3422" xr:uid="{00000000-0005-0000-0000-0000FF680000}"/>
    <cellStyle name="Normal 13 2 2 2" xfId="5690" xr:uid="{00000000-0005-0000-0000-000000690000}"/>
    <cellStyle name="Normal 13 2 2 2 2" xfId="10154" xr:uid="{00000000-0005-0000-0000-000001690000}"/>
    <cellStyle name="Normal 13 2 2 2 2 2" xfId="20150" xr:uid="{00000000-0005-0000-0000-000002690000}"/>
    <cellStyle name="Normal 13 2 2 2 2 2 2" xfId="39550" xr:uid="{00000000-0005-0000-0000-000003690000}"/>
    <cellStyle name="Normal 13 2 2 2 2 3" xfId="29852" xr:uid="{00000000-0005-0000-0000-000004690000}"/>
    <cellStyle name="Normal 13 2 2 2 3" xfId="15695" xr:uid="{00000000-0005-0000-0000-000005690000}"/>
    <cellStyle name="Normal 13 2 2 2 3 2" xfId="35095" xr:uid="{00000000-0005-0000-0000-000006690000}"/>
    <cellStyle name="Normal 13 2 2 2 4" xfId="25397" xr:uid="{00000000-0005-0000-0000-000007690000}"/>
    <cellStyle name="Normal 13 2 2 3" xfId="7926" xr:uid="{00000000-0005-0000-0000-000008690000}"/>
    <cellStyle name="Normal 13 2 2 3 2" xfId="17922" xr:uid="{00000000-0005-0000-0000-000009690000}"/>
    <cellStyle name="Normal 13 2 2 3 2 2" xfId="37322" xr:uid="{00000000-0005-0000-0000-00000A690000}"/>
    <cellStyle name="Normal 13 2 2 3 3" xfId="27624" xr:uid="{00000000-0005-0000-0000-00000B690000}"/>
    <cellStyle name="Normal 13 2 2 4" xfId="13467" xr:uid="{00000000-0005-0000-0000-00000C690000}"/>
    <cellStyle name="Normal 13 2 2 4 2" xfId="32867" xr:uid="{00000000-0005-0000-0000-00000D690000}"/>
    <cellStyle name="Normal 13 2 2 5" xfId="23169" xr:uid="{00000000-0005-0000-0000-00000E690000}"/>
    <cellStyle name="Normal 13 2 3" xfId="4005" xr:uid="{00000000-0005-0000-0000-00000F690000}"/>
    <cellStyle name="Normal 13 2 3 2" xfId="5134" xr:uid="{00000000-0005-0000-0000-000010690000}"/>
    <cellStyle name="Normal 13 2 3 2 2" xfId="9598" xr:uid="{00000000-0005-0000-0000-000011690000}"/>
    <cellStyle name="Normal 13 2 3 2 2 2" xfId="19594" xr:uid="{00000000-0005-0000-0000-000012690000}"/>
    <cellStyle name="Normal 13 2 3 2 2 2 2" xfId="38994" xr:uid="{00000000-0005-0000-0000-000013690000}"/>
    <cellStyle name="Normal 13 2 3 2 2 3" xfId="29296" xr:uid="{00000000-0005-0000-0000-000014690000}"/>
    <cellStyle name="Normal 13 2 3 2 3" xfId="15139" xr:uid="{00000000-0005-0000-0000-000015690000}"/>
    <cellStyle name="Normal 13 2 3 2 3 2" xfId="34539" xr:uid="{00000000-0005-0000-0000-000016690000}"/>
    <cellStyle name="Normal 13 2 3 2 4" xfId="24841" xr:uid="{00000000-0005-0000-0000-000017690000}"/>
    <cellStyle name="Normal 13 2 3 3" xfId="8483" xr:uid="{00000000-0005-0000-0000-000018690000}"/>
    <cellStyle name="Normal 13 2 3 3 2" xfId="18479" xr:uid="{00000000-0005-0000-0000-000019690000}"/>
    <cellStyle name="Normal 13 2 3 3 2 2" xfId="37879" xr:uid="{00000000-0005-0000-0000-00001A690000}"/>
    <cellStyle name="Normal 13 2 3 3 3" xfId="28181" xr:uid="{00000000-0005-0000-0000-00001B690000}"/>
    <cellStyle name="Normal 13 2 3 4" xfId="14024" xr:uid="{00000000-0005-0000-0000-00001C690000}"/>
    <cellStyle name="Normal 13 2 3 4 2" xfId="33424" xr:uid="{00000000-0005-0000-0000-00001D690000}"/>
    <cellStyle name="Normal 13 2 3 5" xfId="23726" xr:uid="{00000000-0005-0000-0000-00001E690000}"/>
    <cellStyle name="Normal 13 2 4" xfId="4577" xr:uid="{00000000-0005-0000-0000-00001F690000}"/>
    <cellStyle name="Normal 13 2 4 2" xfId="9041" xr:uid="{00000000-0005-0000-0000-000020690000}"/>
    <cellStyle name="Normal 13 2 4 2 2" xfId="19037" xr:uid="{00000000-0005-0000-0000-000021690000}"/>
    <cellStyle name="Normal 13 2 4 2 2 2" xfId="38437" xr:uid="{00000000-0005-0000-0000-000022690000}"/>
    <cellStyle name="Normal 13 2 4 2 3" xfId="28739" xr:uid="{00000000-0005-0000-0000-000023690000}"/>
    <cellStyle name="Normal 13 2 4 3" xfId="14582" xr:uid="{00000000-0005-0000-0000-000024690000}"/>
    <cellStyle name="Normal 13 2 4 3 2" xfId="33982" xr:uid="{00000000-0005-0000-0000-000025690000}"/>
    <cellStyle name="Normal 13 2 4 4" xfId="24284" xr:uid="{00000000-0005-0000-0000-000026690000}"/>
    <cellStyle name="Normal 13 2 5" xfId="6247" xr:uid="{00000000-0005-0000-0000-000027690000}"/>
    <cellStyle name="Normal 13 2 5 2" xfId="10711" xr:uid="{00000000-0005-0000-0000-000028690000}"/>
    <cellStyle name="Normal 13 2 5 2 2" xfId="20707" xr:uid="{00000000-0005-0000-0000-000029690000}"/>
    <cellStyle name="Normal 13 2 5 2 2 2" xfId="40107" xr:uid="{00000000-0005-0000-0000-00002A690000}"/>
    <cellStyle name="Normal 13 2 5 2 3" xfId="30409" xr:uid="{00000000-0005-0000-0000-00002B690000}"/>
    <cellStyle name="Normal 13 2 5 3" xfId="16252" xr:uid="{00000000-0005-0000-0000-00002C690000}"/>
    <cellStyle name="Normal 13 2 5 3 2" xfId="35652" xr:uid="{00000000-0005-0000-0000-00002D690000}"/>
    <cellStyle name="Normal 13 2 5 4" xfId="25954" xr:uid="{00000000-0005-0000-0000-00002E690000}"/>
    <cellStyle name="Normal 13 2 6" xfId="6813" xr:uid="{00000000-0005-0000-0000-00002F690000}"/>
    <cellStyle name="Normal 13 2 6 2" xfId="11268" xr:uid="{00000000-0005-0000-0000-000030690000}"/>
    <cellStyle name="Normal 13 2 6 2 2" xfId="21264" xr:uid="{00000000-0005-0000-0000-000031690000}"/>
    <cellStyle name="Normal 13 2 6 2 2 2" xfId="40664" xr:uid="{00000000-0005-0000-0000-000032690000}"/>
    <cellStyle name="Normal 13 2 6 2 3" xfId="30966" xr:uid="{00000000-0005-0000-0000-000033690000}"/>
    <cellStyle name="Normal 13 2 6 3" xfId="16809" xr:uid="{00000000-0005-0000-0000-000034690000}"/>
    <cellStyle name="Normal 13 2 6 3 2" xfId="36209" xr:uid="{00000000-0005-0000-0000-000035690000}"/>
    <cellStyle name="Normal 13 2 6 4" xfId="26511" xr:uid="{00000000-0005-0000-0000-000036690000}"/>
    <cellStyle name="Normal 13 2 7" xfId="7370" xr:uid="{00000000-0005-0000-0000-000037690000}"/>
    <cellStyle name="Normal 13 2 7 2" xfId="17366" xr:uid="{00000000-0005-0000-0000-000038690000}"/>
    <cellStyle name="Normal 13 2 7 2 2" xfId="36766" xr:uid="{00000000-0005-0000-0000-000039690000}"/>
    <cellStyle name="Normal 13 2 7 3" xfId="27068" xr:uid="{00000000-0005-0000-0000-00003A690000}"/>
    <cellStyle name="Normal 13 2 8" xfId="12910" xr:uid="{00000000-0005-0000-0000-00003B690000}"/>
    <cellStyle name="Normal 13 2 8 2" xfId="32311" xr:uid="{00000000-0005-0000-0000-00003C690000}"/>
    <cellStyle name="Normal 13 2 9" xfId="22613" xr:uid="{00000000-0005-0000-0000-00003D690000}"/>
    <cellStyle name="Normal 13 3" xfId="2880" xr:uid="{00000000-0005-0000-0000-00003E690000}"/>
    <cellStyle name="Normal 13 3 2" xfId="4031" xr:uid="{00000000-0005-0000-0000-00003F690000}"/>
    <cellStyle name="Normal 13 3 2 2" xfId="8503" xr:uid="{00000000-0005-0000-0000-000040690000}"/>
    <cellStyle name="Normal 13 3 2 2 2" xfId="18499" xr:uid="{00000000-0005-0000-0000-000041690000}"/>
    <cellStyle name="Normal 13 3 2 2 2 2" xfId="37899" xr:uid="{00000000-0005-0000-0000-000042690000}"/>
    <cellStyle name="Normal 13 3 2 2 3" xfId="28201" xr:uid="{00000000-0005-0000-0000-000043690000}"/>
    <cellStyle name="Normal 13 3 2 3" xfId="14044" xr:uid="{00000000-0005-0000-0000-000044690000}"/>
    <cellStyle name="Normal 13 3 2 3 2" xfId="33444" xr:uid="{00000000-0005-0000-0000-000045690000}"/>
    <cellStyle name="Normal 13 3 2 4" xfId="23746" xr:uid="{00000000-0005-0000-0000-000046690000}"/>
    <cellStyle name="Normal 13 3 3" xfId="5154" xr:uid="{00000000-0005-0000-0000-000047690000}"/>
    <cellStyle name="Normal 13 3 3 2" xfId="9618" xr:uid="{00000000-0005-0000-0000-000048690000}"/>
    <cellStyle name="Normal 13 3 3 2 2" xfId="19614" xr:uid="{00000000-0005-0000-0000-000049690000}"/>
    <cellStyle name="Normal 13 3 3 2 2 2" xfId="39014" xr:uid="{00000000-0005-0000-0000-00004A690000}"/>
    <cellStyle name="Normal 13 3 3 2 3" xfId="29316" xr:uid="{00000000-0005-0000-0000-00004B690000}"/>
    <cellStyle name="Normal 13 3 3 3" xfId="15159" xr:uid="{00000000-0005-0000-0000-00004C690000}"/>
    <cellStyle name="Normal 13 3 3 3 2" xfId="34559" xr:uid="{00000000-0005-0000-0000-00004D690000}"/>
    <cellStyle name="Normal 13 3 3 4" xfId="24861" xr:uid="{00000000-0005-0000-0000-00004E690000}"/>
    <cellStyle name="Normal 13 3 4" xfId="7390" xr:uid="{00000000-0005-0000-0000-00004F690000}"/>
    <cellStyle name="Normal 13 3 4 2" xfId="17386" xr:uid="{00000000-0005-0000-0000-000050690000}"/>
    <cellStyle name="Normal 13 3 4 2 2" xfId="36786" xr:uid="{00000000-0005-0000-0000-000051690000}"/>
    <cellStyle name="Normal 13 3 4 3" xfId="27088" xr:uid="{00000000-0005-0000-0000-000052690000}"/>
    <cellStyle name="Normal 13 3 5" xfId="12931" xr:uid="{00000000-0005-0000-0000-000053690000}"/>
    <cellStyle name="Normal 13 3 5 2" xfId="32331" xr:uid="{00000000-0005-0000-0000-000054690000}"/>
    <cellStyle name="Normal 13 3 6" xfId="22633" xr:uid="{00000000-0005-0000-0000-000055690000}"/>
    <cellStyle name="Normal 13 4" xfId="2888" xr:uid="{00000000-0005-0000-0000-000056690000}"/>
    <cellStyle name="Normal 13 4 2" xfId="5157" xr:uid="{00000000-0005-0000-0000-000057690000}"/>
    <cellStyle name="Normal 13 4 2 2" xfId="9621" xr:uid="{00000000-0005-0000-0000-000058690000}"/>
    <cellStyle name="Normal 13 4 2 2 2" xfId="19617" xr:uid="{00000000-0005-0000-0000-000059690000}"/>
    <cellStyle name="Normal 13 4 2 2 2 2" xfId="39017" xr:uid="{00000000-0005-0000-0000-00005A690000}"/>
    <cellStyle name="Normal 13 4 2 2 3" xfId="29319" xr:uid="{00000000-0005-0000-0000-00005B690000}"/>
    <cellStyle name="Normal 13 4 2 3" xfId="15162" xr:uid="{00000000-0005-0000-0000-00005C690000}"/>
    <cellStyle name="Normal 13 4 2 3 2" xfId="34562" xr:uid="{00000000-0005-0000-0000-00005D690000}"/>
    <cellStyle name="Normal 13 4 2 4" xfId="24864" xr:uid="{00000000-0005-0000-0000-00005E690000}"/>
    <cellStyle name="Normal 13 4 3" xfId="7393" xr:uid="{00000000-0005-0000-0000-00005F690000}"/>
    <cellStyle name="Normal 13 4 3 2" xfId="17389" xr:uid="{00000000-0005-0000-0000-000060690000}"/>
    <cellStyle name="Normal 13 4 3 2 2" xfId="36789" xr:uid="{00000000-0005-0000-0000-000061690000}"/>
    <cellStyle name="Normal 13 4 3 3" xfId="27091" xr:uid="{00000000-0005-0000-0000-000062690000}"/>
    <cellStyle name="Normal 13 4 4" xfId="12934" xr:uid="{00000000-0005-0000-0000-000063690000}"/>
    <cellStyle name="Normal 13 4 4 2" xfId="32334" xr:uid="{00000000-0005-0000-0000-000064690000}"/>
    <cellStyle name="Normal 13 4 5" xfId="22636" xr:uid="{00000000-0005-0000-0000-000065690000}"/>
    <cellStyle name="Normal 13 5" xfId="3471" xr:uid="{00000000-0005-0000-0000-000066690000}"/>
    <cellStyle name="Normal 13 5 2" xfId="4601" xr:uid="{00000000-0005-0000-0000-000067690000}"/>
    <cellStyle name="Normal 13 5 2 2" xfId="9065" xr:uid="{00000000-0005-0000-0000-000068690000}"/>
    <cellStyle name="Normal 13 5 2 2 2" xfId="19061" xr:uid="{00000000-0005-0000-0000-000069690000}"/>
    <cellStyle name="Normal 13 5 2 2 2 2" xfId="38461" xr:uid="{00000000-0005-0000-0000-00006A690000}"/>
    <cellStyle name="Normal 13 5 2 2 3" xfId="28763" xr:uid="{00000000-0005-0000-0000-00006B690000}"/>
    <cellStyle name="Normal 13 5 2 3" xfId="14606" xr:uid="{00000000-0005-0000-0000-00006C690000}"/>
    <cellStyle name="Normal 13 5 2 3 2" xfId="34006" xr:uid="{00000000-0005-0000-0000-00006D690000}"/>
    <cellStyle name="Normal 13 5 2 4" xfId="24308" xr:uid="{00000000-0005-0000-0000-00006E690000}"/>
    <cellStyle name="Normal 13 5 3" xfId="7950" xr:uid="{00000000-0005-0000-0000-00006F690000}"/>
    <cellStyle name="Normal 13 5 3 2" xfId="17946" xr:uid="{00000000-0005-0000-0000-000070690000}"/>
    <cellStyle name="Normal 13 5 3 2 2" xfId="37346" xr:uid="{00000000-0005-0000-0000-000071690000}"/>
    <cellStyle name="Normal 13 5 3 3" xfId="27648" xr:uid="{00000000-0005-0000-0000-000072690000}"/>
    <cellStyle name="Normal 13 5 4" xfId="13491" xr:uid="{00000000-0005-0000-0000-000073690000}"/>
    <cellStyle name="Normal 13 5 4 2" xfId="32891" xr:uid="{00000000-0005-0000-0000-000074690000}"/>
    <cellStyle name="Normal 13 5 5" xfId="23193" xr:uid="{00000000-0005-0000-0000-000075690000}"/>
    <cellStyle name="Normal 13 6" xfId="4044" xr:uid="{00000000-0005-0000-0000-000076690000}"/>
    <cellStyle name="Normal 13 6 2" xfId="8508" xr:uid="{00000000-0005-0000-0000-000077690000}"/>
    <cellStyle name="Normal 13 6 2 2" xfId="18504" xr:uid="{00000000-0005-0000-0000-000078690000}"/>
    <cellStyle name="Normal 13 6 2 2 2" xfId="37904" xr:uid="{00000000-0005-0000-0000-000079690000}"/>
    <cellStyle name="Normal 13 6 2 3" xfId="28206" xr:uid="{00000000-0005-0000-0000-00007A690000}"/>
    <cellStyle name="Normal 13 6 3" xfId="14049" xr:uid="{00000000-0005-0000-0000-00007B690000}"/>
    <cellStyle name="Normal 13 6 3 2" xfId="33449" xr:uid="{00000000-0005-0000-0000-00007C690000}"/>
    <cellStyle name="Normal 13 6 4" xfId="23751" xr:uid="{00000000-0005-0000-0000-00007D690000}"/>
    <cellStyle name="Normal 13 7" xfId="5714" xr:uid="{00000000-0005-0000-0000-00007E690000}"/>
    <cellStyle name="Normal 13 7 2" xfId="10178" xr:uid="{00000000-0005-0000-0000-00007F690000}"/>
    <cellStyle name="Normal 13 7 2 2" xfId="20174" xr:uid="{00000000-0005-0000-0000-000080690000}"/>
    <cellStyle name="Normal 13 7 2 2 2" xfId="39574" xr:uid="{00000000-0005-0000-0000-000081690000}"/>
    <cellStyle name="Normal 13 7 2 3" xfId="29876" xr:uid="{00000000-0005-0000-0000-000082690000}"/>
    <cellStyle name="Normal 13 7 3" xfId="15719" xr:uid="{00000000-0005-0000-0000-000083690000}"/>
    <cellStyle name="Normal 13 7 3 2" xfId="35119" xr:uid="{00000000-0005-0000-0000-000084690000}"/>
    <cellStyle name="Normal 13 7 4" xfId="25421" xr:uid="{00000000-0005-0000-0000-000085690000}"/>
    <cellStyle name="Normal 13 8" xfId="6280" xr:uid="{00000000-0005-0000-0000-000086690000}"/>
    <cellStyle name="Normal 13 8 2" xfId="10735" xr:uid="{00000000-0005-0000-0000-000087690000}"/>
    <cellStyle name="Normal 13 8 2 2" xfId="20731" xr:uid="{00000000-0005-0000-0000-000088690000}"/>
    <cellStyle name="Normal 13 8 2 2 2" xfId="40131" xr:uid="{00000000-0005-0000-0000-000089690000}"/>
    <cellStyle name="Normal 13 8 2 3" xfId="30433" xr:uid="{00000000-0005-0000-0000-00008A690000}"/>
    <cellStyle name="Normal 13 8 3" xfId="16276" xr:uid="{00000000-0005-0000-0000-00008B690000}"/>
    <cellStyle name="Normal 13 8 3 2" xfId="35676" xr:uid="{00000000-0005-0000-0000-00008C690000}"/>
    <cellStyle name="Normal 13 8 4" xfId="25978" xr:uid="{00000000-0005-0000-0000-00008D690000}"/>
    <cellStyle name="Normal 13 9" xfId="6837" xr:uid="{00000000-0005-0000-0000-00008E690000}"/>
    <cellStyle name="Normal 13 9 2" xfId="16833" xr:uid="{00000000-0005-0000-0000-00008F690000}"/>
    <cellStyle name="Normal 13 9 2 2" xfId="36233" xr:uid="{00000000-0005-0000-0000-000090690000}"/>
    <cellStyle name="Normal 13 9 3" xfId="26535" xr:uid="{00000000-0005-0000-0000-000091690000}"/>
    <cellStyle name="Normal 14" xfId="514" xr:uid="{00000000-0005-0000-0000-000092690000}"/>
    <cellStyle name="Normal 14 2" xfId="2534" xr:uid="{00000000-0005-0000-0000-000093690000}"/>
    <cellStyle name="Normal 14 2 2" xfId="3423" xr:uid="{00000000-0005-0000-0000-000094690000}"/>
    <cellStyle name="Normal 14 2 2 2" xfId="5691" xr:uid="{00000000-0005-0000-0000-000095690000}"/>
    <cellStyle name="Normal 14 2 2 2 2" xfId="10155" xr:uid="{00000000-0005-0000-0000-000096690000}"/>
    <cellStyle name="Normal 14 2 2 2 2 2" xfId="20151" xr:uid="{00000000-0005-0000-0000-000097690000}"/>
    <cellStyle name="Normal 14 2 2 2 2 2 2" xfId="39551" xr:uid="{00000000-0005-0000-0000-000098690000}"/>
    <cellStyle name="Normal 14 2 2 2 2 3" xfId="29853" xr:uid="{00000000-0005-0000-0000-000099690000}"/>
    <cellStyle name="Normal 14 2 2 2 3" xfId="15696" xr:uid="{00000000-0005-0000-0000-00009A690000}"/>
    <cellStyle name="Normal 14 2 2 2 3 2" xfId="35096" xr:uid="{00000000-0005-0000-0000-00009B690000}"/>
    <cellStyle name="Normal 14 2 2 2 4" xfId="25398" xr:uid="{00000000-0005-0000-0000-00009C690000}"/>
    <cellStyle name="Normal 14 2 2 3" xfId="7927" xr:uid="{00000000-0005-0000-0000-00009D690000}"/>
    <cellStyle name="Normal 14 2 2 3 2" xfId="17923" xr:uid="{00000000-0005-0000-0000-00009E690000}"/>
    <cellStyle name="Normal 14 2 2 3 2 2" xfId="37323" xr:uid="{00000000-0005-0000-0000-00009F690000}"/>
    <cellStyle name="Normal 14 2 2 3 3" xfId="27625" xr:uid="{00000000-0005-0000-0000-0000A0690000}"/>
    <cellStyle name="Normal 14 2 2 4" xfId="13468" xr:uid="{00000000-0005-0000-0000-0000A1690000}"/>
    <cellStyle name="Normal 14 2 2 4 2" xfId="32868" xr:uid="{00000000-0005-0000-0000-0000A2690000}"/>
    <cellStyle name="Normal 14 2 2 5" xfId="23170" xr:uid="{00000000-0005-0000-0000-0000A3690000}"/>
    <cellStyle name="Normal 14 2 3" xfId="4006" xr:uid="{00000000-0005-0000-0000-0000A4690000}"/>
    <cellStyle name="Normal 14 2 3 2" xfId="5135" xr:uid="{00000000-0005-0000-0000-0000A5690000}"/>
    <cellStyle name="Normal 14 2 3 2 2" xfId="9599" xr:uid="{00000000-0005-0000-0000-0000A6690000}"/>
    <cellStyle name="Normal 14 2 3 2 2 2" xfId="19595" xr:uid="{00000000-0005-0000-0000-0000A7690000}"/>
    <cellStyle name="Normal 14 2 3 2 2 2 2" xfId="38995" xr:uid="{00000000-0005-0000-0000-0000A8690000}"/>
    <cellStyle name="Normal 14 2 3 2 2 3" xfId="29297" xr:uid="{00000000-0005-0000-0000-0000A9690000}"/>
    <cellStyle name="Normal 14 2 3 2 3" xfId="15140" xr:uid="{00000000-0005-0000-0000-0000AA690000}"/>
    <cellStyle name="Normal 14 2 3 2 3 2" xfId="34540" xr:uid="{00000000-0005-0000-0000-0000AB690000}"/>
    <cellStyle name="Normal 14 2 3 2 4" xfId="24842" xr:uid="{00000000-0005-0000-0000-0000AC690000}"/>
    <cellStyle name="Normal 14 2 3 3" xfId="8484" xr:uid="{00000000-0005-0000-0000-0000AD690000}"/>
    <cellStyle name="Normal 14 2 3 3 2" xfId="18480" xr:uid="{00000000-0005-0000-0000-0000AE690000}"/>
    <cellStyle name="Normal 14 2 3 3 2 2" xfId="37880" xr:uid="{00000000-0005-0000-0000-0000AF690000}"/>
    <cellStyle name="Normal 14 2 3 3 3" xfId="28182" xr:uid="{00000000-0005-0000-0000-0000B0690000}"/>
    <cellStyle name="Normal 14 2 3 4" xfId="14025" xr:uid="{00000000-0005-0000-0000-0000B1690000}"/>
    <cellStyle name="Normal 14 2 3 4 2" xfId="33425" xr:uid="{00000000-0005-0000-0000-0000B2690000}"/>
    <cellStyle name="Normal 14 2 3 5" xfId="23727" xr:uid="{00000000-0005-0000-0000-0000B3690000}"/>
    <cellStyle name="Normal 14 2 4" xfId="4578" xr:uid="{00000000-0005-0000-0000-0000B4690000}"/>
    <cellStyle name="Normal 14 2 4 2" xfId="9042" xr:uid="{00000000-0005-0000-0000-0000B5690000}"/>
    <cellStyle name="Normal 14 2 4 2 2" xfId="19038" xr:uid="{00000000-0005-0000-0000-0000B6690000}"/>
    <cellStyle name="Normal 14 2 4 2 2 2" xfId="38438" xr:uid="{00000000-0005-0000-0000-0000B7690000}"/>
    <cellStyle name="Normal 14 2 4 2 3" xfId="28740" xr:uid="{00000000-0005-0000-0000-0000B8690000}"/>
    <cellStyle name="Normal 14 2 4 3" xfId="14583" xr:uid="{00000000-0005-0000-0000-0000B9690000}"/>
    <cellStyle name="Normal 14 2 4 3 2" xfId="33983" xr:uid="{00000000-0005-0000-0000-0000BA690000}"/>
    <cellStyle name="Normal 14 2 4 4" xfId="24285" xr:uid="{00000000-0005-0000-0000-0000BB690000}"/>
    <cellStyle name="Normal 14 2 5" xfId="6248" xr:uid="{00000000-0005-0000-0000-0000BC690000}"/>
    <cellStyle name="Normal 14 2 5 2" xfId="10712" xr:uid="{00000000-0005-0000-0000-0000BD690000}"/>
    <cellStyle name="Normal 14 2 5 2 2" xfId="20708" xr:uid="{00000000-0005-0000-0000-0000BE690000}"/>
    <cellStyle name="Normal 14 2 5 2 2 2" xfId="40108" xr:uid="{00000000-0005-0000-0000-0000BF690000}"/>
    <cellStyle name="Normal 14 2 5 2 3" xfId="30410" xr:uid="{00000000-0005-0000-0000-0000C0690000}"/>
    <cellStyle name="Normal 14 2 5 3" xfId="16253" xr:uid="{00000000-0005-0000-0000-0000C1690000}"/>
    <cellStyle name="Normal 14 2 5 3 2" xfId="35653" xr:uid="{00000000-0005-0000-0000-0000C2690000}"/>
    <cellStyle name="Normal 14 2 5 4" xfId="25955" xr:uid="{00000000-0005-0000-0000-0000C3690000}"/>
    <cellStyle name="Normal 14 2 6" xfId="6814" xr:uid="{00000000-0005-0000-0000-0000C4690000}"/>
    <cellStyle name="Normal 14 2 6 2" xfId="11269" xr:uid="{00000000-0005-0000-0000-0000C5690000}"/>
    <cellStyle name="Normal 14 2 6 2 2" xfId="21265" xr:uid="{00000000-0005-0000-0000-0000C6690000}"/>
    <cellStyle name="Normal 14 2 6 2 2 2" xfId="40665" xr:uid="{00000000-0005-0000-0000-0000C7690000}"/>
    <cellStyle name="Normal 14 2 6 2 3" xfId="30967" xr:uid="{00000000-0005-0000-0000-0000C8690000}"/>
    <cellStyle name="Normal 14 2 6 3" xfId="16810" xr:uid="{00000000-0005-0000-0000-0000C9690000}"/>
    <cellStyle name="Normal 14 2 6 3 2" xfId="36210" xr:uid="{00000000-0005-0000-0000-0000CA690000}"/>
    <cellStyle name="Normal 14 2 6 4" xfId="26512" xr:uid="{00000000-0005-0000-0000-0000CB690000}"/>
    <cellStyle name="Normal 14 2 7" xfId="7371" xr:uid="{00000000-0005-0000-0000-0000CC690000}"/>
    <cellStyle name="Normal 14 2 7 2" xfId="17367" xr:uid="{00000000-0005-0000-0000-0000CD690000}"/>
    <cellStyle name="Normal 14 2 7 2 2" xfId="36767" xr:uid="{00000000-0005-0000-0000-0000CE690000}"/>
    <cellStyle name="Normal 14 2 7 3" xfId="27069" xr:uid="{00000000-0005-0000-0000-0000CF690000}"/>
    <cellStyle name="Normal 14 2 8" xfId="12911" xr:uid="{00000000-0005-0000-0000-0000D0690000}"/>
    <cellStyle name="Normal 14 2 8 2" xfId="32312" xr:uid="{00000000-0005-0000-0000-0000D1690000}"/>
    <cellStyle name="Normal 14 2 9" xfId="22614" xr:uid="{00000000-0005-0000-0000-0000D2690000}"/>
    <cellStyle name="Normal 14 3" xfId="11359" xr:uid="{00000000-0005-0000-0000-0000D3690000}"/>
    <cellStyle name="Normal 14 4" xfId="1814" xr:uid="{00000000-0005-0000-0000-0000D4690000}"/>
    <cellStyle name="Normal 14 5" xfId="11555" xr:uid="{00000000-0005-0000-0000-0000D5690000}"/>
    <cellStyle name="Normal 14 6" xfId="1154" xr:uid="{00000000-0005-0000-0000-0000D6690000}"/>
    <cellStyle name="Normal 15" xfId="515" xr:uid="{00000000-0005-0000-0000-0000D7690000}"/>
    <cellStyle name="Normal 15 10" xfId="1934" xr:uid="{00000000-0005-0000-0000-0000D8690000}"/>
    <cellStyle name="Normal 15 10 2" xfId="12426" xr:uid="{00000000-0005-0000-0000-0000D9690000}"/>
    <cellStyle name="Normal 15 10 2 2" xfId="31827" xr:uid="{00000000-0005-0000-0000-0000DA690000}"/>
    <cellStyle name="Normal 15 10 3" xfId="22129" xr:uid="{00000000-0005-0000-0000-0000DB690000}"/>
    <cellStyle name="Normal 15 2" xfId="2535" xr:uid="{00000000-0005-0000-0000-0000DC690000}"/>
    <cellStyle name="Normal 15 2 2" xfId="3424" xr:uid="{00000000-0005-0000-0000-0000DD690000}"/>
    <cellStyle name="Normal 15 2 2 2" xfId="5692" xr:uid="{00000000-0005-0000-0000-0000DE690000}"/>
    <cellStyle name="Normal 15 2 2 2 2" xfId="10156" xr:uid="{00000000-0005-0000-0000-0000DF690000}"/>
    <cellStyle name="Normal 15 2 2 2 2 2" xfId="20152" xr:uid="{00000000-0005-0000-0000-0000E0690000}"/>
    <cellStyle name="Normal 15 2 2 2 2 2 2" xfId="39552" xr:uid="{00000000-0005-0000-0000-0000E1690000}"/>
    <cellStyle name="Normal 15 2 2 2 2 3" xfId="29854" xr:uid="{00000000-0005-0000-0000-0000E2690000}"/>
    <cellStyle name="Normal 15 2 2 2 3" xfId="15697" xr:uid="{00000000-0005-0000-0000-0000E3690000}"/>
    <cellStyle name="Normal 15 2 2 2 3 2" xfId="35097" xr:uid="{00000000-0005-0000-0000-0000E4690000}"/>
    <cellStyle name="Normal 15 2 2 2 4" xfId="25399" xr:uid="{00000000-0005-0000-0000-0000E5690000}"/>
    <cellStyle name="Normal 15 2 2 3" xfId="7928" xr:uid="{00000000-0005-0000-0000-0000E6690000}"/>
    <cellStyle name="Normal 15 2 2 3 2" xfId="17924" xr:uid="{00000000-0005-0000-0000-0000E7690000}"/>
    <cellStyle name="Normal 15 2 2 3 2 2" xfId="37324" xr:uid="{00000000-0005-0000-0000-0000E8690000}"/>
    <cellStyle name="Normal 15 2 2 3 3" xfId="27626" xr:uid="{00000000-0005-0000-0000-0000E9690000}"/>
    <cellStyle name="Normal 15 2 2 4" xfId="13469" xr:uid="{00000000-0005-0000-0000-0000EA690000}"/>
    <cellStyle name="Normal 15 2 2 4 2" xfId="32869" xr:uid="{00000000-0005-0000-0000-0000EB690000}"/>
    <cellStyle name="Normal 15 2 2 5" xfId="23171" xr:uid="{00000000-0005-0000-0000-0000EC690000}"/>
    <cellStyle name="Normal 15 2 3" xfId="4007" xr:uid="{00000000-0005-0000-0000-0000ED690000}"/>
    <cellStyle name="Normal 15 2 3 2" xfId="5136" xr:uid="{00000000-0005-0000-0000-0000EE690000}"/>
    <cellStyle name="Normal 15 2 3 2 2" xfId="9600" xr:uid="{00000000-0005-0000-0000-0000EF690000}"/>
    <cellStyle name="Normal 15 2 3 2 2 2" xfId="19596" xr:uid="{00000000-0005-0000-0000-0000F0690000}"/>
    <cellStyle name="Normal 15 2 3 2 2 2 2" xfId="38996" xr:uid="{00000000-0005-0000-0000-0000F1690000}"/>
    <cellStyle name="Normal 15 2 3 2 2 3" xfId="29298" xr:uid="{00000000-0005-0000-0000-0000F2690000}"/>
    <cellStyle name="Normal 15 2 3 2 3" xfId="15141" xr:uid="{00000000-0005-0000-0000-0000F3690000}"/>
    <cellStyle name="Normal 15 2 3 2 3 2" xfId="34541" xr:uid="{00000000-0005-0000-0000-0000F4690000}"/>
    <cellStyle name="Normal 15 2 3 2 4" xfId="24843" xr:uid="{00000000-0005-0000-0000-0000F5690000}"/>
    <cellStyle name="Normal 15 2 3 3" xfId="8485" xr:uid="{00000000-0005-0000-0000-0000F6690000}"/>
    <cellStyle name="Normal 15 2 3 3 2" xfId="18481" xr:uid="{00000000-0005-0000-0000-0000F7690000}"/>
    <cellStyle name="Normal 15 2 3 3 2 2" xfId="37881" xr:uid="{00000000-0005-0000-0000-0000F8690000}"/>
    <cellStyle name="Normal 15 2 3 3 3" xfId="28183" xr:uid="{00000000-0005-0000-0000-0000F9690000}"/>
    <cellStyle name="Normal 15 2 3 4" xfId="14026" xr:uid="{00000000-0005-0000-0000-0000FA690000}"/>
    <cellStyle name="Normal 15 2 3 4 2" xfId="33426" xr:uid="{00000000-0005-0000-0000-0000FB690000}"/>
    <cellStyle name="Normal 15 2 3 5" xfId="23728" xr:uid="{00000000-0005-0000-0000-0000FC690000}"/>
    <cellStyle name="Normal 15 2 4" xfId="4579" xr:uid="{00000000-0005-0000-0000-0000FD690000}"/>
    <cellStyle name="Normal 15 2 4 2" xfId="9043" xr:uid="{00000000-0005-0000-0000-0000FE690000}"/>
    <cellStyle name="Normal 15 2 4 2 2" xfId="19039" xr:uid="{00000000-0005-0000-0000-0000FF690000}"/>
    <cellStyle name="Normal 15 2 4 2 2 2" xfId="38439" xr:uid="{00000000-0005-0000-0000-0000006A0000}"/>
    <cellStyle name="Normal 15 2 4 2 3" xfId="28741" xr:uid="{00000000-0005-0000-0000-0000016A0000}"/>
    <cellStyle name="Normal 15 2 4 3" xfId="14584" xr:uid="{00000000-0005-0000-0000-0000026A0000}"/>
    <cellStyle name="Normal 15 2 4 3 2" xfId="33984" xr:uid="{00000000-0005-0000-0000-0000036A0000}"/>
    <cellStyle name="Normal 15 2 4 4" xfId="24286" xr:uid="{00000000-0005-0000-0000-0000046A0000}"/>
    <cellStyle name="Normal 15 2 5" xfId="6249" xr:uid="{00000000-0005-0000-0000-0000056A0000}"/>
    <cellStyle name="Normal 15 2 5 2" xfId="10713" xr:uid="{00000000-0005-0000-0000-0000066A0000}"/>
    <cellStyle name="Normal 15 2 5 2 2" xfId="20709" xr:uid="{00000000-0005-0000-0000-0000076A0000}"/>
    <cellStyle name="Normal 15 2 5 2 2 2" xfId="40109" xr:uid="{00000000-0005-0000-0000-0000086A0000}"/>
    <cellStyle name="Normal 15 2 5 2 3" xfId="30411" xr:uid="{00000000-0005-0000-0000-0000096A0000}"/>
    <cellStyle name="Normal 15 2 5 3" xfId="16254" xr:uid="{00000000-0005-0000-0000-00000A6A0000}"/>
    <cellStyle name="Normal 15 2 5 3 2" xfId="35654" xr:uid="{00000000-0005-0000-0000-00000B6A0000}"/>
    <cellStyle name="Normal 15 2 5 4" xfId="25956" xr:uid="{00000000-0005-0000-0000-00000C6A0000}"/>
    <cellStyle name="Normal 15 2 6" xfId="6815" xr:uid="{00000000-0005-0000-0000-00000D6A0000}"/>
    <cellStyle name="Normal 15 2 6 2" xfId="11270" xr:uid="{00000000-0005-0000-0000-00000E6A0000}"/>
    <cellStyle name="Normal 15 2 6 2 2" xfId="21266" xr:uid="{00000000-0005-0000-0000-00000F6A0000}"/>
    <cellStyle name="Normal 15 2 6 2 2 2" xfId="40666" xr:uid="{00000000-0005-0000-0000-0000106A0000}"/>
    <cellStyle name="Normal 15 2 6 2 3" xfId="30968" xr:uid="{00000000-0005-0000-0000-0000116A0000}"/>
    <cellStyle name="Normal 15 2 6 3" xfId="16811" xr:uid="{00000000-0005-0000-0000-0000126A0000}"/>
    <cellStyle name="Normal 15 2 6 3 2" xfId="36211" xr:uid="{00000000-0005-0000-0000-0000136A0000}"/>
    <cellStyle name="Normal 15 2 6 4" xfId="26513" xr:uid="{00000000-0005-0000-0000-0000146A0000}"/>
    <cellStyle name="Normal 15 2 7" xfId="7372" xr:uid="{00000000-0005-0000-0000-0000156A0000}"/>
    <cellStyle name="Normal 15 2 7 2" xfId="17368" xr:uid="{00000000-0005-0000-0000-0000166A0000}"/>
    <cellStyle name="Normal 15 2 7 2 2" xfId="36768" xr:uid="{00000000-0005-0000-0000-0000176A0000}"/>
    <cellStyle name="Normal 15 2 7 3" xfId="27070" xr:uid="{00000000-0005-0000-0000-0000186A0000}"/>
    <cellStyle name="Normal 15 2 8" xfId="12912" xr:uid="{00000000-0005-0000-0000-0000196A0000}"/>
    <cellStyle name="Normal 15 2 8 2" xfId="32313" xr:uid="{00000000-0005-0000-0000-00001A6A0000}"/>
    <cellStyle name="Normal 15 2 9" xfId="22615" xr:uid="{00000000-0005-0000-0000-00001B6A0000}"/>
    <cellStyle name="Normal 15 3" xfId="2937" xr:uid="{00000000-0005-0000-0000-00001C6A0000}"/>
    <cellStyle name="Normal 15 3 2" xfId="5206" xr:uid="{00000000-0005-0000-0000-00001D6A0000}"/>
    <cellStyle name="Normal 15 3 2 2" xfId="9670" xr:uid="{00000000-0005-0000-0000-00001E6A0000}"/>
    <cellStyle name="Normal 15 3 2 2 2" xfId="19666" xr:uid="{00000000-0005-0000-0000-00001F6A0000}"/>
    <cellStyle name="Normal 15 3 2 2 2 2" xfId="39066" xr:uid="{00000000-0005-0000-0000-0000206A0000}"/>
    <cellStyle name="Normal 15 3 2 2 3" xfId="29368" xr:uid="{00000000-0005-0000-0000-0000216A0000}"/>
    <cellStyle name="Normal 15 3 2 3" xfId="15211" xr:uid="{00000000-0005-0000-0000-0000226A0000}"/>
    <cellStyle name="Normal 15 3 2 3 2" xfId="34611" xr:uid="{00000000-0005-0000-0000-0000236A0000}"/>
    <cellStyle name="Normal 15 3 2 4" xfId="24913" xr:uid="{00000000-0005-0000-0000-0000246A0000}"/>
    <cellStyle name="Normal 15 3 3" xfId="7442" xr:uid="{00000000-0005-0000-0000-0000256A0000}"/>
    <cellStyle name="Normal 15 3 3 2" xfId="17438" xr:uid="{00000000-0005-0000-0000-0000266A0000}"/>
    <cellStyle name="Normal 15 3 3 2 2" xfId="36838" xr:uid="{00000000-0005-0000-0000-0000276A0000}"/>
    <cellStyle name="Normal 15 3 3 3" xfId="27140" xr:uid="{00000000-0005-0000-0000-0000286A0000}"/>
    <cellStyle name="Normal 15 3 4" xfId="12983" xr:uid="{00000000-0005-0000-0000-0000296A0000}"/>
    <cellStyle name="Normal 15 3 4 2" xfId="32383" xr:uid="{00000000-0005-0000-0000-00002A6A0000}"/>
    <cellStyle name="Normal 15 3 5" xfId="22685" xr:uid="{00000000-0005-0000-0000-00002B6A0000}"/>
    <cellStyle name="Normal 15 4" xfId="3520" xr:uid="{00000000-0005-0000-0000-00002C6A0000}"/>
    <cellStyle name="Normal 15 4 2" xfId="4650" xr:uid="{00000000-0005-0000-0000-00002D6A0000}"/>
    <cellStyle name="Normal 15 4 2 2" xfId="9114" xr:uid="{00000000-0005-0000-0000-00002E6A0000}"/>
    <cellStyle name="Normal 15 4 2 2 2" xfId="19110" xr:uid="{00000000-0005-0000-0000-00002F6A0000}"/>
    <cellStyle name="Normal 15 4 2 2 2 2" xfId="38510" xr:uid="{00000000-0005-0000-0000-0000306A0000}"/>
    <cellStyle name="Normal 15 4 2 2 3" xfId="28812" xr:uid="{00000000-0005-0000-0000-0000316A0000}"/>
    <cellStyle name="Normal 15 4 2 3" xfId="14655" xr:uid="{00000000-0005-0000-0000-0000326A0000}"/>
    <cellStyle name="Normal 15 4 2 3 2" xfId="34055" xr:uid="{00000000-0005-0000-0000-0000336A0000}"/>
    <cellStyle name="Normal 15 4 2 4" xfId="24357" xr:uid="{00000000-0005-0000-0000-0000346A0000}"/>
    <cellStyle name="Normal 15 4 3" xfId="7999" xr:uid="{00000000-0005-0000-0000-0000356A0000}"/>
    <cellStyle name="Normal 15 4 3 2" xfId="17995" xr:uid="{00000000-0005-0000-0000-0000366A0000}"/>
    <cellStyle name="Normal 15 4 3 2 2" xfId="37395" xr:uid="{00000000-0005-0000-0000-0000376A0000}"/>
    <cellStyle name="Normal 15 4 3 3" xfId="27697" xr:uid="{00000000-0005-0000-0000-0000386A0000}"/>
    <cellStyle name="Normal 15 4 4" xfId="13540" xr:uid="{00000000-0005-0000-0000-0000396A0000}"/>
    <cellStyle name="Normal 15 4 4 2" xfId="32940" xr:uid="{00000000-0005-0000-0000-00003A6A0000}"/>
    <cellStyle name="Normal 15 4 5" xfId="23242" xr:uid="{00000000-0005-0000-0000-00003B6A0000}"/>
    <cellStyle name="Normal 15 5" xfId="4093" xr:uid="{00000000-0005-0000-0000-00003C6A0000}"/>
    <cellStyle name="Normal 15 5 2" xfId="8557" xr:uid="{00000000-0005-0000-0000-00003D6A0000}"/>
    <cellStyle name="Normal 15 5 2 2" xfId="18553" xr:uid="{00000000-0005-0000-0000-00003E6A0000}"/>
    <cellStyle name="Normal 15 5 2 2 2" xfId="37953" xr:uid="{00000000-0005-0000-0000-00003F6A0000}"/>
    <cellStyle name="Normal 15 5 2 3" xfId="28255" xr:uid="{00000000-0005-0000-0000-0000406A0000}"/>
    <cellStyle name="Normal 15 5 3" xfId="14098" xr:uid="{00000000-0005-0000-0000-0000416A0000}"/>
    <cellStyle name="Normal 15 5 3 2" xfId="33498" xr:uid="{00000000-0005-0000-0000-0000426A0000}"/>
    <cellStyle name="Normal 15 5 4" xfId="23800" xr:uid="{00000000-0005-0000-0000-0000436A0000}"/>
    <cellStyle name="Normal 15 6" xfId="5763" xr:uid="{00000000-0005-0000-0000-0000446A0000}"/>
    <cellStyle name="Normal 15 6 2" xfId="10227" xr:uid="{00000000-0005-0000-0000-0000456A0000}"/>
    <cellStyle name="Normal 15 6 2 2" xfId="20223" xr:uid="{00000000-0005-0000-0000-0000466A0000}"/>
    <cellStyle name="Normal 15 6 2 2 2" xfId="39623" xr:uid="{00000000-0005-0000-0000-0000476A0000}"/>
    <cellStyle name="Normal 15 6 2 3" xfId="29925" xr:uid="{00000000-0005-0000-0000-0000486A0000}"/>
    <cellStyle name="Normal 15 6 3" xfId="15768" xr:uid="{00000000-0005-0000-0000-0000496A0000}"/>
    <cellStyle name="Normal 15 6 3 2" xfId="35168" xr:uid="{00000000-0005-0000-0000-00004A6A0000}"/>
    <cellStyle name="Normal 15 6 4" xfId="25470" xr:uid="{00000000-0005-0000-0000-00004B6A0000}"/>
    <cellStyle name="Normal 15 7" xfId="6329" xr:uid="{00000000-0005-0000-0000-00004C6A0000}"/>
    <cellStyle name="Normal 15 7 2" xfId="10784" xr:uid="{00000000-0005-0000-0000-00004D6A0000}"/>
    <cellStyle name="Normal 15 7 2 2" xfId="20780" xr:uid="{00000000-0005-0000-0000-00004E6A0000}"/>
    <cellStyle name="Normal 15 7 2 2 2" xfId="40180" xr:uid="{00000000-0005-0000-0000-00004F6A0000}"/>
    <cellStyle name="Normal 15 7 2 3" xfId="30482" xr:uid="{00000000-0005-0000-0000-0000506A0000}"/>
    <cellStyle name="Normal 15 7 3" xfId="16325" xr:uid="{00000000-0005-0000-0000-0000516A0000}"/>
    <cellStyle name="Normal 15 7 3 2" xfId="35725" xr:uid="{00000000-0005-0000-0000-0000526A0000}"/>
    <cellStyle name="Normal 15 7 4" xfId="26027" xr:uid="{00000000-0005-0000-0000-0000536A0000}"/>
    <cellStyle name="Normal 15 8" xfId="6886" xr:uid="{00000000-0005-0000-0000-0000546A0000}"/>
    <cellStyle name="Normal 15 8 2" xfId="16882" xr:uid="{00000000-0005-0000-0000-0000556A0000}"/>
    <cellStyle name="Normal 15 8 2 2" xfId="36282" xr:uid="{00000000-0005-0000-0000-0000566A0000}"/>
    <cellStyle name="Normal 15 8 3" xfId="26584" xr:uid="{00000000-0005-0000-0000-0000576A0000}"/>
    <cellStyle name="Normal 15 9" xfId="11556" xr:uid="{00000000-0005-0000-0000-0000586A0000}"/>
    <cellStyle name="Normal 16" xfId="516" xr:uid="{00000000-0005-0000-0000-0000596A0000}"/>
    <cellStyle name="Normal 16 10" xfId="2314" xr:uid="{00000000-0005-0000-0000-00005A6A0000}"/>
    <cellStyle name="Normal 16 10 2" xfId="12757" xr:uid="{00000000-0005-0000-0000-00005B6A0000}"/>
    <cellStyle name="Normal 16 10 2 2" xfId="32158" xr:uid="{00000000-0005-0000-0000-00005C6A0000}"/>
    <cellStyle name="Normal 16 10 3" xfId="22460" xr:uid="{00000000-0005-0000-0000-00005D6A0000}"/>
    <cellStyle name="Normal 16 11" xfId="11990" xr:uid="{00000000-0005-0000-0000-00005E6A0000}"/>
    <cellStyle name="Normal 16 11 2" xfId="31395" xr:uid="{00000000-0005-0000-0000-00005F6A0000}"/>
    <cellStyle name="Normal 16 12" xfId="21696" xr:uid="{00000000-0005-0000-0000-0000606A0000}"/>
    <cellStyle name="Normal 16 2" xfId="603" xr:uid="{00000000-0005-0000-0000-0000616A0000}"/>
    <cellStyle name="Normal 16 2 10" xfId="11997" xr:uid="{00000000-0005-0000-0000-0000626A0000}"/>
    <cellStyle name="Normal 16 2 10 2" xfId="31400" xr:uid="{00000000-0005-0000-0000-0000636A0000}"/>
    <cellStyle name="Normal 16 2 11" xfId="21702" xr:uid="{00000000-0005-0000-0000-0000646A0000}"/>
    <cellStyle name="Normal 16 2 2" xfId="620" xr:uid="{00000000-0005-0000-0000-0000656A0000}"/>
    <cellStyle name="Normal 16 2 2 2" xfId="657" xr:uid="{00000000-0005-0000-0000-0000666A0000}"/>
    <cellStyle name="Normal 16 2 2 2 2" xfId="836" xr:uid="{00000000-0005-0000-0000-0000676A0000}"/>
    <cellStyle name="Normal 16 2 2 2 2 2" xfId="11755" xr:uid="{00000000-0005-0000-0000-0000686A0000}"/>
    <cellStyle name="Normal 16 2 2 2 2 2 2" xfId="21464" xr:uid="{00000000-0005-0000-0000-0000696A0000}"/>
    <cellStyle name="Normal 16 2 2 2 2 2 2 2" xfId="40864" xr:uid="{00000000-0005-0000-0000-00006A6A0000}"/>
    <cellStyle name="Normal 16 2 2 2 2 2 3" xfId="31166" xr:uid="{00000000-0005-0000-0000-00006B6A0000}"/>
    <cellStyle name="Normal 16 2 2 2 2 3" xfId="10002" xr:uid="{00000000-0005-0000-0000-00006C6A0000}"/>
    <cellStyle name="Normal 16 2 2 2 2 3 2" xfId="19998" xr:uid="{00000000-0005-0000-0000-00006D6A0000}"/>
    <cellStyle name="Normal 16 2 2 2 2 3 2 2" xfId="39398" xr:uid="{00000000-0005-0000-0000-00006E6A0000}"/>
    <cellStyle name="Normal 16 2 2 2 2 3 3" xfId="29700" xr:uid="{00000000-0005-0000-0000-00006F6A0000}"/>
    <cellStyle name="Normal 16 2 2 2 2 4" xfId="12116" xr:uid="{00000000-0005-0000-0000-0000706A0000}"/>
    <cellStyle name="Normal 16 2 2 2 2 4 2" xfId="31519" xr:uid="{00000000-0005-0000-0000-0000716A0000}"/>
    <cellStyle name="Normal 16 2 2 2 2 5" xfId="21821" xr:uid="{00000000-0005-0000-0000-0000726A0000}"/>
    <cellStyle name="Normal 16 2 2 2 3" xfId="906" xr:uid="{00000000-0005-0000-0000-0000736A0000}"/>
    <cellStyle name="Normal 16 2 2 2 3 2" xfId="11813" xr:uid="{00000000-0005-0000-0000-0000746A0000}"/>
    <cellStyle name="Normal 16 2 2 2 3 2 2" xfId="21520" xr:uid="{00000000-0005-0000-0000-0000756A0000}"/>
    <cellStyle name="Normal 16 2 2 2 3 2 2 2" xfId="40920" xr:uid="{00000000-0005-0000-0000-0000766A0000}"/>
    <cellStyle name="Normal 16 2 2 2 3 2 3" xfId="31222" xr:uid="{00000000-0005-0000-0000-0000776A0000}"/>
    <cellStyle name="Normal 16 2 2 2 3 3" xfId="12172" xr:uid="{00000000-0005-0000-0000-0000786A0000}"/>
    <cellStyle name="Normal 16 2 2 2 3 3 2" xfId="31575" xr:uid="{00000000-0005-0000-0000-0000796A0000}"/>
    <cellStyle name="Normal 16 2 2 2 3 4" xfId="21877" xr:uid="{00000000-0005-0000-0000-00007A6A0000}"/>
    <cellStyle name="Normal 16 2 2 2 4" xfId="11643" xr:uid="{00000000-0005-0000-0000-00007B6A0000}"/>
    <cellStyle name="Normal 16 2 2 2 4 2" xfId="21383" xr:uid="{00000000-0005-0000-0000-00007C6A0000}"/>
    <cellStyle name="Normal 16 2 2 2 4 2 2" xfId="40783" xr:uid="{00000000-0005-0000-0000-00007D6A0000}"/>
    <cellStyle name="Normal 16 2 2 2 4 3" xfId="31085" xr:uid="{00000000-0005-0000-0000-00007E6A0000}"/>
    <cellStyle name="Normal 16 2 2 2 5" xfId="5538" xr:uid="{00000000-0005-0000-0000-00007F6A0000}"/>
    <cellStyle name="Normal 16 2 2 2 5 2" xfId="15543" xr:uid="{00000000-0005-0000-0000-0000806A0000}"/>
    <cellStyle name="Normal 16 2 2 2 5 2 2" xfId="34943" xr:uid="{00000000-0005-0000-0000-0000816A0000}"/>
    <cellStyle name="Normal 16 2 2 2 5 3" xfId="25245" xr:uid="{00000000-0005-0000-0000-0000826A0000}"/>
    <cellStyle name="Normal 16 2 2 2 6" xfId="12035" xr:uid="{00000000-0005-0000-0000-0000836A0000}"/>
    <cellStyle name="Normal 16 2 2 2 6 2" xfId="31438" xr:uid="{00000000-0005-0000-0000-0000846A0000}"/>
    <cellStyle name="Normal 16 2 2 2 7" xfId="21740" xr:uid="{00000000-0005-0000-0000-0000856A0000}"/>
    <cellStyle name="Normal 16 2 2 3" xfId="803" xr:uid="{00000000-0005-0000-0000-0000866A0000}"/>
    <cellStyle name="Normal 16 2 2 3 2" xfId="11724" xr:uid="{00000000-0005-0000-0000-0000876A0000}"/>
    <cellStyle name="Normal 16 2 2 3 2 2" xfId="21434" xr:uid="{00000000-0005-0000-0000-0000886A0000}"/>
    <cellStyle name="Normal 16 2 2 3 2 2 2" xfId="40834" xr:uid="{00000000-0005-0000-0000-0000896A0000}"/>
    <cellStyle name="Normal 16 2 2 3 2 3" xfId="31136" xr:uid="{00000000-0005-0000-0000-00008A6A0000}"/>
    <cellStyle name="Normal 16 2 2 3 3" xfId="7774" xr:uid="{00000000-0005-0000-0000-00008B6A0000}"/>
    <cellStyle name="Normal 16 2 2 3 3 2" xfId="17770" xr:uid="{00000000-0005-0000-0000-00008C6A0000}"/>
    <cellStyle name="Normal 16 2 2 3 3 2 2" xfId="37170" xr:uid="{00000000-0005-0000-0000-00008D6A0000}"/>
    <cellStyle name="Normal 16 2 2 3 3 3" xfId="27472" xr:uid="{00000000-0005-0000-0000-00008E6A0000}"/>
    <cellStyle name="Normal 16 2 2 3 4" xfId="12086" xr:uid="{00000000-0005-0000-0000-00008F6A0000}"/>
    <cellStyle name="Normal 16 2 2 3 4 2" xfId="31489" xr:uid="{00000000-0005-0000-0000-0000906A0000}"/>
    <cellStyle name="Normal 16 2 2 3 5" xfId="21791" xr:uid="{00000000-0005-0000-0000-0000916A0000}"/>
    <cellStyle name="Normal 16 2 2 4" xfId="876" xr:uid="{00000000-0005-0000-0000-0000926A0000}"/>
    <cellStyle name="Normal 16 2 2 4 2" xfId="11783" xr:uid="{00000000-0005-0000-0000-0000936A0000}"/>
    <cellStyle name="Normal 16 2 2 4 2 2" xfId="21490" xr:uid="{00000000-0005-0000-0000-0000946A0000}"/>
    <cellStyle name="Normal 16 2 2 4 2 2 2" xfId="40890" xr:uid="{00000000-0005-0000-0000-0000956A0000}"/>
    <cellStyle name="Normal 16 2 2 4 2 3" xfId="31192" xr:uid="{00000000-0005-0000-0000-0000966A0000}"/>
    <cellStyle name="Normal 16 2 2 4 3" xfId="12142" xr:uid="{00000000-0005-0000-0000-0000976A0000}"/>
    <cellStyle name="Normal 16 2 2 4 3 2" xfId="31545" xr:uid="{00000000-0005-0000-0000-0000986A0000}"/>
    <cellStyle name="Normal 16 2 2 4 4" xfId="21847" xr:uid="{00000000-0005-0000-0000-0000996A0000}"/>
    <cellStyle name="Normal 16 2 2 5" xfId="11606" xr:uid="{00000000-0005-0000-0000-00009A6A0000}"/>
    <cellStyle name="Normal 16 2 2 5 2" xfId="21353" xr:uid="{00000000-0005-0000-0000-00009B6A0000}"/>
    <cellStyle name="Normal 16 2 2 5 2 2" xfId="40753" xr:uid="{00000000-0005-0000-0000-00009C6A0000}"/>
    <cellStyle name="Normal 16 2 2 5 3" xfId="31055" xr:uid="{00000000-0005-0000-0000-00009D6A0000}"/>
    <cellStyle name="Normal 16 2 2 6" xfId="3269" xr:uid="{00000000-0005-0000-0000-00009E6A0000}"/>
    <cellStyle name="Normal 16 2 2 6 2" xfId="13315" xr:uid="{00000000-0005-0000-0000-00009F6A0000}"/>
    <cellStyle name="Normal 16 2 2 6 2 2" xfId="32715" xr:uid="{00000000-0005-0000-0000-0000A06A0000}"/>
    <cellStyle name="Normal 16 2 2 6 3" xfId="23017" xr:uid="{00000000-0005-0000-0000-0000A16A0000}"/>
    <cellStyle name="Normal 16 2 2 7" xfId="12005" xr:uid="{00000000-0005-0000-0000-0000A26A0000}"/>
    <cellStyle name="Normal 16 2 2 7 2" xfId="31408" xr:uid="{00000000-0005-0000-0000-0000A36A0000}"/>
    <cellStyle name="Normal 16 2 2 8" xfId="21710" xr:uid="{00000000-0005-0000-0000-0000A46A0000}"/>
    <cellStyle name="Normal 16 2 3" xfId="628" xr:uid="{00000000-0005-0000-0000-0000A56A0000}"/>
    <cellStyle name="Normal 16 2 3 2" xfId="665" xr:uid="{00000000-0005-0000-0000-0000A66A0000}"/>
    <cellStyle name="Normal 16 2 3 2 2" xfId="844" xr:uid="{00000000-0005-0000-0000-0000A76A0000}"/>
    <cellStyle name="Normal 16 2 3 2 2 2" xfId="11763" xr:uid="{00000000-0005-0000-0000-0000A86A0000}"/>
    <cellStyle name="Normal 16 2 3 2 2 2 2" xfId="21472" xr:uid="{00000000-0005-0000-0000-0000A96A0000}"/>
    <cellStyle name="Normal 16 2 3 2 2 2 2 2" xfId="40872" xr:uid="{00000000-0005-0000-0000-0000AA6A0000}"/>
    <cellStyle name="Normal 16 2 3 2 2 2 3" xfId="31174" xr:uid="{00000000-0005-0000-0000-0000AB6A0000}"/>
    <cellStyle name="Normal 16 2 3 2 2 3" xfId="9446" xr:uid="{00000000-0005-0000-0000-0000AC6A0000}"/>
    <cellStyle name="Normal 16 2 3 2 2 3 2" xfId="19442" xr:uid="{00000000-0005-0000-0000-0000AD6A0000}"/>
    <cellStyle name="Normal 16 2 3 2 2 3 2 2" xfId="38842" xr:uid="{00000000-0005-0000-0000-0000AE6A0000}"/>
    <cellStyle name="Normal 16 2 3 2 2 3 3" xfId="29144" xr:uid="{00000000-0005-0000-0000-0000AF6A0000}"/>
    <cellStyle name="Normal 16 2 3 2 2 4" xfId="12124" xr:uid="{00000000-0005-0000-0000-0000B06A0000}"/>
    <cellStyle name="Normal 16 2 3 2 2 4 2" xfId="31527" xr:uid="{00000000-0005-0000-0000-0000B16A0000}"/>
    <cellStyle name="Normal 16 2 3 2 2 5" xfId="21829" xr:uid="{00000000-0005-0000-0000-0000B26A0000}"/>
    <cellStyle name="Normal 16 2 3 2 3" xfId="914" xr:uid="{00000000-0005-0000-0000-0000B36A0000}"/>
    <cellStyle name="Normal 16 2 3 2 3 2" xfId="11821" xr:uid="{00000000-0005-0000-0000-0000B46A0000}"/>
    <cellStyle name="Normal 16 2 3 2 3 2 2" xfId="21528" xr:uid="{00000000-0005-0000-0000-0000B56A0000}"/>
    <cellStyle name="Normal 16 2 3 2 3 2 2 2" xfId="40928" xr:uid="{00000000-0005-0000-0000-0000B66A0000}"/>
    <cellStyle name="Normal 16 2 3 2 3 2 3" xfId="31230" xr:uid="{00000000-0005-0000-0000-0000B76A0000}"/>
    <cellStyle name="Normal 16 2 3 2 3 3" xfId="12180" xr:uid="{00000000-0005-0000-0000-0000B86A0000}"/>
    <cellStyle name="Normal 16 2 3 2 3 3 2" xfId="31583" xr:uid="{00000000-0005-0000-0000-0000B96A0000}"/>
    <cellStyle name="Normal 16 2 3 2 3 4" xfId="21885" xr:uid="{00000000-0005-0000-0000-0000BA6A0000}"/>
    <cellStyle name="Normal 16 2 3 2 4" xfId="11651" xr:uid="{00000000-0005-0000-0000-0000BB6A0000}"/>
    <cellStyle name="Normal 16 2 3 2 4 2" xfId="21391" xr:uid="{00000000-0005-0000-0000-0000BC6A0000}"/>
    <cellStyle name="Normal 16 2 3 2 4 2 2" xfId="40791" xr:uid="{00000000-0005-0000-0000-0000BD6A0000}"/>
    <cellStyle name="Normal 16 2 3 2 4 3" xfId="31093" xr:uid="{00000000-0005-0000-0000-0000BE6A0000}"/>
    <cellStyle name="Normal 16 2 3 2 5" xfId="4982" xr:uid="{00000000-0005-0000-0000-0000BF6A0000}"/>
    <cellStyle name="Normal 16 2 3 2 5 2" xfId="14987" xr:uid="{00000000-0005-0000-0000-0000C06A0000}"/>
    <cellStyle name="Normal 16 2 3 2 5 2 2" xfId="34387" xr:uid="{00000000-0005-0000-0000-0000C16A0000}"/>
    <cellStyle name="Normal 16 2 3 2 5 3" xfId="24689" xr:uid="{00000000-0005-0000-0000-0000C26A0000}"/>
    <cellStyle name="Normal 16 2 3 2 6" xfId="12043" xr:uid="{00000000-0005-0000-0000-0000C36A0000}"/>
    <cellStyle name="Normal 16 2 3 2 6 2" xfId="31446" xr:uid="{00000000-0005-0000-0000-0000C46A0000}"/>
    <cellStyle name="Normal 16 2 3 2 7" xfId="21748" xr:uid="{00000000-0005-0000-0000-0000C56A0000}"/>
    <cellStyle name="Normal 16 2 3 3" xfId="811" xr:uid="{00000000-0005-0000-0000-0000C66A0000}"/>
    <cellStyle name="Normal 16 2 3 3 2" xfId="11732" xr:uid="{00000000-0005-0000-0000-0000C76A0000}"/>
    <cellStyle name="Normal 16 2 3 3 2 2" xfId="21442" xr:uid="{00000000-0005-0000-0000-0000C86A0000}"/>
    <cellStyle name="Normal 16 2 3 3 2 2 2" xfId="40842" xr:uid="{00000000-0005-0000-0000-0000C96A0000}"/>
    <cellStyle name="Normal 16 2 3 3 2 3" xfId="31144" xr:uid="{00000000-0005-0000-0000-0000CA6A0000}"/>
    <cellStyle name="Normal 16 2 3 3 3" xfId="8331" xr:uid="{00000000-0005-0000-0000-0000CB6A0000}"/>
    <cellStyle name="Normal 16 2 3 3 3 2" xfId="18327" xr:uid="{00000000-0005-0000-0000-0000CC6A0000}"/>
    <cellStyle name="Normal 16 2 3 3 3 2 2" xfId="37727" xr:uid="{00000000-0005-0000-0000-0000CD6A0000}"/>
    <cellStyle name="Normal 16 2 3 3 3 3" xfId="28029" xr:uid="{00000000-0005-0000-0000-0000CE6A0000}"/>
    <cellStyle name="Normal 16 2 3 3 4" xfId="12094" xr:uid="{00000000-0005-0000-0000-0000CF6A0000}"/>
    <cellStyle name="Normal 16 2 3 3 4 2" xfId="31497" xr:uid="{00000000-0005-0000-0000-0000D06A0000}"/>
    <cellStyle name="Normal 16 2 3 3 5" xfId="21799" xr:uid="{00000000-0005-0000-0000-0000D16A0000}"/>
    <cellStyle name="Normal 16 2 3 4" xfId="884" xr:uid="{00000000-0005-0000-0000-0000D26A0000}"/>
    <cellStyle name="Normal 16 2 3 4 2" xfId="11791" xr:uid="{00000000-0005-0000-0000-0000D36A0000}"/>
    <cellStyle name="Normal 16 2 3 4 2 2" xfId="21498" xr:uid="{00000000-0005-0000-0000-0000D46A0000}"/>
    <cellStyle name="Normal 16 2 3 4 2 2 2" xfId="40898" xr:uid="{00000000-0005-0000-0000-0000D56A0000}"/>
    <cellStyle name="Normal 16 2 3 4 2 3" xfId="31200" xr:uid="{00000000-0005-0000-0000-0000D66A0000}"/>
    <cellStyle name="Normal 16 2 3 4 3" xfId="12150" xr:uid="{00000000-0005-0000-0000-0000D76A0000}"/>
    <cellStyle name="Normal 16 2 3 4 3 2" xfId="31553" xr:uid="{00000000-0005-0000-0000-0000D86A0000}"/>
    <cellStyle name="Normal 16 2 3 4 4" xfId="21855" xr:uid="{00000000-0005-0000-0000-0000D96A0000}"/>
    <cellStyle name="Normal 16 2 3 5" xfId="11614" xr:uid="{00000000-0005-0000-0000-0000DA6A0000}"/>
    <cellStyle name="Normal 16 2 3 5 2" xfId="21361" xr:uid="{00000000-0005-0000-0000-0000DB6A0000}"/>
    <cellStyle name="Normal 16 2 3 5 2 2" xfId="40761" xr:uid="{00000000-0005-0000-0000-0000DC6A0000}"/>
    <cellStyle name="Normal 16 2 3 5 3" xfId="31063" xr:uid="{00000000-0005-0000-0000-0000DD6A0000}"/>
    <cellStyle name="Normal 16 2 3 6" xfId="3852" xr:uid="{00000000-0005-0000-0000-0000DE6A0000}"/>
    <cellStyle name="Normal 16 2 3 6 2" xfId="13872" xr:uid="{00000000-0005-0000-0000-0000DF6A0000}"/>
    <cellStyle name="Normal 16 2 3 6 2 2" xfId="33272" xr:uid="{00000000-0005-0000-0000-0000E06A0000}"/>
    <cellStyle name="Normal 16 2 3 6 3" xfId="23574" xr:uid="{00000000-0005-0000-0000-0000E16A0000}"/>
    <cellStyle name="Normal 16 2 3 7" xfId="12013" xr:uid="{00000000-0005-0000-0000-0000E26A0000}"/>
    <cellStyle name="Normal 16 2 3 7 2" xfId="31416" xr:uid="{00000000-0005-0000-0000-0000E36A0000}"/>
    <cellStyle name="Normal 16 2 3 8" xfId="21718" xr:uid="{00000000-0005-0000-0000-0000E46A0000}"/>
    <cellStyle name="Normal 16 2 4" xfId="649" xr:uid="{00000000-0005-0000-0000-0000E56A0000}"/>
    <cellStyle name="Normal 16 2 4 2" xfId="828" xr:uid="{00000000-0005-0000-0000-0000E66A0000}"/>
    <cellStyle name="Normal 16 2 4 2 2" xfId="11747" xr:uid="{00000000-0005-0000-0000-0000E76A0000}"/>
    <cellStyle name="Normal 16 2 4 2 2 2" xfId="21456" xr:uid="{00000000-0005-0000-0000-0000E86A0000}"/>
    <cellStyle name="Normal 16 2 4 2 2 2 2" xfId="40856" xr:uid="{00000000-0005-0000-0000-0000E96A0000}"/>
    <cellStyle name="Normal 16 2 4 2 2 3" xfId="31158" xr:uid="{00000000-0005-0000-0000-0000EA6A0000}"/>
    <cellStyle name="Normal 16 2 4 2 3" xfId="8889" xr:uid="{00000000-0005-0000-0000-0000EB6A0000}"/>
    <cellStyle name="Normal 16 2 4 2 3 2" xfId="18885" xr:uid="{00000000-0005-0000-0000-0000EC6A0000}"/>
    <cellStyle name="Normal 16 2 4 2 3 2 2" xfId="38285" xr:uid="{00000000-0005-0000-0000-0000ED6A0000}"/>
    <cellStyle name="Normal 16 2 4 2 3 3" xfId="28587" xr:uid="{00000000-0005-0000-0000-0000EE6A0000}"/>
    <cellStyle name="Normal 16 2 4 2 4" xfId="12108" xr:uid="{00000000-0005-0000-0000-0000EF6A0000}"/>
    <cellStyle name="Normal 16 2 4 2 4 2" xfId="31511" xr:uid="{00000000-0005-0000-0000-0000F06A0000}"/>
    <cellStyle name="Normal 16 2 4 2 5" xfId="21813" xr:uid="{00000000-0005-0000-0000-0000F16A0000}"/>
    <cellStyle name="Normal 16 2 4 3" xfId="898" xr:uid="{00000000-0005-0000-0000-0000F26A0000}"/>
    <cellStyle name="Normal 16 2 4 3 2" xfId="11805" xr:uid="{00000000-0005-0000-0000-0000F36A0000}"/>
    <cellStyle name="Normal 16 2 4 3 2 2" xfId="21512" xr:uid="{00000000-0005-0000-0000-0000F46A0000}"/>
    <cellStyle name="Normal 16 2 4 3 2 2 2" xfId="40912" xr:uid="{00000000-0005-0000-0000-0000F56A0000}"/>
    <cellStyle name="Normal 16 2 4 3 2 3" xfId="31214" xr:uid="{00000000-0005-0000-0000-0000F66A0000}"/>
    <cellStyle name="Normal 16 2 4 3 3" xfId="12164" xr:uid="{00000000-0005-0000-0000-0000F76A0000}"/>
    <cellStyle name="Normal 16 2 4 3 3 2" xfId="31567" xr:uid="{00000000-0005-0000-0000-0000F86A0000}"/>
    <cellStyle name="Normal 16 2 4 3 4" xfId="21869" xr:uid="{00000000-0005-0000-0000-0000F96A0000}"/>
    <cellStyle name="Normal 16 2 4 4" xfId="11635" xr:uid="{00000000-0005-0000-0000-0000FA6A0000}"/>
    <cellStyle name="Normal 16 2 4 4 2" xfId="21375" xr:uid="{00000000-0005-0000-0000-0000FB6A0000}"/>
    <cellStyle name="Normal 16 2 4 4 2 2" xfId="40775" xr:uid="{00000000-0005-0000-0000-0000FC6A0000}"/>
    <cellStyle name="Normal 16 2 4 4 3" xfId="31077" xr:uid="{00000000-0005-0000-0000-0000FD6A0000}"/>
    <cellStyle name="Normal 16 2 4 5" xfId="4425" xr:uid="{00000000-0005-0000-0000-0000FE6A0000}"/>
    <cellStyle name="Normal 16 2 4 5 2" xfId="14430" xr:uid="{00000000-0005-0000-0000-0000FF6A0000}"/>
    <cellStyle name="Normal 16 2 4 5 2 2" xfId="33830" xr:uid="{00000000-0005-0000-0000-0000006B0000}"/>
    <cellStyle name="Normal 16 2 4 5 3" xfId="24132" xr:uid="{00000000-0005-0000-0000-0000016B0000}"/>
    <cellStyle name="Normal 16 2 4 6" xfId="12027" xr:uid="{00000000-0005-0000-0000-0000026B0000}"/>
    <cellStyle name="Normal 16 2 4 6 2" xfId="31430" xr:uid="{00000000-0005-0000-0000-0000036B0000}"/>
    <cellStyle name="Normal 16 2 4 7" xfId="21732" xr:uid="{00000000-0005-0000-0000-0000046B0000}"/>
    <cellStyle name="Normal 16 2 5" xfId="792" xr:uid="{00000000-0005-0000-0000-0000056B0000}"/>
    <cellStyle name="Normal 16 2 5 2" xfId="10559" xr:uid="{00000000-0005-0000-0000-0000066B0000}"/>
    <cellStyle name="Normal 16 2 5 2 2" xfId="20555" xr:uid="{00000000-0005-0000-0000-0000076B0000}"/>
    <cellStyle name="Normal 16 2 5 2 2 2" xfId="39955" xr:uid="{00000000-0005-0000-0000-0000086B0000}"/>
    <cellStyle name="Normal 16 2 5 2 3" xfId="30257" xr:uid="{00000000-0005-0000-0000-0000096B0000}"/>
    <cellStyle name="Normal 16 2 5 3" xfId="11715" xr:uid="{00000000-0005-0000-0000-00000A6B0000}"/>
    <cellStyle name="Normal 16 2 5 3 2" xfId="21426" xr:uid="{00000000-0005-0000-0000-00000B6B0000}"/>
    <cellStyle name="Normal 16 2 5 3 2 2" xfId="40826" xr:uid="{00000000-0005-0000-0000-00000C6B0000}"/>
    <cellStyle name="Normal 16 2 5 3 3" xfId="31128" xr:uid="{00000000-0005-0000-0000-00000D6B0000}"/>
    <cellStyle name="Normal 16 2 5 4" xfId="6095" xr:uid="{00000000-0005-0000-0000-00000E6B0000}"/>
    <cellStyle name="Normal 16 2 5 4 2" xfId="16100" xr:uid="{00000000-0005-0000-0000-00000F6B0000}"/>
    <cellStyle name="Normal 16 2 5 4 2 2" xfId="35500" xr:uid="{00000000-0005-0000-0000-0000106B0000}"/>
    <cellStyle name="Normal 16 2 5 4 3" xfId="25802" xr:uid="{00000000-0005-0000-0000-0000116B0000}"/>
    <cellStyle name="Normal 16 2 5 5" xfId="12078" xr:uid="{00000000-0005-0000-0000-0000126B0000}"/>
    <cellStyle name="Normal 16 2 5 5 2" xfId="31481" xr:uid="{00000000-0005-0000-0000-0000136B0000}"/>
    <cellStyle name="Normal 16 2 5 6" xfId="21783" xr:uid="{00000000-0005-0000-0000-0000146B0000}"/>
    <cellStyle name="Normal 16 2 6" xfId="868" xr:uid="{00000000-0005-0000-0000-0000156B0000}"/>
    <cellStyle name="Normal 16 2 6 2" xfId="11116" xr:uid="{00000000-0005-0000-0000-0000166B0000}"/>
    <cellStyle name="Normal 16 2 6 2 2" xfId="21112" xr:uid="{00000000-0005-0000-0000-0000176B0000}"/>
    <cellStyle name="Normal 16 2 6 2 2 2" xfId="40512" xr:uid="{00000000-0005-0000-0000-0000186B0000}"/>
    <cellStyle name="Normal 16 2 6 2 3" xfId="30814" xr:uid="{00000000-0005-0000-0000-0000196B0000}"/>
    <cellStyle name="Normal 16 2 6 3" xfId="11775" xr:uid="{00000000-0005-0000-0000-00001A6B0000}"/>
    <cellStyle name="Normal 16 2 6 3 2" xfId="21482" xr:uid="{00000000-0005-0000-0000-00001B6B0000}"/>
    <cellStyle name="Normal 16 2 6 3 2 2" xfId="40882" xr:uid="{00000000-0005-0000-0000-00001C6B0000}"/>
    <cellStyle name="Normal 16 2 6 3 3" xfId="31184" xr:uid="{00000000-0005-0000-0000-00001D6B0000}"/>
    <cellStyle name="Normal 16 2 6 4" xfId="6661" xr:uid="{00000000-0005-0000-0000-00001E6B0000}"/>
    <cellStyle name="Normal 16 2 6 4 2" xfId="16657" xr:uid="{00000000-0005-0000-0000-00001F6B0000}"/>
    <cellStyle name="Normal 16 2 6 4 2 2" xfId="36057" xr:uid="{00000000-0005-0000-0000-0000206B0000}"/>
    <cellStyle name="Normal 16 2 6 4 3" xfId="26359" xr:uid="{00000000-0005-0000-0000-0000216B0000}"/>
    <cellStyle name="Normal 16 2 6 5" xfId="12134" xr:uid="{00000000-0005-0000-0000-0000226B0000}"/>
    <cellStyle name="Normal 16 2 6 5 2" xfId="31537" xr:uid="{00000000-0005-0000-0000-0000236B0000}"/>
    <cellStyle name="Normal 16 2 6 6" xfId="21839" xr:uid="{00000000-0005-0000-0000-0000246B0000}"/>
    <cellStyle name="Normal 16 2 7" xfId="7218" xr:uid="{00000000-0005-0000-0000-0000256B0000}"/>
    <cellStyle name="Normal 16 2 7 2" xfId="17214" xr:uid="{00000000-0005-0000-0000-0000266B0000}"/>
    <cellStyle name="Normal 16 2 7 2 2" xfId="36614" xr:uid="{00000000-0005-0000-0000-0000276B0000}"/>
    <cellStyle name="Normal 16 2 7 3" xfId="26916" xr:uid="{00000000-0005-0000-0000-0000286B0000}"/>
    <cellStyle name="Normal 16 2 8" xfId="11596" xr:uid="{00000000-0005-0000-0000-0000296B0000}"/>
    <cellStyle name="Normal 16 2 8 2" xfId="21345" xr:uid="{00000000-0005-0000-0000-00002A6B0000}"/>
    <cellStyle name="Normal 16 2 8 2 2" xfId="40745" xr:uid="{00000000-0005-0000-0000-00002B6B0000}"/>
    <cellStyle name="Normal 16 2 8 3" xfId="31047" xr:uid="{00000000-0005-0000-0000-00002C6B0000}"/>
    <cellStyle name="Normal 16 2 9" xfId="2315" xr:uid="{00000000-0005-0000-0000-00002D6B0000}"/>
    <cellStyle name="Normal 16 2 9 2" xfId="12758" xr:uid="{00000000-0005-0000-0000-00002E6B0000}"/>
    <cellStyle name="Normal 16 2 9 2 2" xfId="32159" xr:uid="{00000000-0005-0000-0000-00002F6B0000}"/>
    <cellStyle name="Normal 16 2 9 3" xfId="22461" xr:uid="{00000000-0005-0000-0000-0000306B0000}"/>
    <cellStyle name="Normal 16 3" xfId="592" xr:uid="{00000000-0005-0000-0000-0000316B0000}"/>
    <cellStyle name="Normal 16 3 2" xfId="646" xr:uid="{00000000-0005-0000-0000-0000326B0000}"/>
    <cellStyle name="Normal 16 3 2 2" xfId="825" xr:uid="{00000000-0005-0000-0000-0000336B0000}"/>
    <cellStyle name="Normal 16 3 2 2 2" xfId="11744" xr:uid="{00000000-0005-0000-0000-0000346B0000}"/>
    <cellStyle name="Normal 16 3 2 2 2 2" xfId="21453" xr:uid="{00000000-0005-0000-0000-0000356B0000}"/>
    <cellStyle name="Normal 16 3 2 2 2 2 2" xfId="40853" xr:uid="{00000000-0005-0000-0000-0000366B0000}"/>
    <cellStyle name="Normal 16 3 2 2 2 3" xfId="31155" xr:uid="{00000000-0005-0000-0000-0000376B0000}"/>
    <cellStyle name="Normal 16 3 2 2 3" xfId="10001" xr:uid="{00000000-0005-0000-0000-0000386B0000}"/>
    <cellStyle name="Normal 16 3 2 2 3 2" xfId="19997" xr:uid="{00000000-0005-0000-0000-0000396B0000}"/>
    <cellStyle name="Normal 16 3 2 2 3 2 2" xfId="39397" xr:uid="{00000000-0005-0000-0000-00003A6B0000}"/>
    <cellStyle name="Normal 16 3 2 2 3 3" xfId="29699" xr:uid="{00000000-0005-0000-0000-00003B6B0000}"/>
    <cellStyle name="Normal 16 3 2 2 4" xfId="12105" xr:uid="{00000000-0005-0000-0000-00003C6B0000}"/>
    <cellStyle name="Normal 16 3 2 2 4 2" xfId="31508" xr:uid="{00000000-0005-0000-0000-00003D6B0000}"/>
    <cellStyle name="Normal 16 3 2 2 5" xfId="21810" xr:uid="{00000000-0005-0000-0000-00003E6B0000}"/>
    <cellStyle name="Normal 16 3 2 3" xfId="895" xr:uid="{00000000-0005-0000-0000-00003F6B0000}"/>
    <cellStyle name="Normal 16 3 2 3 2" xfId="11802" xr:uid="{00000000-0005-0000-0000-0000406B0000}"/>
    <cellStyle name="Normal 16 3 2 3 2 2" xfId="21509" xr:uid="{00000000-0005-0000-0000-0000416B0000}"/>
    <cellStyle name="Normal 16 3 2 3 2 2 2" xfId="40909" xr:uid="{00000000-0005-0000-0000-0000426B0000}"/>
    <cellStyle name="Normal 16 3 2 3 2 3" xfId="31211" xr:uid="{00000000-0005-0000-0000-0000436B0000}"/>
    <cellStyle name="Normal 16 3 2 3 3" xfId="12161" xr:uid="{00000000-0005-0000-0000-0000446B0000}"/>
    <cellStyle name="Normal 16 3 2 3 3 2" xfId="31564" xr:uid="{00000000-0005-0000-0000-0000456B0000}"/>
    <cellStyle name="Normal 16 3 2 3 4" xfId="21866" xr:uid="{00000000-0005-0000-0000-0000466B0000}"/>
    <cellStyle name="Normal 16 3 2 4" xfId="11632" xr:uid="{00000000-0005-0000-0000-0000476B0000}"/>
    <cellStyle name="Normal 16 3 2 4 2" xfId="21372" xr:uid="{00000000-0005-0000-0000-0000486B0000}"/>
    <cellStyle name="Normal 16 3 2 4 2 2" xfId="40772" xr:uid="{00000000-0005-0000-0000-0000496B0000}"/>
    <cellStyle name="Normal 16 3 2 4 3" xfId="31074" xr:uid="{00000000-0005-0000-0000-00004A6B0000}"/>
    <cellStyle name="Normal 16 3 2 5" xfId="5537" xr:uid="{00000000-0005-0000-0000-00004B6B0000}"/>
    <cellStyle name="Normal 16 3 2 5 2" xfId="15542" xr:uid="{00000000-0005-0000-0000-00004C6B0000}"/>
    <cellStyle name="Normal 16 3 2 5 2 2" xfId="34942" xr:uid="{00000000-0005-0000-0000-00004D6B0000}"/>
    <cellStyle name="Normal 16 3 2 5 3" xfId="25244" xr:uid="{00000000-0005-0000-0000-00004E6B0000}"/>
    <cellStyle name="Normal 16 3 2 6" xfId="12024" xr:uid="{00000000-0005-0000-0000-00004F6B0000}"/>
    <cellStyle name="Normal 16 3 2 6 2" xfId="31427" xr:uid="{00000000-0005-0000-0000-0000506B0000}"/>
    <cellStyle name="Normal 16 3 2 7" xfId="21729" xr:uid="{00000000-0005-0000-0000-0000516B0000}"/>
    <cellStyle name="Normal 16 3 3" xfId="786" xr:uid="{00000000-0005-0000-0000-0000526B0000}"/>
    <cellStyle name="Normal 16 3 3 2" xfId="11710" xr:uid="{00000000-0005-0000-0000-0000536B0000}"/>
    <cellStyle name="Normal 16 3 3 2 2" xfId="21421" xr:uid="{00000000-0005-0000-0000-0000546B0000}"/>
    <cellStyle name="Normal 16 3 3 2 2 2" xfId="40821" xr:uid="{00000000-0005-0000-0000-0000556B0000}"/>
    <cellStyle name="Normal 16 3 3 2 3" xfId="31123" xr:uid="{00000000-0005-0000-0000-0000566B0000}"/>
    <cellStyle name="Normal 16 3 3 3" xfId="7773" xr:uid="{00000000-0005-0000-0000-0000576B0000}"/>
    <cellStyle name="Normal 16 3 3 3 2" xfId="17769" xr:uid="{00000000-0005-0000-0000-0000586B0000}"/>
    <cellStyle name="Normal 16 3 3 3 2 2" xfId="37169" xr:uid="{00000000-0005-0000-0000-0000596B0000}"/>
    <cellStyle name="Normal 16 3 3 3 3" xfId="27471" xr:uid="{00000000-0005-0000-0000-00005A6B0000}"/>
    <cellStyle name="Normal 16 3 3 4" xfId="12073" xr:uid="{00000000-0005-0000-0000-00005B6B0000}"/>
    <cellStyle name="Normal 16 3 3 4 2" xfId="31476" xr:uid="{00000000-0005-0000-0000-00005C6B0000}"/>
    <cellStyle name="Normal 16 3 3 5" xfId="21778" xr:uid="{00000000-0005-0000-0000-00005D6B0000}"/>
    <cellStyle name="Normal 16 3 4" xfId="865" xr:uid="{00000000-0005-0000-0000-00005E6B0000}"/>
    <cellStyle name="Normal 16 3 4 2" xfId="11772" xr:uid="{00000000-0005-0000-0000-00005F6B0000}"/>
    <cellStyle name="Normal 16 3 4 2 2" xfId="21479" xr:uid="{00000000-0005-0000-0000-0000606B0000}"/>
    <cellStyle name="Normal 16 3 4 2 2 2" xfId="40879" xr:uid="{00000000-0005-0000-0000-0000616B0000}"/>
    <cellStyle name="Normal 16 3 4 2 3" xfId="31181" xr:uid="{00000000-0005-0000-0000-0000626B0000}"/>
    <cellStyle name="Normal 16 3 4 3" xfId="12131" xr:uid="{00000000-0005-0000-0000-0000636B0000}"/>
    <cellStyle name="Normal 16 3 4 3 2" xfId="31534" xr:uid="{00000000-0005-0000-0000-0000646B0000}"/>
    <cellStyle name="Normal 16 3 4 4" xfId="21836" xr:uid="{00000000-0005-0000-0000-0000656B0000}"/>
    <cellStyle name="Normal 16 3 5" xfId="11589" xr:uid="{00000000-0005-0000-0000-0000666B0000}"/>
    <cellStyle name="Normal 16 3 5 2" xfId="21342" xr:uid="{00000000-0005-0000-0000-0000676B0000}"/>
    <cellStyle name="Normal 16 3 5 2 2" xfId="40742" xr:uid="{00000000-0005-0000-0000-0000686B0000}"/>
    <cellStyle name="Normal 16 3 5 3" xfId="31044" xr:uid="{00000000-0005-0000-0000-0000696B0000}"/>
    <cellStyle name="Normal 16 3 6" xfId="3268" xr:uid="{00000000-0005-0000-0000-00006A6B0000}"/>
    <cellStyle name="Normal 16 3 6 2" xfId="13314" xr:uid="{00000000-0005-0000-0000-00006B6B0000}"/>
    <cellStyle name="Normal 16 3 6 2 2" xfId="32714" xr:uid="{00000000-0005-0000-0000-00006C6B0000}"/>
    <cellStyle name="Normal 16 3 6 3" xfId="23016" xr:uid="{00000000-0005-0000-0000-00006D6B0000}"/>
    <cellStyle name="Normal 16 3 7" xfId="11994" xr:uid="{00000000-0005-0000-0000-00006E6B0000}"/>
    <cellStyle name="Normal 16 3 7 2" xfId="31397" xr:uid="{00000000-0005-0000-0000-00006F6B0000}"/>
    <cellStyle name="Normal 16 3 8" xfId="21699" xr:uid="{00000000-0005-0000-0000-0000706B0000}"/>
    <cellStyle name="Normal 16 4" xfId="617" xr:uid="{00000000-0005-0000-0000-0000716B0000}"/>
    <cellStyle name="Normal 16 4 2" xfId="654" xr:uid="{00000000-0005-0000-0000-0000726B0000}"/>
    <cellStyle name="Normal 16 4 2 2" xfId="833" xr:uid="{00000000-0005-0000-0000-0000736B0000}"/>
    <cellStyle name="Normal 16 4 2 2 2" xfId="11752" xr:uid="{00000000-0005-0000-0000-0000746B0000}"/>
    <cellStyle name="Normal 16 4 2 2 2 2" xfId="21461" xr:uid="{00000000-0005-0000-0000-0000756B0000}"/>
    <cellStyle name="Normal 16 4 2 2 2 2 2" xfId="40861" xr:uid="{00000000-0005-0000-0000-0000766B0000}"/>
    <cellStyle name="Normal 16 4 2 2 2 3" xfId="31163" xr:uid="{00000000-0005-0000-0000-0000776B0000}"/>
    <cellStyle name="Normal 16 4 2 2 3" xfId="9445" xr:uid="{00000000-0005-0000-0000-0000786B0000}"/>
    <cellStyle name="Normal 16 4 2 2 3 2" xfId="19441" xr:uid="{00000000-0005-0000-0000-0000796B0000}"/>
    <cellStyle name="Normal 16 4 2 2 3 2 2" xfId="38841" xr:uid="{00000000-0005-0000-0000-00007A6B0000}"/>
    <cellStyle name="Normal 16 4 2 2 3 3" xfId="29143" xr:uid="{00000000-0005-0000-0000-00007B6B0000}"/>
    <cellStyle name="Normal 16 4 2 2 4" xfId="12113" xr:uid="{00000000-0005-0000-0000-00007C6B0000}"/>
    <cellStyle name="Normal 16 4 2 2 4 2" xfId="31516" xr:uid="{00000000-0005-0000-0000-00007D6B0000}"/>
    <cellStyle name="Normal 16 4 2 2 5" xfId="21818" xr:uid="{00000000-0005-0000-0000-00007E6B0000}"/>
    <cellStyle name="Normal 16 4 2 3" xfId="903" xr:uid="{00000000-0005-0000-0000-00007F6B0000}"/>
    <cellStyle name="Normal 16 4 2 3 2" xfId="11810" xr:uid="{00000000-0005-0000-0000-0000806B0000}"/>
    <cellStyle name="Normal 16 4 2 3 2 2" xfId="21517" xr:uid="{00000000-0005-0000-0000-0000816B0000}"/>
    <cellStyle name="Normal 16 4 2 3 2 2 2" xfId="40917" xr:uid="{00000000-0005-0000-0000-0000826B0000}"/>
    <cellStyle name="Normal 16 4 2 3 2 3" xfId="31219" xr:uid="{00000000-0005-0000-0000-0000836B0000}"/>
    <cellStyle name="Normal 16 4 2 3 3" xfId="12169" xr:uid="{00000000-0005-0000-0000-0000846B0000}"/>
    <cellStyle name="Normal 16 4 2 3 3 2" xfId="31572" xr:uid="{00000000-0005-0000-0000-0000856B0000}"/>
    <cellStyle name="Normal 16 4 2 3 4" xfId="21874" xr:uid="{00000000-0005-0000-0000-0000866B0000}"/>
    <cellStyle name="Normal 16 4 2 4" xfId="11640" xr:uid="{00000000-0005-0000-0000-0000876B0000}"/>
    <cellStyle name="Normal 16 4 2 4 2" xfId="21380" xr:uid="{00000000-0005-0000-0000-0000886B0000}"/>
    <cellStyle name="Normal 16 4 2 4 2 2" xfId="40780" xr:uid="{00000000-0005-0000-0000-0000896B0000}"/>
    <cellStyle name="Normal 16 4 2 4 3" xfId="31082" xr:uid="{00000000-0005-0000-0000-00008A6B0000}"/>
    <cellStyle name="Normal 16 4 2 5" xfId="4981" xr:uid="{00000000-0005-0000-0000-00008B6B0000}"/>
    <cellStyle name="Normal 16 4 2 5 2" xfId="14986" xr:uid="{00000000-0005-0000-0000-00008C6B0000}"/>
    <cellStyle name="Normal 16 4 2 5 2 2" xfId="34386" xr:uid="{00000000-0005-0000-0000-00008D6B0000}"/>
    <cellStyle name="Normal 16 4 2 5 3" xfId="24688" xr:uid="{00000000-0005-0000-0000-00008E6B0000}"/>
    <cellStyle name="Normal 16 4 2 6" xfId="12032" xr:uid="{00000000-0005-0000-0000-00008F6B0000}"/>
    <cellStyle name="Normal 16 4 2 6 2" xfId="31435" xr:uid="{00000000-0005-0000-0000-0000906B0000}"/>
    <cellStyle name="Normal 16 4 2 7" xfId="21737" xr:uid="{00000000-0005-0000-0000-0000916B0000}"/>
    <cellStyle name="Normal 16 4 3" xfId="800" xr:uid="{00000000-0005-0000-0000-0000926B0000}"/>
    <cellStyle name="Normal 16 4 3 2" xfId="11721" xr:uid="{00000000-0005-0000-0000-0000936B0000}"/>
    <cellStyle name="Normal 16 4 3 2 2" xfId="21431" xr:uid="{00000000-0005-0000-0000-0000946B0000}"/>
    <cellStyle name="Normal 16 4 3 2 2 2" xfId="40831" xr:uid="{00000000-0005-0000-0000-0000956B0000}"/>
    <cellStyle name="Normal 16 4 3 2 3" xfId="31133" xr:uid="{00000000-0005-0000-0000-0000966B0000}"/>
    <cellStyle name="Normal 16 4 3 3" xfId="8330" xr:uid="{00000000-0005-0000-0000-0000976B0000}"/>
    <cellStyle name="Normal 16 4 3 3 2" xfId="18326" xr:uid="{00000000-0005-0000-0000-0000986B0000}"/>
    <cellStyle name="Normal 16 4 3 3 2 2" xfId="37726" xr:uid="{00000000-0005-0000-0000-0000996B0000}"/>
    <cellStyle name="Normal 16 4 3 3 3" xfId="28028" xr:uid="{00000000-0005-0000-0000-00009A6B0000}"/>
    <cellStyle name="Normal 16 4 3 4" xfId="12083" xr:uid="{00000000-0005-0000-0000-00009B6B0000}"/>
    <cellStyle name="Normal 16 4 3 4 2" xfId="31486" xr:uid="{00000000-0005-0000-0000-00009C6B0000}"/>
    <cellStyle name="Normal 16 4 3 5" xfId="21788" xr:uid="{00000000-0005-0000-0000-00009D6B0000}"/>
    <cellStyle name="Normal 16 4 4" xfId="873" xr:uid="{00000000-0005-0000-0000-00009E6B0000}"/>
    <cellStyle name="Normal 16 4 4 2" xfId="11780" xr:uid="{00000000-0005-0000-0000-00009F6B0000}"/>
    <cellStyle name="Normal 16 4 4 2 2" xfId="21487" xr:uid="{00000000-0005-0000-0000-0000A06B0000}"/>
    <cellStyle name="Normal 16 4 4 2 2 2" xfId="40887" xr:uid="{00000000-0005-0000-0000-0000A16B0000}"/>
    <cellStyle name="Normal 16 4 4 2 3" xfId="31189" xr:uid="{00000000-0005-0000-0000-0000A26B0000}"/>
    <cellStyle name="Normal 16 4 4 3" xfId="12139" xr:uid="{00000000-0005-0000-0000-0000A36B0000}"/>
    <cellStyle name="Normal 16 4 4 3 2" xfId="31542" xr:uid="{00000000-0005-0000-0000-0000A46B0000}"/>
    <cellStyle name="Normal 16 4 4 4" xfId="21844" xr:uid="{00000000-0005-0000-0000-0000A56B0000}"/>
    <cellStyle name="Normal 16 4 5" xfId="11603" xr:uid="{00000000-0005-0000-0000-0000A66B0000}"/>
    <cellStyle name="Normal 16 4 5 2" xfId="21350" xr:uid="{00000000-0005-0000-0000-0000A76B0000}"/>
    <cellStyle name="Normal 16 4 5 2 2" xfId="40750" xr:uid="{00000000-0005-0000-0000-0000A86B0000}"/>
    <cellStyle name="Normal 16 4 5 3" xfId="31052" xr:uid="{00000000-0005-0000-0000-0000A96B0000}"/>
    <cellStyle name="Normal 16 4 6" xfId="3851" xr:uid="{00000000-0005-0000-0000-0000AA6B0000}"/>
    <cellStyle name="Normal 16 4 6 2" xfId="13871" xr:uid="{00000000-0005-0000-0000-0000AB6B0000}"/>
    <cellStyle name="Normal 16 4 6 2 2" xfId="33271" xr:uid="{00000000-0005-0000-0000-0000AC6B0000}"/>
    <cellStyle name="Normal 16 4 6 3" xfId="23573" xr:uid="{00000000-0005-0000-0000-0000AD6B0000}"/>
    <cellStyle name="Normal 16 4 7" xfId="12002" xr:uid="{00000000-0005-0000-0000-0000AE6B0000}"/>
    <cellStyle name="Normal 16 4 7 2" xfId="31405" xr:uid="{00000000-0005-0000-0000-0000AF6B0000}"/>
    <cellStyle name="Normal 16 4 8" xfId="21707" xr:uid="{00000000-0005-0000-0000-0000B06B0000}"/>
    <cellStyle name="Normal 16 5" xfId="625" xr:uid="{00000000-0005-0000-0000-0000B16B0000}"/>
    <cellStyle name="Normal 16 5 2" xfId="662" xr:uid="{00000000-0005-0000-0000-0000B26B0000}"/>
    <cellStyle name="Normal 16 5 2 2" xfId="841" xr:uid="{00000000-0005-0000-0000-0000B36B0000}"/>
    <cellStyle name="Normal 16 5 2 2 2" xfId="11760" xr:uid="{00000000-0005-0000-0000-0000B46B0000}"/>
    <cellStyle name="Normal 16 5 2 2 2 2" xfId="21469" xr:uid="{00000000-0005-0000-0000-0000B56B0000}"/>
    <cellStyle name="Normal 16 5 2 2 2 2 2" xfId="40869" xr:uid="{00000000-0005-0000-0000-0000B66B0000}"/>
    <cellStyle name="Normal 16 5 2 2 2 3" xfId="31171" xr:uid="{00000000-0005-0000-0000-0000B76B0000}"/>
    <cellStyle name="Normal 16 5 2 2 3" xfId="12121" xr:uid="{00000000-0005-0000-0000-0000B86B0000}"/>
    <cellStyle name="Normal 16 5 2 2 3 2" xfId="31524" xr:uid="{00000000-0005-0000-0000-0000B96B0000}"/>
    <cellStyle name="Normal 16 5 2 2 4" xfId="21826" xr:uid="{00000000-0005-0000-0000-0000BA6B0000}"/>
    <cellStyle name="Normal 16 5 2 3" xfId="911" xr:uid="{00000000-0005-0000-0000-0000BB6B0000}"/>
    <cellStyle name="Normal 16 5 2 3 2" xfId="11818" xr:uid="{00000000-0005-0000-0000-0000BC6B0000}"/>
    <cellStyle name="Normal 16 5 2 3 2 2" xfId="21525" xr:uid="{00000000-0005-0000-0000-0000BD6B0000}"/>
    <cellStyle name="Normal 16 5 2 3 2 2 2" xfId="40925" xr:uid="{00000000-0005-0000-0000-0000BE6B0000}"/>
    <cellStyle name="Normal 16 5 2 3 2 3" xfId="31227" xr:uid="{00000000-0005-0000-0000-0000BF6B0000}"/>
    <cellStyle name="Normal 16 5 2 3 3" xfId="12177" xr:uid="{00000000-0005-0000-0000-0000C06B0000}"/>
    <cellStyle name="Normal 16 5 2 3 3 2" xfId="31580" xr:uid="{00000000-0005-0000-0000-0000C16B0000}"/>
    <cellStyle name="Normal 16 5 2 3 4" xfId="21882" xr:uid="{00000000-0005-0000-0000-0000C26B0000}"/>
    <cellStyle name="Normal 16 5 2 4" xfId="11648" xr:uid="{00000000-0005-0000-0000-0000C36B0000}"/>
    <cellStyle name="Normal 16 5 2 4 2" xfId="21388" xr:uid="{00000000-0005-0000-0000-0000C46B0000}"/>
    <cellStyle name="Normal 16 5 2 4 2 2" xfId="40788" xr:uid="{00000000-0005-0000-0000-0000C56B0000}"/>
    <cellStyle name="Normal 16 5 2 4 3" xfId="31090" xr:uid="{00000000-0005-0000-0000-0000C66B0000}"/>
    <cellStyle name="Normal 16 5 2 5" xfId="8888" xr:uid="{00000000-0005-0000-0000-0000C76B0000}"/>
    <cellStyle name="Normal 16 5 2 5 2" xfId="18884" xr:uid="{00000000-0005-0000-0000-0000C86B0000}"/>
    <cellStyle name="Normal 16 5 2 5 2 2" xfId="38284" xr:uid="{00000000-0005-0000-0000-0000C96B0000}"/>
    <cellStyle name="Normal 16 5 2 5 3" xfId="28586" xr:uid="{00000000-0005-0000-0000-0000CA6B0000}"/>
    <cellStyle name="Normal 16 5 2 6" xfId="12040" xr:uid="{00000000-0005-0000-0000-0000CB6B0000}"/>
    <cellStyle name="Normal 16 5 2 6 2" xfId="31443" xr:uid="{00000000-0005-0000-0000-0000CC6B0000}"/>
    <cellStyle name="Normal 16 5 2 7" xfId="21745" xr:uid="{00000000-0005-0000-0000-0000CD6B0000}"/>
    <cellStyle name="Normal 16 5 3" xfId="808" xr:uid="{00000000-0005-0000-0000-0000CE6B0000}"/>
    <cellStyle name="Normal 16 5 3 2" xfId="11729" xr:uid="{00000000-0005-0000-0000-0000CF6B0000}"/>
    <cellStyle name="Normal 16 5 3 2 2" xfId="21439" xr:uid="{00000000-0005-0000-0000-0000D06B0000}"/>
    <cellStyle name="Normal 16 5 3 2 2 2" xfId="40839" xr:uid="{00000000-0005-0000-0000-0000D16B0000}"/>
    <cellStyle name="Normal 16 5 3 2 3" xfId="31141" xr:uid="{00000000-0005-0000-0000-0000D26B0000}"/>
    <cellStyle name="Normal 16 5 3 3" xfId="12091" xr:uid="{00000000-0005-0000-0000-0000D36B0000}"/>
    <cellStyle name="Normal 16 5 3 3 2" xfId="31494" xr:uid="{00000000-0005-0000-0000-0000D46B0000}"/>
    <cellStyle name="Normal 16 5 3 4" xfId="21796" xr:uid="{00000000-0005-0000-0000-0000D56B0000}"/>
    <cellStyle name="Normal 16 5 4" xfId="881" xr:uid="{00000000-0005-0000-0000-0000D66B0000}"/>
    <cellStyle name="Normal 16 5 4 2" xfId="11788" xr:uid="{00000000-0005-0000-0000-0000D76B0000}"/>
    <cellStyle name="Normal 16 5 4 2 2" xfId="21495" xr:uid="{00000000-0005-0000-0000-0000D86B0000}"/>
    <cellStyle name="Normal 16 5 4 2 2 2" xfId="40895" xr:uid="{00000000-0005-0000-0000-0000D96B0000}"/>
    <cellStyle name="Normal 16 5 4 2 3" xfId="31197" xr:uid="{00000000-0005-0000-0000-0000DA6B0000}"/>
    <cellStyle name="Normal 16 5 4 3" xfId="12147" xr:uid="{00000000-0005-0000-0000-0000DB6B0000}"/>
    <cellStyle name="Normal 16 5 4 3 2" xfId="31550" xr:uid="{00000000-0005-0000-0000-0000DC6B0000}"/>
    <cellStyle name="Normal 16 5 4 4" xfId="21852" xr:uid="{00000000-0005-0000-0000-0000DD6B0000}"/>
    <cellStyle name="Normal 16 5 5" xfId="11611" xr:uid="{00000000-0005-0000-0000-0000DE6B0000}"/>
    <cellStyle name="Normal 16 5 5 2" xfId="21358" xr:uid="{00000000-0005-0000-0000-0000DF6B0000}"/>
    <cellStyle name="Normal 16 5 5 2 2" xfId="40758" xr:uid="{00000000-0005-0000-0000-0000E06B0000}"/>
    <cellStyle name="Normal 16 5 5 3" xfId="31060" xr:uid="{00000000-0005-0000-0000-0000E16B0000}"/>
    <cellStyle name="Normal 16 5 6" xfId="4424" xr:uid="{00000000-0005-0000-0000-0000E26B0000}"/>
    <cellStyle name="Normal 16 5 6 2" xfId="14429" xr:uid="{00000000-0005-0000-0000-0000E36B0000}"/>
    <cellStyle name="Normal 16 5 6 2 2" xfId="33829" xr:uid="{00000000-0005-0000-0000-0000E46B0000}"/>
    <cellStyle name="Normal 16 5 6 3" xfId="24131" xr:uid="{00000000-0005-0000-0000-0000E56B0000}"/>
    <cellStyle name="Normal 16 5 7" xfId="12010" xr:uid="{00000000-0005-0000-0000-0000E66B0000}"/>
    <cellStyle name="Normal 16 5 7 2" xfId="31413" xr:uid="{00000000-0005-0000-0000-0000E76B0000}"/>
    <cellStyle name="Normal 16 5 8" xfId="21715" xr:uid="{00000000-0005-0000-0000-0000E86B0000}"/>
    <cellStyle name="Normal 16 6" xfId="643" xr:uid="{00000000-0005-0000-0000-0000E96B0000}"/>
    <cellStyle name="Normal 16 6 2" xfId="822" xr:uid="{00000000-0005-0000-0000-0000EA6B0000}"/>
    <cellStyle name="Normal 16 6 2 2" xfId="11742" xr:uid="{00000000-0005-0000-0000-0000EB6B0000}"/>
    <cellStyle name="Normal 16 6 2 2 2" xfId="21451" xr:uid="{00000000-0005-0000-0000-0000EC6B0000}"/>
    <cellStyle name="Normal 16 6 2 2 2 2" xfId="40851" xr:uid="{00000000-0005-0000-0000-0000ED6B0000}"/>
    <cellStyle name="Normal 16 6 2 2 3" xfId="31153" xr:uid="{00000000-0005-0000-0000-0000EE6B0000}"/>
    <cellStyle name="Normal 16 6 2 3" xfId="10558" xr:uid="{00000000-0005-0000-0000-0000EF6B0000}"/>
    <cellStyle name="Normal 16 6 2 3 2" xfId="20554" xr:uid="{00000000-0005-0000-0000-0000F06B0000}"/>
    <cellStyle name="Normal 16 6 2 3 2 2" xfId="39954" xr:uid="{00000000-0005-0000-0000-0000F16B0000}"/>
    <cellStyle name="Normal 16 6 2 3 3" xfId="30256" xr:uid="{00000000-0005-0000-0000-0000F26B0000}"/>
    <cellStyle name="Normal 16 6 2 4" xfId="12103" xr:uid="{00000000-0005-0000-0000-0000F36B0000}"/>
    <cellStyle name="Normal 16 6 2 4 2" xfId="31506" xr:uid="{00000000-0005-0000-0000-0000F46B0000}"/>
    <cellStyle name="Normal 16 6 2 5" xfId="21808" xr:uid="{00000000-0005-0000-0000-0000F56B0000}"/>
    <cellStyle name="Normal 16 6 3" xfId="893" xr:uid="{00000000-0005-0000-0000-0000F66B0000}"/>
    <cellStyle name="Normal 16 6 3 2" xfId="11800" xr:uid="{00000000-0005-0000-0000-0000F76B0000}"/>
    <cellStyle name="Normal 16 6 3 2 2" xfId="21507" xr:uid="{00000000-0005-0000-0000-0000F86B0000}"/>
    <cellStyle name="Normal 16 6 3 2 2 2" xfId="40907" xr:uid="{00000000-0005-0000-0000-0000F96B0000}"/>
    <cellStyle name="Normal 16 6 3 2 3" xfId="31209" xr:uid="{00000000-0005-0000-0000-0000FA6B0000}"/>
    <cellStyle name="Normal 16 6 3 3" xfId="12159" xr:uid="{00000000-0005-0000-0000-0000FB6B0000}"/>
    <cellStyle name="Normal 16 6 3 3 2" xfId="31562" xr:uid="{00000000-0005-0000-0000-0000FC6B0000}"/>
    <cellStyle name="Normal 16 6 3 4" xfId="21864" xr:uid="{00000000-0005-0000-0000-0000FD6B0000}"/>
    <cellStyle name="Normal 16 6 4" xfId="11629" xr:uid="{00000000-0005-0000-0000-0000FE6B0000}"/>
    <cellStyle name="Normal 16 6 4 2" xfId="21370" xr:uid="{00000000-0005-0000-0000-0000FF6B0000}"/>
    <cellStyle name="Normal 16 6 4 2 2" xfId="40770" xr:uid="{00000000-0005-0000-0000-0000006C0000}"/>
    <cellStyle name="Normal 16 6 4 3" xfId="31072" xr:uid="{00000000-0005-0000-0000-0000016C0000}"/>
    <cellStyle name="Normal 16 6 5" xfId="6094" xr:uid="{00000000-0005-0000-0000-0000026C0000}"/>
    <cellStyle name="Normal 16 6 5 2" xfId="16099" xr:uid="{00000000-0005-0000-0000-0000036C0000}"/>
    <cellStyle name="Normal 16 6 5 2 2" xfId="35499" xr:uid="{00000000-0005-0000-0000-0000046C0000}"/>
    <cellStyle name="Normal 16 6 5 3" xfId="25801" xr:uid="{00000000-0005-0000-0000-0000056C0000}"/>
    <cellStyle name="Normal 16 6 6" xfId="12022" xr:uid="{00000000-0005-0000-0000-0000066C0000}"/>
    <cellStyle name="Normal 16 6 6 2" xfId="31425" xr:uid="{00000000-0005-0000-0000-0000076C0000}"/>
    <cellStyle name="Normal 16 6 7" xfId="21727" xr:uid="{00000000-0005-0000-0000-0000086C0000}"/>
    <cellStyle name="Normal 16 7" xfId="772" xr:uid="{00000000-0005-0000-0000-0000096C0000}"/>
    <cellStyle name="Normal 16 7 2" xfId="11115" xr:uid="{00000000-0005-0000-0000-00000A6C0000}"/>
    <cellStyle name="Normal 16 7 2 2" xfId="21111" xr:uid="{00000000-0005-0000-0000-00000B6C0000}"/>
    <cellStyle name="Normal 16 7 2 2 2" xfId="40511" xr:uid="{00000000-0005-0000-0000-00000C6C0000}"/>
    <cellStyle name="Normal 16 7 2 3" xfId="30813" xr:uid="{00000000-0005-0000-0000-00000D6C0000}"/>
    <cellStyle name="Normal 16 7 3" xfId="11707" xr:uid="{00000000-0005-0000-0000-00000E6C0000}"/>
    <cellStyle name="Normal 16 7 3 2" xfId="21419" xr:uid="{00000000-0005-0000-0000-00000F6C0000}"/>
    <cellStyle name="Normal 16 7 3 2 2" xfId="40819" xr:uid="{00000000-0005-0000-0000-0000106C0000}"/>
    <cellStyle name="Normal 16 7 3 3" xfId="31121" xr:uid="{00000000-0005-0000-0000-0000116C0000}"/>
    <cellStyle name="Normal 16 7 4" xfId="6660" xr:uid="{00000000-0005-0000-0000-0000126C0000}"/>
    <cellStyle name="Normal 16 7 4 2" xfId="16656" xr:uid="{00000000-0005-0000-0000-0000136C0000}"/>
    <cellStyle name="Normal 16 7 4 2 2" xfId="36056" xr:uid="{00000000-0005-0000-0000-0000146C0000}"/>
    <cellStyle name="Normal 16 7 4 3" xfId="26358" xr:uid="{00000000-0005-0000-0000-0000156C0000}"/>
    <cellStyle name="Normal 16 7 5" xfId="12071" xr:uid="{00000000-0005-0000-0000-0000166C0000}"/>
    <cellStyle name="Normal 16 7 5 2" xfId="31474" xr:uid="{00000000-0005-0000-0000-0000176C0000}"/>
    <cellStyle name="Normal 16 7 6" xfId="21776" xr:uid="{00000000-0005-0000-0000-0000186C0000}"/>
    <cellStyle name="Normal 16 8" xfId="862" xr:uid="{00000000-0005-0000-0000-0000196C0000}"/>
    <cellStyle name="Normal 16 8 2" xfId="11769" xr:uid="{00000000-0005-0000-0000-00001A6C0000}"/>
    <cellStyle name="Normal 16 8 2 2" xfId="21477" xr:uid="{00000000-0005-0000-0000-00001B6C0000}"/>
    <cellStyle name="Normal 16 8 2 2 2" xfId="40877" xr:uid="{00000000-0005-0000-0000-00001C6C0000}"/>
    <cellStyle name="Normal 16 8 2 3" xfId="31179" xr:uid="{00000000-0005-0000-0000-00001D6C0000}"/>
    <cellStyle name="Normal 16 8 3" xfId="7217" xr:uid="{00000000-0005-0000-0000-00001E6C0000}"/>
    <cellStyle name="Normal 16 8 3 2" xfId="17213" xr:uid="{00000000-0005-0000-0000-00001F6C0000}"/>
    <cellStyle name="Normal 16 8 3 2 2" xfId="36613" xr:uid="{00000000-0005-0000-0000-0000206C0000}"/>
    <cellStyle name="Normal 16 8 3 3" xfId="26915" xr:uid="{00000000-0005-0000-0000-0000216C0000}"/>
    <cellStyle name="Normal 16 8 4" xfId="12129" xr:uid="{00000000-0005-0000-0000-0000226C0000}"/>
    <cellStyle name="Normal 16 8 4 2" xfId="31532" xr:uid="{00000000-0005-0000-0000-0000236C0000}"/>
    <cellStyle name="Normal 16 8 5" xfId="21834" xr:uid="{00000000-0005-0000-0000-0000246C0000}"/>
    <cellStyle name="Normal 16 9" xfId="11557" xr:uid="{00000000-0005-0000-0000-0000256C0000}"/>
    <cellStyle name="Normal 16 9 2" xfId="21340" xr:uid="{00000000-0005-0000-0000-0000266C0000}"/>
    <cellStyle name="Normal 16 9 2 2" xfId="40740" xr:uid="{00000000-0005-0000-0000-0000276C0000}"/>
    <cellStyle name="Normal 16 9 3" xfId="31042" xr:uid="{00000000-0005-0000-0000-0000286C0000}"/>
    <cellStyle name="Normal 17" xfId="517" xr:uid="{00000000-0005-0000-0000-0000296C0000}"/>
    <cellStyle name="Normal 17 10" xfId="2316" xr:uid="{00000000-0005-0000-0000-00002A6C0000}"/>
    <cellStyle name="Normal 17 10 2" xfId="12759" xr:uid="{00000000-0005-0000-0000-00002B6C0000}"/>
    <cellStyle name="Normal 17 10 2 2" xfId="32160" xr:uid="{00000000-0005-0000-0000-00002C6C0000}"/>
    <cellStyle name="Normal 17 10 3" xfId="22462" xr:uid="{00000000-0005-0000-0000-00002D6C0000}"/>
    <cellStyle name="Normal 17 11" xfId="11991" xr:uid="{00000000-0005-0000-0000-00002E6C0000}"/>
    <cellStyle name="Normal 17 11 2" xfId="31396" xr:uid="{00000000-0005-0000-0000-00002F6C0000}"/>
    <cellStyle name="Normal 17 12" xfId="21697" xr:uid="{00000000-0005-0000-0000-0000306C0000}"/>
    <cellStyle name="Normal 17 2" xfId="604" xr:uid="{00000000-0005-0000-0000-0000316C0000}"/>
    <cellStyle name="Normal 17 2 10" xfId="11998" xr:uid="{00000000-0005-0000-0000-0000326C0000}"/>
    <cellStyle name="Normal 17 2 10 2" xfId="31401" xr:uid="{00000000-0005-0000-0000-0000336C0000}"/>
    <cellStyle name="Normal 17 2 11" xfId="21703" xr:uid="{00000000-0005-0000-0000-0000346C0000}"/>
    <cellStyle name="Normal 17 2 2" xfId="621" xr:uid="{00000000-0005-0000-0000-0000356C0000}"/>
    <cellStyle name="Normal 17 2 2 2" xfId="658" xr:uid="{00000000-0005-0000-0000-0000366C0000}"/>
    <cellStyle name="Normal 17 2 2 2 2" xfId="837" xr:uid="{00000000-0005-0000-0000-0000376C0000}"/>
    <cellStyle name="Normal 17 2 2 2 2 2" xfId="11756" xr:uid="{00000000-0005-0000-0000-0000386C0000}"/>
    <cellStyle name="Normal 17 2 2 2 2 2 2" xfId="21465" xr:uid="{00000000-0005-0000-0000-0000396C0000}"/>
    <cellStyle name="Normal 17 2 2 2 2 2 2 2" xfId="40865" xr:uid="{00000000-0005-0000-0000-00003A6C0000}"/>
    <cellStyle name="Normal 17 2 2 2 2 2 3" xfId="31167" xr:uid="{00000000-0005-0000-0000-00003B6C0000}"/>
    <cellStyle name="Normal 17 2 2 2 2 3" xfId="10004" xr:uid="{00000000-0005-0000-0000-00003C6C0000}"/>
    <cellStyle name="Normal 17 2 2 2 2 3 2" xfId="20000" xr:uid="{00000000-0005-0000-0000-00003D6C0000}"/>
    <cellStyle name="Normal 17 2 2 2 2 3 2 2" xfId="39400" xr:uid="{00000000-0005-0000-0000-00003E6C0000}"/>
    <cellStyle name="Normal 17 2 2 2 2 3 3" xfId="29702" xr:uid="{00000000-0005-0000-0000-00003F6C0000}"/>
    <cellStyle name="Normal 17 2 2 2 2 4" xfId="12117" xr:uid="{00000000-0005-0000-0000-0000406C0000}"/>
    <cellStyle name="Normal 17 2 2 2 2 4 2" xfId="31520" xr:uid="{00000000-0005-0000-0000-0000416C0000}"/>
    <cellStyle name="Normal 17 2 2 2 2 5" xfId="21822" xr:uid="{00000000-0005-0000-0000-0000426C0000}"/>
    <cellStyle name="Normal 17 2 2 2 3" xfId="907" xr:uid="{00000000-0005-0000-0000-0000436C0000}"/>
    <cellStyle name="Normal 17 2 2 2 3 2" xfId="11814" xr:uid="{00000000-0005-0000-0000-0000446C0000}"/>
    <cellStyle name="Normal 17 2 2 2 3 2 2" xfId="21521" xr:uid="{00000000-0005-0000-0000-0000456C0000}"/>
    <cellStyle name="Normal 17 2 2 2 3 2 2 2" xfId="40921" xr:uid="{00000000-0005-0000-0000-0000466C0000}"/>
    <cellStyle name="Normal 17 2 2 2 3 2 3" xfId="31223" xr:uid="{00000000-0005-0000-0000-0000476C0000}"/>
    <cellStyle name="Normal 17 2 2 2 3 3" xfId="12173" xr:uid="{00000000-0005-0000-0000-0000486C0000}"/>
    <cellStyle name="Normal 17 2 2 2 3 3 2" xfId="31576" xr:uid="{00000000-0005-0000-0000-0000496C0000}"/>
    <cellStyle name="Normal 17 2 2 2 3 4" xfId="21878" xr:uid="{00000000-0005-0000-0000-00004A6C0000}"/>
    <cellStyle name="Normal 17 2 2 2 4" xfId="11644" xr:uid="{00000000-0005-0000-0000-00004B6C0000}"/>
    <cellStyle name="Normal 17 2 2 2 4 2" xfId="21384" xr:uid="{00000000-0005-0000-0000-00004C6C0000}"/>
    <cellStyle name="Normal 17 2 2 2 4 2 2" xfId="40784" xr:uid="{00000000-0005-0000-0000-00004D6C0000}"/>
    <cellStyle name="Normal 17 2 2 2 4 3" xfId="31086" xr:uid="{00000000-0005-0000-0000-00004E6C0000}"/>
    <cellStyle name="Normal 17 2 2 2 5" xfId="5540" xr:uid="{00000000-0005-0000-0000-00004F6C0000}"/>
    <cellStyle name="Normal 17 2 2 2 5 2" xfId="15545" xr:uid="{00000000-0005-0000-0000-0000506C0000}"/>
    <cellStyle name="Normal 17 2 2 2 5 2 2" xfId="34945" xr:uid="{00000000-0005-0000-0000-0000516C0000}"/>
    <cellStyle name="Normal 17 2 2 2 5 3" xfId="25247" xr:uid="{00000000-0005-0000-0000-0000526C0000}"/>
    <cellStyle name="Normal 17 2 2 2 6" xfId="12036" xr:uid="{00000000-0005-0000-0000-0000536C0000}"/>
    <cellStyle name="Normal 17 2 2 2 6 2" xfId="31439" xr:uid="{00000000-0005-0000-0000-0000546C0000}"/>
    <cellStyle name="Normal 17 2 2 2 7" xfId="21741" xr:uid="{00000000-0005-0000-0000-0000556C0000}"/>
    <cellStyle name="Normal 17 2 2 3" xfId="804" xr:uid="{00000000-0005-0000-0000-0000566C0000}"/>
    <cellStyle name="Normal 17 2 2 3 2" xfId="11725" xr:uid="{00000000-0005-0000-0000-0000576C0000}"/>
    <cellStyle name="Normal 17 2 2 3 2 2" xfId="21435" xr:uid="{00000000-0005-0000-0000-0000586C0000}"/>
    <cellStyle name="Normal 17 2 2 3 2 2 2" xfId="40835" xr:uid="{00000000-0005-0000-0000-0000596C0000}"/>
    <cellStyle name="Normal 17 2 2 3 2 3" xfId="31137" xr:uid="{00000000-0005-0000-0000-00005A6C0000}"/>
    <cellStyle name="Normal 17 2 2 3 3" xfId="7776" xr:uid="{00000000-0005-0000-0000-00005B6C0000}"/>
    <cellStyle name="Normal 17 2 2 3 3 2" xfId="17772" xr:uid="{00000000-0005-0000-0000-00005C6C0000}"/>
    <cellStyle name="Normal 17 2 2 3 3 2 2" xfId="37172" xr:uid="{00000000-0005-0000-0000-00005D6C0000}"/>
    <cellStyle name="Normal 17 2 2 3 3 3" xfId="27474" xr:uid="{00000000-0005-0000-0000-00005E6C0000}"/>
    <cellStyle name="Normal 17 2 2 3 4" xfId="12087" xr:uid="{00000000-0005-0000-0000-00005F6C0000}"/>
    <cellStyle name="Normal 17 2 2 3 4 2" xfId="31490" xr:uid="{00000000-0005-0000-0000-0000606C0000}"/>
    <cellStyle name="Normal 17 2 2 3 5" xfId="21792" xr:uid="{00000000-0005-0000-0000-0000616C0000}"/>
    <cellStyle name="Normal 17 2 2 4" xfId="877" xr:uid="{00000000-0005-0000-0000-0000626C0000}"/>
    <cellStyle name="Normal 17 2 2 4 2" xfId="11784" xr:uid="{00000000-0005-0000-0000-0000636C0000}"/>
    <cellStyle name="Normal 17 2 2 4 2 2" xfId="21491" xr:uid="{00000000-0005-0000-0000-0000646C0000}"/>
    <cellStyle name="Normal 17 2 2 4 2 2 2" xfId="40891" xr:uid="{00000000-0005-0000-0000-0000656C0000}"/>
    <cellStyle name="Normal 17 2 2 4 2 3" xfId="31193" xr:uid="{00000000-0005-0000-0000-0000666C0000}"/>
    <cellStyle name="Normal 17 2 2 4 3" xfId="12143" xr:uid="{00000000-0005-0000-0000-0000676C0000}"/>
    <cellStyle name="Normal 17 2 2 4 3 2" xfId="31546" xr:uid="{00000000-0005-0000-0000-0000686C0000}"/>
    <cellStyle name="Normal 17 2 2 4 4" xfId="21848" xr:uid="{00000000-0005-0000-0000-0000696C0000}"/>
    <cellStyle name="Normal 17 2 2 5" xfId="11607" xr:uid="{00000000-0005-0000-0000-00006A6C0000}"/>
    <cellStyle name="Normal 17 2 2 5 2" xfId="21354" xr:uid="{00000000-0005-0000-0000-00006B6C0000}"/>
    <cellStyle name="Normal 17 2 2 5 2 2" xfId="40754" xr:uid="{00000000-0005-0000-0000-00006C6C0000}"/>
    <cellStyle name="Normal 17 2 2 5 3" xfId="31056" xr:uid="{00000000-0005-0000-0000-00006D6C0000}"/>
    <cellStyle name="Normal 17 2 2 6" xfId="3271" xr:uid="{00000000-0005-0000-0000-00006E6C0000}"/>
    <cellStyle name="Normal 17 2 2 6 2" xfId="13317" xr:uid="{00000000-0005-0000-0000-00006F6C0000}"/>
    <cellStyle name="Normal 17 2 2 6 2 2" xfId="32717" xr:uid="{00000000-0005-0000-0000-0000706C0000}"/>
    <cellStyle name="Normal 17 2 2 6 3" xfId="23019" xr:uid="{00000000-0005-0000-0000-0000716C0000}"/>
    <cellStyle name="Normal 17 2 2 7" xfId="12006" xr:uid="{00000000-0005-0000-0000-0000726C0000}"/>
    <cellStyle name="Normal 17 2 2 7 2" xfId="31409" xr:uid="{00000000-0005-0000-0000-0000736C0000}"/>
    <cellStyle name="Normal 17 2 2 8" xfId="21711" xr:uid="{00000000-0005-0000-0000-0000746C0000}"/>
    <cellStyle name="Normal 17 2 3" xfId="629" xr:uid="{00000000-0005-0000-0000-0000756C0000}"/>
    <cellStyle name="Normal 17 2 3 2" xfId="666" xr:uid="{00000000-0005-0000-0000-0000766C0000}"/>
    <cellStyle name="Normal 17 2 3 2 2" xfId="845" xr:uid="{00000000-0005-0000-0000-0000776C0000}"/>
    <cellStyle name="Normal 17 2 3 2 2 2" xfId="11764" xr:uid="{00000000-0005-0000-0000-0000786C0000}"/>
    <cellStyle name="Normal 17 2 3 2 2 2 2" xfId="21473" xr:uid="{00000000-0005-0000-0000-0000796C0000}"/>
    <cellStyle name="Normal 17 2 3 2 2 2 2 2" xfId="40873" xr:uid="{00000000-0005-0000-0000-00007A6C0000}"/>
    <cellStyle name="Normal 17 2 3 2 2 2 3" xfId="31175" xr:uid="{00000000-0005-0000-0000-00007B6C0000}"/>
    <cellStyle name="Normal 17 2 3 2 2 3" xfId="9448" xr:uid="{00000000-0005-0000-0000-00007C6C0000}"/>
    <cellStyle name="Normal 17 2 3 2 2 3 2" xfId="19444" xr:uid="{00000000-0005-0000-0000-00007D6C0000}"/>
    <cellStyle name="Normal 17 2 3 2 2 3 2 2" xfId="38844" xr:uid="{00000000-0005-0000-0000-00007E6C0000}"/>
    <cellStyle name="Normal 17 2 3 2 2 3 3" xfId="29146" xr:uid="{00000000-0005-0000-0000-00007F6C0000}"/>
    <cellStyle name="Normal 17 2 3 2 2 4" xfId="12125" xr:uid="{00000000-0005-0000-0000-0000806C0000}"/>
    <cellStyle name="Normal 17 2 3 2 2 4 2" xfId="31528" xr:uid="{00000000-0005-0000-0000-0000816C0000}"/>
    <cellStyle name="Normal 17 2 3 2 2 5" xfId="21830" xr:uid="{00000000-0005-0000-0000-0000826C0000}"/>
    <cellStyle name="Normal 17 2 3 2 3" xfId="915" xr:uid="{00000000-0005-0000-0000-0000836C0000}"/>
    <cellStyle name="Normal 17 2 3 2 3 2" xfId="11822" xr:uid="{00000000-0005-0000-0000-0000846C0000}"/>
    <cellStyle name="Normal 17 2 3 2 3 2 2" xfId="21529" xr:uid="{00000000-0005-0000-0000-0000856C0000}"/>
    <cellStyle name="Normal 17 2 3 2 3 2 2 2" xfId="40929" xr:uid="{00000000-0005-0000-0000-0000866C0000}"/>
    <cellStyle name="Normal 17 2 3 2 3 2 3" xfId="31231" xr:uid="{00000000-0005-0000-0000-0000876C0000}"/>
    <cellStyle name="Normal 17 2 3 2 3 3" xfId="12181" xr:uid="{00000000-0005-0000-0000-0000886C0000}"/>
    <cellStyle name="Normal 17 2 3 2 3 3 2" xfId="31584" xr:uid="{00000000-0005-0000-0000-0000896C0000}"/>
    <cellStyle name="Normal 17 2 3 2 3 4" xfId="21886" xr:uid="{00000000-0005-0000-0000-00008A6C0000}"/>
    <cellStyle name="Normal 17 2 3 2 4" xfId="11652" xr:uid="{00000000-0005-0000-0000-00008B6C0000}"/>
    <cellStyle name="Normal 17 2 3 2 4 2" xfId="21392" xr:uid="{00000000-0005-0000-0000-00008C6C0000}"/>
    <cellStyle name="Normal 17 2 3 2 4 2 2" xfId="40792" xr:uid="{00000000-0005-0000-0000-00008D6C0000}"/>
    <cellStyle name="Normal 17 2 3 2 4 3" xfId="31094" xr:uid="{00000000-0005-0000-0000-00008E6C0000}"/>
    <cellStyle name="Normal 17 2 3 2 5" xfId="4984" xr:uid="{00000000-0005-0000-0000-00008F6C0000}"/>
    <cellStyle name="Normal 17 2 3 2 5 2" xfId="14989" xr:uid="{00000000-0005-0000-0000-0000906C0000}"/>
    <cellStyle name="Normal 17 2 3 2 5 2 2" xfId="34389" xr:uid="{00000000-0005-0000-0000-0000916C0000}"/>
    <cellStyle name="Normal 17 2 3 2 5 3" xfId="24691" xr:uid="{00000000-0005-0000-0000-0000926C0000}"/>
    <cellStyle name="Normal 17 2 3 2 6" xfId="12044" xr:uid="{00000000-0005-0000-0000-0000936C0000}"/>
    <cellStyle name="Normal 17 2 3 2 6 2" xfId="31447" xr:uid="{00000000-0005-0000-0000-0000946C0000}"/>
    <cellStyle name="Normal 17 2 3 2 7" xfId="21749" xr:uid="{00000000-0005-0000-0000-0000956C0000}"/>
    <cellStyle name="Normal 17 2 3 3" xfId="812" xr:uid="{00000000-0005-0000-0000-0000966C0000}"/>
    <cellStyle name="Normal 17 2 3 3 2" xfId="11733" xr:uid="{00000000-0005-0000-0000-0000976C0000}"/>
    <cellStyle name="Normal 17 2 3 3 2 2" xfId="21443" xr:uid="{00000000-0005-0000-0000-0000986C0000}"/>
    <cellStyle name="Normal 17 2 3 3 2 2 2" xfId="40843" xr:uid="{00000000-0005-0000-0000-0000996C0000}"/>
    <cellStyle name="Normal 17 2 3 3 2 3" xfId="31145" xr:uid="{00000000-0005-0000-0000-00009A6C0000}"/>
    <cellStyle name="Normal 17 2 3 3 3" xfId="8333" xr:uid="{00000000-0005-0000-0000-00009B6C0000}"/>
    <cellStyle name="Normal 17 2 3 3 3 2" xfId="18329" xr:uid="{00000000-0005-0000-0000-00009C6C0000}"/>
    <cellStyle name="Normal 17 2 3 3 3 2 2" xfId="37729" xr:uid="{00000000-0005-0000-0000-00009D6C0000}"/>
    <cellStyle name="Normal 17 2 3 3 3 3" xfId="28031" xr:uid="{00000000-0005-0000-0000-00009E6C0000}"/>
    <cellStyle name="Normal 17 2 3 3 4" xfId="12095" xr:uid="{00000000-0005-0000-0000-00009F6C0000}"/>
    <cellStyle name="Normal 17 2 3 3 4 2" xfId="31498" xr:uid="{00000000-0005-0000-0000-0000A06C0000}"/>
    <cellStyle name="Normal 17 2 3 3 5" xfId="21800" xr:uid="{00000000-0005-0000-0000-0000A16C0000}"/>
    <cellStyle name="Normal 17 2 3 4" xfId="885" xr:uid="{00000000-0005-0000-0000-0000A26C0000}"/>
    <cellStyle name="Normal 17 2 3 4 2" xfId="11792" xr:uid="{00000000-0005-0000-0000-0000A36C0000}"/>
    <cellStyle name="Normal 17 2 3 4 2 2" xfId="21499" xr:uid="{00000000-0005-0000-0000-0000A46C0000}"/>
    <cellStyle name="Normal 17 2 3 4 2 2 2" xfId="40899" xr:uid="{00000000-0005-0000-0000-0000A56C0000}"/>
    <cellStyle name="Normal 17 2 3 4 2 3" xfId="31201" xr:uid="{00000000-0005-0000-0000-0000A66C0000}"/>
    <cellStyle name="Normal 17 2 3 4 3" xfId="12151" xr:uid="{00000000-0005-0000-0000-0000A76C0000}"/>
    <cellStyle name="Normal 17 2 3 4 3 2" xfId="31554" xr:uid="{00000000-0005-0000-0000-0000A86C0000}"/>
    <cellStyle name="Normal 17 2 3 4 4" xfId="21856" xr:uid="{00000000-0005-0000-0000-0000A96C0000}"/>
    <cellStyle name="Normal 17 2 3 5" xfId="11615" xr:uid="{00000000-0005-0000-0000-0000AA6C0000}"/>
    <cellStyle name="Normal 17 2 3 5 2" xfId="21362" xr:uid="{00000000-0005-0000-0000-0000AB6C0000}"/>
    <cellStyle name="Normal 17 2 3 5 2 2" xfId="40762" xr:uid="{00000000-0005-0000-0000-0000AC6C0000}"/>
    <cellStyle name="Normal 17 2 3 5 3" xfId="31064" xr:uid="{00000000-0005-0000-0000-0000AD6C0000}"/>
    <cellStyle name="Normal 17 2 3 6" xfId="3854" xr:uid="{00000000-0005-0000-0000-0000AE6C0000}"/>
    <cellStyle name="Normal 17 2 3 6 2" xfId="13874" xr:uid="{00000000-0005-0000-0000-0000AF6C0000}"/>
    <cellStyle name="Normal 17 2 3 6 2 2" xfId="33274" xr:uid="{00000000-0005-0000-0000-0000B06C0000}"/>
    <cellStyle name="Normal 17 2 3 6 3" xfId="23576" xr:uid="{00000000-0005-0000-0000-0000B16C0000}"/>
    <cellStyle name="Normal 17 2 3 7" xfId="12014" xr:uid="{00000000-0005-0000-0000-0000B26C0000}"/>
    <cellStyle name="Normal 17 2 3 7 2" xfId="31417" xr:uid="{00000000-0005-0000-0000-0000B36C0000}"/>
    <cellStyle name="Normal 17 2 3 8" xfId="21719" xr:uid="{00000000-0005-0000-0000-0000B46C0000}"/>
    <cellStyle name="Normal 17 2 4" xfId="650" xr:uid="{00000000-0005-0000-0000-0000B56C0000}"/>
    <cellStyle name="Normal 17 2 4 2" xfId="829" xr:uid="{00000000-0005-0000-0000-0000B66C0000}"/>
    <cellStyle name="Normal 17 2 4 2 2" xfId="11748" xr:uid="{00000000-0005-0000-0000-0000B76C0000}"/>
    <cellStyle name="Normal 17 2 4 2 2 2" xfId="21457" xr:uid="{00000000-0005-0000-0000-0000B86C0000}"/>
    <cellStyle name="Normal 17 2 4 2 2 2 2" xfId="40857" xr:uid="{00000000-0005-0000-0000-0000B96C0000}"/>
    <cellStyle name="Normal 17 2 4 2 2 3" xfId="31159" xr:uid="{00000000-0005-0000-0000-0000BA6C0000}"/>
    <cellStyle name="Normal 17 2 4 2 3" xfId="8891" xr:uid="{00000000-0005-0000-0000-0000BB6C0000}"/>
    <cellStyle name="Normal 17 2 4 2 3 2" xfId="18887" xr:uid="{00000000-0005-0000-0000-0000BC6C0000}"/>
    <cellStyle name="Normal 17 2 4 2 3 2 2" xfId="38287" xr:uid="{00000000-0005-0000-0000-0000BD6C0000}"/>
    <cellStyle name="Normal 17 2 4 2 3 3" xfId="28589" xr:uid="{00000000-0005-0000-0000-0000BE6C0000}"/>
    <cellStyle name="Normal 17 2 4 2 4" xfId="12109" xr:uid="{00000000-0005-0000-0000-0000BF6C0000}"/>
    <cellStyle name="Normal 17 2 4 2 4 2" xfId="31512" xr:uid="{00000000-0005-0000-0000-0000C06C0000}"/>
    <cellStyle name="Normal 17 2 4 2 5" xfId="21814" xr:uid="{00000000-0005-0000-0000-0000C16C0000}"/>
    <cellStyle name="Normal 17 2 4 3" xfId="899" xr:uid="{00000000-0005-0000-0000-0000C26C0000}"/>
    <cellStyle name="Normal 17 2 4 3 2" xfId="11806" xr:uid="{00000000-0005-0000-0000-0000C36C0000}"/>
    <cellStyle name="Normal 17 2 4 3 2 2" xfId="21513" xr:uid="{00000000-0005-0000-0000-0000C46C0000}"/>
    <cellStyle name="Normal 17 2 4 3 2 2 2" xfId="40913" xr:uid="{00000000-0005-0000-0000-0000C56C0000}"/>
    <cellStyle name="Normal 17 2 4 3 2 3" xfId="31215" xr:uid="{00000000-0005-0000-0000-0000C66C0000}"/>
    <cellStyle name="Normal 17 2 4 3 3" xfId="12165" xr:uid="{00000000-0005-0000-0000-0000C76C0000}"/>
    <cellStyle name="Normal 17 2 4 3 3 2" xfId="31568" xr:uid="{00000000-0005-0000-0000-0000C86C0000}"/>
    <cellStyle name="Normal 17 2 4 3 4" xfId="21870" xr:uid="{00000000-0005-0000-0000-0000C96C0000}"/>
    <cellStyle name="Normal 17 2 4 4" xfId="11636" xr:uid="{00000000-0005-0000-0000-0000CA6C0000}"/>
    <cellStyle name="Normal 17 2 4 4 2" xfId="21376" xr:uid="{00000000-0005-0000-0000-0000CB6C0000}"/>
    <cellStyle name="Normal 17 2 4 4 2 2" xfId="40776" xr:uid="{00000000-0005-0000-0000-0000CC6C0000}"/>
    <cellStyle name="Normal 17 2 4 4 3" xfId="31078" xr:uid="{00000000-0005-0000-0000-0000CD6C0000}"/>
    <cellStyle name="Normal 17 2 4 5" xfId="4427" xr:uid="{00000000-0005-0000-0000-0000CE6C0000}"/>
    <cellStyle name="Normal 17 2 4 5 2" xfId="14432" xr:uid="{00000000-0005-0000-0000-0000CF6C0000}"/>
    <cellStyle name="Normal 17 2 4 5 2 2" xfId="33832" xr:uid="{00000000-0005-0000-0000-0000D06C0000}"/>
    <cellStyle name="Normal 17 2 4 5 3" xfId="24134" xr:uid="{00000000-0005-0000-0000-0000D16C0000}"/>
    <cellStyle name="Normal 17 2 4 6" xfId="12028" xr:uid="{00000000-0005-0000-0000-0000D26C0000}"/>
    <cellStyle name="Normal 17 2 4 6 2" xfId="31431" xr:uid="{00000000-0005-0000-0000-0000D36C0000}"/>
    <cellStyle name="Normal 17 2 4 7" xfId="21733" xr:uid="{00000000-0005-0000-0000-0000D46C0000}"/>
    <cellStyle name="Normal 17 2 5" xfId="793" xr:uid="{00000000-0005-0000-0000-0000D56C0000}"/>
    <cellStyle name="Normal 17 2 5 2" xfId="10561" xr:uid="{00000000-0005-0000-0000-0000D66C0000}"/>
    <cellStyle name="Normal 17 2 5 2 2" xfId="20557" xr:uid="{00000000-0005-0000-0000-0000D76C0000}"/>
    <cellStyle name="Normal 17 2 5 2 2 2" xfId="39957" xr:uid="{00000000-0005-0000-0000-0000D86C0000}"/>
    <cellStyle name="Normal 17 2 5 2 3" xfId="30259" xr:uid="{00000000-0005-0000-0000-0000D96C0000}"/>
    <cellStyle name="Normal 17 2 5 3" xfId="11716" xr:uid="{00000000-0005-0000-0000-0000DA6C0000}"/>
    <cellStyle name="Normal 17 2 5 3 2" xfId="21427" xr:uid="{00000000-0005-0000-0000-0000DB6C0000}"/>
    <cellStyle name="Normal 17 2 5 3 2 2" xfId="40827" xr:uid="{00000000-0005-0000-0000-0000DC6C0000}"/>
    <cellStyle name="Normal 17 2 5 3 3" xfId="31129" xr:uid="{00000000-0005-0000-0000-0000DD6C0000}"/>
    <cellStyle name="Normal 17 2 5 4" xfId="6097" xr:uid="{00000000-0005-0000-0000-0000DE6C0000}"/>
    <cellStyle name="Normal 17 2 5 4 2" xfId="16102" xr:uid="{00000000-0005-0000-0000-0000DF6C0000}"/>
    <cellStyle name="Normal 17 2 5 4 2 2" xfId="35502" xr:uid="{00000000-0005-0000-0000-0000E06C0000}"/>
    <cellStyle name="Normal 17 2 5 4 3" xfId="25804" xr:uid="{00000000-0005-0000-0000-0000E16C0000}"/>
    <cellStyle name="Normal 17 2 5 5" xfId="12079" xr:uid="{00000000-0005-0000-0000-0000E26C0000}"/>
    <cellStyle name="Normal 17 2 5 5 2" xfId="31482" xr:uid="{00000000-0005-0000-0000-0000E36C0000}"/>
    <cellStyle name="Normal 17 2 5 6" xfId="21784" xr:uid="{00000000-0005-0000-0000-0000E46C0000}"/>
    <cellStyle name="Normal 17 2 6" xfId="869" xr:uid="{00000000-0005-0000-0000-0000E56C0000}"/>
    <cellStyle name="Normal 17 2 6 2" xfId="11118" xr:uid="{00000000-0005-0000-0000-0000E66C0000}"/>
    <cellStyle name="Normal 17 2 6 2 2" xfId="21114" xr:uid="{00000000-0005-0000-0000-0000E76C0000}"/>
    <cellStyle name="Normal 17 2 6 2 2 2" xfId="40514" xr:uid="{00000000-0005-0000-0000-0000E86C0000}"/>
    <cellStyle name="Normal 17 2 6 2 3" xfId="30816" xr:uid="{00000000-0005-0000-0000-0000E96C0000}"/>
    <cellStyle name="Normal 17 2 6 3" xfId="11776" xr:uid="{00000000-0005-0000-0000-0000EA6C0000}"/>
    <cellStyle name="Normal 17 2 6 3 2" xfId="21483" xr:uid="{00000000-0005-0000-0000-0000EB6C0000}"/>
    <cellStyle name="Normal 17 2 6 3 2 2" xfId="40883" xr:uid="{00000000-0005-0000-0000-0000EC6C0000}"/>
    <cellStyle name="Normal 17 2 6 3 3" xfId="31185" xr:uid="{00000000-0005-0000-0000-0000ED6C0000}"/>
    <cellStyle name="Normal 17 2 6 4" xfId="6663" xr:uid="{00000000-0005-0000-0000-0000EE6C0000}"/>
    <cellStyle name="Normal 17 2 6 4 2" xfId="16659" xr:uid="{00000000-0005-0000-0000-0000EF6C0000}"/>
    <cellStyle name="Normal 17 2 6 4 2 2" xfId="36059" xr:uid="{00000000-0005-0000-0000-0000F06C0000}"/>
    <cellStyle name="Normal 17 2 6 4 3" xfId="26361" xr:uid="{00000000-0005-0000-0000-0000F16C0000}"/>
    <cellStyle name="Normal 17 2 6 5" xfId="12135" xr:uid="{00000000-0005-0000-0000-0000F26C0000}"/>
    <cellStyle name="Normal 17 2 6 5 2" xfId="31538" xr:uid="{00000000-0005-0000-0000-0000F36C0000}"/>
    <cellStyle name="Normal 17 2 6 6" xfId="21840" xr:uid="{00000000-0005-0000-0000-0000F46C0000}"/>
    <cellStyle name="Normal 17 2 7" xfId="7220" xr:uid="{00000000-0005-0000-0000-0000F56C0000}"/>
    <cellStyle name="Normal 17 2 7 2" xfId="17216" xr:uid="{00000000-0005-0000-0000-0000F66C0000}"/>
    <cellStyle name="Normal 17 2 7 2 2" xfId="36616" xr:uid="{00000000-0005-0000-0000-0000F76C0000}"/>
    <cellStyle name="Normal 17 2 7 3" xfId="26918" xr:uid="{00000000-0005-0000-0000-0000F86C0000}"/>
    <cellStyle name="Normal 17 2 8" xfId="11597" xr:uid="{00000000-0005-0000-0000-0000F96C0000}"/>
    <cellStyle name="Normal 17 2 8 2" xfId="21346" xr:uid="{00000000-0005-0000-0000-0000FA6C0000}"/>
    <cellStyle name="Normal 17 2 8 2 2" xfId="40746" xr:uid="{00000000-0005-0000-0000-0000FB6C0000}"/>
    <cellStyle name="Normal 17 2 8 3" xfId="31048" xr:uid="{00000000-0005-0000-0000-0000FC6C0000}"/>
    <cellStyle name="Normal 17 2 9" xfId="2317" xr:uid="{00000000-0005-0000-0000-0000FD6C0000}"/>
    <cellStyle name="Normal 17 2 9 2" xfId="12760" xr:uid="{00000000-0005-0000-0000-0000FE6C0000}"/>
    <cellStyle name="Normal 17 2 9 2 2" xfId="32161" xr:uid="{00000000-0005-0000-0000-0000FF6C0000}"/>
    <cellStyle name="Normal 17 2 9 3" xfId="22463" xr:uid="{00000000-0005-0000-0000-0000006D0000}"/>
    <cellStyle name="Normal 17 3" xfId="593" xr:uid="{00000000-0005-0000-0000-0000016D0000}"/>
    <cellStyle name="Normal 17 3 2" xfId="647" xr:uid="{00000000-0005-0000-0000-0000026D0000}"/>
    <cellStyle name="Normal 17 3 2 2" xfId="826" xr:uid="{00000000-0005-0000-0000-0000036D0000}"/>
    <cellStyle name="Normal 17 3 2 2 2" xfId="11745" xr:uid="{00000000-0005-0000-0000-0000046D0000}"/>
    <cellStyle name="Normal 17 3 2 2 2 2" xfId="21454" xr:uid="{00000000-0005-0000-0000-0000056D0000}"/>
    <cellStyle name="Normal 17 3 2 2 2 2 2" xfId="40854" xr:uid="{00000000-0005-0000-0000-0000066D0000}"/>
    <cellStyle name="Normal 17 3 2 2 2 3" xfId="31156" xr:uid="{00000000-0005-0000-0000-0000076D0000}"/>
    <cellStyle name="Normal 17 3 2 2 3" xfId="10003" xr:uid="{00000000-0005-0000-0000-0000086D0000}"/>
    <cellStyle name="Normal 17 3 2 2 3 2" xfId="19999" xr:uid="{00000000-0005-0000-0000-0000096D0000}"/>
    <cellStyle name="Normal 17 3 2 2 3 2 2" xfId="39399" xr:uid="{00000000-0005-0000-0000-00000A6D0000}"/>
    <cellStyle name="Normal 17 3 2 2 3 3" xfId="29701" xr:uid="{00000000-0005-0000-0000-00000B6D0000}"/>
    <cellStyle name="Normal 17 3 2 2 4" xfId="12106" xr:uid="{00000000-0005-0000-0000-00000C6D0000}"/>
    <cellStyle name="Normal 17 3 2 2 4 2" xfId="31509" xr:uid="{00000000-0005-0000-0000-00000D6D0000}"/>
    <cellStyle name="Normal 17 3 2 2 5" xfId="21811" xr:uid="{00000000-0005-0000-0000-00000E6D0000}"/>
    <cellStyle name="Normal 17 3 2 3" xfId="896" xr:uid="{00000000-0005-0000-0000-00000F6D0000}"/>
    <cellStyle name="Normal 17 3 2 3 2" xfId="11803" xr:uid="{00000000-0005-0000-0000-0000106D0000}"/>
    <cellStyle name="Normal 17 3 2 3 2 2" xfId="21510" xr:uid="{00000000-0005-0000-0000-0000116D0000}"/>
    <cellStyle name="Normal 17 3 2 3 2 2 2" xfId="40910" xr:uid="{00000000-0005-0000-0000-0000126D0000}"/>
    <cellStyle name="Normal 17 3 2 3 2 3" xfId="31212" xr:uid="{00000000-0005-0000-0000-0000136D0000}"/>
    <cellStyle name="Normal 17 3 2 3 3" xfId="12162" xr:uid="{00000000-0005-0000-0000-0000146D0000}"/>
    <cellStyle name="Normal 17 3 2 3 3 2" xfId="31565" xr:uid="{00000000-0005-0000-0000-0000156D0000}"/>
    <cellStyle name="Normal 17 3 2 3 4" xfId="21867" xr:uid="{00000000-0005-0000-0000-0000166D0000}"/>
    <cellStyle name="Normal 17 3 2 4" xfId="11633" xr:uid="{00000000-0005-0000-0000-0000176D0000}"/>
    <cellStyle name="Normal 17 3 2 4 2" xfId="21373" xr:uid="{00000000-0005-0000-0000-0000186D0000}"/>
    <cellStyle name="Normal 17 3 2 4 2 2" xfId="40773" xr:uid="{00000000-0005-0000-0000-0000196D0000}"/>
    <cellStyle name="Normal 17 3 2 4 3" xfId="31075" xr:uid="{00000000-0005-0000-0000-00001A6D0000}"/>
    <cellStyle name="Normal 17 3 2 5" xfId="5539" xr:uid="{00000000-0005-0000-0000-00001B6D0000}"/>
    <cellStyle name="Normal 17 3 2 5 2" xfId="15544" xr:uid="{00000000-0005-0000-0000-00001C6D0000}"/>
    <cellStyle name="Normal 17 3 2 5 2 2" xfId="34944" xr:uid="{00000000-0005-0000-0000-00001D6D0000}"/>
    <cellStyle name="Normal 17 3 2 5 3" xfId="25246" xr:uid="{00000000-0005-0000-0000-00001E6D0000}"/>
    <cellStyle name="Normal 17 3 2 6" xfId="12025" xr:uid="{00000000-0005-0000-0000-00001F6D0000}"/>
    <cellStyle name="Normal 17 3 2 6 2" xfId="31428" xr:uid="{00000000-0005-0000-0000-0000206D0000}"/>
    <cellStyle name="Normal 17 3 2 7" xfId="21730" xr:uid="{00000000-0005-0000-0000-0000216D0000}"/>
    <cellStyle name="Normal 17 3 3" xfId="787" xr:uid="{00000000-0005-0000-0000-0000226D0000}"/>
    <cellStyle name="Normal 17 3 3 2" xfId="11711" xr:uid="{00000000-0005-0000-0000-0000236D0000}"/>
    <cellStyle name="Normal 17 3 3 2 2" xfId="21422" xr:uid="{00000000-0005-0000-0000-0000246D0000}"/>
    <cellStyle name="Normal 17 3 3 2 2 2" xfId="40822" xr:uid="{00000000-0005-0000-0000-0000256D0000}"/>
    <cellStyle name="Normal 17 3 3 2 3" xfId="31124" xr:uid="{00000000-0005-0000-0000-0000266D0000}"/>
    <cellStyle name="Normal 17 3 3 3" xfId="7775" xr:uid="{00000000-0005-0000-0000-0000276D0000}"/>
    <cellStyle name="Normal 17 3 3 3 2" xfId="17771" xr:uid="{00000000-0005-0000-0000-0000286D0000}"/>
    <cellStyle name="Normal 17 3 3 3 2 2" xfId="37171" xr:uid="{00000000-0005-0000-0000-0000296D0000}"/>
    <cellStyle name="Normal 17 3 3 3 3" xfId="27473" xr:uid="{00000000-0005-0000-0000-00002A6D0000}"/>
    <cellStyle name="Normal 17 3 3 4" xfId="12074" xr:uid="{00000000-0005-0000-0000-00002B6D0000}"/>
    <cellStyle name="Normal 17 3 3 4 2" xfId="31477" xr:uid="{00000000-0005-0000-0000-00002C6D0000}"/>
    <cellStyle name="Normal 17 3 3 5" xfId="21779" xr:uid="{00000000-0005-0000-0000-00002D6D0000}"/>
    <cellStyle name="Normal 17 3 4" xfId="866" xr:uid="{00000000-0005-0000-0000-00002E6D0000}"/>
    <cellStyle name="Normal 17 3 4 2" xfId="11773" xr:uid="{00000000-0005-0000-0000-00002F6D0000}"/>
    <cellStyle name="Normal 17 3 4 2 2" xfId="21480" xr:uid="{00000000-0005-0000-0000-0000306D0000}"/>
    <cellStyle name="Normal 17 3 4 2 2 2" xfId="40880" xr:uid="{00000000-0005-0000-0000-0000316D0000}"/>
    <cellStyle name="Normal 17 3 4 2 3" xfId="31182" xr:uid="{00000000-0005-0000-0000-0000326D0000}"/>
    <cellStyle name="Normal 17 3 4 3" xfId="12132" xr:uid="{00000000-0005-0000-0000-0000336D0000}"/>
    <cellStyle name="Normal 17 3 4 3 2" xfId="31535" xr:uid="{00000000-0005-0000-0000-0000346D0000}"/>
    <cellStyle name="Normal 17 3 4 4" xfId="21837" xr:uid="{00000000-0005-0000-0000-0000356D0000}"/>
    <cellStyle name="Normal 17 3 5" xfId="11590" xr:uid="{00000000-0005-0000-0000-0000366D0000}"/>
    <cellStyle name="Normal 17 3 5 2" xfId="21343" xr:uid="{00000000-0005-0000-0000-0000376D0000}"/>
    <cellStyle name="Normal 17 3 5 2 2" xfId="40743" xr:uid="{00000000-0005-0000-0000-0000386D0000}"/>
    <cellStyle name="Normal 17 3 5 3" xfId="31045" xr:uid="{00000000-0005-0000-0000-0000396D0000}"/>
    <cellStyle name="Normal 17 3 6" xfId="3270" xr:uid="{00000000-0005-0000-0000-00003A6D0000}"/>
    <cellStyle name="Normal 17 3 6 2" xfId="13316" xr:uid="{00000000-0005-0000-0000-00003B6D0000}"/>
    <cellStyle name="Normal 17 3 6 2 2" xfId="32716" xr:uid="{00000000-0005-0000-0000-00003C6D0000}"/>
    <cellStyle name="Normal 17 3 6 3" xfId="23018" xr:uid="{00000000-0005-0000-0000-00003D6D0000}"/>
    <cellStyle name="Normal 17 3 7" xfId="11995" xr:uid="{00000000-0005-0000-0000-00003E6D0000}"/>
    <cellStyle name="Normal 17 3 7 2" xfId="31398" xr:uid="{00000000-0005-0000-0000-00003F6D0000}"/>
    <cellStyle name="Normal 17 3 8" xfId="21700" xr:uid="{00000000-0005-0000-0000-0000406D0000}"/>
    <cellStyle name="Normal 17 4" xfId="618" xr:uid="{00000000-0005-0000-0000-0000416D0000}"/>
    <cellStyle name="Normal 17 4 2" xfId="655" xr:uid="{00000000-0005-0000-0000-0000426D0000}"/>
    <cellStyle name="Normal 17 4 2 2" xfId="834" xr:uid="{00000000-0005-0000-0000-0000436D0000}"/>
    <cellStyle name="Normal 17 4 2 2 2" xfId="11753" xr:uid="{00000000-0005-0000-0000-0000446D0000}"/>
    <cellStyle name="Normal 17 4 2 2 2 2" xfId="21462" xr:uid="{00000000-0005-0000-0000-0000456D0000}"/>
    <cellStyle name="Normal 17 4 2 2 2 2 2" xfId="40862" xr:uid="{00000000-0005-0000-0000-0000466D0000}"/>
    <cellStyle name="Normal 17 4 2 2 2 3" xfId="31164" xr:uid="{00000000-0005-0000-0000-0000476D0000}"/>
    <cellStyle name="Normal 17 4 2 2 3" xfId="9447" xr:uid="{00000000-0005-0000-0000-0000486D0000}"/>
    <cellStyle name="Normal 17 4 2 2 3 2" xfId="19443" xr:uid="{00000000-0005-0000-0000-0000496D0000}"/>
    <cellStyle name="Normal 17 4 2 2 3 2 2" xfId="38843" xr:uid="{00000000-0005-0000-0000-00004A6D0000}"/>
    <cellStyle name="Normal 17 4 2 2 3 3" xfId="29145" xr:uid="{00000000-0005-0000-0000-00004B6D0000}"/>
    <cellStyle name="Normal 17 4 2 2 4" xfId="12114" xr:uid="{00000000-0005-0000-0000-00004C6D0000}"/>
    <cellStyle name="Normal 17 4 2 2 4 2" xfId="31517" xr:uid="{00000000-0005-0000-0000-00004D6D0000}"/>
    <cellStyle name="Normal 17 4 2 2 5" xfId="21819" xr:uid="{00000000-0005-0000-0000-00004E6D0000}"/>
    <cellStyle name="Normal 17 4 2 3" xfId="904" xr:uid="{00000000-0005-0000-0000-00004F6D0000}"/>
    <cellStyle name="Normal 17 4 2 3 2" xfId="11811" xr:uid="{00000000-0005-0000-0000-0000506D0000}"/>
    <cellStyle name="Normal 17 4 2 3 2 2" xfId="21518" xr:uid="{00000000-0005-0000-0000-0000516D0000}"/>
    <cellStyle name="Normal 17 4 2 3 2 2 2" xfId="40918" xr:uid="{00000000-0005-0000-0000-0000526D0000}"/>
    <cellStyle name="Normal 17 4 2 3 2 3" xfId="31220" xr:uid="{00000000-0005-0000-0000-0000536D0000}"/>
    <cellStyle name="Normal 17 4 2 3 3" xfId="12170" xr:uid="{00000000-0005-0000-0000-0000546D0000}"/>
    <cellStyle name="Normal 17 4 2 3 3 2" xfId="31573" xr:uid="{00000000-0005-0000-0000-0000556D0000}"/>
    <cellStyle name="Normal 17 4 2 3 4" xfId="21875" xr:uid="{00000000-0005-0000-0000-0000566D0000}"/>
    <cellStyle name="Normal 17 4 2 4" xfId="11641" xr:uid="{00000000-0005-0000-0000-0000576D0000}"/>
    <cellStyle name="Normal 17 4 2 4 2" xfId="21381" xr:uid="{00000000-0005-0000-0000-0000586D0000}"/>
    <cellStyle name="Normal 17 4 2 4 2 2" xfId="40781" xr:uid="{00000000-0005-0000-0000-0000596D0000}"/>
    <cellStyle name="Normal 17 4 2 4 3" xfId="31083" xr:uid="{00000000-0005-0000-0000-00005A6D0000}"/>
    <cellStyle name="Normal 17 4 2 5" xfId="4983" xr:uid="{00000000-0005-0000-0000-00005B6D0000}"/>
    <cellStyle name="Normal 17 4 2 5 2" xfId="14988" xr:uid="{00000000-0005-0000-0000-00005C6D0000}"/>
    <cellStyle name="Normal 17 4 2 5 2 2" xfId="34388" xr:uid="{00000000-0005-0000-0000-00005D6D0000}"/>
    <cellStyle name="Normal 17 4 2 5 3" xfId="24690" xr:uid="{00000000-0005-0000-0000-00005E6D0000}"/>
    <cellStyle name="Normal 17 4 2 6" xfId="12033" xr:uid="{00000000-0005-0000-0000-00005F6D0000}"/>
    <cellStyle name="Normal 17 4 2 6 2" xfId="31436" xr:uid="{00000000-0005-0000-0000-0000606D0000}"/>
    <cellStyle name="Normal 17 4 2 7" xfId="21738" xr:uid="{00000000-0005-0000-0000-0000616D0000}"/>
    <cellStyle name="Normal 17 4 3" xfId="801" xr:uid="{00000000-0005-0000-0000-0000626D0000}"/>
    <cellStyle name="Normal 17 4 3 2" xfId="11722" xr:uid="{00000000-0005-0000-0000-0000636D0000}"/>
    <cellStyle name="Normal 17 4 3 2 2" xfId="21432" xr:uid="{00000000-0005-0000-0000-0000646D0000}"/>
    <cellStyle name="Normal 17 4 3 2 2 2" xfId="40832" xr:uid="{00000000-0005-0000-0000-0000656D0000}"/>
    <cellStyle name="Normal 17 4 3 2 3" xfId="31134" xr:uid="{00000000-0005-0000-0000-0000666D0000}"/>
    <cellStyle name="Normal 17 4 3 3" xfId="8332" xr:uid="{00000000-0005-0000-0000-0000676D0000}"/>
    <cellStyle name="Normal 17 4 3 3 2" xfId="18328" xr:uid="{00000000-0005-0000-0000-0000686D0000}"/>
    <cellStyle name="Normal 17 4 3 3 2 2" xfId="37728" xr:uid="{00000000-0005-0000-0000-0000696D0000}"/>
    <cellStyle name="Normal 17 4 3 3 3" xfId="28030" xr:uid="{00000000-0005-0000-0000-00006A6D0000}"/>
    <cellStyle name="Normal 17 4 3 4" xfId="12084" xr:uid="{00000000-0005-0000-0000-00006B6D0000}"/>
    <cellStyle name="Normal 17 4 3 4 2" xfId="31487" xr:uid="{00000000-0005-0000-0000-00006C6D0000}"/>
    <cellStyle name="Normal 17 4 3 5" xfId="21789" xr:uid="{00000000-0005-0000-0000-00006D6D0000}"/>
    <cellStyle name="Normal 17 4 4" xfId="874" xr:uid="{00000000-0005-0000-0000-00006E6D0000}"/>
    <cellStyle name="Normal 17 4 4 2" xfId="11781" xr:uid="{00000000-0005-0000-0000-00006F6D0000}"/>
    <cellStyle name="Normal 17 4 4 2 2" xfId="21488" xr:uid="{00000000-0005-0000-0000-0000706D0000}"/>
    <cellStyle name="Normal 17 4 4 2 2 2" xfId="40888" xr:uid="{00000000-0005-0000-0000-0000716D0000}"/>
    <cellStyle name="Normal 17 4 4 2 3" xfId="31190" xr:uid="{00000000-0005-0000-0000-0000726D0000}"/>
    <cellStyle name="Normal 17 4 4 3" xfId="12140" xr:uid="{00000000-0005-0000-0000-0000736D0000}"/>
    <cellStyle name="Normal 17 4 4 3 2" xfId="31543" xr:uid="{00000000-0005-0000-0000-0000746D0000}"/>
    <cellStyle name="Normal 17 4 4 4" xfId="21845" xr:uid="{00000000-0005-0000-0000-0000756D0000}"/>
    <cellStyle name="Normal 17 4 5" xfId="11604" xr:uid="{00000000-0005-0000-0000-0000766D0000}"/>
    <cellStyle name="Normal 17 4 5 2" xfId="21351" xr:uid="{00000000-0005-0000-0000-0000776D0000}"/>
    <cellStyle name="Normal 17 4 5 2 2" xfId="40751" xr:uid="{00000000-0005-0000-0000-0000786D0000}"/>
    <cellStyle name="Normal 17 4 5 3" xfId="31053" xr:uid="{00000000-0005-0000-0000-0000796D0000}"/>
    <cellStyle name="Normal 17 4 6" xfId="3853" xr:uid="{00000000-0005-0000-0000-00007A6D0000}"/>
    <cellStyle name="Normal 17 4 6 2" xfId="13873" xr:uid="{00000000-0005-0000-0000-00007B6D0000}"/>
    <cellStyle name="Normal 17 4 6 2 2" xfId="33273" xr:uid="{00000000-0005-0000-0000-00007C6D0000}"/>
    <cellStyle name="Normal 17 4 6 3" xfId="23575" xr:uid="{00000000-0005-0000-0000-00007D6D0000}"/>
    <cellStyle name="Normal 17 4 7" xfId="12003" xr:uid="{00000000-0005-0000-0000-00007E6D0000}"/>
    <cellStyle name="Normal 17 4 7 2" xfId="31406" xr:uid="{00000000-0005-0000-0000-00007F6D0000}"/>
    <cellStyle name="Normal 17 4 8" xfId="21708" xr:uid="{00000000-0005-0000-0000-0000806D0000}"/>
    <cellStyle name="Normal 17 5" xfId="626" xr:uid="{00000000-0005-0000-0000-0000816D0000}"/>
    <cellStyle name="Normal 17 5 2" xfId="663" xr:uid="{00000000-0005-0000-0000-0000826D0000}"/>
    <cellStyle name="Normal 17 5 2 2" xfId="842" xr:uid="{00000000-0005-0000-0000-0000836D0000}"/>
    <cellStyle name="Normal 17 5 2 2 2" xfId="11761" xr:uid="{00000000-0005-0000-0000-0000846D0000}"/>
    <cellStyle name="Normal 17 5 2 2 2 2" xfId="21470" xr:uid="{00000000-0005-0000-0000-0000856D0000}"/>
    <cellStyle name="Normal 17 5 2 2 2 2 2" xfId="40870" xr:uid="{00000000-0005-0000-0000-0000866D0000}"/>
    <cellStyle name="Normal 17 5 2 2 2 3" xfId="31172" xr:uid="{00000000-0005-0000-0000-0000876D0000}"/>
    <cellStyle name="Normal 17 5 2 2 3" xfId="12122" xr:uid="{00000000-0005-0000-0000-0000886D0000}"/>
    <cellStyle name="Normal 17 5 2 2 3 2" xfId="31525" xr:uid="{00000000-0005-0000-0000-0000896D0000}"/>
    <cellStyle name="Normal 17 5 2 2 4" xfId="21827" xr:uid="{00000000-0005-0000-0000-00008A6D0000}"/>
    <cellStyle name="Normal 17 5 2 3" xfId="912" xr:uid="{00000000-0005-0000-0000-00008B6D0000}"/>
    <cellStyle name="Normal 17 5 2 3 2" xfId="11819" xr:uid="{00000000-0005-0000-0000-00008C6D0000}"/>
    <cellStyle name="Normal 17 5 2 3 2 2" xfId="21526" xr:uid="{00000000-0005-0000-0000-00008D6D0000}"/>
    <cellStyle name="Normal 17 5 2 3 2 2 2" xfId="40926" xr:uid="{00000000-0005-0000-0000-00008E6D0000}"/>
    <cellStyle name="Normal 17 5 2 3 2 3" xfId="31228" xr:uid="{00000000-0005-0000-0000-00008F6D0000}"/>
    <cellStyle name="Normal 17 5 2 3 3" xfId="12178" xr:uid="{00000000-0005-0000-0000-0000906D0000}"/>
    <cellStyle name="Normal 17 5 2 3 3 2" xfId="31581" xr:uid="{00000000-0005-0000-0000-0000916D0000}"/>
    <cellStyle name="Normal 17 5 2 3 4" xfId="21883" xr:uid="{00000000-0005-0000-0000-0000926D0000}"/>
    <cellStyle name="Normal 17 5 2 4" xfId="11649" xr:uid="{00000000-0005-0000-0000-0000936D0000}"/>
    <cellStyle name="Normal 17 5 2 4 2" xfId="21389" xr:uid="{00000000-0005-0000-0000-0000946D0000}"/>
    <cellStyle name="Normal 17 5 2 4 2 2" xfId="40789" xr:uid="{00000000-0005-0000-0000-0000956D0000}"/>
    <cellStyle name="Normal 17 5 2 4 3" xfId="31091" xr:uid="{00000000-0005-0000-0000-0000966D0000}"/>
    <cellStyle name="Normal 17 5 2 5" xfId="8890" xr:uid="{00000000-0005-0000-0000-0000976D0000}"/>
    <cellStyle name="Normal 17 5 2 5 2" xfId="18886" xr:uid="{00000000-0005-0000-0000-0000986D0000}"/>
    <cellStyle name="Normal 17 5 2 5 2 2" xfId="38286" xr:uid="{00000000-0005-0000-0000-0000996D0000}"/>
    <cellStyle name="Normal 17 5 2 5 3" xfId="28588" xr:uid="{00000000-0005-0000-0000-00009A6D0000}"/>
    <cellStyle name="Normal 17 5 2 6" xfId="12041" xr:uid="{00000000-0005-0000-0000-00009B6D0000}"/>
    <cellStyle name="Normal 17 5 2 6 2" xfId="31444" xr:uid="{00000000-0005-0000-0000-00009C6D0000}"/>
    <cellStyle name="Normal 17 5 2 7" xfId="21746" xr:uid="{00000000-0005-0000-0000-00009D6D0000}"/>
    <cellStyle name="Normal 17 5 3" xfId="809" xr:uid="{00000000-0005-0000-0000-00009E6D0000}"/>
    <cellStyle name="Normal 17 5 3 2" xfId="11730" xr:uid="{00000000-0005-0000-0000-00009F6D0000}"/>
    <cellStyle name="Normal 17 5 3 2 2" xfId="21440" xr:uid="{00000000-0005-0000-0000-0000A06D0000}"/>
    <cellStyle name="Normal 17 5 3 2 2 2" xfId="40840" xr:uid="{00000000-0005-0000-0000-0000A16D0000}"/>
    <cellStyle name="Normal 17 5 3 2 3" xfId="31142" xr:uid="{00000000-0005-0000-0000-0000A26D0000}"/>
    <cellStyle name="Normal 17 5 3 3" xfId="12092" xr:uid="{00000000-0005-0000-0000-0000A36D0000}"/>
    <cellStyle name="Normal 17 5 3 3 2" xfId="31495" xr:uid="{00000000-0005-0000-0000-0000A46D0000}"/>
    <cellStyle name="Normal 17 5 3 4" xfId="21797" xr:uid="{00000000-0005-0000-0000-0000A56D0000}"/>
    <cellStyle name="Normal 17 5 4" xfId="882" xr:uid="{00000000-0005-0000-0000-0000A66D0000}"/>
    <cellStyle name="Normal 17 5 4 2" xfId="11789" xr:uid="{00000000-0005-0000-0000-0000A76D0000}"/>
    <cellStyle name="Normal 17 5 4 2 2" xfId="21496" xr:uid="{00000000-0005-0000-0000-0000A86D0000}"/>
    <cellStyle name="Normal 17 5 4 2 2 2" xfId="40896" xr:uid="{00000000-0005-0000-0000-0000A96D0000}"/>
    <cellStyle name="Normal 17 5 4 2 3" xfId="31198" xr:uid="{00000000-0005-0000-0000-0000AA6D0000}"/>
    <cellStyle name="Normal 17 5 4 3" xfId="12148" xr:uid="{00000000-0005-0000-0000-0000AB6D0000}"/>
    <cellStyle name="Normal 17 5 4 3 2" xfId="31551" xr:uid="{00000000-0005-0000-0000-0000AC6D0000}"/>
    <cellStyle name="Normal 17 5 4 4" xfId="21853" xr:uid="{00000000-0005-0000-0000-0000AD6D0000}"/>
    <cellStyle name="Normal 17 5 5" xfId="11612" xr:uid="{00000000-0005-0000-0000-0000AE6D0000}"/>
    <cellStyle name="Normal 17 5 5 2" xfId="21359" xr:uid="{00000000-0005-0000-0000-0000AF6D0000}"/>
    <cellStyle name="Normal 17 5 5 2 2" xfId="40759" xr:uid="{00000000-0005-0000-0000-0000B06D0000}"/>
    <cellStyle name="Normal 17 5 5 3" xfId="31061" xr:uid="{00000000-0005-0000-0000-0000B16D0000}"/>
    <cellStyle name="Normal 17 5 6" xfId="4426" xr:uid="{00000000-0005-0000-0000-0000B26D0000}"/>
    <cellStyle name="Normal 17 5 6 2" xfId="14431" xr:uid="{00000000-0005-0000-0000-0000B36D0000}"/>
    <cellStyle name="Normal 17 5 6 2 2" xfId="33831" xr:uid="{00000000-0005-0000-0000-0000B46D0000}"/>
    <cellStyle name="Normal 17 5 6 3" xfId="24133" xr:uid="{00000000-0005-0000-0000-0000B56D0000}"/>
    <cellStyle name="Normal 17 5 7" xfId="12011" xr:uid="{00000000-0005-0000-0000-0000B66D0000}"/>
    <cellStyle name="Normal 17 5 7 2" xfId="31414" xr:uid="{00000000-0005-0000-0000-0000B76D0000}"/>
    <cellStyle name="Normal 17 5 8" xfId="21716" xr:uid="{00000000-0005-0000-0000-0000B86D0000}"/>
    <cellStyle name="Normal 17 6" xfId="644" xr:uid="{00000000-0005-0000-0000-0000B96D0000}"/>
    <cellStyle name="Normal 17 6 2" xfId="823" xr:uid="{00000000-0005-0000-0000-0000BA6D0000}"/>
    <cellStyle name="Normal 17 6 2 2" xfId="11743" xr:uid="{00000000-0005-0000-0000-0000BB6D0000}"/>
    <cellStyle name="Normal 17 6 2 2 2" xfId="21452" xr:uid="{00000000-0005-0000-0000-0000BC6D0000}"/>
    <cellStyle name="Normal 17 6 2 2 2 2" xfId="40852" xr:uid="{00000000-0005-0000-0000-0000BD6D0000}"/>
    <cellStyle name="Normal 17 6 2 2 3" xfId="31154" xr:uid="{00000000-0005-0000-0000-0000BE6D0000}"/>
    <cellStyle name="Normal 17 6 2 3" xfId="10560" xr:uid="{00000000-0005-0000-0000-0000BF6D0000}"/>
    <cellStyle name="Normal 17 6 2 3 2" xfId="20556" xr:uid="{00000000-0005-0000-0000-0000C06D0000}"/>
    <cellStyle name="Normal 17 6 2 3 2 2" xfId="39956" xr:uid="{00000000-0005-0000-0000-0000C16D0000}"/>
    <cellStyle name="Normal 17 6 2 3 3" xfId="30258" xr:uid="{00000000-0005-0000-0000-0000C26D0000}"/>
    <cellStyle name="Normal 17 6 2 4" xfId="12104" xr:uid="{00000000-0005-0000-0000-0000C36D0000}"/>
    <cellStyle name="Normal 17 6 2 4 2" xfId="31507" xr:uid="{00000000-0005-0000-0000-0000C46D0000}"/>
    <cellStyle name="Normal 17 6 2 5" xfId="21809" xr:uid="{00000000-0005-0000-0000-0000C56D0000}"/>
    <cellStyle name="Normal 17 6 3" xfId="894" xr:uid="{00000000-0005-0000-0000-0000C66D0000}"/>
    <cellStyle name="Normal 17 6 3 2" xfId="11801" xr:uid="{00000000-0005-0000-0000-0000C76D0000}"/>
    <cellStyle name="Normal 17 6 3 2 2" xfId="21508" xr:uid="{00000000-0005-0000-0000-0000C86D0000}"/>
    <cellStyle name="Normal 17 6 3 2 2 2" xfId="40908" xr:uid="{00000000-0005-0000-0000-0000C96D0000}"/>
    <cellStyle name="Normal 17 6 3 2 3" xfId="31210" xr:uid="{00000000-0005-0000-0000-0000CA6D0000}"/>
    <cellStyle name="Normal 17 6 3 3" xfId="12160" xr:uid="{00000000-0005-0000-0000-0000CB6D0000}"/>
    <cellStyle name="Normal 17 6 3 3 2" xfId="31563" xr:uid="{00000000-0005-0000-0000-0000CC6D0000}"/>
    <cellStyle name="Normal 17 6 3 4" xfId="21865" xr:uid="{00000000-0005-0000-0000-0000CD6D0000}"/>
    <cellStyle name="Normal 17 6 4" xfId="11630" xr:uid="{00000000-0005-0000-0000-0000CE6D0000}"/>
    <cellStyle name="Normal 17 6 4 2" xfId="21371" xr:uid="{00000000-0005-0000-0000-0000CF6D0000}"/>
    <cellStyle name="Normal 17 6 4 2 2" xfId="40771" xr:uid="{00000000-0005-0000-0000-0000D06D0000}"/>
    <cellStyle name="Normal 17 6 4 3" xfId="31073" xr:uid="{00000000-0005-0000-0000-0000D16D0000}"/>
    <cellStyle name="Normal 17 6 5" xfId="6096" xr:uid="{00000000-0005-0000-0000-0000D26D0000}"/>
    <cellStyle name="Normal 17 6 5 2" xfId="16101" xr:uid="{00000000-0005-0000-0000-0000D36D0000}"/>
    <cellStyle name="Normal 17 6 5 2 2" xfId="35501" xr:uid="{00000000-0005-0000-0000-0000D46D0000}"/>
    <cellStyle name="Normal 17 6 5 3" xfId="25803" xr:uid="{00000000-0005-0000-0000-0000D56D0000}"/>
    <cellStyle name="Normal 17 6 6" xfId="12023" xr:uid="{00000000-0005-0000-0000-0000D66D0000}"/>
    <cellStyle name="Normal 17 6 6 2" xfId="31426" xr:uid="{00000000-0005-0000-0000-0000D76D0000}"/>
    <cellStyle name="Normal 17 6 7" xfId="21728" xr:uid="{00000000-0005-0000-0000-0000D86D0000}"/>
    <cellStyle name="Normal 17 7" xfId="773" xr:uid="{00000000-0005-0000-0000-0000D96D0000}"/>
    <cellStyle name="Normal 17 7 2" xfId="11117" xr:uid="{00000000-0005-0000-0000-0000DA6D0000}"/>
    <cellStyle name="Normal 17 7 2 2" xfId="21113" xr:uid="{00000000-0005-0000-0000-0000DB6D0000}"/>
    <cellStyle name="Normal 17 7 2 2 2" xfId="40513" xr:uid="{00000000-0005-0000-0000-0000DC6D0000}"/>
    <cellStyle name="Normal 17 7 2 3" xfId="30815" xr:uid="{00000000-0005-0000-0000-0000DD6D0000}"/>
    <cellStyle name="Normal 17 7 3" xfId="11708" xr:uid="{00000000-0005-0000-0000-0000DE6D0000}"/>
    <cellStyle name="Normal 17 7 3 2" xfId="21420" xr:uid="{00000000-0005-0000-0000-0000DF6D0000}"/>
    <cellStyle name="Normal 17 7 3 2 2" xfId="40820" xr:uid="{00000000-0005-0000-0000-0000E06D0000}"/>
    <cellStyle name="Normal 17 7 3 3" xfId="31122" xr:uid="{00000000-0005-0000-0000-0000E16D0000}"/>
    <cellStyle name="Normal 17 7 4" xfId="6662" xr:uid="{00000000-0005-0000-0000-0000E26D0000}"/>
    <cellStyle name="Normal 17 7 4 2" xfId="16658" xr:uid="{00000000-0005-0000-0000-0000E36D0000}"/>
    <cellStyle name="Normal 17 7 4 2 2" xfId="36058" xr:uid="{00000000-0005-0000-0000-0000E46D0000}"/>
    <cellStyle name="Normal 17 7 4 3" xfId="26360" xr:uid="{00000000-0005-0000-0000-0000E56D0000}"/>
    <cellStyle name="Normal 17 7 5" xfId="12072" xr:uid="{00000000-0005-0000-0000-0000E66D0000}"/>
    <cellStyle name="Normal 17 7 5 2" xfId="31475" xr:uid="{00000000-0005-0000-0000-0000E76D0000}"/>
    <cellStyle name="Normal 17 7 6" xfId="21777" xr:uid="{00000000-0005-0000-0000-0000E86D0000}"/>
    <cellStyle name="Normal 17 8" xfId="863" xr:uid="{00000000-0005-0000-0000-0000E96D0000}"/>
    <cellStyle name="Normal 17 8 2" xfId="11770" xr:uid="{00000000-0005-0000-0000-0000EA6D0000}"/>
    <cellStyle name="Normal 17 8 2 2" xfId="21478" xr:uid="{00000000-0005-0000-0000-0000EB6D0000}"/>
    <cellStyle name="Normal 17 8 2 2 2" xfId="40878" xr:uid="{00000000-0005-0000-0000-0000EC6D0000}"/>
    <cellStyle name="Normal 17 8 2 3" xfId="31180" xr:uid="{00000000-0005-0000-0000-0000ED6D0000}"/>
    <cellStyle name="Normal 17 8 3" xfId="7219" xr:uid="{00000000-0005-0000-0000-0000EE6D0000}"/>
    <cellStyle name="Normal 17 8 3 2" xfId="17215" xr:uid="{00000000-0005-0000-0000-0000EF6D0000}"/>
    <cellStyle name="Normal 17 8 3 2 2" xfId="36615" xr:uid="{00000000-0005-0000-0000-0000F06D0000}"/>
    <cellStyle name="Normal 17 8 3 3" xfId="26917" xr:uid="{00000000-0005-0000-0000-0000F16D0000}"/>
    <cellStyle name="Normal 17 8 4" xfId="12130" xr:uid="{00000000-0005-0000-0000-0000F26D0000}"/>
    <cellStyle name="Normal 17 8 4 2" xfId="31533" xr:uid="{00000000-0005-0000-0000-0000F36D0000}"/>
    <cellStyle name="Normal 17 8 5" xfId="21835" xr:uid="{00000000-0005-0000-0000-0000F46D0000}"/>
    <cellStyle name="Normal 17 9" xfId="11558" xr:uid="{00000000-0005-0000-0000-0000F56D0000}"/>
    <cellStyle name="Normal 17 9 2" xfId="21341" xr:uid="{00000000-0005-0000-0000-0000F66D0000}"/>
    <cellStyle name="Normal 17 9 2 2" xfId="40741" xr:uid="{00000000-0005-0000-0000-0000F76D0000}"/>
    <cellStyle name="Normal 17 9 3" xfId="31043" xr:uid="{00000000-0005-0000-0000-0000F86D0000}"/>
    <cellStyle name="Normal 18" xfId="518" xr:uid="{00000000-0005-0000-0000-0000F96D0000}"/>
    <cellStyle name="Normal 18 2" xfId="2536" xr:uid="{00000000-0005-0000-0000-0000FA6D0000}"/>
    <cellStyle name="Normal 18 2 2" xfId="3425" xr:uid="{00000000-0005-0000-0000-0000FB6D0000}"/>
    <cellStyle name="Normal 18 2 2 2" xfId="5693" xr:uid="{00000000-0005-0000-0000-0000FC6D0000}"/>
    <cellStyle name="Normal 18 2 2 2 2" xfId="10157" xr:uid="{00000000-0005-0000-0000-0000FD6D0000}"/>
    <cellStyle name="Normal 18 2 2 2 2 2" xfId="20153" xr:uid="{00000000-0005-0000-0000-0000FE6D0000}"/>
    <cellStyle name="Normal 18 2 2 2 2 2 2" xfId="39553" xr:uid="{00000000-0005-0000-0000-0000FF6D0000}"/>
    <cellStyle name="Normal 18 2 2 2 2 3" xfId="29855" xr:uid="{00000000-0005-0000-0000-0000006E0000}"/>
    <cellStyle name="Normal 18 2 2 2 3" xfId="15698" xr:uid="{00000000-0005-0000-0000-0000016E0000}"/>
    <cellStyle name="Normal 18 2 2 2 3 2" xfId="35098" xr:uid="{00000000-0005-0000-0000-0000026E0000}"/>
    <cellStyle name="Normal 18 2 2 2 4" xfId="25400" xr:uid="{00000000-0005-0000-0000-0000036E0000}"/>
    <cellStyle name="Normal 18 2 2 3" xfId="7929" xr:uid="{00000000-0005-0000-0000-0000046E0000}"/>
    <cellStyle name="Normal 18 2 2 3 2" xfId="17925" xr:uid="{00000000-0005-0000-0000-0000056E0000}"/>
    <cellStyle name="Normal 18 2 2 3 2 2" xfId="37325" xr:uid="{00000000-0005-0000-0000-0000066E0000}"/>
    <cellStyle name="Normal 18 2 2 3 3" xfId="27627" xr:uid="{00000000-0005-0000-0000-0000076E0000}"/>
    <cellStyle name="Normal 18 2 2 4" xfId="13470" xr:uid="{00000000-0005-0000-0000-0000086E0000}"/>
    <cellStyle name="Normal 18 2 2 4 2" xfId="32870" xr:uid="{00000000-0005-0000-0000-0000096E0000}"/>
    <cellStyle name="Normal 18 2 2 5" xfId="23172" xr:uid="{00000000-0005-0000-0000-00000A6E0000}"/>
    <cellStyle name="Normal 18 2 3" xfId="4008" xr:uid="{00000000-0005-0000-0000-00000B6E0000}"/>
    <cellStyle name="Normal 18 2 3 2" xfId="5137" xr:uid="{00000000-0005-0000-0000-00000C6E0000}"/>
    <cellStyle name="Normal 18 2 3 2 2" xfId="9601" xr:uid="{00000000-0005-0000-0000-00000D6E0000}"/>
    <cellStyle name="Normal 18 2 3 2 2 2" xfId="19597" xr:uid="{00000000-0005-0000-0000-00000E6E0000}"/>
    <cellStyle name="Normal 18 2 3 2 2 2 2" xfId="38997" xr:uid="{00000000-0005-0000-0000-00000F6E0000}"/>
    <cellStyle name="Normal 18 2 3 2 2 3" xfId="29299" xr:uid="{00000000-0005-0000-0000-0000106E0000}"/>
    <cellStyle name="Normal 18 2 3 2 3" xfId="15142" xr:uid="{00000000-0005-0000-0000-0000116E0000}"/>
    <cellStyle name="Normal 18 2 3 2 3 2" xfId="34542" xr:uid="{00000000-0005-0000-0000-0000126E0000}"/>
    <cellStyle name="Normal 18 2 3 2 4" xfId="24844" xr:uid="{00000000-0005-0000-0000-0000136E0000}"/>
    <cellStyle name="Normal 18 2 3 3" xfId="8486" xr:uid="{00000000-0005-0000-0000-0000146E0000}"/>
    <cellStyle name="Normal 18 2 3 3 2" xfId="18482" xr:uid="{00000000-0005-0000-0000-0000156E0000}"/>
    <cellStyle name="Normal 18 2 3 3 2 2" xfId="37882" xr:uid="{00000000-0005-0000-0000-0000166E0000}"/>
    <cellStyle name="Normal 18 2 3 3 3" xfId="28184" xr:uid="{00000000-0005-0000-0000-0000176E0000}"/>
    <cellStyle name="Normal 18 2 3 4" xfId="14027" xr:uid="{00000000-0005-0000-0000-0000186E0000}"/>
    <cellStyle name="Normal 18 2 3 4 2" xfId="33427" xr:uid="{00000000-0005-0000-0000-0000196E0000}"/>
    <cellStyle name="Normal 18 2 3 5" xfId="23729" xr:uid="{00000000-0005-0000-0000-00001A6E0000}"/>
    <cellStyle name="Normal 18 2 4" xfId="4580" xr:uid="{00000000-0005-0000-0000-00001B6E0000}"/>
    <cellStyle name="Normal 18 2 4 2" xfId="9044" xr:uid="{00000000-0005-0000-0000-00001C6E0000}"/>
    <cellStyle name="Normal 18 2 4 2 2" xfId="19040" xr:uid="{00000000-0005-0000-0000-00001D6E0000}"/>
    <cellStyle name="Normal 18 2 4 2 2 2" xfId="38440" xr:uid="{00000000-0005-0000-0000-00001E6E0000}"/>
    <cellStyle name="Normal 18 2 4 2 3" xfId="28742" xr:uid="{00000000-0005-0000-0000-00001F6E0000}"/>
    <cellStyle name="Normal 18 2 4 3" xfId="14585" xr:uid="{00000000-0005-0000-0000-0000206E0000}"/>
    <cellStyle name="Normal 18 2 4 3 2" xfId="33985" xr:uid="{00000000-0005-0000-0000-0000216E0000}"/>
    <cellStyle name="Normal 18 2 4 4" xfId="24287" xr:uid="{00000000-0005-0000-0000-0000226E0000}"/>
    <cellStyle name="Normal 18 2 5" xfId="6250" xr:uid="{00000000-0005-0000-0000-0000236E0000}"/>
    <cellStyle name="Normal 18 2 5 2" xfId="10714" xr:uid="{00000000-0005-0000-0000-0000246E0000}"/>
    <cellStyle name="Normal 18 2 5 2 2" xfId="20710" xr:uid="{00000000-0005-0000-0000-0000256E0000}"/>
    <cellStyle name="Normal 18 2 5 2 2 2" xfId="40110" xr:uid="{00000000-0005-0000-0000-0000266E0000}"/>
    <cellStyle name="Normal 18 2 5 2 3" xfId="30412" xr:uid="{00000000-0005-0000-0000-0000276E0000}"/>
    <cellStyle name="Normal 18 2 5 3" xfId="16255" xr:uid="{00000000-0005-0000-0000-0000286E0000}"/>
    <cellStyle name="Normal 18 2 5 3 2" xfId="35655" xr:uid="{00000000-0005-0000-0000-0000296E0000}"/>
    <cellStyle name="Normal 18 2 5 4" xfId="25957" xr:uid="{00000000-0005-0000-0000-00002A6E0000}"/>
    <cellStyle name="Normal 18 2 6" xfId="6816" xr:uid="{00000000-0005-0000-0000-00002B6E0000}"/>
    <cellStyle name="Normal 18 2 6 2" xfId="11271" xr:uid="{00000000-0005-0000-0000-00002C6E0000}"/>
    <cellStyle name="Normal 18 2 6 2 2" xfId="21267" xr:uid="{00000000-0005-0000-0000-00002D6E0000}"/>
    <cellStyle name="Normal 18 2 6 2 2 2" xfId="40667" xr:uid="{00000000-0005-0000-0000-00002E6E0000}"/>
    <cellStyle name="Normal 18 2 6 2 3" xfId="30969" xr:uid="{00000000-0005-0000-0000-00002F6E0000}"/>
    <cellStyle name="Normal 18 2 6 3" xfId="16812" xr:uid="{00000000-0005-0000-0000-0000306E0000}"/>
    <cellStyle name="Normal 18 2 6 3 2" xfId="36212" xr:uid="{00000000-0005-0000-0000-0000316E0000}"/>
    <cellStyle name="Normal 18 2 6 4" xfId="26514" xr:uid="{00000000-0005-0000-0000-0000326E0000}"/>
    <cellStyle name="Normal 18 2 7" xfId="7373" xr:uid="{00000000-0005-0000-0000-0000336E0000}"/>
    <cellStyle name="Normal 18 2 7 2" xfId="17369" xr:uid="{00000000-0005-0000-0000-0000346E0000}"/>
    <cellStyle name="Normal 18 2 7 2 2" xfId="36769" xr:uid="{00000000-0005-0000-0000-0000356E0000}"/>
    <cellStyle name="Normal 18 2 7 3" xfId="27071" xr:uid="{00000000-0005-0000-0000-0000366E0000}"/>
    <cellStyle name="Normal 18 2 8" xfId="12913" xr:uid="{00000000-0005-0000-0000-0000376E0000}"/>
    <cellStyle name="Normal 18 2 8 2" xfId="32314" xr:uid="{00000000-0005-0000-0000-0000386E0000}"/>
    <cellStyle name="Normal 18 2 9" xfId="22616" xr:uid="{00000000-0005-0000-0000-0000396E0000}"/>
    <cellStyle name="Normal 19" xfId="519" xr:uid="{00000000-0005-0000-0000-00003A6E0000}"/>
    <cellStyle name="Normal 19 2" xfId="605" xr:uid="{00000000-0005-0000-0000-00003B6E0000}"/>
    <cellStyle name="Normal 19 3" xfId="594" xr:uid="{00000000-0005-0000-0000-00003C6E0000}"/>
    <cellStyle name="Normal 19 4" xfId="2537" xr:uid="{00000000-0005-0000-0000-00003D6E0000}"/>
    <cellStyle name="Normal 19 4 2" xfId="3426" xr:uid="{00000000-0005-0000-0000-00003E6E0000}"/>
    <cellStyle name="Normal 19 4 2 2" xfId="5694" xr:uid="{00000000-0005-0000-0000-00003F6E0000}"/>
    <cellStyle name="Normal 19 4 2 2 2" xfId="10158" xr:uid="{00000000-0005-0000-0000-0000406E0000}"/>
    <cellStyle name="Normal 19 4 2 2 2 2" xfId="20154" xr:uid="{00000000-0005-0000-0000-0000416E0000}"/>
    <cellStyle name="Normal 19 4 2 2 2 2 2" xfId="39554" xr:uid="{00000000-0005-0000-0000-0000426E0000}"/>
    <cellStyle name="Normal 19 4 2 2 2 3" xfId="29856" xr:uid="{00000000-0005-0000-0000-0000436E0000}"/>
    <cellStyle name="Normal 19 4 2 2 3" xfId="15699" xr:uid="{00000000-0005-0000-0000-0000446E0000}"/>
    <cellStyle name="Normal 19 4 2 2 3 2" xfId="35099" xr:uid="{00000000-0005-0000-0000-0000456E0000}"/>
    <cellStyle name="Normal 19 4 2 2 4" xfId="25401" xr:uid="{00000000-0005-0000-0000-0000466E0000}"/>
    <cellStyle name="Normal 19 4 2 3" xfId="7930" xr:uid="{00000000-0005-0000-0000-0000476E0000}"/>
    <cellStyle name="Normal 19 4 2 3 2" xfId="17926" xr:uid="{00000000-0005-0000-0000-0000486E0000}"/>
    <cellStyle name="Normal 19 4 2 3 2 2" xfId="37326" xr:uid="{00000000-0005-0000-0000-0000496E0000}"/>
    <cellStyle name="Normal 19 4 2 3 3" xfId="27628" xr:uid="{00000000-0005-0000-0000-00004A6E0000}"/>
    <cellStyle name="Normal 19 4 2 4" xfId="13471" xr:uid="{00000000-0005-0000-0000-00004B6E0000}"/>
    <cellStyle name="Normal 19 4 2 4 2" xfId="32871" xr:uid="{00000000-0005-0000-0000-00004C6E0000}"/>
    <cellStyle name="Normal 19 4 2 5" xfId="23173" xr:uid="{00000000-0005-0000-0000-00004D6E0000}"/>
    <cellStyle name="Normal 19 4 3" xfId="4009" xr:uid="{00000000-0005-0000-0000-00004E6E0000}"/>
    <cellStyle name="Normal 19 4 3 2" xfId="5138" xr:uid="{00000000-0005-0000-0000-00004F6E0000}"/>
    <cellStyle name="Normal 19 4 3 2 2" xfId="9602" xr:uid="{00000000-0005-0000-0000-0000506E0000}"/>
    <cellStyle name="Normal 19 4 3 2 2 2" xfId="19598" xr:uid="{00000000-0005-0000-0000-0000516E0000}"/>
    <cellStyle name="Normal 19 4 3 2 2 2 2" xfId="38998" xr:uid="{00000000-0005-0000-0000-0000526E0000}"/>
    <cellStyle name="Normal 19 4 3 2 2 3" xfId="29300" xr:uid="{00000000-0005-0000-0000-0000536E0000}"/>
    <cellStyle name="Normal 19 4 3 2 3" xfId="15143" xr:uid="{00000000-0005-0000-0000-0000546E0000}"/>
    <cellStyle name="Normal 19 4 3 2 3 2" xfId="34543" xr:uid="{00000000-0005-0000-0000-0000556E0000}"/>
    <cellStyle name="Normal 19 4 3 2 4" xfId="24845" xr:uid="{00000000-0005-0000-0000-0000566E0000}"/>
    <cellStyle name="Normal 19 4 3 3" xfId="8487" xr:uid="{00000000-0005-0000-0000-0000576E0000}"/>
    <cellStyle name="Normal 19 4 3 3 2" xfId="18483" xr:uid="{00000000-0005-0000-0000-0000586E0000}"/>
    <cellStyle name="Normal 19 4 3 3 2 2" xfId="37883" xr:uid="{00000000-0005-0000-0000-0000596E0000}"/>
    <cellStyle name="Normal 19 4 3 3 3" xfId="28185" xr:uid="{00000000-0005-0000-0000-00005A6E0000}"/>
    <cellStyle name="Normal 19 4 3 4" xfId="14028" xr:uid="{00000000-0005-0000-0000-00005B6E0000}"/>
    <cellStyle name="Normal 19 4 3 4 2" xfId="33428" xr:uid="{00000000-0005-0000-0000-00005C6E0000}"/>
    <cellStyle name="Normal 19 4 3 5" xfId="23730" xr:uid="{00000000-0005-0000-0000-00005D6E0000}"/>
    <cellStyle name="Normal 19 4 4" xfId="4581" xr:uid="{00000000-0005-0000-0000-00005E6E0000}"/>
    <cellStyle name="Normal 19 4 4 2" xfId="9045" xr:uid="{00000000-0005-0000-0000-00005F6E0000}"/>
    <cellStyle name="Normal 19 4 4 2 2" xfId="19041" xr:uid="{00000000-0005-0000-0000-0000606E0000}"/>
    <cellStyle name="Normal 19 4 4 2 2 2" xfId="38441" xr:uid="{00000000-0005-0000-0000-0000616E0000}"/>
    <cellStyle name="Normal 19 4 4 2 3" xfId="28743" xr:uid="{00000000-0005-0000-0000-0000626E0000}"/>
    <cellStyle name="Normal 19 4 4 3" xfId="14586" xr:uid="{00000000-0005-0000-0000-0000636E0000}"/>
    <cellStyle name="Normal 19 4 4 3 2" xfId="33986" xr:uid="{00000000-0005-0000-0000-0000646E0000}"/>
    <cellStyle name="Normal 19 4 4 4" xfId="24288" xr:uid="{00000000-0005-0000-0000-0000656E0000}"/>
    <cellStyle name="Normal 19 4 5" xfId="6251" xr:uid="{00000000-0005-0000-0000-0000666E0000}"/>
    <cellStyle name="Normal 19 4 5 2" xfId="10715" xr:uid="{00000000-0005-0000-0000-0000676E0000}"/>
    <cellStyle name="Normal 19 4 5 2 2" xfId="20711" xr:uid="{00000000-0005-0000-0000-0000686E0000}"/>
    <cellStyle name="Normal 19 4 5 2 2 2" xfId="40111" xr:uid="{00000000-0005-0000-0000-0000696E0000}"/>
    <cellStyle name="Normal 19 4 5 2 3" xfId="30413" xr:uid="{00000000-0005-0000-0000-00006A6E0000}"/>
    <cellStyle name="Normal 19 4 5 3" xfId="16256" xr:uid="{00000000-0005-0000-0000-00006B6E0000}"/>
    <cellStyle name="Normal 19 4 5 3 2" xfId="35656" xr:uid="{00000000-0005-0000-0000-00006C6E0000}"/>
    <cellStyle name="Normal 19 4 5 4" xfId="25958" xr:uid="{00000000-0005-0000-0000-00006D6E0000}"/>
    <cellStyle name="Normal 19 4 6" xfId="6817" xr:uid="{00000000-0005-0000-0000-00006E6E0000}"/>
    <cellStyle name="Normal 19 4 6 2" xfId="11272" xr:uid="{00000000-0005-0000-0000-00006F6E0000}"/>
    <cellStyle name="Normal 19 4 6 2 2" xfId="21268" xr:uid="{00000000-0005-0000-0000-0000706E0000}"/>
    <cellStyle name="Normal 19 4 6 2 2 2" xfId="40668" xr:uid="{00000000-0005-0000-0000-0000716E0000}"/>
    <cellStyle name="Normal 19 4 6 2 3" xfId="30970" xr:uid="{00000000-0005-0000-0000-0000726E0000}"/>
    <cellStyle name="Normal 19 4 6 3" xfId="16813" xr:uid="{00000000-0005-0000-0000-0000736E0000}"/>
    <cellStyle name="Normal 19 4 6 3 2" xfId="36213" xr:uid="{00000000-0005-0000-0000-0000746E0000}"/>
    <cellStyle name="Normal 19 4 6 4" xfId="26515" xr:uid="{00000000-0005-0000-0000-0000756E0000}"/>
    <cellStyle name="Normal 19 4 7" xfId="7374" xr:uid="{00000000-0005-0000-0000-0000766E0000}"/>
    <cellStyle name="Normal 19 4 7 2" xfId="17370" xr:uid="{00000000-0005-0000-0000-0000776E0000}"/>
    <cellStyle name="Normal 19 4 7 2 2" xfId="36770" xr:uid="{00000000-0005-0000-0000-0000786E0000}"/>
    <cellStyle name="Normal 19 4 7 3" xfId="27072" xr:uid="{00000000-0005-0000-0000-0000796E0000}"/>
    <cellStyle name="Normal 19 4 8" xfId="12914" xr:uid="{00000000-0005-0000-0000-00007A6E0000}"/>
    <cellStyle name="Normal 19 4 8 2" xfId="32315" xr:uid="{00000000-0005-0000-0000-00007B6E0000}"/>
    <cellStyle name="Normal 19 4 9" xfId="22617" xr:uid="{00000000-0005-0000-0000-00007C6E0000}"/>
    <cellStyle name="Normal 2" xfId="520" xr:uid="{00000000-0005-0000-0000-00007D6E0000}"/>
    <cellStyle name="Normal 2 2" xfId="606" xr:uid="{00000000-0005-0000-0000-00007E6E0000}"/>
    <cellStyle name="Normal 2 2 10" xfId="21704" xr:uid="{00000000-0005-0000-0000-00007F6E0000}"/>
    <cellStyle name="Normal 2 2 2" xfId="622" xr:uid="{00000000-0005-0000-0000-0000806E0000}"/>
    <cellStyle name="Normal 2 2 2 2" xfId="659" xr:uid="{00000000-0005-0000-0000-0000816E0000}"/>
    <cellStyle name="Normal 2 2 2 2 10" xfId="12037" xr:uid="{00000000-0005-0000-0000-0000826E0000}"/>
    <cellStyle name="Normal 2 2 2 2 10 2" xfId="31440" xr:uid="{00000000-0005-0000-0000-0000836E0000}"/>
    <cellStyle name="Normal 2 2 2 2 11" xfId="21742" xr:uid="{00000000-0005-0000-0000-0000846E0000}"/>
    <cellStyle name="Normal 2 2 2 2 2" xfId="838" xr:uid="{00000000-0005-0000-0000-0000856E0000}"/>
    <cellStyle name="Normal 2 2 2 2 2 2" xfId="5709" xr:uid="{00000000-0005-0000-0000-0000866E0000}"/>
    <cellStyle name="Normal 2 2 2 2 2 2 2" xfId="10173" xr:uid="{00000000-0005-0000-0000-0000876E0000}"/>
    <cellStyle name="Normal 2 2 2 2 2 2 2 2" xfId="20169" xr:uid="{00000000-0005-0000-0000-0000886E0000}"/>
    <cellStyle name="Normal 2 2 2 2 2 2 2 2 2" xfId="39569" xr:uid="{00000000-0005-0000-0000-0000896E0000}"/>
    <cellStyle name="Normal 2 2 2 2 2 2 2 3" xfId="29871" xr:uid="{00000000-0005-0000-0000-00008A6E0000}"/>
    <cellStyle name="Normal 2 2 2 2 2 2 3" xfId="15714" xr:uid="{00000000-0005-0000-0000-00008B6E0000}"/>
    <cellStyle name="Normal 2 2 2 2 2 2 3 2" xfId="35114" xr:uid="{00000000-0005-0000-0000-00008C6E0000}"/>
    <cellStyle name="Normal 2 2 2 2 2 2 4" xfId="25416" xr:uid="{00000000-0005-0000-0000-00008D6E0000}"/>
    <cellStyle name="Normal 2 2 2 2 2 3" xfId="7945" xr:uid="{00000000-0005-0000-0000-00008E6E0000}"/>
    <cellStyle name="Normal 2 2 2 2 2 3 2" xfId="17941" xr:uid="{00000000-0005-0000-0000-00008F6E0000}"/>
    <cellStyle name="Normal 2 2 2 2 2 3 2 2" xfId="37341" xr:uid="{00000000-0005-0000-0000-0000906E0000}"/>
    <cellStyle name="Normal 2 2 2 2 2 3 3" xfId="27643" xr:uid="{00000000-0005-0000-0000-0000916E0000}"/>
    <cellStyle name="Normal 2 2 2 2 2 4" xfId="11757" xr:uid="{00000000-0005-0000-0000-0000926E0000}"/>
    <cellStyle name="Normal 2 2 2 2 2 4 2" xfId="21466" xr:uid="{00000000-0005-0000-0000-0000936E0000}"/>
    <cellStyle name="Normal 2 2 2 2 2 4 2 2" xfId="40866" xr:uid="{00000000-0005-0000-0000-0000946E0000}"/>
    <cellStyle name="Normal 2 2 2 2 2 4 3" xfId="31168" xr:uid="{00000000-0005-0000-0000-0000956E0000}"/>
    <cellStyle name="Normal 2 2 2 2 2 5" xfId="3441" xr:uid="{00000000-0005-0000-0000-0000966E0000}"/>
    <cellStyle name="Normal 2 2 2 2 2 5 2" xfId="13486" xr:uid="{00000000-0005-0000-0000-0000976E0000}"/>
    <cellStyle name="Normal 2 2 2 2 2 5 2 2" xfId="32886" xr:uid="{00000000-0005-0000-0000-0000986E0000}"/>
    <cellStyle name="Normal 2 2 2 2 2 5 3" xfId="23188" xr:uid="{00000000-0005-0000-0000-0000996E0000}"/>
    <cellStyle name="Normal 2 2 2 2 2 6" xfId="12118" xr:uid="{00000000-0005-0000-0000-00009A6E0000}"/>
    <cellStyle name="Normal 2 2 2 2 2 6 2" xfId="31521" xr:uid="{00000000-0005-0000-0000-00009B6E0000}"/>
    <cellStyle name="Normal 2 2 2 2 2 7" xfId="21823" xr:uid="{00000000-0005-0000-0000-00009C6E0000}"/>
    <cellStyle name="Normal 2 2 2 2 3" xfId="908" xr:uid="{00000000-0005-0000-0000-00009D6E0000}"/>
    <cellStyle name="Normal 2 2 2 2 3 2" xfId="5153" xr:uid="{00000000-0005-0000-0000-00009E6E0000}"/>
    <cellStyle name="Normal 2 2 2 2 3 2 2" xfId="9617" xr:uid="{00000000-0005-0000-0000-00009F6E0000}"/>
    <cellStyle name="Normal 2 2 2 2 3 2 2 2" xfId="19613" xr:uid="{00000000-0005-0000-0000-0000A06E0000}"/>
    <cellStyle name="Normal 2 2 2 2 3 2 2 2 2" xfId="39013" xr:uid="{00000000-0005-0000-0000-0000A16E0000}"/>
    <cellStyle name="Normal 2 2 2 2 3 2 2 3" xfId="29315" xr:uid="{00000000-0005-0000-0000-0000A26E0000}"/>
    <cellStyle name="Normal 2 2 2 2 3 2 3" xfId="15158" xr:uid="{00000000-0005-0000-0000-0000A36E0000}"/>
    <cellStyle name="Normal 2 2 2 2 3 2 3 2" xfId="34558" xr:uid="{00000000-0005-0000-0000-0000A46E0000}"/>
    <cellStyle name="Normal 2 2 2 2 3 2 4" xfId="24860" xr:uid="{00000000-0005-0000-0000-0000A56E0000}"/>
    <cellStyle name="Normal 2 2 2 2 3 3" xfId="8502" xr:uid="{00000000-0005-0000-0000-0000A66E0000}"/>
    <cellStyle name="Normal 2 2 2 2 3 3 2" xfId="18498" xr:uid="{00000000-0005-0000-0000-0000A76E0000}"/>
    <cellStyle name="Normal 2 2 2 2 3 3 2 2" xfId="37898" xr:uid="{00000000-0005-0000-0000-0000A86E0000}"/>
    <cellStyle name="Normal 2 2 2 2 3 3 3" xfId="28200" xr:uid="{00000000-0005-0000-0000-0000A96E0000}"/>
    <cellStyle name="Normal 2 2 2 2 3 4" xfId="11815" xr:uid="{00000000-0005-0000-0000-0000AA6E0000}"/>
    <cellStyle name="Normal 2 2 2 2 3 4 2" xfId="21522" xr:uid="{00000000-0005-0000-0000-0000AB6E0000}"/>
    <cellStyle name="Normal 2 2 2 2 3 4 2 2" xfId="40922" xr:uid="{00000000-0005-0000-0000-0000AC6E0000}"/>
    <cellStyle name="Normal 2 2 2 2 3 4 3" xfId="31224" xr:uid="{00000000-0005-0000-0000-0000AD6E0000}"/>
    <cellStyle name="Normal 2 2 2 2 3 5" xfId="4024" xr:uid="{00000000-0005-0000-0000-0000AE6E0000}"/>
    <cellStyle name="Normal 2 2 2 2 3 5 2" xfId="14043" xr:uid="{00000000-0005-0000-0000-0000AF6E0000}"/>
    <cellStyle name="Normal 2 2 2 2 3 5 2 2" xfId="33443" xr:uid="{00000000-0005-0000-0000-0000B06E0000}"/>
    <cellStyle name="Normal 2 2 2 2 3 5 3" xfId="23745" xr:uid="{00000000-0005-0000-0000-0000B16E0000}"/>
    <cellStyle name="Normal 2 2 2 2 3 6" xfId="12174" xr:uid="{00000000-0005-0000-0000-0000B26E0000}"/>
    <cellStyle name="Normal 2 2 2 2 3 6 2" xfId="31577" xr:uid="{00000000-0005-0000-0000-0000B36E0000}"/>
    <cellStyle name="Normal 2 2 2 2 3 7" xfId="21879" xr:uid="{00000000-0005-0000-0000-0000B46E0000}"/>
    <cellStyle name="Normal 2 2 2 2 4" xfId="4596" xr:uid="{00000000-0005-0000-0000-0000B56E0000}"/>
    <cellStyle name="Normal 2 2 2 2 4 2" xfId="9060" xr:uid="{00000000-0005-0000-0000-0000B66E0000}"/>
    <cellStyle name="Normal 2 2 2 2 4 2 2" xfId="19056" xr:uid="{00000000-0005-0000-0000-0000B76E0000}"/>
    <cellStyle name="Normal 2 2 2 2 4 2 2 2" xfId="38456" xr:uid="{00000000-0005-0000-0000-0000B86E0000}"/>
    <cellStyle name="Normal 2 2 2 2 4 2 3" xfId="28758" xr:uid="{00000000-0005-0000-0000-0000B96E0000}"/>
    <cellStyle name="Normal 2 2 2 2 4 3" xfId="14601" xr:uid="{00000000-0005-0000-0000-0000BA6E0000}"/>
    <cellStyle name="Normal 2 2 2 2 4 3 2" xfId="34001" xr:uid="{00000000-0005-0000-0000-0000BB6E0000}"/>
    <cellStyle name="Normal 2 2 2 2 4 4" xfId="24303" xr:uid="{00000000-0005-0000-0000-0000BC6E0000}"/>
    <cellStyle name="Normal 2 2 2 2 5" xfId="6266" xr:uid="{00000000-0005-0000-0000-0000BD6E0000}"/>
    <cellStyle name="Normal 2 2 2 2 5 2" xfId="10730" xr:uid="{00000000-0005-0000-0000-0000BE6E0000}"/>
    <cellStyle name="Normal 2 2 2 2 5 2 2" xfId="20726" xr:uid="{00000000-0005-0000-0000-0000BF6E0000}"/>
    <cellStyle name="Normal 2 2 2 2 5 2 2 2" xfId="40126" xr:uid="{00000000-0005-0000-0000-0000C06E0000}"/>
    <cellStyle name="Normal 2 2 2 2 5 2 3" xfId="30428" xr:uid="{00000000-0005-0000-0000-0000C16E0000}"/>
    <cellStyle name="Normal 2 2 2 2 5 3" xfId="16271" xr:uid="{00000000-0005-0000-0000-0000C26E0000}"/>
    <cellStyle name="Normal 2 2 2 2 5 3 2" xfId="35671" xr:uid="{00000000-0005-0000-0000-0000C36E0000}"/>
    <cellStyle name="Normal 2 2 2 2 5 4" xfId="25973" xr:uid="{00000000-0005-0000-0000-0000C46E0000}"/>
    <cellStyle name="Normal 2 2 2 2 6" xfId="6832" xr:uid="{00000000-0005-0000-0000-0000C56E0000}"/>
    <cellStyle name="Normal 2 2 2 2 6 2" xfId="11287" xr:uid="{00000000-0005-0000-0000-0000C66E0000}"/>
    <cellStyle name="Normal 2 2 2 2 6 2 2" xfId="21283" xr:uid="{00000000-0005-0000-0000-0000C76E0000}"/>
    <cellStyle name="Normal 2 2 2 2 6 2 2 2" xfId="40683" xr:uid="{00000000-0005-0000-0000-0000C86E0000}"/>
    <cellStyle name="Normal 2 2 2 2 6 2 3" xfId="30985" xr:uid="{00000000-0005-0000-0000-0000C96E0000}"/>
    <cellStyle name="Normal 2 2 2 2 6 3" xfId="16828" xr:uid="{00000000-0005-0000-0000-0000CA6E0000}"/>
    <cellStyle name="Normal 2 2 2 2 6 3 2" xfId="36228" xr:uid="{00000000-0005-0000-0000-0000CB6E0000}"/>
    <cellStyle name="Normal 2 2 2 2 6 4" xfId="26530" xr:uid="{00000000-0005-0000-0000-0000CC6E0000}"/>
    <cellStyle name="Normal 2 2 2 2 7" xfId="7389" xr:uid="{00000000-0005-0000-0000-0000CD6E0000}"/>
    <cellStyle name="Normal 2 2 2 2 7 2" xfId="17385" xr:uid="{00000000-0005-0000-0000-0000CE6E0000}"/>
    <cellStyle name="Normal 2 2 2 2 7 2 2" xfId="36785" xr:uid="{00000000-0005-0000-0000-0000CF6E0000}"/>
    <cellStyle name="Normal 2 2 2 2 7 3" xfId="27087" xr:uid="{00000000-0005-0000-0000-0000D06E0000}"/>
    <cellStyle name="Normal 2 2 2 2 8" xfId="11645" xr:uid="{00000000-0005-0000-0000-0000D16E0000}"/>
    <cellStyle name="Normal 2 2 2 2 8 2" xfId="21385" xr:uid="{00000000-0005-0000-0000-0000D26E0000}"/>
    <cellStyle name="Normal 2 2 2 2 8 2 2" xfId="40785" xr:uid="{00000000-0005-0000-0000-0000D36E0000}"/>
    <cellStyle name="Normal 2 2 2 2 8 3" xfId="31087" xr:uid="{00000000-0005-0000-0000-0000D46E0000}"/>
    <cellStyle name="Normal 2 2 2 2 9" xfId="2809" xr:uid="{00000000-0005-0000-0000-0000D56E0000}"/>
    <cellStyle name="Normal 2 2 2 2 9 2" xfId="12930" xr:uid="{00000000-0005-0000-0000-0000D66E0000}"/>
    <cellStyle name="Normal 2 2 2 2 9 2 2" xfId="32330" xr:uid="{00000000-0005-0000-0000-0000D76E0000}"/>
    <cellStyle name="Normal 2 2 2 2 9 3" xfId="22632" xr:uid="{00000000-0005-0000-0000-0000D86E0000}"/>
    <cellStyle name="Normal 2 2 2 3" xfId="805" xr:uid="{00000000-0005-0000-0000-0000D96E0000}"/>
    <cellStyle name="Normal 2 2 2 3 2" xfId="11726" xr:uid="{00000000-0005-0000-0000-0000DA6E0000}"/>
    <cellStyle name="Normal 2 2 2 3 2 2" xfId="21436" xr:uid="{00000000-0005-0000-0000-0000DB6E0000}"/>
    <cellStyle name="Normal 2 2 2 3 2 2 2" xfId="40836" xr:uid="{00000000-0005-0000-0000-0000DC6E0000}"/>
    <cellStyle name="Normal 2 2 2 3 2 3" xfId="31138" xr:uid="{00000000-0005-0000-0000-0000DD6E0000}"/>
    <cellStyle name="Normal 2 2 2 3 3" xfId="12088" xr:uid="{00000000-0005-0000-0000-0000DE6E0000}"/>
    <cellStyle name="Normal 2 2 2 3 3 2" xfId="31491" xr:uid="{00000000-0005-0000-0000-0000DF6E0000}"/>
    <cellStyle name="Normal 2 2 2 3 4" xfId="21793" xr:uid="{00000000-0005-0000-0000-0000E06E0000}"/>
    <cellStyle name="Normal 2 2 2 4" xfId="878" xr:uid="{00000000-0005-0000-0000-0000E16E0000}"/>
    <cellStyle name="Normal 2 2 2 4 2" xfId="11785" xr:uid="{00000000-0005-0000-0000-0000E26E0000}"/>
    <cellStyle name="Normal 2 2 2 4 2 2" xfId="21492" xr:uid="{00000000-0005-0000-0000-0000E36E0000}"/>
    <cellStyle name="Normal 2 2 2 4 2 2 2" xfId="40892" xr:uid="{00000000-0005-0000-0000-0000E46E0000}"/>
    <cellStyle name="Normal 2 2 2 4 2 3" xfId="31194" xr:uid="{00000000-0005-0000-0000-0000E56E0000}"/>
    <cellStyle name="Normal 2 2 2 4 3" xfId="12144" xr:uid="{00000000-0005-0000-0000-0000E66E0000}"/>
    <cellStyle name="Normal 2 2 2 4 3 2" xfId="31547" xr:uid="{00000000-0005-0000-0000-0000E76E0000}"/>
    <cellStyle name="Normal 2 2 2 4 4" xfId="21849" xr:uid="{00000000-0005-0000-0000-0000E86E0000}"/>
    <cellStyle name="Normal 2 2 2 5" xfId="11608" xr:uid="{00000000-0005-0000-0000-0000E96E0000}"/>
    <cellStyle name="Normal 2 2 2 5 2" xfId="21355" xr:uid="{00000000-0005-0000-0000-0000EA6E0000}"/>
    <cellStyle name="Normal 2 2 2 5 2 2" xfId="40755" xr:uid="{00000000-0005-0000-0000-0000EB6E0000}"/>
    <cellStyle name="Normal 2 2 2 5 3" xfId="31057" xr:uid="{00000000-0005-0000-0000-0000EC6E0000}"/>
    <cellStyle name="Normal 2 2 2 6" xfId="1530" xr:uid="{00000000-0005-0000-0000-0000ED6E0000}"/>
    <cellStyle name="Normal 2 2 2 7" xfId="12007" xr:uid="{00000000-0005-0000-0000-0000EE6E0000}"/>
    <cellStyle name="Normal 2 2 2 7 2" xfId="31410" xr:uid="{00000000-0005-0000-0000-0000EF6E0000}"/>
    <cellStyle name="Normal 2 2 2 8" xfId="21712" xr:uid="{00000000-0005-0000-0000-0000F06E0000}"/>
    <cellStyle name="Normal 2 2 3" xfId="630" xr:uid="{00000000-0005-0000-0000-0000F16E0000}"/>
    <cellStyle name="Normal 2 2 3 2" xfId="667" xr:uid="{00000000-0005-0000-0000-0000F26E0000}"/>
    <cellStyle name="Normal 2 2 3 2 2" xfId="846" xr:uid="{00000000-0005-0000-0000-0000F36E0000}"/>
    <cellStyle name="Normal 2 2 3 2 2 2" xfId="11765" xr:uid="{00000000-0005-0000-0000-0000F46E0000}"/>
    <cellStyle name="Normal 2 2 3 2 2 2 2" xfId="21474" xr:uid="{00000000-0005-0000-0000-0000F56E0000}"/>
    <cellStyle name="Normal 2 2 3 2 2 2 2 2" xfId="40874" xr:uid="{00000000-0005-0000-0000-0000F66E0000}"/>
    <cellStyle name="Normal 2 2 3 2 2 2 3" xfId="31176" xr:uid="{00000000-0005-0000-0000-0000F76E0000}"/>
    <cellStyle name="Normal 2 2 3 2 2 3" xfId="12126" xr:uid="{00000000-0005-0000-0000-0000F86E0000}"/>
    <cellStyle name="Normal 2 2 3 2 2 3 2" xfId="31529" xr:uid="{00000000-0005-0000-0000-0000F96E0000}"/>
    <cellStyle name="Normal 2 2 3 2 2 4" xfId="21831" xr:uid="{00000000-0005-0000-0000-0000FA6E0000}"/>
    <cellStyle name="Normal 2 2 3 2 3" xfId="916" xr:uid="{00000000-0005-0000-0000-0000FB6E0000}"/>
    <cellStyle name="Normal 2 2 3 2 3 2" xfId="11823" xr:uid="{00000000-0005-0000-0000-0000FC6E0000}"/>
    <cellStyle name="Normal 2 2 3 2 3 2 2" xfId="21530" xr:uid="{00000000-0005-0000-0000-0000FD6E0000}"/>
    <cellStyle name="Normal 2 2 3 2 3 2 2 2" xfId="40930" xr:uid="{00000000-0005-0000-0000-0000FE6E0000}"/>
    <cellStyle name="Normal 2 2 3 2 3 2 3" xfId="31232" xr:uid="{00000000-0005-0000-0000-0000FF6E0000}"/>
    <cellStyle name="Normal 2 2 3 2 3 3" xfId="12182" xr:uid="{00000000-0005-0000-0000-0000006F0000}"/>
    <cellStyle name="Normal 2 2 3 2 3 3 2" xfId="31585" xr:uid="{00000000-0005-0000-0000-0000016F0000}"/>
    <cellStyle name="Normal 2 2 3 2 3 4" xfId="21887" xr:uid="{00000000-0005-0000-0000-0000026F0000}"/>
    <cellStyle name="Normal 2 2 3 2 4" xfId="11653" xr:uid="{00000000-0005-0000-0000-0000036F0000}"/>
    <cellStyle name="Normal 2 2 3 2 4 2" xfId="21393" xr:uid="{00000000-0005-0000-0000-0000046F0000}"/>
    <cellStyle name="Normal 2 2 3 2 4 2 2" xfId="40793" xr:uid="{00000000-0005-0000-0000-0000056F0000}"/>
    <cellStyle name="Normal 2 2 3 2 4 3" xfId="31095" xr:uid="{00000000-0005-0000-0000-0000066F0000}"/>
    <cellStyle name="Normal 2 2 3 2 5" xfId="12045" xr:uid="{00000000-0005-0000-0000-0000076F0000}"/>
    <cellStyle name="Normal 2 2 3 2 5 2" xfId="31448" xr:uid="{00000000-0005-0000-0000-0000086F0000}"/>
    <cellStyle name="Normal 2 2 3 2 6" xfId="21750" xr:uid="{00000000-0005-0000-0000-0000096F0000}"/>
    <cellStyle name="Normal 2 2 3 3" xfId="813" xr:uid="{00000000-0005-0000-0000-00000A6F0000}"/>
    <cellStyle name="Normal 2 2 3 3 2" xfId="11734" xr:uid="{00000000-0005-0000-0000-00000B6F0000}"/>
    <cellStyle name="Normal 2 2 3 3 2 2" xfId="21444" xr:uid="{00000000-0005-0000-0000-00000C6F0000}"/>
    <cellStyle name="Normal 2 2 3 3 2 2 2" xfId="40844" xr:uid="{00000000-0005-0000-0000-00000D6F0000}"/>
    <cellStyle name="Normal 2 2 3 3 2 3" xfId="31146" xr:uid="{00000000-0005-0000-0000-00000E6F0000}"/>
    <cellStyle name="Normal 2 2 3 3 3" xfId="12096" xr:uid="{00000000-0005-0000-0000-00000F6F0000}"/>
    <cellStyle name="Normal 2 2 3 3 3 2" xfId="31499" xr:uid="{00000000-0005-0000-0000-0000106F0000}"/>
    <cellStyle name="Normal 2 2 3 3 4" xfId="21801" xr:uid="{00000000-0005-0000-0000-0000116F0000}"/>
    <cellStyle name="Normal 2 2 3 4" xfId="886" xr:uid="{00000000-0005-0000-0000-0000126F0000}"/>
    <cellStyle name="Normal 2 2 3 4 2" xfId="11793" xr:uid="{00000000-0005-0000-0000-0000136F0000}"/>
    <cellStyle name="Normal 2 2 3 4 2 2" xfId="21500" xr:uid="{00000000-0005-0000-0000-0000146F0000}"/>
    <cellStyle name="Normal 2 2 3 4 2 2 2" xfId="40900" xr:uid="{00000000-0005-0000-0000-0000156F0000}"/>
    <cellStyle name="Normal 2 2 3 4 2 3" xfId="31202" xr:uid="{00000000-0005-0000-0000-0000166F0000}"/>
    <cellStyle name="Normal 2 2 3 4 3" xfId="12152" xr:uid="{00000000-0005-0000-0000-0000176F0000}"/>
    <cellStyle name="Normal 2 2 3 4 3 2" xfId="31555" xr:uid="{00000000-0005-0000-0000-0000186F0000}"/>
    <cellStyle name="Normal 2 2 3 4 4" xfId="21857" xr:uid="{00000000-0005-0000-0000-0000196F0000}"/>
    <cellStyle name="Normal 2 2 3 5" xfId="11616" xr:uid="{00000000-0005-0000-0000-00001A6F0000}"/>
    <cellStyle name="Normal 2 2 3 5 2" xfId="21363" xr:uid="{00000000-0005-0000-0000-00001B6F0000}"/>
    <cellStyle name="Normal 2 2 3 5 2 2" xfId="40763" xr:uid="{00000000-0005-0000-0000-00001C6F0000}"/>
    <cellStyle name="Normal 2 2 3 5 3" xfId="31065" xr:uid="{00000000-0005-0000-0000-00001D6F0000}"/>
    <cellStyle name="Normal 2 2 3 6" xfId="1795" xr:uid="{00000000-0005-0000-0000-00001E6F0000}"/>
    <cellStyle name="Normal 2 2 3 7" xfId="12015" xr:uid="{00000000-0005-0000-0000-00001F6F0000}"/>
    <cellStyle name="Normal 2 2 3 7 2" xfId="31418" xr:uid="{00000000-0005-0000-0000-0000206F0000}"/>
    <cellStyle name="Normal 2 2 3 8" xfId="21720" xr:uid="{00000000-0005-0000-0000-0000216F0000}"/>
    <cellStyle name="Normal 2 2 4" xfId="651" xr:uid="{00000000-0005-0000-0000-0000226F0000}"/>
    <cellStyle name="Normal 2 2 4 2" xfId="830" xr:uid="{00000000-0005-0000-0000-0000236F0000}"/>
    <cellStyle name="Normal 2 2 4 2 2" xfId="11749" xr:uid="{00000000-0005-0000-0000-0000246F0000}"/>
    <cellStyle name="Normal 2 2 4 2 2 2" xfId="21458" xr:uid="{00000000-0005-0000-0000-0000256F0000}"/>
    <cellStyle name="Normal 2 2 4 2 2 2 2" xfId="40858" xr:uid="{00000000-0005-0000-0000-0000266F0000}"/>
    <cellStyle name="Normal 2 2 4 2 2 3" xfId="31160" xr:uid="{00000000-0005-0000-0000-0000276F0000}"/>
    <cellStyle name="Normal 2 2 4 2 3" xfId="12110" xr:uid="{00000000-0005-0000-0000-0000286F0000}"/>
    <cellStyle name="Normal 2 2 4 2 3 2" xfId="31513" xr:uid="{00000000-0005-0000-0000-0000296F0000}"/>
    <cellStyle name="Normal 2 2 4 2 4" xfId="21815" xr:uid="{00000000-0005-0000-0000-00002A6F0000}"/>
    <cellStyle name="Normal 2 2 4 3" xfId="900" xr:uid="{00000000-0005-0000-0000-00002B6F0000}"/>
    <cellStyle name="Normal 2 2 4 3 2" xfId="11807" xr:uid="{00000000-0005-0000-0000-00002C6F0000}"/>
    <cellStyle name="Normal 2 2 4 3 2 2" xfId="21514" xr:uid="{00000000-0005-0000-0000-00002D6F0000}"/>
    <cellStyle name="Normal 2 2 4 3 2 2 2" xfId="40914" xr:uid="{00000000-0005-0000-0000-00002E6F0000}"/>
    <cellStyle name="Normal 2 2 4 3 2 3" xfId="31216" xr:uid="{00000000-0005-0000-0000-00002F6F0000}"/>
    <cellStyle name="Normal 2 2 4 3 3" xfId="12166" xr:uid="{00000000-0005-0000-0000-0000306F0000}"/>
    <cellStyle name="Normal 2 2 4 3 3 2" xfId="31569" xr:uid="{00000000-0005-0000-0000-0000316F0000}"/>
    <cellStyle name="Normal 2 2 4 3 4" xfId="21871" xr:uid="{00000000-0005-0000-0000-0000326F0000}"/>
    <cellStyle name="Normal 2 2 4 4" xfId="11637" xr:uid="{00000000-0005-0000-0000-0000336F0000}"/>
    <cellStyle name="Normal 2 2 4 4 2" xfId="21377" xr:uid="{00000000-0005-0000-0000-0000346F0000}"/>
    <cellStyle name="Normal 2 2 4 4 2 2" xfId="40777" xr:uid="{00000000-0005-0000-0000-0000356F0000}"/>
    <cellStyle name="Normal 2 2 4 4 3" xfId="31079" xr:uid="{00000000-0005-0000-0000-0000366F0000}"/>
    <cellStyle name="Normal 2 2 4 5" xfId="12029" xr:uid="{00000000-0005-0000-0000-0000376F0000}"/>
    <cellStyle name="Normal 2 2 4 5 2" xfId="31432" xr:uid="{00000000-0005-0000-0000-0000386F0000}"/>
    <cellStyle name="Normal 2 2 4 6" xfId="21734" xr:uid="{00000000-0005-0000-0000-0000396F0000}"/>
    <cellStyle name="Normal 2 2 5" xfId="794" xr:uid="{00000000-0005-0000-0000-00003A6F0000}"/>
    <cellStyle name="Normal 2 2 5 2" xfId="11717" xr:uid="{00000000-0005-0000-0000-00003B6F0000}"/>
    <cellStyle name="Normal 2 2 5 2 2" xfId="21428" xr:uid="{00000000-0005-0000-0000-00003C6F0000}"/>
    <cellStyle name="Normal 2 2 5 2 2 2" xfId="40828" xr:uid="{00000000-0005-0000-0000-00003D6F0000}"/>
    <cellStyle name="Normal 2 2 5 2 3" xfId="31130" xr:uid="{00000000-0005-0000-0000-00003E6F0000}"/>
    <cellStyle name="Normal 2 2 5 3" xfId="12080" xr:uid="{00000000-0005-0000-0000-00003F6F0000}"/>
    <cellStyle name="Normal 2 2 5 3 2" xfId="31483" xr:uid="{00000000-0005-0000-0000-0000406F0000}"/>
    <cellStyle name="Normal 2 2 5 4" xfId="21785" xr:uid="{00000000-0005-0000-0000-0000416F0000}"/>
    <cellStyle name="Normal 2 2 6" xfId="870" xr:uid="{00000000-0005-0000-0000-0000426F0000}"/>
    <cellStyle name="Normal 2 2 6 2" xfId="11777" xr:uid="{00000000-0005-0000-0000-0000436F0000}"/>
    <cellStyle name="Normal 2 2 6 2 2" xfId="21484" xr:uid="{00000000-0005-0000-0000-0000446F0000}"/>
    <cellStyle name="Normal 2 2 6 2 2 2" xfId="40884" xr:uid="{00000000-0005-0000-0000-0000456F0000}"/>
    <cellStyle name="Normal 2 2 6 2 3" xfId="31186" xr:uid="{00000000-0005-0000-0000-0000466F0000}"/>
    <cellStyle name="Normal 2 2 6 3" xfId="12136" xr:uid="{00000000-0005-0000-0000-0000476F0000}"/>
    <cellStyle name="Normal 2 2 6 3 2" xfId="31539" xr:uid="{00000000-0005-0000-0000-0000486F0000}"/>
    <cellStyle name="Normal 2 2 6 4" xfId="21841" xr:uid="{00000000-0005-0000-0000-0000496F0000}"/>
    <cellStyle name="Normal 2 2 7" xfId="11598" xr:uid="{00000000-0005-0000-0000-00004A6F0000}"/>
    <cellStyle name="Normal 2 2 7 2" xfId="21347" xr:uid="{00000000-0005-0000-0000-00004B6F0000}"/>
    <cellStyle name="Normal 2 2 7 2 2" xfId="40747" xr:uid="{00000000-0005-0000-0000-00004C6F0000}"/>
    <cellStyle name="Normal 2 2 7 3" xfId="31049" xr:uid="{00000000-0005-0000-0000-00004D6F0000}"/>
    <cellStyle name="Normal 2 2 8" xfId="1529" xr:uid="{00000000-0005-0000-0000-00004E6F0000}"/>
    <cellStyle name="Normal 2 2 9" xfId="11999" xr:uid="{00000000-0005-0000-0000-00004F6F0000}"/>
    <cellStyle name="Normal 2 2 9 2" xfId="31402" xr:uid="{00000000-0005-0000-0000-0000506F0000}"/>
    <cellStyle name="Normal 2 3" xfId="637" xr:uid="{00000000-0005-0000-0000-0000516F0000}"/>
    <cellStyle name="Normal 2 3 2" xfId="2318" xr:uid="{00000000-0005-0000-0000-0000526F0000}"/>
    <cellStyle name="Normal 2 3 2 2" xfId="3272" xr:uid="{00000000-0005-0000-0000-0000536F0000}"/>
    <cellStyle name="Normal 2 3 2 2 2" xfId="5541" xr:uid="{00000000-0005-0000-0000-0000546F0000}"/>
    <cellStyle name="Normal 2 3 2 2 2 2" xfId="10005" xr:uid="{00000000-0005-0000-0000-0000556F0000}"/>
    <cellStyle name="Normal 2 3 2 2 2 2 2" xfId="20001" xr:uid="{00000000-0005-0000-0000-0000566F0000}"/>
    <cellStyle name="Normal 2 3 2 2 2 2 2 2" xfId="39401" xr:uid="{00000000-0005-0000-0000-0000576F0000}"/>
    <cellStyle name="Normal 2 3 2 2 2 2 3" xfId="29703" xr:uid="{00000000-0005-0000-0000-0000586F0000}"/>
    <cellStyle name="Normal 2 3 2 2 2 3" xfId="15546" xr:uid="{00000000-0005-0000-0000-0000596F0000}"/>
    <cellStyle name="Normal 2 3 2 2 2 3 2" xfId="34946" xr:uid="{00000000-0005-0000-0000-00005A6F0000}"/>
    <cellStyle name="Normal 2 3 2 2 2 4" xfId="25248" xr:uid="{00000000-0005-0000-0000-00005B6F0000}"/>
    <cellStyle name="Normal 2 3 2 2 3" xfId="7777" xr:uid="{00000000-0005-0000-0000-00005C6F0000}"/>
    <cellStyle name="Normal 2 3 2 2 3 2" xfId="17773" xr:uid="{00000000-0005-0000-0000-00005D6F0000}"/>
    <cellStyle name="Normal 2 3 2 2 3 2 2" xfId="37173" xr:uid="{00000000-0005-0000-0000-00005E6F0000}"/>
    <cellStyle name="Normal 2 3 2 2 3 3" xfId="27475" xr:uid="{00000000-0005-0000-0000-00005F6F0000}"/>
    <cellStyle name="Normal 2 3 2 2 4" xfId="13318" xr:uid="{00000000-0005-0000-0000-0000606F0000}"/>
    <cellStyle name="Normal 2 3 2 2 4 2" xfId="32718" xr:uid="{00000000-0005-0000-0000-0000616F0000}"/>
    <cellStyle name="Normal 2 3 2 2 5" xfId="23020" xr:uid="{00000000-0005-0000-0000-0000626F0000}"/>
    <cellStyle name="Normal 2 3 2 3" xfId="3855" xr:uid="{00000000-0005-0000-0000-0000636F0000}"/>
    <cellStyle name="Normal 2 3 2 3 2" xfId="4985" xr:uid="{00000000-0005-0000-0000-0000646F0000}"/>
    <cellStyle name="Normal 2 3 2 3 2 2" xfId="9449" xr:uid="{00000000-0005-0000-0000-0000656F0000}"/>
    <cellStyle name="Normal 2 3 2 3 2 2 2" xfId="19445" xr:uid="{00000000-0005-0000-0000-0000666F0000}"/>
    <cellStyle name="Normal 2 3 2 3 2 2 2 2" xfId="38845" xr:uid="{00000000-0005-0000-0000-0000676F0000}"/>
    <cellStyle name="Normal 2 3 2 3 2 2 3" xfId="29147" xr:uid="{00000000-0005-0000-0000-0000686F0000}"/>
    <cellStyle name="Normal 2 3 2 3 2 3" xfId="14990" xr:uid="{00000000-0005-0000-0000-0000696F0000}"/>
    <cellStyle name="Normal 2 3 2 3 2 3 2" xfId="34390" xr:uid="{00000000-0005-0000-0000-00006A6F0000}"/>
    <cellStyle name="Normal 2 3 2 3 2 4" xfId="24692" xr:uid="{00000000-0005-0000-0000-00006B6F0000}"/>
    <cellStyle name="Normal 2 3 2 3 3" xfId="8334" xr:uid="{00000000-0005-0000-0000-00006C6F0000}"/>
    <cellStyle name="Normal 2 3 2 3 3 2" xfId="18330" xr:uid="{00000000-0005-0000-0000-00006D6F0000}"/>
    <cellStyle name="Normal 2 3 2 3 3 2 2" xfId="37730" xr:uid="{00000000-0005-0000-0000-00006E6F0000}"/>
    <cellStyle name="Normal 2 3 2 3 3 3" xfId="28032" xr:uid="{00000000-0005-0000-0000-00006F6F0000}"/>
    <cellStyle name="Normal 2 3 2 3 4" xfId="13875" xr:uid="{00000000-0005-0000-0000-0000706F0000}"/>
    <cellStyle name="Normal 2 3 2 3 4 2" xfId="33275" xr:uid="{00000000-0005-0000-0000-0000716F0000}"/>
    <cellStyle name="Normal 2 3 2 3 5" xfId="23577" xr:uid="{00000000-0005-0000-0000-0000726F0000}"/>
    <cellStyle name="Normal 2 3 2 4" xfId="4428" xr:uid="{00000000-0005-0000-0000-0000736F0000}"/>
    <cellStyle name="Normal 2 3 2 4 2" xfId="8892" xr:uid="{00000000-0005-0000-0000-0000746F0000}"/>
    <cellStyle name="Normal 2 3 2 4 2 2" xfId="18888" xr:uid="{00000000-0005-0000-0000-0000756F0000}"/>
    <cellStyle name="Normal 2 3 2 4 2 2 2" xfId="38288" xr:uid="{00000000-0005-0000-0000-0000766F0000}"/>
    <cellStyle name="Normal 2 3 2 4 2 3" xfId="28590" xr:uid="{00000000-0005-0000-0000-0000776F0000}"/>
    <cellStyle name="Normal 2 3 2 4 3" xfId="14433" xr:uid="{00000000-0005-0000-0000-0000786F0000}"/>
    <cellStyle name="Normal 2 3 2 4 3 2" xfId="33833" xr:uid="{00000000-0005-0000-0000-0000796F0000}"/>
    <cellStyle name="Normal 2 3 2 4 4" xfId="24135" xr:uid="{00000000-0005-0000-0000-00007A6F0000}"/>
    <cellStyle name="Normal 2 3 2 5" xfId="6098" xr:uid="{00000000-0005-0000-0000-00007B6F0000}"/>
    <cellStyle name="Normal 2 3 2 5 2" xfId="10562" xr:uid="{00000000-0005-0000-0000-00007C6F0000}"/>
    <cellStyle name="Normal 2 3 2 5 2 2" xfId="20558" xr:uid="{00000000-0005-0000-0000-00007D6F0000}"/>
    <cellStyle name="Normal 2 3 2 5 2 2 2" xfId="39958" xr:uid="{00000000-0005-0000-0000-00007E6F0000}"/>
    <cellStyle name="Normal 2 3 2 5 2 3" xfId="30260" xr:uid="{00000000-0005-0000-0000-00007F6F0000}"/>
    <cellStyle name="Normal 2 3 2 5 3" xfId="16103" xr:uid="{00000000-0005-0000-0000-0000806F0000}"/>
    <cellStyle name="Normal 2 3 2 5 3 2" xfId="35503" xr:uid="{00000000-0005-0000-0000-0000816F0000}"/>
    <cellStyle name="Normal 2 3 2 5 4" xfId="25805" xr:uid="{00000000-0005-0000-0000-0000826F0000}"/>
    <cellStyle name="Normal 2 3 2 6" xfId="6664" xr:uid="{00000000-0005-0000-0000-0000836F0000}"/>
    <cellStyle name="Normal 2 3 2 6 2" xfId="11119" xr:uid="{00000000-0005-0000-0000-0000846F0000}"/>
    <cellStyle name="Normal 2 3 2 6 2 2" xfId="21115" xr:uid="{00000000-0005-0000-0000-0000856F0000}"/>
    <cellStyle name="Normal 2 3 2 6 2 2 2" xfId="40515" xr:uid="{00000000-0005-0000-0000-0000866F0000}"/>
    <cellStyle name="Normal 2 3 2 6 2 3" xfId="30817" xr:uid="{00000000-0005-0000-0000-0000876F0000}"/>
    <cellStyle name="Normal 2 3 2 6 3" xfId="16660" xr:uid="{00000000-0005-0000-0000-0000886F0000}"/>
    <cellStyle name="Normal 2 3 2 6 3 2" xfId="36060" xr:uid="{00000000-0005-0000-0000-0000896F0000}"/>
    <cellStyle name="Normal 2 3 2 6 4" xfId="26362" xr:uid="{00000000-0005-0000-0000-00008A6F0000}"/>
    <cellStyle name="Normal 2 3 2 7" xfId="7221" xr:uid="{00000000-0005-0000-0000-00008B6F0000}"/>
    <cellStyle name="Normal 2 3 2 7 2" xfId="17217" xr:uid="{00000000-0005-0000-0000-00008C6F0000}"/>
    <cellStyle name="Normal 2 3 2 7 2 2" xfId="36617" xr:uid="{00000000-0005-0000-0000-00008D6F0000}"/>
    <cellStyle name="Normal 2 3 2 7 3" xfId="26919" xr:uid="{00000000-0005-0000-0000-00008E6F0000}"/>
    <cellStyle name="Normal 2 3 2 8" xfId="12761" xr:uid="{00000000-0005-0000-0000-00008F6F0000}"/>
    <cellStyle name="Normal 2 3 2 8 2" xfId="32162" xr:uid="{00000000-0005-0000-0000-0000906F0000}"/>
    <cellStyle name="Normal 2 3 2 9" xfId="22464" xr:uid="{00000000-0005-0000-0000-0000916F0000}"/>
    <cellStyle name="Normal 2 3 3" xfId="2649" xr:uid="{00000000-0005-0000-0000-0000926F0000}"/>
    <cellStyle name="Normal 2 3 4" xfId="11623" xr:uid="{00000000-0005-0000-0000-0000936F0000}"/>
    <cellStyle name="Normal 2 3 5" xfId="1531" xr:uid="{00000000-0005-0000-0000-0000946F0000}"/>
    <cellStyle name="Normal 2 4" xfId="697" xr:uid="{00000000-0005-0000-0000-0000956F0000}"/>
    <cellStyle name="Normal 2 4 2" xfId="2471" xr:uid="{00000000-0005-0000-0000-0000966F0000}"/>
    <cellStyle name="Normal 2 4 2 2" xfId="3392" xr:uid="{00000000-0005-0000-0000-0000976F0000}"/>
    <cellStyle name="Normal 2 4 2 2 2" xfId="5660" xr:uid="{00000000-0005-0000-0000-0000986F0000}"/>
    <cellStyle name="Normal 2 4 2 2 2 2" xfId="10124" xr:uid="{00000000-0005-0000-0000-0000996F0000}"/>
    <cellStyle name="Normal 2 4 2 2 2 2 2" xfId="20120" xr:uid="{00000000-0005-0000-0000-00009A6F0000}"/>
    <cellStyle name="Normal 2 4 2 2 2 2 2 2" xfId="39520" xr:uid="{00000000-0005-0000-0000-00009B6F0000}"/>
    <cellStyle name="Normal 2 4 2 2 2 2 3" xfId="29822" xr:uid="{00000000-0005-0000-0000-00009C6F0000}"/>
    <cellStyle name="Normal 2 4 2 2 2 3" xfId="15665" xr:uid="{00000000-0005-0000-0000-00009D6F0000}"/>
    <cellStyle name="Normal 2 4 2 2 2 3 2" xfId="35065" xr:uid="{00000000-0005-0000-0000-00009E6F0000}"/>
    <cellStyle name="Normal 2 4 2 2 2 4" xfId="25367" xr:uid="{00000000-0005-0000-0000-00009F6F0000}"/>
    <cellStyle name="Normal 2 4 2 2 3" xfId="7896" xr:uid="{00000000-0005-0000-0000-0000A06F0000}"/>
    <cellStyle name="Normal 2 4 2 2 3 2" xfId="17892" xr:uid="{00000000-0005-0000-0000-0000A16F0000}"/>
    <cellStyle name="Normal 2 4 2 2 3 2 2" xfId="37292" xr:uid="{00000000-0005-0000-0000-0000A26F0000}"/>
    <cellStyle name="Normal 2 4 2 2 3 3" xfId="27594" xr:uid="{00000000-0005-0000-0000-0000A36F0000}"/>
    <cellStyle name="Normal 2 4 2 2 4" xfId="13437" xr:uid="{00000000-0005-0000-0000-0000A46F0000}"/>
    <cellStyle name="Normal 2 4 2 2 4 2" xfId="32837" xr:uid="{00000000-0005-0000-0000-0000A56F0000}"/>
    <cellStyle name="Normal 2 4 2 2 5" xfId="23139" xr:uid="{00000000-0005-0000-0000-0000A66F0000}"/>
    <cellStyle name="Normal 2 4 2 3" xfId="3975" xr:uid="{00000000-0005-0000-0000-0000A76F0000}"/>
    <cellStyle name="Normal 2 4 2 3 2" xfId="5104" xr:uid="{00000000-0005-0000-0000-0000A86F0000}"/>
    <cellStyle name="Normal 2 4 2 3 2 2" xfId="9568" xr:uid="{00000000-0005-0000-0000-0000A96F0000}"/>
    <cellStyle name="Normal 2 4 2 3 2 2 2" xfId="19564" xr:uid="{00000000-0005-0000-0000-0000AA6F0000}"/>
    <cellStyle name="Normal 2 4 2 3 2 2 2 2" xfId="38964" xr:uid="{00000000-0005-0000-0000-0000AB6F0000}"/>
    <cellStyle name="Normal 2 4 2 3 2 2 3" xfId="29266" xr:uid="{00000000-0005-0000-0000-0000AC6F0000}"/>
    <cellStyle name="Normal 2 4 2 3 2 3" xfId="15109" xr:uid="{00000000-0005-0000-0000-0000AD6F0000}"/>
    <cellStyle name="Normal 2 4 2 3 2 3 2" xfId="34509" xr:uid="{00000000-0005-0000-0000-0000AE6F0000}"/>
    <cellStyle name="Normal 2 4 2 3 2 4" xfId="24811" xr:uid="{00000000-0005-0000-0000-0000AF6F0000}"/>
    <cellStyle name="Normal 2 4 2 3 3" xfId="8453" xr:uid="{00000000-0005-0000-0000-0000B06F0000}"/>
    <cellStyle name="Normal 2 4 2 3 3 2" xfId="18449" xr:uid="{00000000-0005-0000-0000-0000B16F0000}"/>
    <cellStyle name="Normal 2 4 2 3 3 2 2" xfId="37849" xr:uid="{00000000-0005-0000-0000-0000B26F0000}"/>
    <cellStyle name="Normal 2 4 2 3 3 3" xfId="28151" xr:uid="{00000000-0005-0000-0000-0000B36F0000}"/>
    <cellStyle name="Normal 2 4 2 3 4" xfId="13994" xr:uid="{00000000-0005-0000-0000-0000B46F0000}"/>
    <cellStyle name="Normal 2 4 2 3 4 2" xfId="33394" xr:uid="{00000000-0005-0000-0000-0000B56F0000}"/>
    <cellStyle name="Normal 2 4 2 3 5" xfId="23696" xr:uid="{00000000-0005-0000-0000-0000B66F0000}"/>
    <cellStyle name="Normal 2 4 2 4" xfId="4547" xr:uid="{00000000-0005-0000-0000-0000B76F0000}"/>
    <cellStyle name="Normal 2 4 2 4 2" xfId="9011" xr:uid="{00000000-0005-0000-0000-0000B86F0000}"/>
    <cellStyle name="Normal 2 4 2 4 2 2" xfId="19007" xr:uid="{00000000-0005-0000-0000-0000B96F0000}"/>
    <cellStyle name="Normal 2 4 2 4 2 2 2" xfId="38407" xr:uid="{00000000-0005-0000-0000-0000BA6F0000}"/>
    <cellStyle name="Normal 2 4 2 4 2 3" xfId="28709" xr:uid="{00000000-0005-0000-0000-0000BB6F0000}"/>
    <cellStyle name="Normal 2 4 2 4 3" xfId="14552" xr:uid="{00000000-0005-0000-0000-0000BC6F0000}"/>
    <cellStyle name="Normal 2 4 2 4 3 2" xfId="33952" xr:uid="{00000000-0005-0000-0000-0000BD6F0000}"/>
    <cellStyle name="Normal 2 4 2 4 4" xfId="24254" xr:uid="{00000000-0005-0000-0000-0000BE6F0000}"/>
    <cellStyle name="Normal 2 4 2 5" xfId="6217" xr:uid="{00000000-0005-0000-0000-0000BF6F0000}"/>
    <cellStyle name="Normal 2 4 2 5 2" xfId="10681" xr:uid="{00000000-0005-0000-0000-0000C06F0000}"/>
    <cellStyle name="Normal 2 4 2 5 2 2" xfId="20677" xr:uid="{00000000-0005-0000-0000-0000C16F0000}"/>
    <cellStyle name="Normal 2 4 2 5 2 2 2" xfId="40077" xr:uid="{00000000-0005-0000-0000-0000C26F0000}"/>
    <cellStyle name="Normal 2 4 2 5 2 3" xfId="30379" xr:uid="{00000000-0005-0000-0000-0000C36F0000}"/>
    <cellStyle name="Normal 2 4 2 5 3" xfId="16222" xr:uid="{00000000-0005-0000-0000-0000C46F0000}"/>
    <cellStyle name="Normal 2 4 2 5 3 2" xfId="35622" xr:uid="{00000000-0005-0000-0000-0000C56F0000}"/>
    <cellStyle name="Normal 2 4 2 5 4" xfId="25924" xr:uid="{00000000-0005-0000-0000-0000C66F0000}"/>
    <cellStyle name="Normal 2 4 2 6" xfId="6783" xr:uid="{00000000-0005-0000-0000-0000C76F0000}"/>
    <cellStyle name="Normal 2 4 2 6 2" xfId="11238" xr:uid="{00000000-0005-0000-0000-0000C86F0000}"/>
    <cellStyle name="Normal 2 4 2 6 2 2" xfId="21234" xr:uid="{00000000-0005-0000-0000-0000C96F0000}"/>
    <cellStyle name="Normal 2 4 2 6 2 2 2" xfId="40634" xr:uid="{00000000-0005-0000-0000-0000CA6F0000}"/>
    <cellStyle name="Normal 2 4 2 6 2 3" xfId="30936" xr:uid="{00000000-0005-0000-0000-0000CB6F0000}"/>
    <cellStyle name="Normal 2 4 2 6 3" xfId="16779" xr:uid="{00000000-0005-0000-0000-0000CC6F0000}"/>
    <cellStyle name="Normal 2 4 2 6 3 2" xfId="36179" xr:uid="{00000000-0005-0000-0000-0000CD6F0000}"/>
    <cellStyle name="Normal 2 4 2 6 4" xfId="26481" xr:uid="{00000000-0005-0000-0000-0000CE6F0000}"/>
    <cellStyle name="Normal 2 4 2 7" xfId="7340" xr:uid="{00000000-0005-0000-0000-0000CF6F0000}"/>
    <cellStyle name="Normal 2 4 2 7 2" xfId="17336" xr:uid="{00000000-0005-0000-0000-0000D06F0000}"/>
    <cellStyle name="Normal 2 4 2 7 2 2" xfId="36736" xr:uid="{00000000-0005-0000-0000-0000D16F0000}"/>
    <cellStyle name="Normal 2 4 2 7 3" xfId="27038" xr:uid="{00000000-0005-0000-0000-0000D26F0000}"/>
    <cellStyle name="Normal 2 4 2 8" xfId="12880" xr:uid="{00000000-0005-0000-0000-0000D36F0000}"/>
    <cellStyle name="Normal 2 4 2 8 2" xfId="32281" xr:uid="{00000000-0005-0000-0000-0000D46F0000}"/>
    <cellStyle name="Normal 2 4 2 9" xfId="22583" xr:uid="{00000000-0005-0000-0000-0000D56F0000}"/>
    <cellStyle name="Normal 2 4 3" xfId="11657" xr:uid="{00000000-0005-0000-0000-0000D66F0000}"/>
    <cellStyle name="Normal 2 4 4" xfId="1532" xr:uid="{00000000-0005-0000-0000-0000D76F0000}"/>
    <cellStyle name="Normal 2 5" xfId="921" xr:uid="{00000000-0005-0000-0000-0000D86F0000}"/>
    <cellStyle name="Normal 2 5 2" xfId="11828" xr:uid="{00000000-0005-0000-0000-0000D96F0000}"/>
    <cellStyle name="Normal 2 5 2 2" xfId="21535" xr:uid="{00000000-0005-0000-0000-0000DA6F0000}"/>
    <cellStyle name="Normal 2 5 2 2 2" xfId="40935" xr:uid="{00000000-0005-0000-0000-0000DB6F0000}"/>
    <cellStyle name="Normal 2 5 2 3" xfId="31237" xr:uid="{00000000-0005-0000-0000-0000DC6F0000}"/>
    <cellStyle name="Normal 2 5 3" xfId="1651" xr:uid="{00000000-0005-0000-0000-0000DD6F0000}"/>
    <cellStyle name="Normal 2 5 4" xfId="12187" xr:uid="{00000000-0005-0000-0000-0000DE6F0000}"/>
    <cellStyle name="Normal 2 5 4 2" xfId="31590" xr:uid="{00000000-0005-0000-0000-0000DF6F0000}"/>
    <cellStyle name="Normal 2 5 5" xfId="21892" xr:uid="{00000000-0005-0000-0000-0000E06F0000}"/>
    <cellStyle name="Normal 2 6" xfId="970" xr:uid="{00000000-0005-0000-0000-0000E16F0000}"/>
    <cellStyle name="Normal 2 6 2" xfId="11849" xr:uid="{00000000-0005-0000-0000-0000E26F0000}"/>
    <cellStyle name="Normal 2 6 2 2" xfId="21553" xr:uid="{00000000-0005-0000-0000-0000E36F0000}"/>
    <cellStyle name="Normal 2 6 2 2 2" xfId="40953" xr:uid="{00000000-0005-0000-0000-0000E46F0000}"/>
    <cellStyle name="Normal 2 6 2 3" xfId="31255" xr:uid="{00000000-0005-0000-0000-0000E56F0000}"/>
    <cellStyle name="Normal 2 6 3" xfId="1912" xr:uid="{00000000-0005-0000-0000-0000E66F0000}"/>
    <cellStyle name="Normal 2 6 4" xfId="12205" xr:uid="{00000000-0005-0000-0000-0000E76F0000}"/>
    <cellStyle name="Normal 2 6 4 2" xfId="31608" xr:uid="{00000000-0005-0000-0000-0000E86F0000}"/>
    <cellStyle name="Normal 2 6 5" xfId="21910" xr:uid="{00000000-0005-0000-0000-0000E96F0000}"/>
    <cellStyle name="Normal 2 7" xfId="1528" xr:uid="{00000000-0005-0000-0000-0000EA6F0000}"/>
    <cellStyle name="Normal 2 8" xfId="11559" xr:uid="{00000000-0005-0000-0000-0000EB6F0000}"/>
    <cellStyle name="Normal 20" xfId="521" xr:uid="{00000000-0005-0000-0000-0000EC6F0000}"/>
    <cellStyle name="Normal 20 10" xfId="2319" xr:uid="{00000000-0005-0000-0000-0000ED6F0000}"/>
    <cellStyle name="Normal 20 10 2" xfId="12762" xr:uid="{00000000-0005-0000-0000-0000EE6F0000}"/>
    <cellStyle name="Normal 20 10 2 2" xfId="32163" xr:uid="{00000000-0005-0000-0000-0000EF6F0000}"/>
    <cellStyle name="Normal 20 10 3" xfId="22465" xr:uid="{00000000-0005-0000-0000-0000F06F0000}"/>
    <cellStyle name="Normal 20 2" xfId="2320" xr:uid="{00000000-0005-0000-0000-0000F16F0000}"/>
    <cellStyle name="Normal 20 2 2" xfId="3274" xr:uid="{00000000-0005-0000-0000-0000F26F0000}"/>
    <cellStyle name="Normal 20 2 2 2" xfId="5543" xr:uid="{00000000-0005-0000-0000-0000F36F0000}"/>
    <cellStyle name="Normal 20 2 2 2 2" xfId="10007" xr:uid="{00000000-0005-0000-0000-0000F46F0000}"/>
    <cellStyle name="Normal 20 2 2 2 2 2" xfId="20003" xr:uid="{00000000-0005-0000-0000-0000F56F0000}"/>
    <cellStyle name="Normal 20 2 2 2 2 2 2" xfId="39403" xr:uid="{00000000-0005-0000-0000-0000F66F0000}"/>
    <cellStyle name="Normal 20 2 2 2 2 3" xfId="29705" xr:uid="{00000000-0005-0000-0000-0000F76F0000}"/>
    <cellStyle name="Normal 20 2 2 2 3" xfId="15548" xr:uid="{00000000-0005-0000-0000-0000F86F0000}"/>
    <cellStyle name="Normal 20 2 2 2 3 2" xfId="34948" xr:uid="{00000000-0005-0000-0000-0000F96F0000}"/>
    <cellStyle name="Normal 20 2 2 2 4" xfId="25250" xr:uid="{00000000-0005-0000-0000-0000FA6F0000}"/>
    <cellStyle name="Normal 20 2 2 3" xfId="7779" xr:uid="{00000000-0005-0000-0000-0000FB6F0000}"/>
    <cellStyle name="Normal 20 2 2 3 2" xfId="17775" xr:uid="{00000000-0005-0000-0000-0000FC6F0000}"/>
    <cellStyle name="Normal 20 2 2 3 2 2" xfId="37175" xr:uid="{00000000-0005-0000-0000-0000FD6F0000}"/>
    <cellStyle name="Normal 20 2 2 3 3" xfId="27477" xr:uid="{00000000-0005-0000-0000-0000FE6F0000}"/>
    <cellStyle name="Normal 20 2 2 4" xfId="13320" xr:uid="{00000000-0005-0000-0000-0000FF6F0000}"/>
    <cellStyle name="Normal 20 2 2 4 2" xfId="32720" xr:uid="{00000000-0005-0000-0000-000000700000}"/>
    <cellStyle name="Normal 20 2 2 5" xfId="23022" xr:uid="{00000000-0005-0000-0000-000001700000}"/>
    <cellStyle name="Normal 20 2 3" xfId="3857" xr:uid="{00000000-0005-0000-0000-000002700000}"/>
    <cellStyle name="Normal 20 2 3 2" xfId="4987" xr:uid="{00000000-0005-0000-0000-000003700000}"/>
    <cellStyle name="Normal 20 2 3 2 2" xfId="9451" xr:uid="{00000000-0005-0000-0000-000004700000}"/>
    <cellStyle name="Normal 20 2 3 2 2 2" xfId="19447" xr:uid="{00000000-0005-0000-0000-000005700000}"/>
    <cellStyle name="Normal 20 2 3 2 2 2 2" xfId="38847" xr:uid="{00000000-0005-0000-0000-000006700000}"/>
    <cellStyle name="Normal 20 2 3 2 2 3" xfId="29149" xr:uid="{00000000-0005-0000-0000-000007700000}"/>
    <cellStyle name="Normal 20 2 3 2 3" xfId="14992" xr:uid="{00000000-0005-0000-0000-000008700000}"/>
    <cellStyle name="Normal 20 2 3 2 3 2" xfId="34392" xr:uid="{00000000-0005-0000-0000-000009700000}"/>
    <cellStyle name="Normal 20 2 3 2 4" xfId="24694" xr:uid="{00000000-0005-0000-0000-00000A700000}"/>
    <cellStyle name="Normal 20 2 3 3" xfId="8336" xr:uid="{00000000-0005-0000-0000-00000B700000}"/>
    <cellStyle name="Normal 20 2 3 3 2" xfId="18332" xr:uid="{00000000-0005-0000-0000-00000C700000}"/>
    <cellStyle name="Normal 20 2 3 3 2 2" xfId="37732" xr:uid="{00000000-0005-0000-0000-00000D700000}"/>
    <cellStyle name="Normal 20 2 3 3 3" xfId="28034" xr:uid="{00000000-0005-0000-0000-00000E700000}"/>
    <cellStyle name="Normal 20 2 3 4" xfId="13877" xr:uid="{00000000-0005-0000-0000-00000F700000}"/>
    <cellStyle name="Normal 20 2 3 4 2" xfId="33277" xr:uid="{00000000-0005-0000-0000-000010700000}"/>
    <cellStyle name="Normal 20 2 3 5" xfId="23579" xr:uid="{00000000-0005-0000-0000-000011700000}"/>
    <cellStyle name="Normal 20 2 4" xfId="4430" xr:uid="{00000000-0005-0000-0000-000012700000}"/>
    <cellStyle name="Normal 20 2 4 2" xfId="8894" xr:uid="{00000000-0005-0000-0000-000013700000}"/>
    <cellStyle name="Normal 20 2 4 2 2" xfId="18890" xr:uid="{00000000-0005-0000-0000-000014700000}"/>
    <cellStyle name="Normal 20 2 4 2 2 2" xfId="38290" xr:uid="{00000000-0005-0000-0000-000015700000}"/>
    <cellStyle name="Normal 20 2 4 2 3" xfId="28592" xr:uid="{00000000-0005-0000-0000-000016700000}"/>
    <cellStyle name="Normal 20 2 4 3" xfId="14435" xr:uid="{00000000-0005-0000-0000-000017700000}"/>
    <cellStyle name="Normal 20 2 4 3 2" xfId="33835" xr:uid="{00000000-0005-0000-0000-000018700000}"/>
    <cellStyle name="Normal 20 2 4 4" xfId="24137" xr:uid="{00000000-0005-0000-0000-000019700000}"/>
    <cellStyle name="Normal 20 2 5" xfId="6100" xr:uid="{00000000-0005-0000-0000-00001A700000}"/>
    <cellStyle name="Normal 20 2 5 2" xfId="10564" xr:uid="{00000000-0005-0000-0000-00001B700000}"/>
    <cellStyle name="Normal 20 2 5 2 2" xfId="20560" xr:uid="{00000000-0005-0000-0000-00001C700000}"/>
    <cellStyle name="Normal 20 2 5 2 2 2" xfId="39960" xr:uid="{00000000-0005-0000-0000-00001D700000}"/>
    <cellStyle name="Normal 20 2 5 2 3" xfId="30262" xr:uid="{00000000-0005-0000-0000-00001E700000}"/>
    <cellStyle name="Normal 20 2 5 3" xfId="16105" xr:uid="{00000000-0005-0000-0000-00001F700000}"/>
    <cellStyle name="Normal 20 2 5 3 2" xfId="35505" xr:uid="{00000000-0005-0000-0000-000020700000}"/>
    <cellStyle name="Normal 20 2 5 4" xfId="25807" xr:uid="{00000000-0005-0000-0000-000021700000}"/>
    <cellStyle name="Normal 20 2 6" xfId="6666" xr:uid="{00000000-0005-0000-0000-000022700000}"/>
    <cellStyle name="Normal 20 2 6 2" xfId="11121" xr:uid="{00000000-0005-0000-0000-000023700000}"/>
    <cellStyle name="Normal 20 2 6 2 2" xfId="21117" xr:uid="{00000000-0005-0000-0000-000024700000}"/>
    <cellStyle name="Normal 20 2 6 2 2 2" xfId="40517" xr:uid="{00000000-0005-0000-0000-000025700000}"/>
    <cellStyle name="Normal 20 2 6 2 3" xfId="30819" xr:uid="{00000000-0005-0000-0000-000026700000}"/>
    <cellStyle name="Normal 20 2 6 3" xfId="16662" xr:uid="{00000000-0005-0000-0000-000027700000}"/>
    <cellStyle name="Normal 20 2 6 3 2" xfId="36062" xr:uid="{00000000-0005-0000-0000-000028700000}"/>
    <cellStyle name="Normal 20 2 6 4" xfId="26364" xr:uid="{00000000-0005-0000-0000-000029700000}"/>
    <cellStyle name="Normal 20 2 7" xfId="7223" xr:uid="{00000000-0005-0000-0000-00002A700000}"/>
    <cellStyle name="Normal 20 2 7 2" xfId="17219" xr:uid="{00000000-0005-0000-0000-00002B700000}"/>
    <cellStyle name="Normal 20 2 7 2 2" xfId="36619" xr:uid="{00000000-0005-0000-0000-00002C700000}"/>
    <cellStyle name="Normal 20 2 7 3" xfId="26921" xr:uid="{00000000-0005-0000-0000-00002D700000}"/>
    <cellStyle name="Normal 20 2 8" xfId="12763" xr:uid="{00000000-0005-0000-0000-00002E700000}"/>
    <cellStyle name="Normal 20 2 8 2" xfId="32164" xr:uid="{00000000-0005-0000-0000-00002F700000}"/>
    <cellStyle name="Normal 20 2 9" xfId="22466" xr:uid="{00000000-0005-0000-0000-000030700000}"/>
    <cellStyle name="Normal 20 3" xfId="3273" xr:uid="{00000000-0005-0000-0000-000031700000}"/>
    <cellStyle name="Normal 20 3 2" xfId="5542" xr:uid="{00000000-0005-0000-0000-000032700000}"/>
    <cellStyle name="Normal 20 3 2 2" xfId="10006" xr:uid="{00000000-0005-0000-0000-000033700000}"/>
    <cellStyle name="Normal 20 3 2 2 2" xfId="20002" xr:uid="{00000000-0005-0000-0000-000034700000}"/>
    <cellStyle name="Normal 20 3 2 2 2 2" xfId="39402" xr:uid="{00000000-0005-0000-0000-000035700000}"/>
    <cellStyle name="Normal 20 3 2 2 3" xfId="29704" xr:uid="{00000000-0005-0000-0000-000036700000}"/>
    <cellStyle name="Normal 20 3 2 3" xfId="15547" xr:uid="{00000000-0005-0000-0000-000037700000}"/>
    <cellStyle name="Normal 20 3 2 3 2" xfId="34947" xr:uid="{00000000-0005-0000-0000-000038700000}"/>
    <cellStyle name="Normal 20 3 2 4" xfId="25249" xr:uid="{00000000-0005-0000-0000-000039700000}"/>
    <cellStyle name="Normal 20 3 3" xfId="7778" xr:uid="{00000000-0005-0000-0000-00003A700000}"/>
    <cellStyle name="Normal 20 3 3 2" xfId="17774" xr:uid="{00000000-0005-0000-0000-00003B700000}"/>
    <cellStyle name="Normal 20 3 3 2 2" xfId="37174" xr:uid="{00000000-0005-0000-0000-00003C700000}"/>
    <cellStyle name="Normal 20 3 3 3" xfId="27476" xr:uid="{00000000-0005-0000-0000-00003D700000}"/>
    <cellStyle name="Normal 20 3 4" xfId="13319" xr:uid="{00000000-0005-0000-0000-00003E700000}"/>
    <cellStyle name="Normal 20 3 4 2" xfId="32719" xr:uid="{00000000-0005-0000-0000-00003F700000}"/>
    <cellStyle name="Normal 20 3 5" xfId="23021" xr:uid="{00000000-0005-0000-0000-000040700000}"/>
    <cellStyle name="Normal 20 4" xfId="3856" xr:uid="{00000000-0005-0000-0000-000041700000}"/>
    <cellStyle name="Normal 20 4 2" xfId="4986" xr:uid="{00000000-0005-0000-0000-000042700000}"/>
    <cellStyle name="Normal 20 4 2 2" xfId="9450" xr:uid="{00000000-0005-0000-0000-000043700000}"/>
    <cellStyle name="Normal 20 4 2 2 2" xfId="19446" xr:uid="{00000000-0005-0000-0000-000044700000}"/>
    <cellStyle name="Normal 20 4 2 2 2 2" xfId="38846" xr:uid="{00000000-0005-0000-0000-000045700000}"/>
    <cellStyle name="Normal 20 4 2 2 3" xfId="29148" xr:uid="{00000000-0005-0000-0000-000046700000}"/>
    <cellStyle name="Normal 20 4 2 3" xfId="14991" xr:uid="{00000000-0005-0000-0000-000047700000}"/>
    <cellStyle name="Normal 20 4 2 3 2" xfId="34391" xr:uid="{00000000-0005-0000-0000-000048700000}"/>
    <cellStyle name="Normal 20 4 2 4" xfId="24693" xr:uid="{00000000-0005-0000-0000-000049700000}"/>
    <cellStyle name="Normal 20 4 3" xfId="8335" xr:uid="{00000000-0005-0000-0000-00004A700000}"/>
    <cellStyle name="Normal 20 4 3 2" xfId="18331" xr:uid="{00000000-0005-0000-0000-00004B700000}"/>
    <cellStyle name="Normal 20 4 3 2 2" xfId="37731" xr:uid="{00000000-0005-0000-0000-00004C700000}"/>
    <cellStyle name="Normal 20 4 3 3" xfId="28033" xr:uid="{00000000-0005-0000-0000-00004D700000}"/>
    <cellStyle name="Normal 20 4 4" xfId="13876" xr:uid="{00000000-0005-0000-0000-00004E700000}"/>
    <cellStyle name="Normal 20 4 4 2" xfId="33276" xr:uid="{00000000-0005-0000-0000-00004F700000}"/>
    <cellStyle name="Normal 20 4 5" xfId="23578" xr:uid="{00000000-0005-0000-0000-000050700000}"/>
    <cellStyle name="Normal 20 5" xfId="4429" xr:uid="{00000000-0005-0000-0000-000051700000}"/>
    <cellStyle name="Normal 20 5 2" xfId="8893" xr:uid="{00000000-0005-0000-0000-000052700000}"/>
    <cellStyle name="Normal 20 5 2 2" xfId="18889" xr:uid="{00000000-0005-0000-0000-000053700000}"/>
    <cellStyle name="Normal 20 5 2 2 2" xfId="38289" xr:uid="{00000000-0005-0000-0000-000054700000}"/>
    <cellStyle name="Normal 20 5 2 3" xfId="28591" xr:uid="{00000000-0005-0000-0000-000055700000}"/>
    <cellStyle name="Normal 20 5 3" xfId="14434" xr:uid="{00000000-0005-0000-0000-000056700000}"/>
    <cellStyle name="Normal 20 5 3 2" xfId="33834" xr:uid="{00000000-0005-0000-0000-000057700000}"/>
    <cellStyle name="Normal 20 5 4" xfId="24136" xr:uid="{00000000-0005-0000-0000-000058700000}"/>
    <cellStyle name="Normal 20 6" xfId="6099" xr:uid="{00000000-0005-0000-0000-000059700000}"/>
    <cellStyle name="Normal 20 6 2" xfId="10563" xr:uid="{00000000-0005-0000-0000-00005A700000}"/>
    <cellStyle name="Normal 20 6 2 2" xfId="20559" xr:uid="{00000000-0005-0000-0000-00005B700000}"/>
    <cellStyle name="Normal 20 6 2 2 2" xfId="39959" xr:uid="{00000000-0005-0000-0000-00005C700000}"/>
    <cellStyle name="Normal 20 6 2 3" xfId="30261" xr:uid="{00000000-0005-0000-0000-00005D700000}"/>
    <cellStyle name="Normal 20 6 3" xfId="16104" xr:uid="{00000000-0005-0000-0000-00005E700000}"/>
    <cellStyle name="Normal 20 6 3 2" xfId="35504" xr:uid="{00000000-0005-0000-0000-00005F700000}"/>
    <cellStyle name="Normal 20 6 4" xfId="25806" xr:uid="{00000000-0005-0000-0000-000060700000}"/>
    <cellStyle name="Normal 20 7" xfId="6665" xr:uid="{00000000-0005-0000-0000-000061700000}"/>
    <cellStyle name="Normal 20 7 2" xfId="11120" xr:uid="{00000000-0005-0000-0000-000062700000}"/>
    <cellStyle name="Normal 20 7 2 2" xfId="21116" xr:uid="{00000000-0005-0000-0000-000063700000}"/>
    <cellStyle name="Normal 20 7 2 2 2" xfId="40516" xr:uid="{00000000-0005-0000-0000-000064700000}"/>
    <cellStyle name="Normal 20 7 2 3" xfId="30818" xr:uid="{00000000-0005-0000-0000-000065700000}"/>
    <cellStyle name="Normal 20 7 3" xfId="16661" xr:uid="{00000000-0005-0000-0000-000066700000}"/>
    <cellStyle name="Normal 20 7 3 2" xfId="36061" xr:uid="{00000000-0005-0000-0000-000067700000}"/>
    <cellStyle name="Normal 20 7 4" xfId="26363" xr:uid="{00000000-0005-0000-0000-000068700000}"/>
    <cellStyle name="Normal 20 8" xfId="7222" xr:uid="{00000000-0005-0000-0000-000069700000}"/>
    <cellStyle name="Normal 20 8 2" xfId="17218" xr:uid="{00000000-0005-0000-0000-00006A700000}"/>
    <cellStyle name="Normal 20 8 2 2" xfId="36618" xr:uid="{00000000-0005-0000-0000-00006B700000}"/>
    <cellStyle name="Normal 20 8 3" xfId="26920" xr:uid="{00000000-0005-0000-0000-00006C700000}"/>
    <cellStyle name="Normal 20 9" xfId="11560" xr:uid="{00000000-0005-0000-0000-00006D700000}"/>
    <cellStyle name="Normal 21" xfId="607" xr:uid="{00000000-0005-0000-0000-00006E700000}"/>
    <cellStyle name="Normal 21 2" xfId="2322" xr:uid="{00000000-0005-0000-0000-00006F700000}"/>
    <cellStyle name="Normal 21 3" xfId="2538" xr:uid="{00000000-0005-0000-0000-000070700000}"/>
    <cellStyle name="Normal 21 3 2" xfId="3427" xr:uid="{00000000-0005-0000-0000-000071700000}"/>
    <cellStyle name="Normal 21 3 2 2" xfId="5695" xr:uid="{00000000-0005-0000-0000-000072700000}"/>
    <cellStyle name="Normal 21 3 2 2 2" xfId="10159" xr:uid="{00000000-0005-0000-0000-000073700000}"/>
    <cellStyle name="Normal 21 3 2 2 2 2" xfId="20155" xr:uid="{00000000-0005-0000-0000-000074700000}"/>
    <cellStyle name="Normal 21 3 2 2 2 2 2" xfId="39555" xr:uid="{00000000-0005-0000-0000-000075700000}"/>
    <cellStyle name="Normal 21 3 2 2 2 3" xfId="29857" xr:uid="{00000000-0005-0000-0000-000076700000}"/>
    <cellStyle name="Normal 21 3 2 2 3" xfId="15700" xr:uid="{00000000-0005-0000-0000-000077700000}"/>
    <cellStyle name="Normal 21 3 2 2 3 2" xfId="35100" xr:uid="{00000000-0005-0000-0000-000078700000}"/>
    <cellStyle name="Normal 21 3 2 2 4" xfId="25402" xr:uid="{00000000-0005-0000-0000-000079700000}"/>
    <cellStyle name="Normal 21 3 2 3" xfId="7931" xr:uid="{00000000-0005-0000-0000-00007A700000}"/>
    <cellStyle name="Normal 21 3 2 3 2" xfId="17927" xr:uid="{00000000-0005-0000-0000-00007B700000}"/>
    <cellStyle name="Normal 21 3 2 3 2 2" xfId="37327" xr:uid="{00000000-0005-0000-0000-00007C700000}"/>
    <cellStyle name="Normal 21 3 2 3 3" xfId="27629" xr:uid="{00000000-0005-0000-0000-00007D700000}"/>
    <cellStyle name="Normal 21 3 2 4" xfId="13472" xr:uid="{00000000-0005-0000-0000-00007E700000}"/>
    <cellStyle name="Normal 21 3 2 4 2" xfId="32872" xr:uid="{00000000-0005-0000-0000-00007F700000}"/>
    <cellStyle name="Normal 21 3 2 5" xfId="23174" xr:uid="{00000000-0005-0000-0000-000080700000}"/>
    <cellStyle name="Normal 21 3 3" xfId="4010" xr:uid="{00000000-0005-0000-0000-000081700000}"/>
    <cellStyle name="Normal 21 3 3 2" xfId="5139" xr:uid="{00000000-0005-0000-0000-000082700000}"/>
    <cellStyle name="Normal 21 3 3 2 2" xfId="9603" xr:uid="{00000000-0005-0000-0000-000083700000}"/>
    <cellStyle name="Normal 21 3 3 2 2 2" xfId="19599" xr:uid="{00000000-0005-0000-0000-000084700000}"/>
    <cellStyle name="Normal 21 3 3 2 2 2 2" xfId="38999" xr:uid="{00000000-0005-0000-0000-000085700000}"/>
    <cellStyle name="Normal 21 3 3 2 2 3" xfId="29301" xr:uid="{00000000-0005-0000-0000-000086700000}"/>
    <cellStyle name="Normal 21 3 3 2 3" xfId="15144" xr:uid="{00000000-0005-0000-0000-000087700000}"/>
    <cellStyle name="Normal 21 3 3 2 3 2" xfId="34544" xr:uid="{00000000-0005-0000-0000-000088700000}"/>
    <cellStyle name="Normal 21 3 3 2 4" xfId="24846" xr:uid="{00000000-0005-0000-0000-000089700000}"/>
    <cellStyle name="Normal 21 3 3 3" xfId="8488" xr:uid="{00000000-0005-0000-0000-00008A700000}"/>
    <cellStyle name="Normal 21 3 3 3 2" xfId="18484" xr:uid="{00000000-0005-0000-0000-00008B700000}"/>
    <cellStyle name="Normal 21 3 3 3 2 2" xfId="37884" xr:uid="{00000000-0005-0000-0000-00008C700000}"/>
    <cellStyle name="Normal 21 3 3 3 3" xfId="28186" xr:uid="{00000000-0005-0000-0000-00008D700000}"/>
    <cellStyle name="Normal 21 3 3 4" xfId="14029" xr:uid="{00000000-0005-0000-0000-00008E700000}"/>
    <cellStyle name="Normal 21 3 3 4 2" xfId="33429" xr:uid="{00000000-0005-0000-0000-00008F700000}"/>
    <cellStyle name="Normal 21 3 3 5" xfId="23731" xr:uid="{00000000-0005-0000-0000-000090700000}"/>
    <cellStyle name="Normal 21 3 4" xfId="4582" xr:uid="{00000000-0005-0000-0000-000091700000}"/>
    <cellStyle name="Normal 21 3 4 2" xfId="9046" xr:uid="{00000000-0005-0000-0000-000092700000}"/>
    <cellStyle name="Normal 21 3 4 2 2" xfId="19042" xr:uid="{00000000-0005-0000-0000-000093700000}"/>
    <cellStyle name="Normal 21 3 4 2 2 2" xfId="38442" xr:uid="{00000000-0005-0000-0000-000094700000}"/>
    <cellStyle name="Normal 21 3 4 2 3" xfId="28744" xr:uid="{00000000-0005-0000-0000-000095700000}"/>
    <cellStyle name="Normal 21 3 4 3" xfId="14587" xr:uid="{00000000-0005-0000-0000-000096700000}"/>
    <cellStyle name="Normal 21 3 4 3 2" xfId="33987" xr:uid="{00000000-0005-0000-0000-000097700000}"/>
    <cellStyle name="Normal 21 3 4 4" xfId="24289" xr:uid="{00000000-0005-0000-0000-000098700000}"/>
    <cellStyle name="Normal 21 3 5" xfId="6252" xr:uid="{00000000-0005-0000-0000-000099700000}"/>
    <cellStyle name="Normal 21 3 5 2" xfId="10716" xr:uid="{00000000-0005-0000-0000-00009A700000}"/>
    <cellStyle name="Normal 21 3 5 2 2" xfId="20712" xr:uid="{00000000-0005-0000-0000-00009B700000}"/>
    <cellStyle name="Normal 21 3 5 2 2 2" xfId="40112" xr:uid="{00000000-0005-0000-0000-00009C700000}"/>
    <cellStyle name="Normal 21 3 5 2 3" xfId="30414" xr:uid="{00000000-0005-0000-0000-00009D700000}"/>
    <cellStyle name="Normal 21 3 5 3" xfId="16257" xr:uid="{00000000-0005-0000-0000-00009E700000}"/>
    <cellStyle name="Normal 21 3 5 3 2" xfId="35657" xr:uid="{00000000-0005-0000-0000-00009F700000}"/>
    <cellStyle name="Normal 21 3 5 4" xfId="25959" xr:uid="{00000000-0005-0000-0000-0000A0700000}"/>
    <cellStyle name="Normal 21 3 6" xfId="6818" xr:uid="{00000000-0005-0000-0000-0000A1700000}"/>
    <cellStyle name="Normal 21 3 6 2" xfId="11273" xr:uid="{00000000-0005-0000-0000-0000A2700000}"/>
    <cellStyle name="Normal 21 3 6 2 2" xfId="21269" xr:uid="{00000000-0005-0000-0000-0000A3700000}"/>
    <cellStyle name="Normal 21 3 6 2 2 2" xfId="40669" xr:uid="{00000000-0005-0000-0000-0000A4700000}"/>
    <cellStyle name="Normal 21 3 6 2 3" xfId="30971" xr:uid="{00000000-0005-0000-0000-0000A5700000}"/>
    <cellStyle name="Normal 21 3 6 3" xfId="16814" xr:uid="{00000000-0005-0000-0000-0000A6700000}"/>
    <cellStyle name="Normal 21 3 6 3 2" xfId="36214" xr:uid="{00000000-0005-0000-0000-0000A7700000}"/>
    <cellStyle name="Normal 21 3 6 4" xfId="26516" xr:uid="{00000000-0005-0000-0000-0000A8700000}"/>
    <cellStyle name="Normal 21 3 7" xfId="7375" xr:uid="{00000000-0005-0000-0000-0000A9700000}"/>
    <cellStyle name="Normal 21 3 7 2" xfId="17371" xr:uid="{00000000-0005-0000-0000-0000AA700000}"/>
    <cellStyle name="Normal 21 3 7 2 2" xfId="36771" xr:uid="{00000000-0005-0000-0000-0000AB700000}"/>
    <cellStyle name="Normal 21 3 7 3" xfId="27073" xr:uid="{00000000-0005-0000-0000-0000AC700000}"/>
    <cellStyle name="Normal 21 3 8" xfId="12915" xr:uid="{00000000-0005-0000-0000-0000AD700000}"/>
    <cellStyle name="Normal 21 3 8 2" xfId="32316" xr:uid="{00000000-0005-0000-0000-0000AE700000}"/>
    <cellStyle name="Normal 21 3 9" xfId="22618" xr:uid="{00000000-0005-0000-0000-0000AF700000}"/>
    <cellStyle name="Normal 21 4" xfId="11599" xr:uid="{00000000-0005-0000-0000-0000B0700000}"/>
    <cellStyle name="Normal 21 5" xfId="2321" xr:uid="{00000000-0005-0000-0000-0000B1700000}"/>
    <cellStyle name="Normal 22" xfId="633" xr:uid="{00000000-0005-0000-0000-0000B2700000}"/>
    <cellStyle name="Normal 22 10" xfId="2323" xr:uid="{00000000-0005-0000-0000-0000B3700000}"/>
    <cellStyle name="Normal 22 10 2" xfId="12764" xr:uid="{00000000-0005-0000-0000-0000B4700000}"/>
    <cellStyle name="Normal 22 10 2 2" xfId="32165" xr:uid="{00000000-0005-0000-0000-0000B5700000}"/>
    <cellStyle name="Normal 22 10 3" xfId="22467" xr:uid="{00000000-0005-0000-0000-0000B6700000}"/>
    <cellStyle name="Normal 22 11" xfId="12018" xr:uid="{00000000-0005-0000-0000-0000B7700000}"/>
    <cellStyle name="Normal 22 11 2" xfId="31421" xr:uid="{00000000-0005-0000-0000-0000B8700000}"/>
    <cellStyle name="Normal 22 12" xfId="21723" xr:uid="{00000000-0005-0000-0000-0000B9700000}"/>
    <cellStyle name="Normal 22 2" xfId="641" xr:uid="{00000000-0005-0000-0000-0000BA700000}"/>
    <cellStyle name="Normal 22 2 2" xfId="11627" xr:uid="{00000000-0005-0000-0000-0000BB700000}"/>
    <cellStyle name="Normal 22 2 3" xfId="2472" xr:uid="{00000000-0005-0000-0000-0000BC700000}"/>
    <cellStyle name="Normal 22 3" xfId="816" xr:uid="{00000000-0005-0000-0000-0000BD700000}"/>
    <cellStyle name="Normal 22 3 2" xfId="5544" xr:uid="{00000000-0005-0000-0000-0000BE700000}"/>
    <cellStyle name="Normal 22 3 2 2" xfId="10008" xr:uid="{00000000-0005-0000-0000-0000BF700000}"/>
    <cellStyle name="Normal 22 3 2 2 2" xfId="20004" xr:uid="{00000000-0005-0000-0000-0000C0700000}"/>
    <cellStyle name="Normal 22 3 2 2 2 2" xfId="39404" xr:uid="{00000000-0005-0000-0000-0000C1700000}"/>
    <cellStyle name="Normal 22 3 2 2 3" xfId="29706" xr:uid="{00000000-0005-0000-0000-0000C2700000}"/>
    <cellStyle name="Normal 22 3 2 3" xfId="15549" xr:uid="{00000000-0005-0000-0000-0000C3700000}"/>
    <cellStyle name="Normal 22 3 2 3 2" xfId="34949" xr:uid="{00000000-0005-0000-0000-0000C4700000}"/>
    <cellStyle name="Normal 22 3 2 4" xfId="25251" xr:uid="{00000000-0005-0000-0000-0000C5700000}"/>
    <cellStyle name="Normal 22 3 3" xfId="7780" xr:uid="{00000000-0005-0000-0000-0000C6700000}"/>
    <cellStyle name="Normal 22 3 3 2" xfId="17776" xr:uid="{00000000-0005-0000-0000-0000C7700000}"/>
    <cellStyle name="Normal 22 3 3 2 2" xfId="37176" xr:uid="{00000000-0005-0000-0000-0000C8700000}"/>
    <cellStyle name="Normal 22 3 3 3" xfId="27478" xr:uid="{00000000-0005-0000-0000-0000C9700000}"/>
    <cellStyle name="Normal 22 3 4" xfId="11737" xr:uid="{00000000-0005-0000-0000-0000CA700000}"/>
    <cellStyle name="Normal 22 3 4 2" xfId="21447" xr:uid="{00000000-0005-0000-0000-0000CB700000}"/>
    <cellStyle name="Normal 22 3 4 2 2" xfId="40847" xr:uid="{00000000-0005-0000-0000-0000CC700000}"/>
    <cellStyle name="Normal 22 3 4 3" xfId="31149" xr:uid="{00000000-0005-0000-0000-0000CD700000}"/>
    <cellStyle name="Normal 22 3 5" xfId="3275" xr:uid="{00000000-0005-0000-0000-0000CE700000}"/>
    <cellStyle name="Normal 22 3 5 2" xfId="13321" xr:uid="{00000000-0005-0000-0000-0000CF700000}"/>
    <cellStyle name="Normal 22 3 5 2 2" xfId="32721" xr:uid="{00000000-0005-0000-0000-0000D0700000}"/>
    <cellStyle name="Normal 22 3 5 3" xfId="23023" xr:uid="{00000000-0005-0000-0000-0000D1700000}"/>
    <cellStyle name="Normal 22 3 6" xfId="12099" xr:uid="{00000000-0005-0000-0000-0000D2700000}"/>
    <cellStyle name="Normal 22 3 6 2" xfId="31502" xr:uid="{00000000-0005-0000-0000-0000D3700000}"/>
    <cellStyle name="Normal 22 3 7" xfId="21804" xr:uid="{00000000-0005-0000-0000-0000D4700000}"/>
    <cellStyle name="Normal 22 4" xfId="889" xr:uid="{00000000-0005-0000-0000-0000D5700000}"/>
    <cellStyle name="Normal 22 4 2" xfId="4988" xr:uid="{00000000-0005-0000-0000-0000D6700000}"/>
    <cellStyle name="Normal 22 4 2 2" xfId="9452" xr:uid="{00000000-0005-0000-0000-0000D7700000}"/>
    <cellStyle name="Normal 22 4 2 2 2" xfId="19448" xr:uid="{00000000-0005-0000-0000-0000D8700000}"/>
    <cellStyle name="Normal 22 4 2 2 2 2" xfId="38848" xr:uid="{00000000-0005-0000-0000-0000D9700000}"/>
    <cellStyle name="Normal 22 4 2 2 3" xfId="29150" xr:uid="{00000000-0005-0000-0000-0000DA700000}"/>
    <cellStyle name="Normal 22 4 2 3" xfId="14993" xr:uid="{00000000-0005-0000-0000-0000DB700000}"/>
    <cellStyle name="Normal 22 4 2 3 2" xfId="34393" xr:uid="{00000000-0005-0000-0000-0000DC700000}"/>
    <cellStyle name="Normal 22 4 2 4" xfId="24695" xr:uid="{00000000-0005-0000-0000-0000DD700000}"/>
    <cellStyle name="Normal 22 4 3" xfId="8337" xr:uid="{00000000-0005-0000-0000-0000DE700000}"/>
    <cellStyle name="Normal 22 4 3 2" xfId="18333" xr:uid="{00000000-0005-0000-0000-0000DF700000}"/>
    <cellStyle name="Normal 22 4 3 2 2" xfId="37733" xr:uid="{00000000-0005-0000-0000-0000E0700000}"/>
    <cellStyle name="Normal 22 4 3 3" xfId="28035" xr:uid="{00000000-0005-0000-0000-0000E1700000}"/>
    <cellStyle name="Normal 22 4 4" xfId="11796" xr:uid="{00000000-0005-0000-0000-0000E2700000}"/>
    <cellStyle name="Normal 22 4 4 2" xfId="21503" xr:uid="{00000000-0005-0000-0000-0000E3700000}"/>
    <cellStyle name="Normal 22 4 4 2 2" xfId="40903" xr:uid="{00000000-0005-0000-0000-0000E4700000}"/>
    <cellStyle name="Normal 22 4 4 3" xfId="31205" xr:uid="{00000000-0005-0000-0000-0000E5700000}"/>
    <cellStyle name="Normal 22 4 5" xfId="3858" xr:uid="{00000000-0005-0000-0000-0000E6700000}"/>
    <cellStyle name="Normal 22 4 5 2" xfId="13878" xr:uid="{00000000-0005-0000-0000-0000E7700000}"/>
    <cellStyle name="Normal 22 4 5 2 2" xfId="33278" xr:uid="{00000000-0005-0000-0000-0000E8700000}"/>
    <cellStyle name="Normal 22 4 5 3" xfId="23580" xr:uid="{00000000-0005-0000-0000-0000E9700000}"/>
    <cellStyle name="Normal 22 4 6" xfId="12155" xr:uid="{00000000-0005-0000-0000-0000EA700000}"/>
    <cellStyle name="Normal 22 4 6 2" xfId="31558" xr:uid="{00000000-0005-0000-0000-0000EB700000}"/>
    <cellStyle name="Normal 22 4 7" xfId="21860" xr:uid="{00000000-0005-0000-0000-0000EC700000}"/>
    <cellStyle name="Normal 22 5" xfId="4431" xr:uid="{00000000-0005-0000-0000-0000ED700000}"/>
    <cellStyle name="Normal 22 5 2" xfId="8895" xr:uid="{00000000-0005-0000-0000-0000EE700000}"/>
    <cellStyle name="Normal 22 5 2 2" xfId="18891" xr:uid="{00000000-0005-0000-0000-0000EF700000}"/>
    <cellStyle name="Normal 22 5 2 2 2" xfId="38291" xr:uid="{00000000-0005-0000-0000-0000F0700000}"/>
    <cellStyle name="Normal 22 5 2 3" xfId="28593" xr:uid="{00000000-0005-0000-0000-0000F1700000}"/>
    <cellStyle name="Normal 22 5 3" xfId="14436" xr:uid="{00000000-0005-0000-0000-0000F2700000}"/>
    <cellStyle name="Normal 22 5 3 2" xfId="33836" xr:uid="{00000000-0005-0000-0000-0000F3700000}"/>
    <cellStyle name="Normal 22 5 4" xfId="24138" xr:uid="{00000000-0005-0000-0000-0000F4700000}"/>
    <cellStyle name="Normal 22 6" xfId="6101" xr:uid="{00000000-0005-0000-0000-0000F5700000}"/>
    <cellStyle name="Normal 22 6 2" xfId="10565" xr:uid="{00000000-0005-0000-0000-0000F6700000}"/>
    <cellStyle name="Normal 22 6 2 2" xfId="20561" xr:uid="{00000000-0005-0000-0000-0000F7700000}"/>
    <cellStyle name="Normal 22 6 2 2 2" xfId="39961" xr:uid="{00000000-0005-0000-0000-0000F8700000}"/>
    <cellStyle name="Normal 22 6 2 3" xfId="30263" xr:uid="{00000000-0005-0000-0000-0000F9700000}"/>
    <cellStyle name="Normal 22 6 3" xfId="16106" xr:uid="{00000000-0005-0000-0000-0000FA700000}"/>
    <cellStyle name="Normal 22 6 3 2" xfId="35506" xr:uid="{00000000-0005-0000-0000-0000FB700000}"/>
    <cellStyle name="Normal 22 6 4" xfId="25808" xr:uid="{00000000-0005-0000-0000-0000FC700000}"/>
    <cellStyle name="Normal 22 7" xfId="6667" xr:uid="{00000000-0005-0000-0000-0000FD700000}"/>
    <cellStyle name="Normal 22 7 2" xfId="11122" xr:uid="{00000000-0005-0000-0000-0000FE700000}"/>
    <cellStyle name="Normal 22 7 2 2" xfId="21118" xr:uid="{00000000-0005-0000-0000-0000FF700000}"/>
    <cellStyle name="Normal 22 7 2 2 2" xfId="40518" xr:uid="{00000000-0005-0000-0000-000000710000}"/>
    <cellStyle name="Normal 22 7 2 3" xfId="30820" xr:uid="{00000000-0005-0000-0000-000001710000}"/>
    <cellStyle name="Normal 22 7 3" xfId="16663" xr:uid="{00000000-0005-0000-0000-000002710000}"/>
    <cellStyle name="Normal 22 7 3 2" xfId="36063" xr:uid="{00000000-0005-0000-0000-000003710000}"/>
    <cellStyle name="Normal 22 7 4" xfId="26365" xr:uid="{00000000-0005-0000-0000-000004710000}"/>
    <cellStyle name="Normal 22 8" xfId="7224" xr:uid="{00000000-0005-0000-0000-000005710000}"/>
    <cellStyle name="Normal 22 8 2" xfId="17220" xr:uid="{00000000-0005-0000-0000-000006710000}"/>
    <cellStyle name="Normal 22 8 2 2" xfId="36620" xr:uid="{00000000-0005-0000-0000-000007710000}"/>
    <cellStyle name="Normal 22 8 3" xfId="26922" xr:uid="{00000000-0005-0000-0000-000008710000}"/>
    <cellStyle name="Normal 22 9" xfId="11619" xr:uid="{00000000-0005-0000-0000-000009710000}"/>
    <cellStyle name="Normal 22 9 2" xfId="21366" xr:uid="{00000000-0005-0000-0000-00000A710000}"/>
    <cellStyle name="Normal 22 9 2 2" xfId="40766" xr:uid="{00000000-0005-0000-0000-00000B710000}"/>
    <cellStyle name="Normal 22 9 3" xfId="31068" xr:uid="{00000000-0005-0000-0000-00000C710000}"/>
    <cellStyle name="Normal 23" xfId="638" xr:uid="{00000000-0005-0000-0000-00000D710000}"/>
    <cellStyle name="Normal 23 2" xfId="819" xr:uid="{00000000-0005-0000-0000-00000E710000}"/>
    <cellStyle name="Normal 23 2 2" xfId="11739" xr:uid="{00000000-0005-0000-0000-00000F710000}"/>
    <cellStyle name="Normal 23 2 2 2" xfId="21448" xr:uid="{00000000-0005-0000-0000-000010710000}"/>
    <cellStyle name="Normal 23 2 2 2 2" xfId="40848" xr:uid="{00000000-0005-0000-0000-000011710000}"/>
    <cellStyle name="Normal 23 2 2 3" xfId="31150" xr:uid="{00000000-0005-0000-0000-000012710000}"/>
    <cellStyle name="Normal 23 2 3" xfId="2497" xr:uid="{00000000-0005-0000-0000-000013710000}"/>
    <cellStyle name="Normal 23 2 4" xfId="12100" xr:uid="{00000000-0005-0000-0000-000014710000}"/>
    <cellStyle name="Normal 23 2 4 2" xfId="31503" xr:uid="{00000000-0005-0000-0000-000015710000}"/>
    <cellStyle name="Normal 23 2 5" xfId="21805" xr:uid="{00000000-0005-0000-0000-000016710000}"/>
    <cellStyle name="Normal 23 3" xfId="890" xr:uid="{00000000-0005-0000-0000-000017710000}"/>
    <cellStyle name="Normal 23 3 2" xfId="11797" xr:uid="{00000000-0005-0000-0000-000018710000}"/>
    <cellStyle name="Normal 23 3 2 2" xfId="21504" xr:uid="{00000000-0005-0000-0000-000019710000}"/>
    <cellStyle name="Normal 23 3 2 2 2" xfId="40904" xr:uid="{00000000-0005-0000-0000-00001A710000}"/>
    <cellStyle name="Normal 23 3 2 3" xfId="31206" xr:uid="{00000000-0005-0000-0000-00001B710000}"/>
    <cellStyle name="Normal 23 3 3" xfId="12156" xr:uid="{00000000-0005-0000-0000-00001C710000}"/>
    <cellStyle name="Normal 23 3 3 2" xfId="31559" xr:uid="{00000000-0005-0000-0000-00001D710000}"/>
    <cellStyle name="Normal 23 3 4" xfId="21861" xr:uid="{00000000-0005-0000-0000-00001E710000}"/>
    <cellStyle name="Normal 23 4" xfId="11624" xr:uid="{00000000-0005-0000-0000-00001F710000}"/>
    <cellStyle name="Normal 23 4 2" xfId="21367" xr:uid="{00000000-0005-0000-0000-000020710000}"/>
    <cellStyle name="Normal 23 4 2 2" xfId="40767" xr:uid="{00000000-0005-0000-0000-000021710000}"/>
    <cellStyle name="Normal 23 4 3" xfId="31069" xr:uid="{00000000-0005-0000-0000-000022710000}"/>
    <cellStyle name="Normal 23 5" xfId="2324" xr:uid="{00000000-0005-0000-0000-000023710000}"/>
    <cellStyle name="Normal 23 6" xfId="12019" xr:uid="{00000000-0005-0000-0000-000024710000}"/>
    <cellStyle name="Normal 23 6 2" xfId="31422" xr:uid="{00000000-0005-0000-0000-000025710000}"/>
    <cellStyle name="Normal 23 7" xfId="21724" xr:uid="{00000000-0005-0000-0000-000026710000}"/>
    <cellStyle name="Normal 24" xfId="849" xr:uid="{00000000-0005-0000-0000-000027710000}"/>
    <cellStyle name="Normal 24 2" xfId="2474" xr:uid="{00000000-0005-0000-0000-000028710000}"/>
    <cellStyle name="Normal 24 3" xfId="2325" xr:uid="{00000000-0005-0000-0000-000029710000}"/>
    <cellStyle name="Normal 25" xfId="860" xr:uid="{00000000-0005-0000-0000-00002A710000}"/>
    <cellStyle name="Normal 25 2" xfId="2480" xr:uid="{00000000-0005-0000-0000-00002B710000}"/>
    <cellStyle name="Normal 25 3" xfId="2326" xr:uid="{00000000-0005-0000-0000-00002C710000}"/>
    <cellStyle name="Normal 26" xfId="850" xr:uid="{00000000-0005-0000-0000-00002D710000}"/>
    <cellStyle name="Normal 26 2" xfId="2557" xr:uid="{00000000-0005-0000-0000-00002E710000}"/>
    <cellStyle name="Normal 26 3" xfId="2327" xr:uid="{00000000-0005-0000-0000-00002F710000}"/>
    <cellStyle name="Normal 27" xfId="856" xr:uid="{00000000-0005-0000-0000-000030710000}"/>
    <cellStyle name="Normal 28" xfId="861" xr:uid="{00000000-0005-0000-0000-000031710000}"/>
    <cellStyle name="Normal 28 2" xfId="11768" xr:uid="{00000000-0005-0000-0000-000032710000}"/>
    <cellStyle name="Normal 28 3" xfId="2553" xr:uid="{00000000-0005-0000-0000-000033710000}"/>
    <cellStyle name="Normal 29" xfId="919" xr:uid="{00000000-0005-0000-0000-000034710000}"/>
    <cellStyle name="Normal 29 2" xfId="11826" xr:uid="{00000000-0005-0000-0000-000035710000}"/>
    <cellStyle name="Normal 29 2 2" xfId="21533" xr:uid="{00000000-0005-0000-0000-000036710000}"/>
    <cellStyle name="Normal 29 2 2 2" xfId="40933" xr:uid="{00000000-0005-0000-0000-000037710000}"/>
    <cellStyle name="Normal 29 2 3" xfId="31235" xr:uid="{00000000-0005-0000-0000-000038710000}"/>
    <cellStyle name="Normal 29 3" xfId="2494" xr:uid="{00000000-0005-0000-0000-000039710000}"/>
    <cellStyle name="Normal 29 4" xfId="12185" xr:uid="{00000000-0005-0000-0000-00003A710000}"/>
    <cellStyle name="Normal 29 4 2" xfId="31588" xr:uid="{00000000-0005-0000-0000-00003B710000}"/>
    <cellStyle name="Normal 29 5" xfId="21890" xr:uid="{00000000-0005-0000-0000-00003C710000}"/>
    <cellStyle name="Normal 3" xfId="522" xr:uid="{00000000-0005-0000-0000-00003D710000}"/>
    <cellStyle name="Normal 3 10" xfId="2328" xr:uid="{00000000-0005-0000-0000-00003E710000}"/>
    <cellStyle name="Normal 3 11" xfId="2329" xr:uid="{00000000-0005-0000-0000-00003F710000}"/>
    <cellStyle name="Normal 3 11 2" xfId="3276" xr:uid="{00000000-0005-0000-0000-000040710000}"/>
    <cellStyle name="Normal 3 11 2 2" xfId="5545" xr:uid="{00000000-0005-0000-0000-000041710000}"/>
    <cellStyle name="Normal 3 11 2 2 2" xfId="10009" xr:uid="{00000000-0005-0000-0000-000042710000}"/>
    <cellStyle name="Normal 3 11 2 2 2 2" xfId="20005" xr:uid="{00000000-0005-0000-0000-000043710000}"/>
    <cellStyle name="Normal 3 11 2 2 2 2 2" xfId="39405" xr:uid="{00000000-0005-0000-0000-000044710000}"/>
    <cellStyle name="Normal 3 11 2 2 2 3" xfId="29707" xr:uid="{00000000-0005-0000-0000-000045710000}"/>
    <cellStyle name="Normal 3 11 2 2 3" xfId="15550" xr:uid="{00000000-0005-0000-0000-000046710000}"/>
    <cellStyle name="Normal 3 11 2 2 3 2" xfId="34950" xr:uid="{00000000-0005-0000-0000-000047710000}"/>
    <cellStyle name="Normal 3 11 2 2 4" xfId="25252" xr:uid="{00000000-0005-0000-0000-000048710000}"/>
    <cellStyle name="Normal 3 11 2 3" xfId="7781" xr:uid="{00000000-0005-0000-0000-000049710000}"/>
    <cellStyle name="Normal 3 11 2 3 2" xfId="17777" xr:uid="{00000000-0005-0000-0000-00004A710000}"/>
    <cellStyle name="Normal 3 11 2 3 2 2" xfId="37177" xr:uid="{00000000-0005-0000-0000-00004B710000}"/>
    <cellStyle name="Normal 3 11 2 3 3" xfId="27479" xr:uid="{00000000-0005-0000-0000-00004C710000}"/>
    <cellStyle name="Normal 3 11 2 4" xfId="13322" xr:uid="{00000000-0005-0000-0000-00004D710000}"/>
    <cellStyle name="Normal 3 11 2 4 2" xfId="32722" xr:uid="{00000000-0005-0000-0000-00004E710000}"/>
    <cellStyle name="Normal 3 11 2 5" xfId="23024" xr:uid="{00000000-0005-0000-0000-00004F710000}"/>
    <cellStyle name="Normal 3 11 3" xfId="3859" xr:uid="{00000000-0005-0000-0000-000050710000}"/>
    <cellStyle name="Normal 3 11 3 2" xfId="4989" xr:uid="{00000000-0005-0000-0000-000051710000}"/>
    <cellStyle name="Normal 3 11 3 2 2" xfId="9453" xr:uid="{00000000-0005-0000-0000-000052710000}"/>
    <cellStyle name="Normal 3 11 3 2 2 2" xfId="19449" xr:uid="{00000000-0005-0000-0000-000053710000}"/>
    <cellStyle name="Normal 3 11 3 2 2 2 2" xfId="38849" xr:uid="{00000000-0005-0000-0000-000054710000}"/>
    <cellStyle name="Normal 3 11 3 2 2 3" xfId="29151" xr:uid="{00000000-0005-0000-0000-000055710000}"/>
    <cellStyle name="Normal 3 11 3 2 3" xfId="14994" xr:uid="{00000000-0005-0000-0000-000056710000}"/>
    <cellStyle name="Normal 3 11 3 2 3 2" xfId="34394" xr:uid="{00000000-0005-0000-0000-000057710000}"/>
    <cellStyle name="Normal 3 11 3 2 4" xfId="24696" xr:uid="{00000000-0005-0000-0000-000058710000}"/>
    <cellStyle name="Normal 3 11 3 3" xfId="8338" xr:uid="{00000000-0005-0000-0000-000059710000}"/>
    <cellStyle name="Normal 3 11 3 3 2" xfId="18334" xr:uid="{00000000-0005-0000-0000-00005A710000}"/>
    <cellStyle name="Normal 3 11 3 3 2 2" xfId="37734" xr:uid="{00000000-0005-0000-0000-00005B710000}"/>
    <cellStyle name="Normal 3 11 3 3 3" xfId="28036" xr:uid="{00000000-0005-0000-0000-00005C710000}"/>
    <cellStyle name="Normal 3 11 3 4" xfId="13879" xr:uid="{00000000-0005-0000-0000-00005D710000}"/>
    <cellStyle name="Normal 3 11 3 4 2" xfId="33279" xr:uid="{00000000-0005-0000-0000-00005E710000}"/>
    <cellStyle name="Normal 3 11 3 5" xfId="23581" xr:uid="{00000000-0005-0000-0000-00005F710000}"/>
    <cellStyle name="Normal 3 11 4" xfId="4432" xr:uid="{00000000-0005-0000-0000-000060710000}"/>
    <cellStyle name="Normal 3 11 4 2" xfId="8896" xr:uid="{00000000-0005-0000-0000-000061710000}"/>
    <cellStyle name="Normal 3 11 4 2 2" xfId="18892" xr:uid="{00000000-0005-0000-0000-000062710000}"/>
    <cellStyle name="Normal 3 11 4 2 2 2" xfId="38292" xr:uid="{00000000-0005-0000-0000-000063710000}"/>
    <cellStyle name="Normal 3 11 4 2 3" xfId="28594" xr:uid="{00000000-0005-0000-0000-000064710000}"/>
    <cellStyle name="Normal 3 11 4 3" xfId="14437" xr:uid="{00000000-0005-0000-0000-000065710000}"/>
    <cellStyle name="Normal 3 11 4 3 2" xfId="33837" xr:uid="{00000000-0005-0000-0000-000066710000}"/>
    <cellStyle name="Normal 3 11 4 4" xfId="24139" xr:uid="{00000000-0005-0000-0000-000067710000}"/>
    <cellStyle name="Normal 3 11 5" xfId="6102" xr:uid="{00000000-0005-0000-0000-000068710000}"/>
    <cellStyle name="Normal 3 11 5 2" xfId="10566" xr:uid="{00000000-0005-0000-0000-000069710000}"/>
    <cellStyle name="Normal 3 11 5 2 2" xfId="20562" xr:uid="{00000000-0005-0000-0000-00006A710000}"/>
    <cellStyle name="Normal 3 11 5 2 2 2" xfId="39962" xr:uid="{00000000-0005-0000-0000-00006B710000}"/>
    <cellStyle name="Normal 3 11 5 2 3" xfId="30264" xr:uid="{00000000-0005-0000-0000-00006C710000}"/>
    <cellStyle name="Normal 3 11 5 3" xfId="16107" xr:uid="{00000000-0005-0000-0000-00006D710000}"/>
    <cellStyle name="Normal 3 11 5 3 2" xfId="35507" xr:uid="{00000000-0005-0000-0000-00006E710000}"/>
    <cellStyle name="Normal 3 11 5 4" xfId="25809" xr:uid="{00000000-0005-0000-0000-00006F710000}"/>
    <cellStyle name="Normal 3 11 6" xfId="6668" xr:uid="{00000000-0005-0000-0000-000070710000}"/>
    <cellStyle name="Normal 3 11 6 2" xfId="11123" xr:uid="{00000000-0005-0000-0000-000071710000}"/>
    <cellStyle name="Normal 3 11 6 2 2" xfId="21119" xr:uid="{00000000-0005-0000-0000-000072710000}"/>
    <cellStyle name="Normal 3 11 6 2 2 2" xfId="40519" xr:uid="{00000000-0005-0000-0000-000073710000}"/>
    <cellStyle name="Normal 3 11 6 2 3" xfId="30821" xr:uid="{00000000-0005-0000-0000-000074710000}"/>
    <cellStyle name="Normal 3 11 6 3" xfId="16664" xr:uid="{00000000-0005-0000-0000-000075710000}"/>
    <cellStyle name="Normal 3 11 6 3 2" xfId="36064" xr:uid="{00000000-0005-0000-0000-000076710000}"/>
    <cellStyle name="Normal 3 11 6 4" xfId="26366" xr:uid="{00000000-0005-0000-0000-000077710000}"/>
    <cellStyle name="Normal 3 11 7" xfId="7225" xr:uid="{00000000-0005-0000-0000-000078710000}"/>
    <cellStyle name="Normal 3 11 7 2" xfId="17221" xr:uid="{00000000-0005-0000-0000-000079710000}"/>
    <cellStyle name="Normal 3 11 7 2 2" xfId="36621" xr:uid="{00000000-0005-0000-0000-00007A710000}"/>
    <cellStyle name="Normal 3 11 7 3" xfId="26923" xr:uid="{00000000-0005-0000-0000-00007B710000}"/>
    <cellStyle name="Normal 3 11 8" xfId="12765" xr:uid="{00000000-0005-0000-0000-00007C710000}"/>
    <cellStyle name="Normal 3 11 8 2" xfId="32166" xr:uid="{00000000-0005-0000-0000-00007D710000}"/>
    <cellStyle name="Normal 3 11 9" xfId="22468" xr:uid="{00000000-0005-0000-0000-00007E710000}"/>
    <cellStyle name="Normal 3 12" xfId="11302" xr:uid="{00000000-0005-0000-0000-00007F710000}"/>
    <cellStyle name="Normal 3 12 2" xfId="21287" xr:uid="{00000000-0005-0000-0000-000080710000}"/>
    <cellStyle name="Normal 3 12 2 2" xfId="40687" xr:uid="{00000000-0005-0000-0000-000081710000}"/>
    <cellStyle name="Normal 3 12 3" xfId="30989" xr:uid="{00000000-0005-0000-0000-000082710000}"/>
    <cellStyle name="Normal 3 13" xfId="11330" xr:uid="{00000000-0005-0000-0000-000083710000}"/>
    <cellStyle name="Normal 3 13 2" xfId="21313" xr:uid="{00000000-0005-0000-0000-000084710000}"/>
    <cellStyle name="Normal 3 13 2 2" xfId="40713" xr:uid="{00000000-0005-0000-0000-000085710000}"/>
    <cellStyle name="Normal 3 13 3" xfId="31015" xr:uid="{00000000-0005-0000-0000-000086710000}"/>
    <cellStyle name="Normal 3 14" xfId="1533" xr:uid="{00000000-0005-0000-0000-000087710000}"/>
    <cellStyle name="Normal 3 15" xfId="1127" xr:uid="{00000000-0005-0000-0000-000088710000}"/>
    <cellStyle name="Normal 3 15 2" xfId="12346" xr:uid="{00000000-0005-0000-0000-000089710000}"/>
    <cellStyle name="Normal 3 15 2 2" xfId="31748" xr:uid="{00000000-0005-0000-0000-00008A710000}"/>
    <cellStyle name="Normal 3 15 3" xfId="22050" xr:uid="{00000000-0005-0000-0000-00008B710000}"/>
    <cellStyle name="Normal 3 2" xfId="608" xr:uid="{00000000-0005-0000-0000-00008C710000}"/>
    <cellStyle name="Normal 3 2 2" xfId="1796" xr:uid="{00000000-0005-0000-0000-00008D710000}"/>
    <cellStyle name="Normal 3 2 3" xfId="1534" xr:uid="{00000000-0005-0000-0000-00008E710000}"/>
    <cellStyle name="Normal 3 3" xfId="609" xr:uid="{00000000-0005-0000-0000-00008F710000}"/>
    <cellStyle name="Normal 3 3 2" xfId="602" xr:uid="{00000000-0005-0000-0000-000090710000}"/>
    <cellStyle name="Normal 3 3 3" xfId="1535" xr:uid="{00000000-0005-0000-0000-000091710000}"/>
    <cellStyle name="Normal 3 4" xfId="634" xr:uid="{00000000-0005-0000-0000-000092710000}"/>
    <cellStyle name="Normal 3 4 2" xfId="817" xr:uid="{00000000-0005-0000-0000-000093710000}"/>
    <cellStyle name="Normal 3 4 2 10" xfId="7226" xr:uid="{00000000-0005-0000-0000-000094710000}"/>
    <cellStyle name="Normal 3 4 2 10 2" xfId="17222" xr:uid="{00000000-0005-0000-0000-000095710000}"/>
    <cellStyle name="Normal 3 4 2 10 2 2" xfId="36622" xr:uid="{00000000-0005-0000-0000-000096710000}"/>
    <cellStyle name="Normal 3 4 2 10 3" xfId="26924" xr:uid="{00000000-0005-0000-0000-000097710000}"/>
    <cellStyle name="Normal 3 4 2 11" xfId="11738" xr:uid="{00000000-0005-0000-0000-000098710000}"/>
    <cellStyle name="Normal 3 4 2 12" xfId="2330" xr:uid="{00000000-0005-0000-0000-000099710000}"/>
    <cellStyle name="Normal 3 4 2 12 2" xfId="12766" xr:uid="{00000000-0005-0000-0000-00009A710000}"/>
    <cellStyle name="Normal 3 4 2 12 2 2" xfId="32167" xr:uid="{00000000-0005-0000-0000-00009B710000}"/>
    <cellStyle name="Normal 3 4 2 12 3" xfId="22469" xr:uid="{00000000-0005-0000-0000-00009C710000}"/>
    <cellStyle name="Normal 3 4 2 2" xfId="2331" xr:uid="{00000000-0005-0000-0000-00009D710000}"/>
    <cellStyle name="Normal 3 4 2 2 10" xfId="12767" xr:uid="{00000000-0005-0000-0000-00009E710000}"/>
    <cellStyle name="Normal 3 4 2 2 10 2" xfId="32168" xr:uid="{00000000-0005-0000-0000-00009F710000}"/>
    <cellStyle name="Normal 3 4 2 2 11" xfId="22470" xr:uid="{00000000-0005-0000-0000-0000A0710000}"/>
    <cellStyle name="Normal 3 4 2 2 2" xfId="2332" xr:uid="{00000000-0005-0000-0000-0000A1710000}"/>
    <cellStyle name="Normal 3 4 2 2 2 2" xfId="3279" xr:uid="{00000000-0005-0000-0000-0000A2710000}"/>
    <cellStyle name="Normal 3 4 2 2 2 2 2" xfId="5548" xr:uid="{00000000-0005-0000-0000-0000A3710000}"/>
    <cellStyle name="Normal 3 4 2 2 2 2 2 2" xfId="10012" xr:uid="{00000000-0005-0000-0000-0000A4710000}"/>
    <cellStyle name="Normal 3 4 2 2 2 2 2 2 2" xfId="20008" xr:uid="{00000000-0005-0000-0000-0000A5710000}"/>
    <cellStyle name="Normal 3 4 2 2 2 2 2 2 2 2" xfId="39408" xr:uid="{00000000-0005-0000-0000-0000A6710000}"/>
    <cellStyle name="Normal 3 4 2 2 2 2 2 2 3" xfId="29710" xr:uid="{00000000-0005-0000-0000-0000A7710000}"/>
    <cellStyle name="Normal 3 4 2 2 2 2 2 3" xfId="15553" xr:uid="{00000000-0005-0000-0000-0000A8710000}"/>
    <cellStyle name="Normal 3 4 2 2 2 2 2 3 2" xfId="34953" xr:uid="{00000000-0005-0000-0000-0000A9710000}"/>
    <cellStyle name="Normal 3 4 2 2 2 2 2 4" xfId="25255" xr:uid="{00000000-0005-0000-0000-0000AA710000}"/>
    <cellStyle name="Normal 3 4 2 2 2 2 3" xfId="7784" xr:uid="{00000000-0005-0000-0000-0000AB710000}"/>
    <cellStyle name="Normal 3 4 2 2 2 2 3 2" xfId="17780" xr:uid="{00000000-0005-0000-0000-0000AC710000}"/>
    <cellStyle name="Normal 3 4 2 2 2 2 3 2 2" xfId="37180" xr:uid="{00000000-0005-0000-0000-0000AD710000}"/>
    <cellStyle name="Normal 3 4 2 2 2 2 3 3" xfId="27482" xr:uid="{00000000-0005-0000-0000-0000AE710000}"/>
    <cellStyle name="Normal 3 4 2 2 2 2 4" xfId="13325" xr:uid="{00000000-0005-0000-0000-0000AF710000}"/>
    <cellStyle name="Normal 3 4 2 2 2 2 4 2" xfId="32725" xr:uid="{00000000-0005-0000-0000-0000B0710000}"/>
    <cellStyle name="Normal 3 4 2 2 2 2 5" xfId="23027" xr:uid="{00000000-0005-0000-0000-0000B1710000}"/>
    <cellStyle name="Normal 3 4 2 2 2 3" xfId="3862" xr:uid="{00000000-0005-0000-0000-0000B2710000}"/>
    <cellStyle name="Normal 3 4 2 2 2 3 2" xfId="4992" xr:uid="{00000000-0005-0000-0000-0000B3710000}"/>
    <cellStyle name="Normal 3 4 2 2 2 3 2 2" xfId="9456" xr:uid="{00000000-0005-0000-0000-0000B4710000}"/>
    <cellStyle name="Normal 3 4 2 2 2 3 2 2 2" xfId="19452" xr:uid="{00000000-0005-0000-0000-0000B5710000}"/>
    <cellStyle name="Normal 3 4 2 2 2 3 2 2 2 2" xfId="38852" xr:uid="{00000000-0005-0000-0000-0000B6710000}"/>
    <cellStyle name="Normal 3 4 2 2 2 3 2 2 3" xfId="29154" xr:uid="{00000000-0005-0000-0000-0000B7710000}"/>
    <cellStyle name="Normal 3 4 2 2 2 3 2 3" xfId="14997" xr:uid="{00000000-0005-0000-0000-0000B8710000}"/>
    <cellStyle name="Normal 3 4 2 2 2 3 2 3 2" xfId="34397" xr:uid="{00000000-0005-0000-0000-0000B9710000}"/>
    <cellStyle name="Normal 3 4 2 2 2 3 2 4" xfId="24699" xr:uid="{00000000-0005-0000-0000-0000BA710000}"/>
    <cellStyle name="Normal 3 4 2 2 2 3 3" xfId="8341" xr:uid="{00000000-0005-0000-0000-0000BB710000}"/>
    <cellStyle name="Normal 3 4 2 2 2 3 3 2" xfId="18337" xr:uid="{00000000-0005-0000-0000-0000BC710000}"/>
    <cellStyle name="Normal 3 4 2 2 2 3 3 2 2" xfId="37737" xr:uid="{00000000-0005-0000-0000-0000BD710000}"/>
    <cellStyle name="Normal 3 4 2 2 2 3 3 3" xfId="28039" xr:uid="{00000000-0005-0000-0000-0000BE710000}"/>
    <cellStyle name="Normal 3 4 2 2 2 3 4" xfId="13882" xr:uid="{00000000-0005-0000-0000-0000BF710000}"/>
    <cellStyle name="Normal 3 4 2 2 2 3 4 2" xfId="33282" xr:uid="{00000000-0005-0000-0000-0000C0710000}"/>
    <cellStyle name="Normal 3 4 2 2 2 3 5" xfId="23584" xr:uid="{00000000-0005-0000-0000-0000C1710000}"/>
    <cellStyle name="Normal 3 4 2 2 2 4" xfId="4435" xr:uid="{00000000-0005-0000-0000-0000C2710000}"/>
    <cellStyle name="Normal 3 4 2 2 2 4 2" xfId="8899" xr:uid="{00000000-0005-0000-0000-0000C3710000}"/>
    <cellStyle name="Normal 3 4 2 2 2 4 2 2" xfId="18895" xr:uid="{00000000-0005-0000-0000-0000C4710000}"/>
    <cellStyle name="Normal 3 4 2 2 2 4 2 2 2" xfId="38295" xr:uid="{00000000-0005-0000-0000-0000C5710000}"/>
    <cellStyle name="Normal 3 4 2 2 2 4 2 3" xfId="28597" xr:uid="{00000000-0005-0000-0000-0000C6710000}"/>
    <cellStyle name="Normal 3 4 2 2 2 4 3" xfId="14440" xr:uid="{00000000-0005-0000-0000-0000C7710000}"/>
    <cellStyle name="Normal 3 4 2 2 2 4 3 2" xfId="33840" xr:uid="{00000000-0005-0000-0000-0000C8710000}"/>
    <cellStyle name="Normal 3 4 2 2 2 4 4" xfId="24142" xr:uid="{00000000-0005-0000-0000-0000C9710000}"/>
    <cellStyle name="Normal 3 4 2 2 2 5" xfId="6105" xr:uid="{00000000-0005-0000-0000-0000CA710000}"/>
    <cellStyle name="Normal 3 4 2 2 2 5 2" xfId="10569" xr:uid="{00000000-0005-0000-0000-0000CB710000}"/>
    <cellStyle name="Normal 3 4 2 2 2 5 2 2" xfId="20565" xr:uid="{00000000-0005-0000-0000-0000CC710000}"/>
    <cellStyle name="Normal 3 4 2 2 2 5 2 2 2" xfId="39965" xr:uid="{00000000-0005-0000-0000-0000CD710000}"/>
    <cellStyle name="Normal 3 4 2 2 2 5 2 3" xfId="30267" xr:uid="{00000000-0005-0000-0000-0000CE710000}"/>
    <cellStyle name="Normal 3 4 2 2 2 5 3" xfId="16110" xr:uid="{00000000-0005-0000-0000-0000CF710000}"/>
    <cellStyle name="Normal 3 4 2 2 2 5 3 2" xfId="35510" xr:uid="{00000000-0005-0000-0000-0000D0710000}"/>
    <cellStyle name="Normal 3 4 2 2 2 5 4" xfId="25812" xr:uid="{00000000-0005-0000-0000-0000D1710000}"/>
    <cellStyle name="Normal 3 4 2 2 2 6" xfId="6671" xr:uid="{00000000-0005-0000-0000-0000D2710000}"/>
    <cellStyle name="Normal 3 4 2 2 2 6 2" xfId="11126" xr:uid="{00000000-0005-0000-0000-0000D3710000}"/>
    <cellStyle name="Normal 3 4 2 2 2 6 2 2" xfId="21122" xr:uid="{00000000-0005-0000-0000-0000D4710000}"/>
    <cellStyle name="Normal 3 4 2 2 2 6 2 2 2" xfId="40522" xr:uid="{00000000-0005-0000-0000-0000D5710000}"/>
    <cellStyle name="Normal 3 4 2 2 2 6 2 3" xfId="30824" xr:uid="{00000000-0005-0000-0000-0000D6710000}"/>
    <cellStyle name="Normal 3 4 2 2 2 6 3" xfId="16667" xr:uid="{00000000-0005-0000-0000-0000D7710000}"/>
    <cellStyle name="Normal 3 4 2 2 2 6 3 2" xfId="36067" xr:uid="{00000000-0005-0000-0000-0000D8710000}"/>
    <cellStyle name="Normal 3 4 2 2 2 6 4" xfId="26369" xr:uid="{00000000-0005-0000-0000-0000D9710000}"/>
    <cellStyle name="Normal 3 4 2 2 2 7" xfId="7228" xr:uid="{00000000-0005-0000-0000-0000DA710000}"/>
    <cellStyle name="Normal 3 4 2 2 2 7 2" xfId="17224" xr:uid="{00000000-0005-0000-0000-0000DB710000}"/>
    <cellStyle name="Normal 3 4 2 2 2 7 2 2" xfId="36624" xr:uid="{00000000-0005-0000-0000-0000DC710000}"/>
    <cellStyle name="Normal 3 4 2 2 2 7 3" xfId="26926" xr:uid="{00000000-0005-0000-0000-0000DD710000}"/>
    <cellStyle name="Normal 3 4 2 2 2 8" xfId="12768" xr:uid="{00000000-0005-0000-0000-0000DE710000}"/>
    <cellStyle name="Normal 3 4 2 2 2 8 2" xfId="32169" xr:uid="{00000000-0005-0000-0000-0000DF710000}"/>
    <cellStyle name="Normal 3 4 2 2 2 9" xfId="22471" xr:uid="{00000000-0005-0000-0000-0000E0710000}"/>
    <cellStyle name="Normal 3 4 2 2 3" xfId="2333" xr:uid="{00000000-0005-0000-0000-0000E1710000}"/>
    <cellStyle name="Normal 3 4 2 2 3 2" xfId="3280" xr:uid="{00000000-0005-0000-0000-0000E2710000}"/>
    <cellStyle name="Normal 3 4 2 2 3 2 2" xfId="5549" xr:uid="{00000000-0005-0000-0000-0000E3710000}"/>
    <cellStyle name="Normal 3 4 2 2 3 2 2 2" xfId="10013" xr:uid="{00000000-0005-0000-0000-0000E4710000}"/>
    <cellStyle name="Normal 3 4 2 2 3 2 2 2 2" xfId="20009" xr:uid="{00000000-0005-0000-0000-0000E5710000}"/>
    <cellStyle name="Normal 3 4 2 2 3 2 2 2 2 2" xfId="39409" xr:uid="{00000000-0005-0000-0000-0000E6710000}"/>
    <cellStyle name="Normal 3 4 2 2 3 2 2 2 3" xfId="29711" xr:uid="{00000000-0005-0000-0000-0000E7710000}"/>
    <cellStyle name="Normal 3 4 2 2 3 2 2 3" xfId="15554" xr:uid="{00000000-0005-0000-0000-0000E8710000}"/>
    <cellStyle name="Normal 3 4 2 2 3 2 2 3 2" xfId="34954" xr:uid="{00000000-0005-0000-0000-0000E9710000}"/>
    <cellStyle name="Normal 3 4 2 2 3 2 2 4" xfId="25256" xr:uid="{00000000-0005-0000-0000-0000EA710000}"/>
    <cellStyle name="Normal 3 4 2 2 3 2 3" xfId="7785" xr:uid="{00000000-0005-0000-0000-0000EB710000}"/>
    <cellStyle name="Normal 3 4 2 2 3 2 3 2" xfId="17781" xr:uid="{00000000-0005-0000-0000-0000EC710000}"/>
    <cellStyle name="Normal 3 4 2 2 3 2 3 2 2" xfId="37181" xr:uid="{00000000-0005-0000-0000-0000ED710000}"/>
    <cellStyle name="Normal 3 4 2 2 3 2 3 3" xfId="27483" xr:uid="{00000000-0005-0000-0000-0000EE710000}"/>
    <cellStyle name="Normal 3 4 2 2 3 2 4" xfId="13326" xr:uid="{00000000-0005-0000-0000-0000EF710000}"/>
    <cellStyle name="Normal 3 4 2 2 3 2 4 2" xfId="32726" xr:uid="{00000000-0005-0000-0000-0000F0710000}"/>
    <cellStyle name="Normal 3 4 2 2 3 2 5" xfId="23028" xr:uid="{00000000-0005-0000-0000-0000F1710000}"/>
    <cellStyle name="Normal 3 4 2 2 3 3" xfId="3863" xr:uid="{00000000-0005-0000-0000-0000F2710000}"/>
    <cellStyle name="Normal 3 4 2 2 3 3 2" xfId="4993" xr:uid="{00000000-0005-0000-0000-0000F3710000}"/>
    <cellStyle name="Normal 3 4 2 2 3 3 2 2" xfId="9457" xr:uid="{00000000-0005-0000-0000-0000F4710000}"/>
    <cellStyle name="Normal 3 4 2 2 3 3 2 2 2" xfId="19453" xr:uid="{00000000-0005-0000-0000-0000F5710000}"/>
    <cellStyle name="Normal 3 4 2 2 3 3 2 2 2 2" xfId="38853" xr:uid="{00000000-0005-0000-0000-0000F6710000}"/>
    <cellStyle name="Normal 3 4 2 2 3 3 2 2 3" xfId="29155" xr:uid="{00000000-0005-0000-0000-0000F7710000}"/>
    <cellStyle name="Normal 3 4 2 2 3 3 2 3" xfId="14998" xr:uid="{00000000-0005-0000-0000-0000F8710000}"/>
    <cellStyle name="Normal 3 4 2 2 3 3 2 3 2" xfId="34398" xr:uid="{00000000-0005-0000-0000-0000F9710000}"/>
    <cellStyle name="Normal 3 4 2 2 3 3 2 4" xfId="24700" xr:uid="{00000000-0005-0000-0000-0000FA710000}"/>
    <cellStyle name="Normal 3 4 2 2 3 3 3" xfId="8342" xr:uid="{00000000-0005-0000-0000-0000FB710000}"/>
    <cellStyle name="Normal 3 4 2 2 3 3 3 2" xfId="18338" xr:uid="{00000000-0005-0000-0000-0000FC710000}"/>
    <cellStyle name="Normal 3 4 2 2 3 3 3 2 2" xfId="37738" xr:uid="{00000000-0005-0000-0000-0000FD710000}"/>
    <cellStyle name="Normal 3 4 2 2 3 3 3 3" xfId="28040" xr:uid="{00000000-0005-0000-0000-0000FE710000}"/>
    <cellStyle name="Normal 3 4 2 2 3 3 4" xfId="13883" xr:uid="{00000000-0005-0000-0000-0000FF710000}"/>
    <cellStyle name="Normal 3 4 2 2 3 3 4 2" xfId="33283" xr:uid="{00000000-0005-0000-0000-000000720000}"/>
    <cellStyle name="Normal 3 4 2 2 3 3 5" xfId="23585" xr:uid="{00000000-0005-0000-0000-000001720000}"/>
    <cellStyle name="Normal 3 4 2 2 3 4" xfId="4436" xr:uid="{00000000-0005-0000-0000-000002720000}"/>
    <cellStyle name="Normal 3 4 2 2 3 4 2" xfId="8900" xr:uid="{00000000-0005-0000-0000-000003720000}"/>
    <cellStyle name="Normal 3 4 2 2 3 4 2 2" xfId="18896" xr:uid="{00000000-0005-0000-0000-000004720000}"/>
    <cellStyle name="Normal 3 4 2 2 3 4 2 2 2" xfId="38296" xr:uid="{00000000-0005-0000-0000-000005720000}"/>
    <cellStyle name="Normal 3 4 2 2 3 4 2 3" xfId="28598" xr:uid="{00000000-0005-0000-0000-000006720000}"/>
    <cellStyle name="Normal 3 4 2 2 3 4 3" xfId="14441" xr:uid="{00000000-0005-0000-0000-000007720000}"/>
    <cellStyle name="Normal 3 4 2 2 3 4 3 2" xfId="33841" xr:uid="{00000000-0005-0000-0000-000008720000}"/>
    <cellStyle name="Normal 3 4 2 2 3 4 4" xfId="24143" xr:uid="{00000000-0005-0000-0000-000009720000}"/>
    <cellStyle name="Normal 3 4 2 2 3 5" xfId="6106" xr:uid="{00000000-0005-0000-0000-00000A720000}"/>
    <cellStyle name="Normal 3 4 2 2 3 5 2" xfId="10570" xr:uid="{00000000-0005-0000-0000-00000B720000}"/>
    <cellStyle name="Normal 3 4 2 2 3 5 2 2" xfId="20566" xr:uid="{00000000-0005-0000-0000-00000C720000}"/>
    <cellStyle name="Normal 3 4 2 2 3 5 2 2 2" xfId="39966" xr:uid="{00000000-0005-0000-0000-00000D720000}"/>
    <cellStyle name="Normal 3 4 2 2 3 5 2 3" xfId="30268" xr:uid="{00000000-0005-0000-0000-00000E720000}"/>
    <cellStyle name="Normal 3 4 2 2 3 5 3" xfId="16111" xr:uid="{00000000-0005-0000-0000-00000F720000}"/>
    <cellStyle name="Normal 3 4 2 2 3 5 3 2" xfId="35511" xr:uid="{00000000-0005-0000-0000-000010720000}"/>
    <cellStyle name="Normal 3 4 2 2 3 5 4" xfId="25813" xr:uid="{00000000-0005-0000-0000-000011720000}"/>
    <cellStyle name="Normal 3 4 2 2 3 6" xfId="6672" xr:uid="{00000000-0005-0000-0000-000012720000}"/>
    <cellStyle name="Normal 3 4 2 2 3 6 2" xfId="11127" xr:uid="{00000000-0005-0000-0000-000013720000}"/>
    <cellStyle name="Normal 3 4 2 2 3 6 2 2" xfId="21123" xr:uid="{00000000-0005-0000-0000-000014720000}"/>
    <cellStyle name="Normal 3 4 2 2 3 6 2 2 2" xfId="40523" xr:uid="{00000000-0005-0000-0000-000015720000}"/>
    <cellStyle name="Normal 3 4 2 2 3 6 2 3" xfId="30825" xr:uid="{00000000-0005-0000-0000-000016720000}"/>
    <cellStyle name="Normal 3 4 2 2 3 6 3" xfId="16668" xr:uid="{00000000-0005-0000-0000-000017720000}"/>
    <cellStyle name="Normal 3 4 2 2 3 6 3 2" xfId="36068" xr:uid="{00000000-0005-0000-0000-000018720000}"/>
    <cellStyle name="Normal 3 4 2 2 3 6 4" xfId="26370" xr:uid="{00000000-0005-0000-0000-000019720000}"/>
    <cellStyle name="Normal 3 4 2 2 3 7" xfId="7229" xr:uid="{00000000-0005-0000-0000-00001A720000}"/>
    <cellStyle name="Normal 3 4 2 2 3 7 2" xfId="17225" xr:uid="{00000000-0005-0000-0000-00001B720000}"/>
    <cellStyle name="Normal 3 4 2 2 3 7 2 2" xfId="36625" xr:uid="{00000000-0005-0000-0000-00001C720000}"/>
    <cellStyle name="Normal 3 4 2 2 3 7 3" xfId="26927" xr:uid="{00000000-0005-0000-0000-00001D720000}"/>
    <cellStyle name="Normal 3 4 2 2 3 8" xfId="12769" xr:uid="{00000000-0005-0000-0000-00001E720000}"/>
    <cellStyle name="Normal 3 4 2 2 3 8 2" xfId="32170" xr:uid="{00000000-0005-0000-0000-00001F720000}"/>
    <cellStyle name="Normal 3 4 2 2 3 9" xfId="22472" xr:uid="{00000000-0005-0000-0000-000020720000}"/>
    <cellStyle name="Normal 3 4 2 2 4" xfId="3278" xr:uid="{00000000-0005-0000-0000-000021720000}"/>
    <cellStyle name="Normal 3 4 2 2 4 2" xfId="5547" xr:uid="{00000000-0005-0000-0000-000022720000}"/>
    <cellStyle name="Normal 3 4 2 2 4 2 2" xfId="10011" xr:uid="{00000000-0005-0000-0000-000023720000}"/>
    <cellStyle name="Normal 3 4 2 2 4 2 2 2" xfId="20007" xr:uid="{00000000-0005-0000-0000-000024720000}"/>
    <cellStyle name="Normal 3 4 2 2 4 2 2 2 2" xfId="39407" xr:uid="{00000000-0005-0000-0000-000025720000}"/>
    <cellStyle name="Normal 3 4 2 2 4 2 2 3" xfId="29709" xr:uid="{00000000-0005-0000-0000-000026720000}"/>
    <cellStyle name="Normal 3 4 2 2 4 2 3" xfId="15552" xr:uid="{00000000-0005-0000-0000-000027720000}"/>
    <cellStyle name="Normal 3 4 2 2 4 2 3 2" xfId="34952" xr:uid="{00000000-0005-0000-0000-000028720000}"/>
    <cellStyle name="Normal 3 4 2 2 4 2 4" xfId="25254" xr:uid="{00000000-0005-0000-0000-000029720000}"/>
    <cellStyle name="Normal 3 4 2 2 4 3" xfId="7783" xr:uid="{00000000-0005-0000-0000-00002A720000}"/>
    <cellStyle name="Normal 3 4 2 2 4 3 2" xfId="17779" xr:uid="{00000000-0005-0000-0000-00002B720000}"/>
    <cellStyle name="Normal 3 4 2 2 4 3 2 2" xfId="37179" xr:uid="{00000000-0005-0000-0000-00002C720000}"/>
    <cellStyle name="Normal 3 4 2 2 4 3 3" xfId="27481" xr:uid="{00000000-0005-0000-0000-00002D720000}"/>
    <cellStyle name="Normal 3 4 2 2 4 4" xfId="13324" xr:uid="{00000000-0005-0000-0000-00002E720000}"/>
    <cellStyle name="Normal 3 4 2 2 4 4 2" xfId="32724" xr:uid="{00000000-0005-0000-0000-00002F720000}"/>
    <cellStyle name="Normal 3 4 2 2 4 5" xfId="23026" xr:uid="{00000000-0005-0000-0000-000030720000}"/>
    <cellStyle name="Normal 3 4 2 2 5" xfId="3861" xr:uid="{00000000-0005-0000-0000-000031720000}"/>
    <cellStyle name="Normal 3 4 2 2 5 2" xfId="4991" xr:uid="{00000000-0005-0000-0000-000032720000}"/>
    <cellStyle name="Normal 3 4 2 2 5 2 2" xfId="9455" xr:uid="{00000000-0005-0000-0000-000033720000}"/>
    <cellStyle name="Normal 3 4 2 2 5 2 2 2" xfId="19451" xr:uid="{00000000-0005-0000-0000-000034720000}"/>
    <cellStyle name="Normal 3 4 2 2 5 2 2 2 2" xfId="38851" xr:uid="{00000000-0005-0000-0000-000035720000}"/>
    <cellStyle name="Normal 3 4 2 2 5 2 2 3" xfId="29153" xr:uid="{00000000-0005-0000-0000-000036720000}"/>
    <cellStyle name="Normal 3 4 2 2 5 2 3" xfId="14996" xr:uid="{00000000-0005-0000-0000-000037720000}"/>
    <cellStyle name="Normal 3 4 2 2 5 2 3 2" xfId="34396" xr:uid="{00000000-0005-0000-0000-000038720000}"/>
    <cellStyle name="Normal 3 4 2 2 5 2 4" xfId="24698" xr:uid="{00000000-0005-0000-0000-000039720000}"/>
    <cellStyle name="Normal 3 4 2 2 5 3" xfId="8340" xr:uid="{00000000-0005-0000-0000-00003A720000}"/>
    <cellStyle name="Normal 3 4 2 2 5 3 2" xfId="18336" xr:uid="{00000000-0005-0000-0000-00003B720000}"/>
    <cellStyle name="Normal 3 4 2 2 5 3 2 2" xfId="37736" xr:uid="{00000000-0005-0000-0000-00003C720000}"/>
    <cellStyle name="Normal 3 4 2 2 5 3 3" xfId="28038" xr:uid="{00000000-0005-0000-0000-00003D720000}"/>
    <cellStyle name="Normal 3 4 2 2 5 4" xfId="13881" xr:uid="{00000000-0005-0000-0000-00003E720000}"/>
    <cellStyle name="Normal 3 4 2 2 5 4 2" xfId="33281" xr:uid="{00000000-0005-0000-0000-00003F720000}"/>
    <cellStyle name="Normal 3 4 2 2 5 5" xfId="23583" xr:uid="{00000000-0005-0000-0000-000040720000}"/>
    <cellStyle name="Normal 3 4 2 2 6" xfId="4434" xr:uid="{00000000-0005-0000-0000-000041720000}"/>
    <cellStyle name="Normal 3 4 2 2 6 2" xfId="8898" xr:uid="{00000000-0005-0000-0000-000042720000}"/>
    <cellStyle name="Normal 3 4 2 2 6 2 2" xfId="18894" xr:uid="{00000000-0005-0000-0000-000043720000}"/>
    <cellStyle name="Normal 3 4 2 2 6 2 2 2" xfId="38294" xr:uid="{00000000-0005-0000-0000-000044720000}"/>
    <cellStyle name="Normal 3 4 2 2 6 2 3" xfId="28596" xr:uid="{00000000-0005-0000-0000-000045720000}"/>
    <cellStyle name="Normal 3 4 2 2 6 3" xfId="14439" xr:uid="{00000000-0005-0000-0000-000046720000}"/>
    <cellStyle name="Normal 3 4 2 2 6 3 2" xfId="33839" xr:uid="{00000000-0005-0000-0000-000047720000}"/>
    <cellStyle name="Normal 3 4 2 2 6 4" xfId="24141" xr:uid="{00000000-0005-0000-0000-000048720000}"/>
    <cellStyle name="Normal 3 4 2 2 7" xfId="6104" xr:uid="{00000000-0005-0000-0000-000049720000}"/>
    <cellStyle name="Normal 3 4 2 2 7 2" xfId="10568" xr:uid="{00000000-0005-0000-0000-00004A720000}"/>
    <cellStyle name="Normal 3 4 2 2 7 2 2" xfId="20564" xr:uid="{00000000-0005-0000-0000-00004B720000}"/>
    <cellStyle name="Normal 3 4 2 2 7 2 2 2" xfId="39964" xr:uid="{00000000-0005-0000-0000-00004C720000}"/>
    <cellStyle name="Normal 3 4 2 2 7 2 3" xfId="30266" xr:uid="{00000000-0005-0000-0000-00004D720000}"/>
    <cellStyle name="Normal 3 4 2 2 7 3" xfId="16109" xr:uid="{00000000-0005-0000-0000-00004E720000}"/>
    <cellStyle name="Normal 3 4 2 2 7 3 2" xfId="35509" xr:uid="{00000000-0005-0000-0000-00004F720000}"/>
    <cellStyle name="Normal 3 4 2 2 7 4" xfId="25811" xr:uid="{00000000-0005-0000-0000-000050720000}"/>
    <cellStyle name="Normal 3 4 2 2 8" xfId="6670" xr:uid="{00000000-0005-0000-0000-000051720000}"/>
    <cellStyle name="Normal 3 4 2 2 8 2" xfId="11125" xr:uid="{00000000-0005-0000-0000-000052720000}"/>
    <cellStyle name="Normal 3 4 2 2 8 2 2" xfId="21121" xr:uid="{00000000-0005-0000-0000-000053720000}"/>
    <cellStyle name="Normal 3 4 2 2 8 2 2 2" xfId="40521" xr:uid="{00000000-0005-0000-0000-000054720000}"/>
    <cellStyle name="Normal 3 4 2 2 8 2 3" xfId="30823" xr:uid="{00000000-0005-0000-0000-000055720000}"/>
    <cellStyle name="Normal 3 4 2 2 8 3" xfId="16666" xr:uid="{00000000-0005-0000-0000-000056720000}"/>
    <cellStyle name="Normal 3 4 2 2 8 3 2" xfId="36066" xr:uid="{00000000-0005-0000-0000-000057720000}"/>
    <cellStyle name="Normal 3 4 2 2 8 4" xfId="26368" xr:uid="{00000000-0005-0000-0000-000058720000}"/>
    <cellStyle name="Normal 3 4 2 2 9" xfId="7227" xr:uid="{00000000-0005-0000-0000-000059720000}"/>
    <cellStyle name="Normal 3 4 2 2 9 2" xfId="17223" xr:uid="{00000000-0005-0000-0000-00005A720000}"/>
    <cellStyle name="Normal 3 4 2 2 9 2 2" xfId="36623" xr:uid="{00000000-0005-0000-0000-00005B720000}"/>
    <cellStyle name="Normal 3 4 2 2 9 3" xfId="26925" xr:uid="{00000000-0005-0000-0000-00005C720000}"/>
    <cellStyle name="Normal 3 4 2 3" xfId="2334" xr:uid="{00000000-0005-0000-0000-00005D720000}"/>
    <cellStyle name="Normal 3 4 2 3 2" xfId="3281" xr:uid="{00000000-0005-0000-0000-00005E720000}"/>
    <cellStyle name="Normal 3 4 2 3 2 2" xfId="5550" xr:uid="{00000000-0005-0000-0000-00005F720000}"/>
    <cellStyle name="Normal 3 4 2 3 2 2 2" xfId="10014" xr:uid="{00000000-0005-0000-0000-000060720000}"/>
    <cellStyle name="Normal 3 4 2 3 2 2 2 2" xfId="20010" xr:uid="{00000000-0005-0000-0000-000061720000}"/>
    <cellStyle name="Normal 3 4 2 3 2 2 2 2 2" xfId="39410" xr:uid="{00000000-0005-0000-0000-000062720000}"/>
    <cellStyle name="Normal 3 4 2 3 2 2 2 3" xfId="29712" xr:uid="{00000000-0005-0000-0000-000063720000}"/>
    <cellStyle name="Normal 3 4 2 3 2 2 3" xfId="15555" xr:uid="{00000000-0005-0000-0000-000064720000}"/>
    <cellStyle name="Normal 3 4 2 3 2 2 3 2" xfId="34955" xr:uid="{00000000-0005-0000-0000-000065720000}"/>
    <cellStyle name="Normal 3 4 2 3 2 2 4" xfId="25257" xr:uid="{00000000-0005-0000-0000-000066720000}"/>
    <cellStyle name="Normal 3 4 2 3 2 3" xfId="7786" xr:uid="{00000000-0005-0000-0000-000067720000}"/>
    <cellStyle name="Normal 3 4 2 3 2 3 2" xfId="17782" xr:uid="{00000000-0005-0000-0000-000068720000}"/>
    <cellStyle name="Normal 3 4 2 3 2 3 2 2" xfId="37182" xr:uid="{00000000-0005-0000-0000-000069720000}"/>
    <cellStyle name="Normal 3 4 2 3 2 3 3" xfId="27484" xr:uid="{00000000-0005-0000-0000-00006A720000}"/>
    <cellStyle name="Normal 3 4 2 3 2 4" xfId="13327" xr:uid="{00000000-0005-0000-0000-00006B720000}"/>
    <cellStyle name="Normal 3 4 2 3 2 4 2" xfId="32727" xr:uid="{00000000-0005-0000-0000-00006C720000}"/>
    <cellStyle name="Normal 3 4 2 3 2 5" xfId="23029" xr:uid="{00000000-0005-0000-0000-00006D720000}"/>
    <cellStyle name="Normal 3 4 2 3 3" xfId="3864" xr:uid="{00000000-0005-0000-0000-00006E720000}"/>
    <cellStyle name="Normal 3 4 2 3 3 2" xfId="4994" xr:uid="{00000000-0005-0000-0000-00006F720000}"/>
    <cellStyle name="Normal 3 4 2 3 3 2 2" xfId="9458" xr:uid="{00000000-0005-0000-0000-000070720000}"/>
    <cellStyle name="Normal 3 4 2 3 3 2 2 2" xfId="19454" xr:uid="{00000000-0005-0000-0000-000071720000}"/>
    <cellStyle name="Normal 3 4 2 3 3 2 2 2 2" xfId="38854" xr:uid="{00000000-0005-0000-0000-000072720000}"/>
    <cellStyle name="Normal 3 4 2 3 3 2 2 3" xfId="29156" xr:uid="{00000000-0005-0000-0000-000073720000}"/>
    <cellStyle name="Normal 3 4 2 3 3 2 3" xfId="14999" xr:uid="{00000000-0005-0000-0000-000074720000}"/>
    <cellStyle name="Normal 3 4 2 3 3 2 3 2" xfId="34399" xr:uid="{00000000-0005-0000-0000-000075720000}"/>
    <cellStyle name="Normal 3 4 2 3 3 2 4" xfId="24701" xr:uid="{00000000-0005-0000-0000-000076720000}"/>
    <cellStyle name="Normal 3 4 2 3 3 3" xfId="8343" xr:uid="{00000000-0005-0000-0000-000077720000}"/>
    <cellStyle name="Normal 3 4 2 3 3 3 2" xfId="18339" xr:uid="{00000000-0005-0000-0000-000078720000}"/>
    <cellStyle name="Normal 3 4 2 3 3 3 2 2" xfId="37739" xr:uid="{00000000-0005-0000-0000-000079720000}"/>
    <cellStyle name="Normal 3 4 2 3 3 3 3" xfId="28041" xr:uid="{00000000-0005-0000-0000-00007A720000}"/>
    <cellStyle name="Normal 3 4 2 3 3 4" xfId="13884" xr:uid="{00000000-0005-0000-0000-00007B720000}"/>
    <cellStyle name="Normal 3 4 2 3 3 4 2" xfId="33284" xr:uid="{00000000-0005-0000-0000-00007C720000}"/>
    <cellStyle name="Normal 3 4 2 3 3 5" xfId="23586" xr:uid="{00000000-0005-0000-0000-00007D720000}"/>
    <cellStyle name="Normal 3 4 2 3 4" xfId="4437" xr:uid="{00000000-0005-0000-0000-00007E720000}"/>
    <cellStyle name="Normal 3 4 2 3 4 2" xfId="8901" xr:uid="{00000000-0005-0000-0000-00007F720000}"/>
    <cellStyle name="Normal 3 4 2 3 4 2 2" xfId="18897" xr:uid="{00000000-0005-0000-0000-000080720000}"/>
    <cellStyle name="Normal 3 4 2 3 4 2 2 2" xfId="38297" xr:uid="{00000000-0005-0000-0000-000081720000}"/>
    <cellStyle name="Normal 3 4 2 3 4 2 3" xfId="28599" xr:uid="{00000000-0005-0000-0000-000082720000}"/>
    <cellStyle name="Normal 3 4 2 3 4 3" xfId="14442" xr:uid="{00000000-0005-0000-0000-000083720000}"/>
    <cellStyle name="Normal 3 4 2 3 4 3 2" xfId="33842" xr:uid="{00000000-0005-0000-0000-000084720000}"/>
    <cellStyle name="Normal 3 4 2 3 4 4" xfId="24144" xr:uid="{00000000-0005-0000-0000-000085720000}"/>
    <cellStyle name="Normal 3 4 2 3 5" xfId="6107" xr:uid="{00000000-0005-0000-0000-000086720000}"/>
    <cellStyle name="Normal 3 4 2 3 5 2" xfId="10571" xr:uid="{00000000-0005-0000-0000-000087720000}"/>
    <cellStyle name="Normal 3 4 2 3 5 2 2" xfId="20567" xr:uid="{00000000-0005-0000-0000-000088720000}"/>
    <cellStyle name="Normal 3 4 2 3 5 2 2 2" xfId="39967" xr:uid="{00000000-0005-0000-0000-000089720000}"/>
    <cellStyle name="Normal 3 4 2 3 5 2 3" xfId="30269" xr:uid="{00000000-0005-0000-0000-00008A720000}"/>
    <cellStyle name="Normal 3 4 2 3 5 3" xfId="16112" xr:uid="{00000000-0005-0000-0000-00008B720000}"/>
    <cellStyle name="Normal 3 4 2 3 5 3 2" xfId="35512" xr:uid="{00000000-0005-0000-0000-00008C720000}"/>
    <cellStyle name="Normal 3 4 2 3 5 4" xfId="25814" xr:uid="{00000000-0005-0000-0000-00008D720000}"/>
    <cellStyle name="Normal 3 4 2 3 6" xfId="6673" xr:uid="{00000000-0005-0000-0000-00008E720000}"/>
    <cellStyle name="Normal 3 4 2 3 6 2" xfId="11128" xr:uid="{00000000-0005-0000-0000-00008F720000}"/>
    <cellStyle name="Normal 3 4 2 3 6 2 2" xfId="21124" xr:uid="{00000000-0005-0000-0000-000090720000}"/>
    <cellStyle name="Normal 3 4 2 3 6 2 2 2" xfId="40524" xr:uid="{00000000-0005-0000-0000-000091720000}"/>
    <cellStyle name="Normal 3 4 2 3 6 2 3" xfId="30826" xr:uid="{00000000-0005-0000-0000-000092720000}"/>
    <cellStyle name="Normal 3 4 2 3 6 3" xfId="16669" xr:uid="{00000000-0005-0000-0000-000093720000}"/>
    <cellStyle name="Normal 3 4 2 3 6 3 2" xfId="36069" xr:uid="{00000000-0005-0000-0000-000094720000}"/>
    <cellStyle name="Normal 3 4 2 3 6 4" xfId="26371" xr:uid="{00000000-0005-0000-0000-000095720000}"/>
    <cellStyle name="Normal 3 4 2 3 7" xfId="7230" xr:uid="{00000000-0005-0000-0000-000096720000}"/>
    <cellStyle name="Normal 3 4 2 3 7 2" xfId="17226" xr:uid="{00000000-0005-0000-0000-000097720000}"/>
    <cellStyle name="Normal 3 4 2 3 7 2 2" xfId="36626" xr:uid="{00000000-0005-0000-0000-000098720000}"/>
    <cellStyle name="Normal 3 4 2 3 7 3" xfId="26928" xr:uid="{00000000-0005-0000-0000-000099720000}"/>
    <cellStyle name="Normal 3 4 2 3 8" xfId="12770" xr:uid="{00000000-0005-0000-0000-00009A720000}"/>
    <cellStyle name="Normal 3 4 2 3 8 2" xfId="32171" xr:uid="{00000000-0005-0000-0000-00009B720000}"/>
    <cellStyle name="Normal 3 4 2 3 9" xfId="22473" xr:uid="{00000000-0005-0000-0000-00009C720000}"/>
    <cellStyle name="Normal 3 4 2 4" xfId="2335" xr:uid="{00000000-0005-0000-0000-00009D720000}"/>
    <cellStyle name="Normal 3 4 2 4 2" xfId="3282" xr:uid="{00000000-0005-0000-0000-00009E720000}"/>
    <cellStyle name="Normal 3 4 2 4 2 2" xfId="5551" xr:uid="{00000000-0005-0000-0000-00009F720000}"/>
    <cellStyle name="Normal 3 4 2 4 2 2 2" xfId="10015" xr:uid="{00000000-0005-0000-0000-0000A0720000}"/>
    <cellStyle name="Normal 3 4 2 4 2 2 2 2" xfId="20011" xr:uid="{00000000-0005-0000-0000-0000A1720000}"/>
    <cellStyle name="Normal 3 4 2 4 2 2 2 2 2" xfId="39411" xr:uid="{00000000-0005-0000-0000-0000A2720000}"/>
    <cellStyle name="Normal 3 4 2 4 2 2 2 3" xfId="29713" xr:uid="{00000000-0005-0000-0000-0000A3720000}"/>
    <cellStyle name="Normal 3 4 2 4 2 2 3" xfId="15556" xr:uid="{00000000-0005-0000-0000-0000A4720000}"/>
    <cellStyle name="Normal 3 4 2 4 2 2 3 2" xfId="34956" xr:uid="{00000000-0005-0000-0000-0000A5720000}"/>
    <cellStyle name="Normal 3 4 2 4 2 2 4" xfId="25258" xr:uid="{00000000-0005-0000-0000-0000A6720000}"/>
    <cellStyle name="Normal 3 4 2 4 2 3" xfId="7787" xr:uid="{00000000-0005-0000-0000-0000A7720000}"/>
    <cellStyle name="Normal 3 4 2 4 2 3 2" xfId="17783" xr:uid="{00000000-0005-0000-0000-0000A8720000}"/>
    <cellStyle name="Normal 3 4 2 4 2 3 2 2" xfId="37183" xr:uid="{00000000-0005-0000-0000-0000A9720000}"/>
    <cellStyle name="Normal 3 4 2 4 2 3 3" xfId="27485" xr:uid="{00000000-0005-0000-0000-0000AA720000}"/>
    <cellStyle name="Normal 3 4 2 4 2 4" xfId="13328" xr:uid="{00000000-0005-0000-0000-0000AB720000}"/>
    <cellStyle name="Normal 3 4 2 4 2 4 2" xfId="32728" xr:uid="{00000000-0005-0000-0000-0000AC720000}"/>
    <cellStyle name="Normal 3 4 2 4 2 5" xfId="23030" xr:uid="{00000000-0005-0000-0000-0000AD720000}"/>
    <cellStyle name="Normal 3 4 2 4 3" xfId="3865" xr:uid="{00000000-0005-0000-0000-0000AE720000}"/>
    <cellStyle name="Normal 3 4 2 4 3 2" xfId="4995" xr:uid="{00000000-0005-0000-0000-0000AF720000}"/>
    <cellStyle name="Normal 3 4 2 4 3 2 2" xfId="9459" xr:uid="{00000000-0005-0000-0000-0000B0720000}"/>
    <cellStyle name="Normal 3 4 2 4 3 2 2 2" xfId="19455" xr:uid="{00000000-0005-0000-0000-0000B1720000}"/>
    <cellStyle name="Normal 3 4 2 4 3 2 2 2 2" xfId="38855" xr:uid="{00000000-0005-0000-0000-0000B2720000}"/>
    <cellStyle name="Normal 3 4 2 4 3 2 2 3" xfId="29157" xr:uid="{00000000-0005-0000-0000-0000B3720000}"/>
    <cellStyle name="Normal 3 4 2 4 3 2 3" xfId="15000" xr:uid="{00000000-0005-0000-0000-0000B4720000}"/>
    <cellStyle name="Normal 3 4 2 4 3 2 3 2" xfId="34400" xr:uid="{00000000-0005-0000-0000-0000B5720000}"/>
    <cellStyle name="Normal 3 4 2 4 3 2 4" xfId="24702" xr:uid="{00000000-0005-0000-0000-0000B6720000}"/>
    <cellStyle name="Normal 3 4 2 4 3 3" xfId="8344" xr:uid="{00000000-0005-0000-0000-0000B7720000}"/>
    <cellStyle name="Normal 3 4 2 4 3 3 2" xfId="18340" xr:uid="{00000000-0005-0000-0000-0000B8720000}"/>
    <cellStyle name="Normal 3 4 2 4 3 3 2 2" xfId="37740" xr:uid="{00000000-0005-0000-0000-0000B9720000}"/>
    <cellStyle name="Normal 3 4 2 4 3 3 3" xfId="28042" xr:uid="{00000000-0005-0000-0000-0000BA720000}"/>
    <cellStyle name="Normal 3 4 2 4 3 4" xfId="13885" xr:uid="{00000000-0005-0000-0000-0000BB720000}"/>
    <cellStyle name="Normal 3 4 2 4 3 4 2" xfId="33285" xr:uid="{00000000-0005-0000-0000-0000BC720000}"/>
    <cellStyle name="Normal 3 4 2 4 3 5" xfId="23587" xr:uid="{00000000-0005-0000-0000-0000BD720000}"/>
    <cellStyle name="Normal 3 4 2 4 4" xfId="4438" xr:uid="{00000000-0005-0000-0000-0000BE720000}"/>
    <cellStyle name="Normal 3 4 2 4 4 2" xfId="8902" xr:uid="{00000000-0005-0000-0000-0000BF720000}"/>
    <cellStyle name="Normal 3 4 2 4 4 2 2" xfId="18898" xr:uid="{00000000-0005-0000-0000-0000C0720000}"/>
    <cellStyle name="Normal 3 4 2 4 4 2 2 2" xfId="38298" xr:uid="{00000000-0005-0000-0000-0000C1720000}"/>
    <cellStyle name="Normal 3 4 2 4 4 2 3" xfId="28600" xr:uid="{00000000-0005-0000-0000-0000C2720000}"/>
    <cellStyle name="Normal 3 4 2 4 4 3" xfId="14443" xr:uid="{00000000-0005-0000-0000-0000C3720000}"/>
    <cellStyle name="Normal 3 4 2 4 4 3 2" xfId="33843" xr:uid="{00000000-0005-0000-0000-0000C4720000}"/>
    <cellStyle name="Normal 3 4 2 4 4 4" xfId="24145" xr:uid="{00000000-0005-0000-0000-0000C5720000}"/>
    <cellStyle name="Normal 3 4 2 4 5" xfId="6108" xr:uid="{00000000-0005-0000-0000-0000C6720000}"/>
    <cellStyle name="Normal 3 4 2 4 5 2" xfId="10572" xr:uid="{00000000-0005-0000-0000-0000C7720000}"/>
    <cellStyle name="Normal 3 4 2 4 5 2 2" xfId="20568" xr:uid="{00000000-0005-0000-0000-0000C8720000}"/>
    <cellStyle name="Normal 3 4 2 4 5 2 2 2" xfId="39968" xr:uid="{00000000-0005-0000-0000-0000C9720000}"/>
    <cellStyle name="Normal 3 4 2 4 5 2 3" xfId="30270" xr:uid="{00000000-0005-0000-0000-0000CA720000}"/>
    <cellStyle name="Normal 3 4 2 4 5 3" xfId="16113" xr:uid="{00000000-0005-0000-0000-0000CB720000}"/>
    <cellStyle name="Normal 3 4 2 4 5 3 2" xfId="35513" xr:uid="{00000000-0005-0000-0000-0000CC720000}"/>
    <cellStyle name="Normal 3 4 2 4 5 4" xfId="25815" xr:uid="{00000000-0005-0000-0000-0000CD720000}"/>
    <cellStyle name="Normal 3 4 2 4 6" xfId="6674" xr:uid="{00000000-0005-0000-0000-0000CE720000}"/>
    <cellStyle name="Normal 3 4 2 4 6 2" xfId="11129" xr:uid="{00000000-0005-0000-0000-0000CF720000}"/>
    <cellStyle name="Normal 3 4 2 4 6 2 2" xfId="21125" xr:uid="{00000000-0005-0000-0000-0000D0720000}"/>
    <cellStyle name="Normal 3 4 2 4 6 2 2 2" xfId="40525" xr:uid="{00000000-0005-0000-0000-0000D1720000}"/>
    <cellStyle name="Normal 3 4 2 4 6 2 3" xfId="30827" xr:uid="{00000000-0005-0000-0000-0000D2720000}"/>
    <cellStyle name="Normal 3 4 2 4 6 3" xfId="16670" xr:uid="{00000000-0005-0000-0000-0000D3720000}"/>
    <cellStyle name="Normal 3 4 2 4 6 3 2" xfId="36070" xr:uid="{00000000-0005-0000-0000-0000D4720000}"/>
    <cellStyle name="Normal 3 4 2 4 6 4" xfId="26372" xr:uid="{00000000-0005-0000-0000-0000D5720000}"/>
    <cellStyle name="Normal 3 4 2 4 7" xfId="7231" xr:uid="{00000000-0005-0000-0000-0000D6720000}"/>
    <cellStyle name="Normal 3 4 2 4 7 2" xfId="17227" xr:uid="{00000000-0005-0000-0000-0000D7720000}"/>
    <cellStyle name="Normal 3 4 2 4 7 2 2" xfId="36627" xr:uid="{00000000-0005-0000-0000-0000D8720000}"/>
    <cellStyle name="Normal 3 4 2 4 7 3" xfId="26929" xr:uid="{00000000-0005-0000-0000-0000D9720000}"/>
    <cellStyle name="Normal 3 4 2 4 8" xfId="12771" xr:uid="{00000000-0005-0000-0000-0000DA720000}"/>
    <cellStyle name="Normal 3 4 2 4 8 2" xfId="32172" xr:uid="{00000000-0005-0000-0000-0000DB720000}"/>
    <cellStyle name="Normal 3 4 2 4 9" xfId="22474" xr:uid="{00000000-0005-0000-0000-0000DC720000}"/>
    <cellStyle name="Normal 3 4 2 5" xfId="3277" xr:uid="{00000000-0005-0000-0000-0000DD720000}"/>
    <cellStyle name="Normal 3 4 2 5 2" xfId="5546" xr:uid="{00000000-0005-0000-0000-0000DE720000}"/>
    <cellStyle name="Normal 3 4 2 5 2 2" xfId="10010" xr:uid="{00000000-0005-0000-0000-0000DF720000}"/>
    <cellStyle name="Normal 3 4 2 5 2 2 2" xfId="20006" xr:uid="{00000000-0005-0000-0000-0000E0720000}"/>
    <cellStyle name="Normal 3 4 2 5 2 2 2 2" xfId="39406" xr:uid="{00000000-0005-0000-0000-0000E1720000}"/>
    <cellStyle name="Normal 3 4 2 5 2 2 3" xfId="29708" xr:uid="{00000000-0005-0000-0000-0000E2720000}"/>
    <cellStyle name="Normal 3 4 2 5 2 3" xfId="15551" xr:uid="{00000000-0005-0000-0000-0000E3720000}"/>
    <cellStyle name="Normal 3 4 2 5 2 3 2" xfId="34951" xr:uid="{00000000-0005-0000-0000-0000E4720000}"/>
    <cellStyle name="Normal 3 4 2 5 2 4" xfId="25253" xr:uid="{00000000-0005-0000-0000-0000E5720000}"/>
    <cellStyle name="Normal 3 4 2 5 3" xfId="7782" xr:uid="{00000000-0005-0000-0000-0000E6720000}"/>
    <cellStyle name="Normal 3 4 2 5 3 2" xfId="17778" xr:uid="{00000000-0005-0000-0000-0000E7720000}"/>
    <cellStyle name="Normal 3 4 2 5 3 2 2" xfId="37178" xr:uid="{00000000-0005-0000-0000-0000E8720000}"/>
    <cellStyle name="Normal 3 4 2 5 3 3" xfId="27480" xr:uid="{00000000-0005-0000-0000-0000E9720000}"/>
    <cellStyle name="Normal 3 4 2 5 4" xfId="13323" xr:uid="{00000000-0005-0000-0000-0000EA720000}"/>
    <cellStyle name="Normal 3 4 2 5 4 2" xfId="32723" xr:uid="{00000000-0005-0000-0000-0000EB720000}"/>
    <cellStyle name="Normal 3 4 2 5 5" xfId="23025" xr:uid="{00000000-0005-0000-0000-0000EC720000}"/>
    <cellStyle name="Normal 3 4 2 6" xfId="3860" xr:uid="{00000000-0005-0000-0000-0000ED720000}"/>
    <cellStyle name="Normal 3 4 2 6 2" xfId="4990" xr:uid="{00000000-0005-0000-0000-0000EE720000}"/>
    <cellStyle name="Normal 3 4 2 6 2 2" xfId="9454" xr:uid="{00000000-0005-0000-0000-0000EF720000}"/>
    <cellStyle name="Normal 3 4 2 6 2 2 2" xfId="19450" xr:uid="{00000000-0005-0000-0000-0000F0720000}"/>
    <cellStyle name="Normal 3 4 2 6 2 2 2 2" xfId="38850" xr:uid="{00000000-0005-0000-0000-0000F1720000}"/>
    <cellStyle name="Normal 3 4 2 6 2 2 3" xfId="29152" xr:uid="{00000000-0005-0000-0000-0000F2720000}"/>
    <cellStyle name="Normal 3 4 2 6 2 3" xfId="14995" xr:uid="{00000000-0005-0000-0000-0000F3720000}"/>
    <cellStyle name="Normal 3 4 2 6 2 3 2" xfId="34395" xr:uid="{00000000-0005-0000-0000-0000F4720000}"/>
    <cellStyle name="Normal 3 4 2 6 2 4" xfId="24697" xr:uid="{00000000-0005-0000-0000-0000F5720000}"/>
    <cellStyle name="Normal 3 4 2 6 3" xfId="8339" xr:uid="{00000000-0005-0000-0000-0000F6720000}"/>
    <cellStyle name="Normal 3 4 2 6 3 2" xfId="18335" xr:uid="{00000000-0005-0000-0000-0000F7720000}"/>
    <cellStyle name="Normal 3 4 2 6 3 2 2" xfId="37735" xr:uid="{00000000-0005-0000-0000-0000F8720000}"/>
    <cellStyle name="Normal 3 4 2 6 3 3" xfId="28037" xr:uid="{00000000-0005-0000-0000-0000F9720000}"/>
    <cellStyle name="Normal 3 4 2 6 4" xfId="13880" xr:uid="{00000000-0005-0000-0000-0000FA720000}"/>
    <cellStyle name="Normal 3 4 2 6 4 2" xfId="33280" xr:uid="{00000000-0005-0000-0000-0000FB720000}"/>
    <cellStyle name="Normal 3 4 2 6 5" xfId="23582" xr:uid="{00000000-0005-0000-0000-0000FC720000}"/>
    <cellStyle name="Normal 3 4 2 7" xfId="4433" xr:uid="{00000000-0005-0000-0000-0000FD720000}"/>
    <cellStyle name="Normal 3 4 2 7 2" xfId="8897" xr:uid="{00000000-0005-0000-0000-0000FE720000}"/>
    <cellStyle name="Normal 3 4 2 7 2 2" xfId="18893" xr:uid="{00000000-0005-0000-0000-0000FF720000}"/>
    <cellStyle name="Normal 3 4 2 7 2 2 2" xfId="38293" xr:uid="{00000000-0005-0000-0000-000000730000}"/>
    <cellStyle name="Normal 3 4 2 7 2 3" xfId="28595" xr:uid="{00000000-0005-0000-0000-000001730000}"/>
    <cellStyle name="Normal 3 4 2 7 3" xfId="14438" xr:uid="{00000000-0005-0000-0000-000002730000}"/>
    <cellStyle name="Normal 3 4 2 7 3 2" xfId="33838" xr:uid="{00000000-0005-0000-0000-000003730000}"/>
    <cellStyle name="Normal 3 4 2 7 4" xfId="24140" xr:uid="{00000000-0005-0000-0000-000004730000}"/>
    <cellStyle name="Normal 3 4 2 8" xfId="6103" xr:uid="{00000000-0005-0000-0000-000005730000}"/>
    <cellStyle name="Normal 3 4 2 8 2" xfId="10567" xr:uid="{00000000-0005-0000-0000-000006730000}"/>
    <cellStyle name="Normal 3 4 2 8 2 2" xfId="20563" xr:uid="{00000000-0005-0000-0000-000007730000}"/>
    <cellStyle name="Normal 3 4 2 8 2 2 2" xfId="39963" xr:uid="{00000000-0005-0000-0000-000008730000}"/>
    <cellStyle name="Normal 3 4 2 8 2 3" xfId="30265" xr:uid="{00000000-0005-0000-0000-000009730000}"/>
    <cellStyle name="Normal 3 4 2 8 3" xfId="16108" xr:uid="{00000000-0005-0000-0000-00000A730000}"/>
    <cellStyle name="Normal 3 4 2 8 3 2" xfId="35508" xr:uid="{00000000-0005-0000-0000-00000B730000}"/>
    <cellStyle name="Normal 3 4 2 8 4" xfId="25810" xr:uid="{00000000-0005-0000-0000-00000C730000}"/>
    <cellStyle name="Normal 3 4 2 9" xfId="6669" xr:uid="{00000000-0005-0000-0000-00000D730000}"/>
    <cellStyle name="Normal 3 4 2 9 2" xfId="11124" xr:uid="{00000000-0005-0000-0000-00000E730000}"/>
    <cellStyle name="Normal 3 4 2 9 2 2" xfId="21120" xr:uid="{00000000-0005-0000-0000-00000F730000}"/>
    <cellStyle name="Normal 3 4 2 9 2 2 2" xfId="40520" xr:uid="{00000000-0005-0000-0000-000010730000}"/>
    <cellStyle name="Normal 3 4 2 9 2 3" xfId="30822" xr:uid="{00000000-0005-0000-0000-000011730000}"/>
    <cellStyle name="Normal 3 4 2 9 3" xfId="16665" xr:uid="{00000000-0005-0000-0000-000012730000}"/>
    <cellStyle name="Normal 3 4 2 9 3 2" xfId="36065" xr:uid="{00000000-0005-0000-0000-000013730000}"/>
    <cellStyle name="Normal 3 4 2 9 4" xfId="26367" xr:uid="{00000000-0005-0000-0000-000014730000}"/>
    <cellStyle name="Normal 3 4 3" xfId="2336" xr:uid="{00000000-0005-0000-0000-000015730000}"/>
    <cellStyle name="Normal 3 4 3 10" xfId="12772" xr:uid="{00000000-0005-0000-0000-000016730000}"/>
    <cellStyle name="Normal 3 4 3 10 2" xfId="32173" xr:uid="{00000000-0005-0000-0000-000017730000}"/>
    <cellStyle name="Normal 3 4 3 11" xfId="22475" xr:uid="{00000000-0005-0000-0000-000018730000}"/>
    <cellStyle name="Normal 3 4 3 2" xfId="2337" xr:uid="{00000000-0005-0000-0000-000019730000}"/>
    <cellStyle name="Normal 3 4 3 2 2" xfId="3284" xr:uid="{00000000-0005-0000-0000-00001A730000}"/>
    <cellStyle name="Normal 3 4 3 2 2 2" xfId="5553" xr:uid="{00000000-0005-0000-0000-00001B730000}"/>
    <cellStyle name="Normal 3 4 3 2 2 2 2" xfId="10017" xr:uid="{00000000-0005-0000-0000-00001C730000}"/>
    <cellStyle name="Normal 3 4 3 2 2 2 2 2" xfId="20013" xr:uid="{00000000-0005-0000-0000-00001D730000}"/>
    <cellStyle name="Normal 3 4 3 2 2 2 2 2 2" xfId="39413" xr:uid="{00000000-0005-0000-0000-00001E730000}"/>
    <cellStyle name="Normal 3 4 3 2 2 2 2 3" xfId="29715" xr:uid="{00000000-0005-0000-0000-00001F730000}"/>
    <cellStyle name="Normal 3 4 3 2 2 2 3" xfId="15558" xr:uid="{00000000-0005-0000-0000-000020730000}"/>
    <cellStyle name="Normal 3 4 3 2 2 2 3 2" xfId="34958" xr:uid="{00000000-0005-0000-0000-000021730000}"/>
    <cellStyle name="Normal 3 4 3 2 2 2 4" xfId="25260" xr:uid="{00000000-0005-0000-0000-000022730000}"/>
    <cellStyle name="Normal 3 4 3 2 2 3" xfId="7789" xr:uid="{00000000-0005-0000-0000-000023730000}"/>
    <cellStyle name="Normal 3 4 3 2 2 3 2" xfId="17785" xr:uid="{00000000-0005-0000-0000-000024730000}"/>
    <cellStyle name="Normal 3 4 3 2 2 3 2 2" xfId="37185" xr:uid="{00000000-0005-0000-0000-000025730000}"/>
    <cellStyle name="Normal 3 4 3 2 2 3 3" xfId="27487" xr:uid="{00000000-0005-0000-0000-000026730000}"/>
    <cellStyle name="Normal 3 4 3 2 2 4" xfId="13330" xr:uid="{00000000-0005-0000-0000-000027730000}"/>
    <cellStyle name="Normal 3 4 3 2 2 4 2" xfId="32730" xr:uid="{00000000-0005-0000-0000-000028730000}"/>
    <cellStyle name="Normal 3 4 3 2 2 5" xfId="23032" xr:uid="{00000000-0005-0000-0000-000029730000}"/>
    <cellStyle name="Normal 3 4 3 2 3" xfId="3867" xr:uid="{00000000-0005-0000-0000-00002A730000}"/>
    <cellStyle name="Normal 3 4 3 2 3 2" xfId="4997" xr:uid="{00000000-0005-0000-0000-00002B730000}"/>
    <cellStyle name="Normal 3 4 3 2 3 2 2" xfId="9461" xr:uid="{00000000-0005-0000-0000-00002C730000}"/>
    <cellStyle name="Normal 3 4 3 2 3 2 2 2" xfId="19457" xr:uid="{00000000-0005-0000-0000-00002D730000}"/>
    <cellStyle name="Normal 3 4 3 2 3 2 2 2 2" xfId="38857" xr:uid="{00000000-0005-0000-0000-00002E730000}"/>
    <cellStyle name="Normal 3 4 3 2 3 2 2 3" xfId="29159" xr:uid="{00000000-0005-0000-0000-00002F730000}"/>
    <cellStyle name="Normal 3 4 3 2 3 2 3" xfId="15002" xr:uid="{00000000-0005-0000-0000-000030730000}"/>
    <cellStyle name="Normal 3 4 3 2 3 2 3 2" xfId="34402" xr:uid="{00000000-0005-0000-0000-000031730000}"/>
    <cellStyle name="Normal 3 4 3 2 3 2 4" xfId="24704" xr:uid="{00000000-0005-0000-0000-000032730000}"/>
    <cellStyle name="Normal 3 4 3 2 3 3" xfId="8346" xr:uid="{00000000-0005-0000-0000-000033730000}"/>
    <cellStyle name="Normal 3 4 3 2 3 3 2" xfId="18342" xr:uid="{00000000-0005-0000-0000-000034730000}"/>
    <cellStyle name="Normal 3 4 3 2 3 3 2 2" xfId="37742" xr:uid="{00000000-0005-0000-0000-000035730000}"/>
    <cellStyle name="Normal 3 4 3 2 3 3 3" xfId="28044" xr:uid="{00000000-0005-0000-0000-000036730000}"/>
    <cellStyle name="Normal 3 4 3 2 3 4" xfId="13887" xr:uid="{00000000-0005-0000-0000-000037730000}"/>
    <cellStyle name="Normal 3 4 3 2 3 4 2" xfId="33287" xr:uid="{00000000-0005-0000-0000-000038730000}"/>
    <cellStyle name="Normal 3 4 3 2 3 5" xfId="23589" xr:uid="{00000000-0005-0000-0000-000039730000}"/>
    <cellStyle name="Normal 3 4 3 2 4" xfId="4440" xr:uid="{00000000-0005-0000-0000-00003A730000}"/>
    <cellStyle name="Normal 3 4 3 2 4 2" xfId="8904" xr:uid="{00000000-0005-0000-0000-00003B730000}"/>
    <cellStyle name="Normal 3 4 3 2 4 2 2" xfId="18900" xr:uid="{00000000-0005-0000-0000-00003C730000}"/>
    <cellStyle name="Normal 3 4 3 2 4 2 2 2" xfId="38300" xr:uid="{00000000-0005-0000-0000-00003D730000}"/>
    <cellStyle name="Normal 3 4 3 2 4 2 3" xfId="28602" xr:uid="{00000000-0005-0000-0000-00003E730000}"/>
    <cellStyle name="Normal 3 4 3 2 4 3" xfId="14445" xr:uid="{00000000-0005-0000-0000-00003F730000}"/>
    <cellStyle name="Normal 3 4 3 2 4 3 2" xfId="33845" xr:uid="{00000000-0005-0000-0000-000040730000}"/>
    <cellStyle name="Normal 3 4 3 2 4 4" xfId="24147" xr:uid="{00000000-0005-0000-0000-000041730000}"/>
    <cellStyle name="Normal 3 4 3 2 5" xfId="6110" xr:uid="{00000000-0005-0000-0000-000042730000}"/>
    <cellStyle name="Normal 3 4 3 2 5 2" xfId="10574" xr:uid="{00000000-0005-0000-0000-000043730000}"/>
    <cellStyle name="Normal 3 4 3 2 5 2 2" xfId="20570" xr:uid="{00000000-0005-0000-0000-000044730000}"/>
    <cellStyle name="Normal 3 4 3 2 5 2 2 2" xfId="39970" xr:uid="{00000000-0005-0000-0000-000045730000}"/>
    <cellStyle name="Normal 3 4 3 2 5 2 3" xfId="30272" xr:uid="{00000000-0005-0000-0000-000046730000}"/>
    <cellStyle name="Normal 3 4 3 2 5 3" xfId="16115" xr:uid="{00000000-0005-0000-0000-000047730000}"/>
    <cellStyle name="Normal 3 4 3 2 5 3 2" xfId="35515" xr:uid="{00000000-0005-0000-0000-000048730000}"/>
    <cellStyle name="Normal 3 4 3 2 5 4" xfId="25817" xr:uid="{00000000-0005-0000-0000-000049730000}"/>
    <cellStyle name="Normal 3 4 3 2 6" xfId="6676" xr:uid="{00000000-0005-0000-0000-00004A730000}"/>
    <cellStyle name="Normal 3 4 3 2 6 2" xfId="11131" xr:uid="{00000000-0005-0000-0000-00004B730000}"/>
    <cellStyle name="Normal 3 4 3 2 6 2 2" xfId="21127" xr:uid="{00000000-0005-0000-0000-00004C730000}"/>
    <cellStyle name="Normal 3 4 3 2 6 2 2 2" xfId="40527" xr:uid="{00000000-0005-0000-0000-00004D730000}"/>
    <cellStyle name="Normal 3 4 3 2 6 2 3" xfId="30829" xr:uid="{00000000-0005-0000-0000-00004E730000}"/>
    <cellStyle name="Normal 3 4 3 2 6 3" xfId="16672" xr:uid="{00000000-0005-0000-0000-00004F730000}"/>
    <cellStyle name="Normal 3 4 3 2 6 3 2" xfId="36072" xr:uid="{00000000-0005-0000-0000-000050730000}"/>
    <cellStyle name="Normal 3 4 3 2 6 4" xfId="26374" xr:uid="{00000000-0005-0000-0000-000051730000}"/>
    <cellStyle name="Normal 3 4 3 2 7" xfId="7233" xr:uid="{00000000-0005-0000-0000-000052730000}"/>
    <cellStyle name="Normal 3 4 3 2 7 2" xfId="17229" xr:uid="{00000000-0005-0000-0000-000053730000}"/>
    <cellStyle name="Normal 3 4 3 2 7 2 2" xfId="36629" xr:uid="{00000000-0005-0000-0000-000054730000}"/>
    <cellStyle name="Normal 3 4 3 2 7 3" xfId="26931" xr:uid="{00000000-0005-0000-0000-000055730000}"/>
    <cellStyle name="Normal 3 4 3 2 8" xfId="12773" xr:uid="{00000000-0005-0000-0000-000056730000}"/>
    <cellStyle name="Normal 3 4 3 2 8 2" xfId="32174" xr:uid="{00000000-0005-0000-0000-000057730000}"/>
    <cellStyle name="Normal 3 4 3 2 9" xfId="22476" xr:uid="{00000000-0005-0000-0000-000058730000}"/>
    <cellStyle name="Normal 3 4 3 3" xfId="2338" xr:uid="{00000000-0005-0000-0000-000059730000}"/>
    <cellStyle name="Normal 3 4 3 3 2" xfId="3285" xr:uid="{00000000-0005-0000-0000-00005A730000}"/>
    <cellStyle name="Normal 3 4 3 3 2 2" xfId="5554" xr:uid="{00000000-0005-0000-0000-00005B730000}"/>
    <cellStyle name="Normal 3 4 3 3 2 2 2" xfId="10018" xr:uid="{00000000-0005-0000-0000-00005C730000}"/>
    <cellStyle name="Normal 3 4 3 3 2 2 2 2" xfId="20014" xr:uid="{00000000-0005-0000-0000-00005D730000}"/>
    <cellStyle name="Normal 3 4 3 3 2 2 2 2 2" xfId="39414" xr:uid="{00000000-0005-0000-0000-00005E730000}"/>
    <cellStyle name="Normal 3 4 3 3 2 2 2 3" xfId="29716" xr:uid="{00000000-0005-0000-0000-00005F730000}"/>
    <cellStyle name="Normal 3 4 3 3 2 2 3" xfId="15559" xr:uid="{00000000-0005-0000-0000-000060730000}"/>
    <cellStyle name="Normal 3 4 3 3 2 2 3 2" xfId="34959" xr:uid="{00000000-0005-0000-0000-000061730000}"/>
    <cellStyle name="Normal 3 4 3 3 2 2 4" xfId="25261" xr:uid="{00000000-0005-0000-0000-000062730000}"/>
    <cellStyle name="Normal 3 4 3 3 2 3" xfId="7790" xr:uid="{00000000-0005-0000-0000-000063730000}"/>
    <cellStyle name="Normal 3 4 3 3 2 3 2" xfId="17786" xr:uid="{00000000-0005-0000-0000-000064730000}"/>
    <cellStyle name="Normal 3 4 3 3 2 3 2 2" xfId="37186" xr:uid="{00000000-0005-0000-0000-000065730000}"/>
    <cellStyle name="Normal 3 4 3 3 2 3 3" xfId="27488" xr:uid="{00000000-0005-0000-0000-000066730000}"/>
    <cellStyle name="Normal 3 4 3 3 2 4" xfId="13331" xr:uid="{00000000-0005-0000-0000-000067730000}"/>
    <cellStyle name="Normal 3 4 3 3 2 4 2" xfId="32731" xr:uid="{00000000-0005-0000-0000-000068730000}"/>
    <cellStyle name="Normal 3 4 3 3 2 5" xfId="23033" xr:uid="{00000000-0005-0000-0000-000069730000}"/>
    <cellStyle name="Normal 3 4 3 3 3" xfId="3868" xr:uid="{00000000-0005-0000-0000-00006A730000}"/>
    <cellStyle name="Normal 3 4 3 3 3 2" xfId="4998" xr:uid="{00000000-0005-0000-0000-00006B730000}"/>
    <cellStyle name="Normal 3 4 3 3 3 2 2" xfId="9462" xr:uid="{00000000-0005-0000-0000-00006C730000}"/>
    <cellStyle name="Normal 3 4 3 3 3 2 2 2" xfId="19458" xr:uid="{00000000-0005-0000-0000-00006D730000}"/>
    <cellStyle name="Normal 3 4 3 3 3 2 2 2 2" xfId="38858" xr:uid="{00000000-0005-0000-0000-00006E730000}"/>
    <cellStyle name="Normal 3 4 3 3 3 2 2 3" xfId="29160" xr:uid="{00000000-0005-0000-0000-00006F730000}"/>
    <cellStyle name="Normal 3 4 3 3 3 2 3" xfId="15003" xr:uid="{00000000-0005-0000-0000-000070730000}"/>
    <cellStyle name="Normal 3 4 3 3 3 2 3 2" xfId="34403" xr:uid="{00000000-0005-0000-0000-000071730000}"/>
    <cellStyle name="Normal 3 4 3 3 3 2 4" xfId="24705" xr:uid="{00000000-0005-0000-0000-000072730000}"/>
    <cellStyle name="Normal 3 4 3 3 3 3" xfId="8347" xr:uid="{00000000-0005-0000-0000-000073730000}"/>
    <cellStyle name="Normal 3 4 3 3 3 3 2" xfId="18343" xr:uid="{00000000-0005-0000-0000-000074730000}"/>
    <cellStyle name="Normal 3 4 3 3 3 3 2 2" xfId="37743" xr:uid="{00000000-0005-0000-0000-000075730000}"/>
    <cellStyle name="Normal 3 4 3 3 3 3 3" xfId="28045" xr:uid="{00000000-0005-0000-0000-000076730000}"/>
    <cellStyle name="Normal 3 4 3 3 3 4" xfId="13888" xr:uid="{00000000-0005-0000-0000-000077730000}"/>
    <cellStyle name="Normal 3 4 3 3 3 4 2" xfId="33288" xr:uid="{00000000-0005-0000-0000-000078730000}"/>
    <cellStyle name="Normal 3 4 3 3 3 5" xfId="23590" xr:uid="{00000000-0005-0000-0000-000079730000}"/>
    <cellStyle name="Normal 3 4 3 3 4" xfId="4441" xr:uid="{00000000-0005-0000-0000-00007A730000}"/>
    <cellStyle name="Normal 3 4 3 3 4 2" xfId="8905" xr:uid="{00000000-0005-0000-0000-00007B730000}"/>
    <cellStyle name="Normal 3 4 3 3 4 2 2" xfId="18901" xr:uid="{00000000-0005-0000-0000-00007C730000}"/>
    <cellStyle name="Normal 3 4 3 3 4 2 2 2" xfId="38301" xr:uid="{00000000-0005-0000-0000-00007D730000}"/>
    <cellStyle name="Normal 3 4 3 3 4 2 3" xfId="28603" xr:uid="{00000000-0005-0000-0000-00007E730000}"/>
    <cellStyle name="Normal 3 4 3 3 4 3" xfId="14446" xr:uid="{00000000-0005-0000-0000-00007F730000}"/>
    <cellStyle name="Normal 3 4 3 3 4 3 2" xfId="33846" xr:uid="{00000000-0005-0000-0000-000080730000}"/>
    <cellStyle name="Normal 3 4 3 3 4 4" xfId="24148" xr:uid="{00000000-0005-0000-0000-000081730000}"/>
    <cellStyle name="Normal 3 4 3 3 5" xfId="6111" xr:uid="{00000000-0005-0000-0000-000082730000}"/>
    <cellStyle name="Normal 3 4 3 3 5 2" xfId="10575" xr:uid="{00000000-0005-0000-0000-000083730000}"/>
    <cellStyle name="Normal 3 4 3 3 5 2 2" xfId="20571" xr:uid="{00000000-0005-0000-0000-000084730000}"/>
    <cellStyle name="Normal 3 4 3 3 5 2 2 2" xfId="39971" xr:uid="{00000000-0005-0000-0000-000085730000}"/>
    <cellStyle name="Normal 3 4 3 3 5 2 3" xfId="30273" xr:uid="{00000000-0005-0000-0000-000086730000}"/>
    <cellStyle name="Normal 3 4 3 3 5 3" xfId="16116" xr:uid="{00000000-0005-0000-0000-000087730000}"/>
    <cellStyle name="Normal 3 4 3 3 5 3 2" xfId="35516" xr:uid="{00000000-0005-0000-0000-000088730000}"/>
    <cellStyle name="Normal 3 4 3 3 5 4" xfId="25818" xr:uid="{00000000-0005-0000-0000-000089730000}"/>
    <cellStyle name="Normal 3 4 3 3 6" xfId="6677" xr:uid="{00000000-0005-0000-0000-00008A730000}"/>
    <cellStyle name="Normal 3 4 3 3 6 2" xfId="11132" xr:uid="{00000000-0005-0000-0000-00008B730000}"/>
    <cellStyle name="Normal 3 4 3 3 6 2 2" xfId="21128" xr:uid="{00000000-0005-0000-0000-00008C730000}"/>
    <cellStyle name="Normal 3 4 3 3 6 2 2 2" xfId="40528" xr:uid="{00000000-0005-0000-0000-00008D730000}"/>
    <cellStyle name="Normal 3 4 3 3 6 2 3" xfId="30830" xr:uid="{00000000-0005-0000-0000-00008E730000}"/>
    <cellStyle name="Normal 3 4 3 3 6 3" xfId="16673" xr:uid="{00000000-0005-0000-0000-00008F730000}"/>
    <cellStyle name="Normal 3 4 3 3 6 3 2" xfId="36073" xr:uid="{00000000-0005-0000-0000-000090730000}"/>
    <cellStyle name="Normal 3 4 3 3 6 4" xfId="26375" xr:uid="{00000000-0005-0000-0000-000091730000}"/>
    <cellStyle name="Normal 3 4 3 3 7" xfId="7234" xr:uid="{00000000-0005-0000-0000-000092730000}"/>
    <cellStyle name="Normal 3 4 3 3 7 2" xfId="17230" xr:uid="{00000000-0005-0000-0000-000093730000}"/>
    <cellStyle name="Normal 3 4 3 3 7 2 2" xfId="36630" xr:uid="{00000000-0005-0000-0000-000094730000}"/>
    <cellStyle name="Normal 3 4 3 3 7 3" xfId="26932" xr:uid="{00000000-0005-0000-0000-000095730000}"/>
    <cellStyle name="Normal 3 4 3 3 8" xfId="12774" xr:uid="{00000000-0005-0000-0000-000096730000}"/>
    <cellStyle name="Normal 3 4 3 3 8 2" xfId="32175" xr:uid="{00000000-0005-0000-0000-000097730000}"/>
    <cellStyle name="Normal 3 4 3 3 9" xfId="22477" xr:uid="{00000000-0005-0000-0000-000098730000}"/>
    <cellStyle name="Normal 3 4 3 4" xfId="3283" xr:uid="{00000000-0005-0000-0000-000099730000}"/>
    <cellStyle name="Normal 3 4 3 4 2" xfId="5552" xr:uid="{00000000-0005-0000-0000-00009A730000}"/>
    <cellStyle name="Normal 3 4 3 4 2 2" xfId="10016" xr:uid="{00000000-0005-0000-0000-00009B730000}"/>
    <cellStyle name="Normal 3 4 3 4 2 2 2" xfId="20012" xr:uid="{00000000-0005-0000-0000-00009C730000}"/>
    <cellStyle name="Normal 3 4 3 4 2 2 2 2" xfId="39412" xr:uid="{00000000-0005-0000-0000-00009D730000}"/>
    <cellStyle name="Normal 3 4 3 4 2 2 3" xfId="29714" xr:uid="{00000000-0005-0000-0000-00009E730000}"/>
    <cellStyle name="Normal 3 4 3 4 2 3" xfId="15557" xr:uid="{00000000-0005-0000-0000-00009F730000}"/>
    <cellStyle name="Normal 3 4 3 4 2 3 2" xfId="34957" xr:uid="{00000000-0005-0000-0000-0000A0730000}"/>
    <cellStyle name="Normal 3 4 3 4 2 4" xfId="25259" xr:uid="{00000000-0005-0000-0000-0000A1730000}"/>
    <cellStyle name="Normal 3 4 3 4 3" xfId="7788" xr:uid="{00000000-0005-0000-0000-0000A2730000}"/>
    <cellStyle name="Normal 3 4 3 4 3 2" xfId="17784" xr:uid="{00000000-0005-0000-0000-0000A3730000}"/>
    <cellStyle name="Normal 3 4 3 4 3 2 2" xfId="37184" xr:uid="{00000000-0005-0000-0000-0000A4730000}"/>
    <cellStyle name="Normal 3 4 3 4 3 3" xfId="27486" xr:uid="{00000000-0005-0000-0000-0000A5730000}"/>
    <cellStyle name="Normal 3 4 3 4 4" xfId="13329" xr:uid="{00000000-0005-0000-0000-0000A6730000}"/>
    <cellStyle name="Normal 3 4 3 4 4 2" xfId="32729" xr:uid="{00000000-0005-0000-0000-0000A7730000}"/>
    <cellStyle name="Normal 3 4 3 4 5" xfId="23031" xr:uid="{00000000-0005-0000-0000-0000A8730000}"/>
    <cellStyle name="Normal 3 4 3 5" xfId="3866" xr:uid="{00000000-0005-0000-0000-0000A9730000}"/>
    <cellStyle name="Normal 3 4 3 5 2" xfId="4996" xr:uid="{00000000-0005-0000-0000-0000AA730000}"/>
    <cellStyle name="Normal 3 4 3 5 2 2" xfId="9460" xr:uid="{00000000-0005-0000-0000-0000AB730000}"/>
    <cellStyle name="Normal 3 4 3 5 2 2 2" xfId="19456" xr:uid="{00000000-0005-0000-0000-0000AC730000}"/>
    <cellStyle name="Normal 3 4 3 5 2 2 2 2" xfId="38856" xr:uid="{00000000-0005-0000-0000-0000AD730000}"/>
    <cellStyle name="Normal 3 4 3 5 2 2 3" xfId="29158" xr:uid="{00000000-0005-0000-0000-0000AE730000}"/>
    <cellStyle name="Normal 3 4 3 5 2 3" xfId="15001" xr:uid="{00000000-0005-0000-0000-0000AF730000}"/>
    <cellStyle name="Normal 3 4 3 5 2 3 2" xfId="34401" xr:uid="{00000000-0005-0000-0000-0000B0730000}"/>
    <cellStyle name="Normal 3 4 3 5 2 4" xfId="24703" xr:uid="{00000000-0005-0000-0000-0000B1730000}"/>
    <cellStyle name="Normal 3 4 3 5 3" xfId="8345" xr:uid="{00000000-0005-0000-0000-0000B2730000}"/>
    <cellStyle name="Normal 3 4 3 5 3 2" xfId="18341" xr:uid="{00000000-0005-0000-0000-0000B3730000}"/>
    <cellStyle name="Normal 3 4 3 5 3 2 2" xfId="37741" xr:uid="{00000000-0005-0000-0000-0000B4730000}"/>
    <cellStyle name="Normal 3 4 3 5 3 3" xfId="28043" xr:uid="{00000000-0005-0000-0000-0000B5730000}"/>
    <cellStyle name="Normal 3 4 3 5 4" xfId="13886" xr:uid="{00000000-0005-0000-0000-0000B6730000}"/>
    <cellStyle name="Normal 3 4 3 5 4 2" xfId="33286" xr:uid="{00000000-0005-0000-0000-0000B7730000}"/>
    <cellStyle name="Normal 3 4 3 5 5" xfId="23588" xr:uid="{00000000-0005-0000-0000-0000B8730000}"/>
    <cellStyle name="Normal 3 4 3 6" xfId="4439" xr:uid="{00000000-0005-0000-0000-0000B9730000}"/>
    <cellStyle name="Normal 3 4 3 6 2" xfId="8903" xr:uid="{00000000-0005-0000-0000-0000BA730000}"/>
    <cellStyle name="Normal 3 4 3 6 2 2" xfId="18899" xr:uid="{00000000-0005-0000-0000-0000BB730000}"/>
    <cellStyle name="Normal 3 4 3 6 2 2 2" xfId="38299" xr:uid="{00000000-0005-0000-0000-0000BC730000}"/>
    <cellStyle name="Normal 3 4 3 6 2 3" xfId="28601" xr:uid="{00000000-0005-0000-0000-0000BD730000}"/>
    <cellStyle name="Normal 3 4 3 6 3" xfId="14444" xr:uid="{00000000-0005-0000-0000-0000BE730000}"/>
    <cellStyle name="Normal 3 4 3 6 3 2" xfId="33844" xr:uid="{00000000-0005-0000-0000-0000BF730000}"/>
    <cellStyle name="Normal 3 4 3 6 4" xfId="24146" xr:uid="{00000000-0005-0000-0000-0000C0730000}"/>
    <cellStyle name="Normal 3 4 3 7" xfId="6109" xr:uid="{00000000-0005-0000-0000-0000C1730000}"/>
    <cellStyle name="Normal 3 4 3 7 2" xfId="10573" xr:uid="{00000000-0005-0000-0000-0000C2730000}"/>
    <cellStyle name="Normal 3 4 3 7 2 2" xfId="20569" xr:uid="{00000000-0005-0000-0000-0000C3730000}"/>
    <cellStyle name="Normal 3 4 3 7 2 2 2" xfId="39969" xr:uid="{00000000-0005-0000-0000-0000C4730000}"/>
    <cellStyle name="Normal 3 4 3 7 2 3" xfId="30271" xr:uid="{00000000-0005-0000-0000-0000C5730000}"/>
    <cellStyle name="Normal 3 4 3 7 3" xfId="16114" xr:uid="{00000000-0005-0000-0000-0000C6730000}"/>
    <cellStyle name="Normal 3 4 3 7 3 2" xfId="35514" xr:uid="{00000000-0005-0000-0000-0000C7730000}"/>
    <cellStyle name="Normal 3 4 3 7 4" xfId="25816" xr:uid="{00000000-0005-0000-0000-0000C8730000}"/>
    <cellStyle name="Normal 3 4 3 8" xfId="6675" xr:uid="{00000000-0005-0000-0000-0000C9730000}"/>
    <cellStyle name="Normal 3 4 3 8 2" xfId="11130" xr:uid="{00000000-0005-0000-0000-0000CA730000}"/>
    <cellStyle name="Normal 3 4 3 8 2 2" xfId="21126" xr:uid="{00000000-0005-0000-0000-0000CB730000}"/>
    <cellStyle name="Normal 3 4 3 8 2 2 2" xfId="40526" xr:uid="{00000000-0005-0000-0000-0000CC730000}"/>
    <cellStyle name="Normal 3 4 3 8 2 3" xfId="30828" xr:uid="{00000000-0005-0000-0000-0000CD730000}"/>
    <cellStyle name="Normal 3 4 3 8 3" xfId="16671" xr:uid="{00000000-0005-0000-0000-0000CE730000}"/>
    <cellStyle name="Normal 3 4 3 8 3 2" xfId="36071" xr:uid="{00000000-0005-0000-0000-0000CF730000}"/>
    <cellStyle name="Normal 3 4 3 8 4" xfId="26373" xr:uid="{00000000-0005-0000-0000-0000D0730000}"/>
    <cellStyle name="Normal 3 4 3 9" xfId="7232" xr:uid="{00000000-0005-0000-0000-0000D1730000}"/>
    <cellStyle name="Normal 3 4 3 9 2" xfId="17228" xr:uid="{00000000-0005-0000-0000-0000D2730000}"/>
    <cellStyle name="Normal 3 4 3 9 2 2" xfId="36628" xr:uid="{00000000-0005-0000-0000-0000D3730000}"/>
    <cellStyle name="Normal 3 4 3 9 3" xfId="26930" xr:uid="{00000000-0005-0000-0000-0000D4730000}"/>
    <cellStyle name="Normal 3 4 4" xfId="2339" xr:uid="{00000000-0005-0000-0000-0000D5730000}"/>
    <cellStyle name="Normal 3 4 4 2" xfId="3286" xr:uid="{00000000-0005-0000-0000-0000D6730000}"/>
    <cellStyle name="Normal 3 4 4 2 2" xfId="5555" xr:uid="{00000000-0005-0000-0000-0000D7730000}"/>
    <cellStyle name="Normal 3 4 4 2 2 2" xfId="10019" xr:uid="{00000000-0005-0000-0000-0000D8730000}"/>
    <cellStyle name="Normal 3 4 4 2 2 2 2" xfId="20015" xr:uid="{00000000-0005-0000-0000-0000D9730000}"/>
    <cellStyle name="Normal 3 4 4 2 2 2 2 2" xfId="39415" xr:uid="{00000000-0005-0000-0000-0000DA730000}"/>
    <cellStyle name="Normal 3 4 4 2 2 2 3" xfId="29717" xr:uid="{00000000-0005-0000-0000-0000DB730000}"/>
    <cellStyle name="Normal 3 4 4 2 2 3" xfId="15560" xr:uid="{00000000-0005-0000-0000-0000DC730000}"/>
    <cellStyle name="Normal 3 4 4 2 2 3 2" xfId="34960" xr:uid="{00000000-0005-0000-0000-0000DD730000}"/>
    <cellStyle name="Normal 3 4 4 2 2 4" xfId="25262" xr:uid="{00000000-0005-0000-0000-0000DE730000}"/>
    <cellStyle name="Normal 3 4 4 2 3" xfId="7791" xr:uid="{00000000-0005-0000-0000-0000DF730000}"/>
    <cellStyle name="Normal 3 4 4 2 3 2" xfId="17787" xr:uid="{00000000-0005-0000-0000-0000E0730000}"/>
    <cellStyle name="Normal 3 4 4 2 3 2 2" xfId="37187" xr:uid="{00000000-0005-0000-0000-0000E1730000}"/>
    <cellStyle name="Normal 3 4 4 2 3 3" xfId="27489" xr:uid="{00000000-0005-0000-0000-0000E2730000}"/>
    <cellStyle name="Normal 3 4 4 2 4" xfId="13332" xr:uid="{00000000-0005-0000-0000-0000E3730000}"/>
    <cellStyle name="Normal 3 4 4 2 4 2" xfId="32732" xr:uid="{00000000-0005-0000-0000-0000E4730000}"/>
    <cellStyle name="Normal 3 4 4 2 5" xfId="23034" xr:uid="{00000000-0005-0000-0000-0000E5730000}"/>
    <cellStyle name="Normal 3 4 4 3" xfId="3869" xr:uid="{00000000-0005-0000-0000-0000E6730000}"/>
    <cellStyle name="Normal 3 4 4 3 2" xfId="4999" xr:uid="{00000000-0005-0000-0000-0000E7730000}"/>
    <cellStyle name="Normal 3 4 4 3 2 2" xfId="9463" xr:uid="{00000000-0005-0000-0000-0000E8730000}"/>
    <cellStyle name="Normal 3 4 4 3 2 2 2" xfId="19459" xr:uid="{00000000-0005-0000-0000-0000E9730000}"/>
    <cellStyle name="Normal 3 4 4 3 2 2 2 2" xfId="38859" xr:uid="{00000000-0005-0000-0000-0000EA730000}"/>
    <cellStyle name="Normal 3 4 4 3 2 2 3" xfId="29161" xr:uid="{00000000-0005-0000-0000-0000EB730000}"/>
    <cellStyle name="Normal 3 4 4 3 2 3" xfId="15004" xr:uid="{00000000-0005-0000-0000-0000EC730000}"/>
    <cellStyle name="Normal 3 4 4 3 2 3 2" xfId="34404" xr:uid="{00000000-0005-0000-0000-0000ED730000}"/>
    <cellStyle name="Normal 3 4 4 3 2 4" xfId="24706" xr:uid="{00000000-0005-0000-0000-0000EE730000}"/>
    <cellStyle name="Normal 3 4 4 3 3" xfId="8348" xr:uid="{00000000-0005-0000-0000-0000EF730000}"/>
    <cellStyle name="Normal 3 4 4 3 3 2" xfId="18344" xr:uid="{00000000-0005-0000-0000-0000F0730000}"/>
    <cellStyle name="Normal 3 4 4 3 3 2 2" xfId="37744" xr:uid="{00000000-0005-0000-0000-0000F1730000}"/>
    <cellStyle name="Normal 3 4 4 3 3 3" xfId="28046" xr:uid="{00000000-0005-0000-0000-0000F2730000}"/>
    <cellStyle name="Normal 3 4 4 3 4" xfId="13889" xr:uid="{00000000-0005-0000-0000-0000F3730000}"/>
    <cellStyle name="Normal 3 4 4 3 4 2" xfId="33289" xr:uid="{00000000-0005-0000-0000-0000F4730000}"/>
    <cellStyle name="Normal 3 4 4 3 5" xfId="23591" xr:uid="{00000000-0005-0000-0000-0000F5730000}"/>
    <cellStyle name="Normal 3 4 4 4" xfId="4442" xr:uid="{00000000-0005-0000-0000-0000F6730000}"/>
    <cellStyle name="Normal 3 4 4 4 2" xfId="8906" xr:uid="{00000000-0005-0000-0000-0000F7730000}"/>
    <cellStyle name="Normal 3 4 4 4 2 2" xfId="18902" xr:uid="{00000000-0005-0000-0000-0000F8730000}"/>
    <cellStyle name="Normal 3 4 4 4 2 2 2" xfId="38302" xr:uid="{00000000-0005-0000-0000-0000F9730000}"/>
    <cellStyle name="Normal 3 4 4 4 2 3" xfId="28604" xr:uid="{00000000-0005-0000-0000-0000FA730000}"/>
    <cellStyle name="Normal 3 4 4 4 3" xfId="14447" xr:uid="{00000000-0005-0000-0000-0000FB730000}"/>
    <cellStyle name="Normal 3 4 4 4 3 2" xfId="33847" xr:uid="{00000000-0005-0000-0000-0000FC730000}"/>
    <cellStyle name="Normal 3 4 4 4 4" xfId="24149" xr:uid="{00000000-0005-0000-0000-0000FD730000}"/>
    <cellStyle name="Normal 3 4 4 5" xfId="6112" xr:uid="{00000000-0005-0000-0000-0000FE730000}"/>
    <cellStyle name="Normal 3 4 4 5 2" xfId="10576" xr:uid="{00000000-0005-0000-0000-0000FF730000}"/>
    <cellStyle name="Normal 3 4 4 5 2 2" xfId="20572" xr:uid="{00000000-0005-0000-0000-000000740000}"/>
    <cellStyle name="Normal 3 4 4 5 2 2 2" xfId="39972" xr:uid="{00000000-0005-0000-0000-000001740000}"/>
    <cellStyle name="Normal 3 4 4 5 2 3" xfId="30274" xr:uid="{00000000-0005-0000-0000-000002740000}"/>
    <cellStyle name="Normal 3 4 4 5 3" xfId="16117" xr:uid="{00000000-0005-0000-0000-000003740000}"/>
    <cellStyle name="Normal 3 4 4 5 3 2" xfId="35517" xr:uid="{00000000-0005-0000-0000-000004740000}"/>
    <cellStyle name="Normal 3 4 4 5 4" xfId="25819" xr:uid="{00000000-0005-0000-0000-000005740000}"/>
    <cellStyle name="Normal 3 4 4 6" xfId="6678" xr:uid="{00000000-0005-0000-0000-000006740000}"/>
    <cellStyle name="Normal 3 4 4 6 2" xfId="11133" xr:uid="{00000000-0005-0000-0000-000007740000}"/>
    <cellStyle name="Normal 3 4 4 6 2 2" xfId="21129" xr:uid="{00000000-0005-0000-0000-000008740000}"/>
    <cellStyle name="Normal 3 4 4 6 2 2 2" xfId="40529" xr:uid="{00000000-0005-0000-0000-000009740000}"/>
    <cellStyle name="Normal 3 4 4 6 2 3" xfId="30831" xr:uid="{00000000-0005-0000-0000-00000A740000}"/>
    <cellStyle name="Normal 3 4 4 6 3" xfId="16674" xr:uid="{00000000-0005-0000-0000-00000B740000}"/>
    <cellStyle name="Normal 3 4 4 6 3 2" xfId="36074" xr:uid="{00000000-0005-0000-0000-00000C740000}"/>
    <cellStyle name="Normal 3 4 4 6 4" xfId="26376" xr:uid="{00000000-0005-0000-0000-00000D740000}"/>
    <cellStyle name="Normal 3 4 4 7" xfId="7235" xr:uid="{00000000-0005-0000-0000-00000E740000}"/>
    <cellStyle name="Normal 3 4 4 7 2" xfId="17231" xr:uid="{00000000-0005-0000-0000-00000F740000}"/>
    <cellStyle name="Normal 3 4 4 7 2 2" xfId="36631" xr:uid="{00000000-0005-0000-0000-000010740000}"/>
    <cellStyle name="Normal 3 4 4 7 3" xfId="26933" xr:uid="{00000000-0005-0000-0000-000011740000}"/>
    <cellStyle name="Normal 3 4 4 8" xfId="12775" xr:uid="{00000000-0005-0000-0000-000012740000}"/>
    <cellStyle name="Normal 3 4 4 8 2" xfId="32176" xr:uid="{00000000-0005-0000-0000-000013740000}"/>
    <cellStyle name="Normal 3 4 4 9" xfId="22478" xr:uid="{00000000-0005-0000-0000-000014740000}"/>
    <cellStyle name="Normal 3 4 5" xfId="2340" xr:uid="{00000000-0005-0000-0000-000015740000}"/>
    <cellStyle name="Normal 3 4 5 2" xfId="3287" xr:uid="{00000000-0005-0000-0000-000016740000}"/>
    <cellStyle name="Normal 3 4 5 2 2" xfId="5556" xr:uid="{00000000-0005-0000-0000-000017740000}"/>
    <cellStyle name="Normal 3 4 5 2 2 2" xfId="10020" xr:uid="{00000000-0005-0000-0000-000018740000}"/>
    <cellStyle name="Normal 3 4 5 2 2 2 2" xfId="20016" xr:uid="{00000000-0005-0000-0000-000019740000}"/>
    <cellStyle name="Normal 3 4 5 2 2 2 2 2" xfId="39416" xr:uid="{00000000-0005-0000-0000-00001A740000}"/>
    <cellStyle name="Normal 3 4 5 2 2 2 3" xfId="29718" xr:uid="{00000000-0005-0000-0000-00001B740000}"/>
    <cellStyle name="Normal 3 4 5 2 2 3" xfId="15561" xr:uid="{00000000-0005-0000-0000-00001C740000}"/>
    <cellStyle name="Normal 3 4 5 2 2 3 2" xfId="34961" xr:uid="{00000000-0005-0000-0000-00001D740000}"/>
    <cellStyle name="Normal 3 4 5 2 2 4" xfId="25263" xr:uid="{00000000-0005-0000-0000-00001E740000}"/>
    <cellStyle name="Normal 3 4 5 2 3" xfId="7792" xr:uid="{00000000-0005-0000-0000-00001F740000}"/>
    <cellStyle name="Normal 3 4 5 2 3 2" xfId="17788" xr:uid="{00000000-0005-0000-0000-000020740000}"/>
    <cellStyle name="Normal 3 4 5 2 3 2 2" xfId="37188" xr:uid="{00000000-0005-0000-0000-000021740000}"/>
    <cellStyle name="Normal 3 4 5 2 3 3" xfId="27490" xr:uid="{00000000-0005-0000-0000-000022740000}"/>
    <cellStyle name="Normal 3 4 5 2 4" xfId="13333" xr:uid="{00000000-0005-0000-0000-000023740000}"/>
    <cellStyle name="Normal 3 4 5 2 4 2" xfId="32733" xr:uid="{00000000-0005-0000-0000-000024740000}"/>
    <cellStyle name="Normal 3 4 5 2 5" xfId="23035" xr:uid="{00000000-0005-0000-0000-000025740000}"/>
    <cellStyle name="Normal 3 4 5 3" xfId="3870" xr:uid="{00000000-0005-0000-0000-000026740000}"/>
    <cellStyle name="Normal 3 4 5 3 2" xfId="5000" xr:uid="{00000000-0005-0000-0000-000027740000}"/>
    <cellStyle name="Normal 3 4 5 3 2 2" xfId="9464" xr:uid="{00000000-0005-0000-0000-000028740000}"/>
    <cellStyle name="Normal 3 4 5 3 2 2 2" xfId="19460" xr:uid="{00000000-0005-0000-0000-000029740000}"/>
    <cellStyle name="Normal 3 4 5 3 2 2 2 2" xfId="38860" xr:uid="{00000000-0005-0000-0000-00002A740000}"/>
    <cellStyle name="Normal 3 4 5 3 2 2 3" xfId="29162" xr:uid="{00000000-0005-0000-0000-00002B740000}"/>
    <cellStyle name="Normal 3 4 5 3 2 3" xfId="15005" xr:uid="{00000000-0005-0000-0000-00002C740000}"/>
    <cellStyle name="Normal 3 4 5 3 2 3 2" xfId="34405" xr:uid="{00000000-0005-0000-0000-00002D740000}"/>
    <cellStyle name="Normal 3 4 5 3 2 4" xfId="24707" xr:uid="{00000000-0005-0000-0000-00002E740000}"/>
    <cellStyle name="Normal 3 4 5 3 3" xfId="8349" xr:uid="{00000000-0005-0000-0000-00002F740000}"/>
    <cellStyle name="Normal 3 4 5 3 3 2" xfId="18345" xr:uid="{00000000-0005-0000-0000-000030740000}"/>
    <cellStyle name="Normal 3 4 5 3 3 2 2" xfId="37745" xr:uid="{00000000-0005-0000-0000-000031740000}"/>
    <cellStyle name="Normal 3 4 5 3 3 3" xfId="28047" xr:uid="{00000000-0005-0000-0000-000032740000}"/>
    <cellStyle name="Normal 3 4 5 3 4" xfId="13890" xr:uid="{00000000-0005-0000-0000-000033740000}"/>
    <cellStyle name="Normal 3 4 5 3 4 2" xfId="33290" xr:uid="{00000000-0005-0000-0000-000034740000}"/>
    <cellStyle name="Normal 3 4 5 3 5" xfId="23592" xr:uid="{00000000-0005-0000-0000-000035740000}"/>
    <cellStyle name="Normal 3 4 5 4" xfId="4443" xr:uid="{00000000-0005-0000-0000-000036740000}"/>
    <cellStyle name="Normal 3 4 5 4 2" xfId="8907" xr:uid="{00000000-0005-0000-0000-000037740000}"/>
    <cellStyle name="Normal 3 4 5 4 2 2" xfId="18903" xr:uid="{00000000-0005-0000-0000-000038740000}"/>
    <cellStyle name="Normal 3 4 5 4 2 2 2" xfId="38303" xr:uid="{00000000-0005-0000-0000-000039740000}"/>
    <cellStyle name="Normal 3 4 5 4 2 3" xfId="28605" xr:uid="{00000000-0005-0000-0000-00003A740000}"/>
    <cellStyle name="Normal 3 4 5 4 3" xfId="14448" xr:uid="{00000000-0005-0000-0000-00003B740000}"/>
    <cellStyle name="Normal 3 4 5 4 3 2" xfId="33848" xr:uid="{00000000-0005-0000-0000-00003C740000}"/>
    <cellStyle name="Normal 3 4 5 4 4" xfId="24150" xr:uid="{00000000-0005-0000-0000-00003D740000}"/>
    <cellStyle name="Normal 3 4 5 5" xfId="6113" xr:uid="{00000000-0005-0000-0000-00003E740000}"/>
    <cellStyle name="Normal 3 4 5 5 2" xfId="10577" xr:uid="{00000000-0005-0000-0000-00003F740000}"/>
    <cellStyle name="Normal 3 4 5 5 2 2" xfId="20573" xr:uid="{00000000-0005-0000-0000-000040740000}"/>
    <cellStyle name="Normal 3 4 5 5 2 2 2" xfId="39973" xr:uid="{00000000-0005-0000-0000-000041740000}"/>
    <cellStyle name="Normal 3 4 5 5 2 3" xfId="30275" xr:uid="{00000000-0005-0000-0000-000042740000}"/>
    <cellStyle name="Normal 3 4 5 5 3" xfId="16118" xr:uid="{00000000-0005-0000-0000-000043740000}"/>
    <cellStyle name="Normal 3 4 5 5 3 2" xfId="35518" xr:uid="{00000000-0005-0000-0000-000044740000}"/>
    <cellStyle name="Normal 3 4 5 5 4" xfId="25820" xr:uid="{00000000-0005-0000-0000-000045740000}"/>
    <cellStyle name="Normal 3 4 5 6" xfId="6679" xr:uid="{00000000-0005-0000-0000-000046740000}"/>
    <cellStyle name="Normal 3 4 5 6 2" xfId="11134" xr:uid="{00000000-0005-0000-0000-000047740000}"/>
    <cellStyle name="Normal 3 4 5 6 2 2" xfId="21130" xr:uid="{00000000-0005-0000-0000-000048740000}"/>
    <cellStyle name="Normal 3 4 5 6 2 2 2" xfId="40530" xr:uid="{00000000-0005-0000-0000-000049740000}"/>
    <cellStyle name="Normal 3 4 5 6 2 3" xfId="30832" xr:uid="{00000000-0005-0000-0000-00004A740000}"/>
    <cellStyle name="Normal 3 4 5 6 3" xfId="16675" xr:uid="{00000000-0005-0000-0000-00004B740000}"/>
    <cellStyle name="Normal 3 4 5 6 3 2" xfId="36075" xr:uid="{00000000-0005-0000-0000-00004C740000}"/>
    <cellStyle name="Normal 3 4 5 6 4" xfId="26377" xr:uid="{00000000-0005-0000-0000-00004D740000}"/>
    <cellStyle name="Normal 3 4 5 7" xfId="7236" xr:uid="{00000000-0005-0000-0000-00004E740000}"/>
    <cellStyle name="Normal 3 4 5 7 2" xfId="17232" xr:uid="{00000000-0005-0000-0000-00004F740000}"/>
    <cellStyle name="Normal 3 4 5 7 2 2" xfId="36632" xr:uid="{00000000-0005-0000-0000-000050740000}"/>
    <cellStyle name="Normal 3 4 5 7 3" xfId="26934" xr:uid="{00000000-0005-0000-0000-000051740000}"/>
    <cellStyle name="Normal 3 4 5 8" xfId="12776" xr:uid="{00000000-0005-0000-0000-000052740000}"/>
    <cellStyle name="Normal 3 4 5 8 2" xfId="32177" xr:uid="{00000000-0005-0000-0000-000053740000}"/>
    <cellStyle name="Normal 3 4 5 9" xfId="22479" xr:uid="{00000000-0005-0000-0000-000054740000}"/>
    <cellStyle name="Normal 3 4 6" xfId="11620" xr:uid="{00000000-0005-0000-0000-000055740000}"/>
    <cellStyle name="Normal 3 4 7" xfId="1536" xr:uid="{00000000-0005-0000-0000-000056740000}"/>
    <cellStyle name="Normal 3 5" xfId="701" xr:uid="{00000000-0005-0000-0000-000057740000}"/>
    <cellStyle name="Normal 3 5 2" xfId="2341" xr:uid="{00000000-0005-0000-0000-000058740000}"/>
    <cellStyle name="Normal 3 5 2 10" xfId="12777" xr:uid="{00000000-0005-0000-0000-000059740000}"/>
    <cellStyle name="Normal 3 5 2 10 2" xfId="32178" xr:uid="{00000000-0005-0000-0000-00005A740000}"/>
    <cellStyle name="Normal 3 5 2 11" xfId="22480" xr:uid="{00000000-0005-0000-0000-00005B740000}"/>
    <cellStyle name="Normal 3 5 2 2" xfId="2342" xr:uid="{00000000-0005-0000-0000-00005C740000}"/>
    <cellStyle name="Normal 3 5 2 2 2" xfId="3289" xr:uid="{00000000-0005-0000-0000-00005D740000}"/>
    <cellStyle name="Normal 3 5 2 2 2 2" xfId="5558" xr:uid="{00000000-0005-0000-0000-00005E740000}"/>
    <cellStyle name="Normal 3 5 2 2 2 2 2" xfId="10022" xr:uid="{00000000-0005-0000-0000-00005F740000}"/>
    <cellStyle name="Normal 3 5 2 2 2 2 2 2" xfId="20018" xr:uid="{00000000-0005-0000-0000-000060740000}"/>
    <cellStyle name="Normal 3 5 2 2 2 2 2 2 2" xfId="39418" xr:uid="{00000000-0005-0000-0000-000061740000}"/>
    <cellStyle name="Normal 3 5 2 2 2 2 2 3" xfId="29720" xr:uid="{00000000-0005-0000-0000-000062740000}"/>
    <cellStyle name="Normal 3 5 2 2 2 2 3" xfId="15563" xr:uid="{00000000-0005-0000-0000-000063740000}"/>
    <cellStyle name="Normal 3 5 2 2 2 2 3 2" xfId="34963" xr:uid="{00000000-0005-0000-0000-000064740000}"/>
    <cellStyle name="Normal 3 5 2 2 2 2 4" xfId="25265" xr:uid="{00000000-0005-0000-0000-000065740000}"/>
    <cellStyle name="Normal 3 5 2 2 2 3" xfId="7794" xr:uid="{00000000-0005-0000-0000-000066740000}"/>
    <cellStyle name="Normal 3 5 2 2 2 3 2" xfId="17790" xr:uid="{00000000-0005-0000-0000-000067740000}"/>
    <cellStyle name="Normal 3 5 2 2 2 3 2 2" xfId="37190" xr:uid="{00000000-0005-0000-0000-000068740000}"/>
    <cellStyle name="Normal 3 5 2 2 2 3 3" xfId="27492" xr:uid="{00000000-0005-0000-0000-000069740000}"/>
    <cellStyle name="Normal 3 5 2 2 2 4" xfId="13335" xr:uid="{00000000-0005-0000-0000-00006A740000}"/>
    <cellStyle name="Normal 3 5 2 2 2 4 2" xfId="32735" xr:uid="{00000000-0005-0000-0000-00006B740000}"/>
    <cellStyle name="Normal 3 5 2 2 2 5" xfId="23037" xr:uid="{00000000-0005-0000-0000-00006C740000}"/>
    <cellStyle name="Normal 3 5 2 2 3" xfId="3872" xr:uid="{00000000-0005-0000-0000-00006D740000}"/>
    <cellStyle name="Normal 3 5 2 2 3 2" xfId="5002" xr:uid="{00000000-0005-0000-0000-00006E740000}"/>
    <cellStyle name="Normal 3 5 2 2 3 2 2" xfId="9466" xr:uid="{00000000-0005-0000-0000-00006F740000}"/>
    <cellStyle name="Normal 3 5 2 2 3 2 2 2" xfId="19462" xr:uid="{00000000-0005-0000-0000-000070740000}"/>
    <cellStyle name="Normal 3 5 2 2 3 2 2 2 2" xfId="38862" xr:uid="{00000000-0005-0000-0000-000071740000}"/>
    <cellStyle name="Normal 3 5 2 2 3 2 2 3" xfId="29164" xr:uid="{00000000-0005-0000-0000-000072740000}"/>
    <cellStyle name="Normal 3 5 2 2 3 2 3" xfId="15007" xr:uid="{00000000-0005-0000-0000-000073740000}"/>
    <cellStyle name="Normal 3 5 2 2 3 2 3 2" xfId="34407" xr:uid="{00000000-0005-0000-0000-000074740000}"/>
    <cellStyle name="Normal 3 5 2 2 3 2 4" xfId="24709" xr:uid="{00000000-0005-0000-0000-000075740000}"/>
    <cellStyle name="Normal 3 5 2 2 3 3" xfId="8351" xr:uid="{00000000-0005-0000-0000-000076740000}"/>
    <cellStyle name="Normal 3 5 2 2 3 3 2" xfId="18347" xr:uid="{00000000-0005-0000-0000-000077740000}"/>
    <cellStyle name="Normal 3 5 2 2 3 3 2 2" xfId="37747" xr:uid="{00000000-0005-0000-0000-000078740000}"/>
    <cellStyle name="Normal 3 5 2 2 3 3 3" xfId="28049" xr:uid="{00000000-0005-0000-0000-000079740000}"/>
    <cellStyle name="Normal 3 5 2 2 3 4" xfId="13892" xr:uid="{00000000-0005-0000-0000-00007A740000}"/>
    <cellStyle name="Normal 3 5 2 2 3 4 2" xfId="33292" xr:uid="{00000000-0005-0000-0000-00007B740000}"/>
    <cellStyle name="Normal 3 5 2 2 3 5" xfId="23594" xr:uid="{00000000-0005-0000-0000-00007C740000}"/>
    <cellStyle name="Normal 3 5 2 2 4" xfId="4445" xr:uid="{00000000-0005-0000-0000-00007D740000}"/>
    <cellStyle name="Normal 3 5 2 2 4 2" xfId="8909" xr:uid="{00000000-0005-0000-0000-00007E740000}"/>
    <cellStyle name="Normal 3 5 2 2 4 2 2" xfId="18905" xr:uid="{00000000-0005-0000-0000-00007F740000}"/>
    <cellStyle name="Normal 3 5 2 2 4 2 2 2" xfId="38305" xr:uid="{00000000-0005-0000-0000-000080740000}"/>
    <cellStyle name="Normal 3 5 2 2 4 2 3" xfId="28607" xr:uid="{00000000-0005-0000-0000-000081740000}"/>
    <cellStyle name="Normal 3 5 2 2 4 3" xfId="14450" xr:uid="{00000000-0005-0000-0000-000082740000}"/>
    <cellStyle name="Normal 3 5 2 2 4 3 2" xfId="33850" xr:uid="{00000000-0005-0000-0000-000083740000}"/>
    <cellStyle name="Normal 3 5 2 2 4 4" xfId="24152" xr:uid="{00000000-0005-0000-0000-000084740000}"/>
    <cellStyle name="Normal 3 5 2 2 5" xfId="6115" xr:uid="{00000000-0005-0000-0000-000085740000}"/>
    <cellStyle name="Normal 3 5 2 2 5 2" xfId="10579" xr:uid="{00000000-0005-0000-0000-000086740000}"/>
    <cellStyle name="Normal 3 5 2 2 5 2 2" xfId="20575" xr:uid="{00000000-0005-0000-0000-000087740000}"/>
    <cellStyle name="Normal 3 5 2 2 5 2 2 2" xfId="39975" xr:uid="{00000000-0005-0000-0000-000088740000}"/>
    <cellStyle name="Normal 3 5 2 2 5 2 3" xfId="30277" xr:uid="{00000000-0005-0000-0000-000089740000}"/>
    <cellStyle name="Normal 3 5 2 2 5 3" xfId="16120" xr:uid="{00000000-0005-0000-0000-00008A740000}"/>
    <cellStyle name="Normal 3 5 2 2 5 3 2" xfId="35520" xr:uid="{00000000-0005-0000-0000-00008B740000}"/>
    <cellStyle name="Normal 3 5 2 2 5 4" xfId="25822" xr:uid="{00000000-0005-0000-0000-00008C740000}"/>
    <cellStyle name="Normal 3 5 2 2 6" xfId="6681" xr:uid="{00000000-0005-0000-0000-00008D740000}"/>
    <cellStyle name="Normal 3 5 2 2 6 2" xfId="11136" xr:uid="{00000000-0005-0000-0000-00008E740000}"/>
    <cellStyle name="Normal 3 5 2 2 6 2 2" xfId="21132" xr:uid="{00000000-0005-0000-0000-00008F740000}"/>
    <cellStyle name="Normal 3 5 2 2 6 2 2 2" xfId="40532" xr:uid="{00000000-0005-0000-0000-000090740000}"/>
    <cellStyle name="Normal 3 5 2 2 6 2 3" xfId="30834" xr:uid="{00000000-0005-0000-0000-000091740000}"/>
    <cellStyle name="Normal 3 5 2 2 6 3" xfId="16677" xr:uid="{00000000-0005-0000-0000-000092740000}"/>
    <cellStyle name="Normal 3 5 2 2 6 3 2" xfId="36077" xr:uid="{00000000-0005-0000-0000-000093740000}"/>
    <cellStyle name="Normal 3 5 2 2 6 4" xfId="26379" xr:uid="{00000000-0005-0000-0000-000094740000}"/>
    <cellStyle name="Normal 3 5 2 2 7" xfId="7238" xr:uid="{00000000-0005-0000-0000-000095740000}"/>
    <cellStyle name="Normal 3 5 2 2 7 2" xfId="17234" xr:uid="{00000000-0005-0000-0000-000096740000}"/>
    <cellStyle name="Normal 3 5 2 2 7 2 2" xfId="36634" xr:uid="{00000000-0005-0000-0000-000097740000}"/>
    <cellStyle name="Normal 3 5 2 2 7 3" xfId="26936" xr:uid="{00000000-0005-0000-0000-000098740000}"/>
    <cellStyle name="Normal 3 5 2 2 8" xfId="12778" xr:uid="{00000000-0005-0000-0000-000099740000}"/>
    <cellStyle name="Normal 3 5 2 2 8 2" xfId="32179" xr:uid="{00000000-0005-0000-0000-00009A740000}"/>
    <cellStyle name="Normal 3 5 2 2 9" xfId="22481" xr:uid="{00000000-0005-0000-0000-00009B740000}"/>
    <cellStyle name="Normal 3 5 2 3" xfId="2343" xr:uid="{00000000-0005-0000-0000-00009C740000}"/>
    <cellStyle name="Normal 3 5 2 3 2" xfId="3290" xr:uid="{00000000-0005-0000-0000-00009D740000}"/>
    <cellStyle name="Normal 3 5 2 3 2 2" xfId="5559" xr:uid="{00000000-0005-0000-0000-00009E740000}"/>
    <cellStyle name="Normal 3 5 2 3 2 2 2" xfId="10023" xr:uid="{00000000-0005-0000-0000-00009F740000}"/>
    <cellStyle name="Normal 3 5 2 3 2 2 2 2" xfId="20019" xr:uid="{00000000-0005-0000-0000-0000A0740000}"/>
    <cellStyle name="Normal 3 5 2 3 2 2 2 2 2" xfId="39419" xr:uid="{00000000-0005-0000-0000-0000A1740000}"/>
    <cellStyle name="Normal 3 5 2 3 2 2 2 3" xfId="29721" xr:uid="{00000000-0005-0000-0000-0000A2740000}"/>
    <cellStyle name="Normal 3 5 2 3 2 2 3" xfId="15564" xr:uid="{00000000-0005-0000-0000-0000A3740000}"/>
    <cellStyle name="Normal 3 5 2 3 2 2 3 2" xfId="34964" xr:uid="{00000000-0005-0000-0000-0000A4740000}"/>
    <cellStyle name="Normal 3 5 2 3 2 2 4" xfId="25266" xr:uid="{00000000-0005-0000-0000-0000A5740000}"/>
    <cellStyle name="Normal 3 5 2 3 2 3" xfId="7795" xr:uid="{00000000-0005-0000-0000-0000A6740000}"/>
    <cellStyle name="Normal 3 5 2 3 2 3 2" xfId="17791" xr:uid="{00000000-0005-0000-0000-0000A7740000}"/>
    <cellStyle name="Normal 3 5 2 3 2 3 2 2" xfId="37191" xr:uid="{00000000-0005-0000-0000-0000A8740000}"/>
    <cellStyle name="Normal 3 5 2 3 2 3 3" xfId="27493" xr:uid="{00000000-0005-0000-0000-0000A9740000}"/>
    <cellStyle name="Normal 3 5 2 3 2 4" xfId="13336" xr:uid="{00000000-0005-0000-0000-0000AA740000}"/>
    <cellStyle name="Normal 3 5 2 3 2 4 2" xfId="32736" xr:uid="{00000000-0005-0000-0000-0000AB740000}"/>
    <cellStyle name="Normal 3 5 2 3 2 5" xfId="23038" xr:uid="{00000000-0005-0000-0000-0000AC740000}"/>
    <cellStyle name="Normal 3 5 2 3 3" xfId="3873" xr:uid="{00000000-0005-0000-0000-0000AD740000}"/>
    <cellStyle name="Normal 3 5 2 3 3 2" xfId="5003" xr:uid="{00000000-0005-0000-0000-0000AE740000}"/>
    <cellStyle name="Normal 3 5 2 3 3 2 2" xfId="9467" xr:uid="{00000000-0005-0000-0000-0000AF740000}"/>
    <cellStyle name="Normal 3 5 2 3 3 2 2 2" xfId="19463" xr:uid="{00000000-0005-0000-0000-0000B0740000}"/>
    <cellStyle name="Normal 3 5 2 3 3 2 2 2 2" xfId="38863" xr:uid="{00000000-0005-0000-0000-0000B1740000}"/>
    <cellStyle name="Normal 3 5 2 3 3 2 2 3" xfId="29165" xr:uid="{00000000-0005-0000-0000-0000B2740000}"/>
    <cellStyle name="Normal 3 5 2 3 3 2 3" xfId="15008" xr:uid="{00000000-0005-0000-0000-0000B3740000}"/>
    <cellStyle name="Normal 3 5 2 3 3 2 3 2" xfId="34408" xr:uid="{00000000-0005-0000-0000-0000B4740000}"/>
    <cellStyle name="Normal 3 5 2 3 3 2 4" xfId="24710" xr:uid="{00000000-0005-0000-0000-0000B5740000}"/>
    <cellStyle name="Normal 3 5 2 3 3 3" xfId="8352" xr:uid="{00000000-0005-0000-0000-0000B6740000}"/>
    <cellStyle name="Normal 3 5 2 3 3 3 2" xfId="18348" xr:uid="{00000000-0005-0000-0000-0000B7740000}"/>
    <cellStyle name="Normal 3 5 2 3 3 3 2 2" xfId="37748" xr:uid="{00000000-0005-0000-0000-0000B8740000}"/>
    <cellStyle name="Normal 3 5 2 3 3 3 3" xfId="28050" xr:uid="{00000000-0005-0000-0000-0000B9740000}"/>
    <cellStyle name="Normal 3 5 2 3 3 4" xfId="13893" xr:uid="{00000000-0005-0000-0000-0000BA740000}"/>
    <cellStyle name="Normal 3 5 2 3 3 4 2" xfId="33293" xr:uid="{00000000-0005-0000-0000-0000BB740000}"/>
    <cellStyle name="Normal 3 5 2 3 3 5" xfId="23595" xr:uid="{00000000-0005-0000-0000-0000BC740000}"/>
    <cellStyle name="Normal 3 5 2 3 4" xfId="4446" xr:uid="{00000000-0005-0000-0000-0000BD740000}"/>
    <cellStyle name="Normal 3 5 2 3 4 2" xfId="8910" xr:uid="{00000000-0005-0000-0000-0000BE740000}"/>
    <cellStyle name="Normal 3 5 2 3 4 2 2" xfId="18906" xr:uid="{00000000-0005-0000-0000-0000BF740000}"/>
    <cellStyle name="Normal 3 5 2 3 4 2 2 2" xfId="38306" xr:uid="{00000000-0005-0000-0000-0000C0740000}"/>
    <cellStyle name="Normal 3 5 2 3 4 2 3" xfId="28608" xr:uid="{00000000-0005-0000-0000-0000C1740000}"/>
    <cellStyle name="Normal 3 5 2 3 4 3" xfId="14451" xr:uid="{00000000-0005-0000-0000-0000C2740000}"/>
    <cellStyle name="Normal 3 5 2 3 4 3 2" xfId="33851" xr:uid="{00000000-0005-0000-0000-0000C3740000}"/>
    <cellStyle name="Normal 3 5 2 3 4 4" xfId="24153" xr:uid="{00000000-0005-0000-0000-0000C4740000}"/>
    <cellStyle name="Normal 3 5 2 3 5" xfId="6116" xr:uid="{00000000-0005-0000-0000-0000C5740000}"/>
    <cellStyle name="Normal 3 5 2 3 5 2" xfId="10580" xr:uid="{00000000-0005-0000-0000-0000C6740000}"/>
    <cellStyle name="Normal 3 5 2 3 5 2 2" xfId="20576" xr:uid="{00000000-0005-0000-0000-0000C7740000}"/>
    <cellStyle name="Normal 3 5 2 3 5 2 2 2" xfId="39976" xr:uid="{00000000-0005-0000-0000-0000C8740000}"/>
    <cellStyle name="Normal 3 5 2 3 5 2 3" xfId="30278" xr:uid="{00000000-0005-0000-0000-0000C9740000}"/>
    <cellStyle name="Normal 3 5 2 3 5 3" xfId="16121" xr:uid="{00000000-0005-0000-0000-0000CA740000}"/>
    <cellStyle name="Normal 3 5 2 3 5 3 2" xfId="35521" xr:uid="{00000000-0005-0000-0000-0000CB740000}"/>
    <cellStyle name="Normal 3 5 2 3 5 4" xfId="25823" xr:uid="{00000000-0005-0000-0000-0000CC740000}"/>
    <cellStyle name="Normal 3 5 2 3 6" xfId="6682" xr:uid="{00000000-0005-0000-0000-0000CD740000}"/>
    <cellStyle name="Normal 3 5 2 3 6 2" xfId="11137" xr:uid="{00000000-0005-0000-0000-0000CE740000}"/>
    <cellStyle name="Normal 3 5 2 3 6 2 2" xfId="21133" xr:uid="{00000000-0005-0000-0000-0000CF740000}"/>
    <cellStyle name="Normal 3 5 2 3 6 2 2 2" xfId="40533" xr:uid="{00000000-0005-0000-0000-0000D0740000}"/>
    <cellStyle name="Normal 3 5 2 3 6 2 3" xfId="30835" xr:uid="{00000000-0005-0000-0000-0000D1740000}"/>
    <cellStyle name="Normal 3 5 2 3 6 3" xfId="16678" xr:uid="{00000000-0005-0000-0000-0000D2740000}"/>
    <cellStyle name="Normal 3 5 2 3 6 3 2" xfId="36078" xr:uid="{00000000-0005-0000-0000-0000D3740000}"/>
    <cellStyle name="Normal 3 5 2 3 6 4" xfId="26380" xr:uid="{00000000-0005-0000-0000-0000D4740000}"/>
    <cellStyle name="Normal 3 5 2 3 7" xfId="7239" xr:uid="{00000000-0005-0000-0000-0000D5740000}"/>
    <cellStyle name="Normal 3 5 2 3 7 2" xfId="17235" xr:uid="{00000000-0005-0000-0000-0000D6740000}"/>
    <cellStyle name="Normal 3 5 2 3 7 2 2" xfId="36635" xr:uid="{00000000-0005-0000-0000-0000D7740000}"/>
    <cellStyle name="Normal 3 5 2 3 7 3" xfId="26937" xr:uid="{00000000-0005-0000-0000-0000D8740000}"/>
    <cellStyle name="Normal 3 5 2 3 8" xfId="12779" xr:uid="{00000000-0005-0000-0000-0000D9740000}"/>
    <cellStyle name="Normal 3 5 2 3 8 2" xfId="32180" xr:uid="{00000000-0005-0000-0000-0000DA740000}"/>
    <cellStyle name="Normal 3 5 2 3 9" xfId="22482" xr:uid="{00000000-0005-0000-0000-0000DB740000}"/>
    <cellStyle name="Normal 3 5 2 4" xfId="3288" xr:uid="{00000000-0005-0000-0000-0000DC740000}"/>
    <cellStyle name="Normal 3 5 2 4 2" xfId="5557" xr:uid="{00000000-0005-0000-0000-0000DD740000}"/>
    <cellStyle name="Normal 3 5 2 4 2 2" xfId="10021" xr:uid="{00000000-0005-0000-0000-0000DE740000}"/>
    <cellStyle name="Normal 3 5 2 4 2 2 2" xfId="20017" xr:uid="{00000000-0005-0000-0000-0000DF740000}"/>
    <cellStyle name="Normal 3 5 2 4 2 2 2 2" xfId="39417" xr:uid="{00000000-0005-0000-0000-0000E0740000}"/>
    <cellStyle name="Normal 3 5 2 4 2 2 3" xfId="29719" xr:uid="{00000000-0005-0000-0000-0000E1740000}"/>
    <cellStyle name="Normal 3 5 2 4 2 3" xfId="15562" xr:uid="{00000000-0005-0000-0000-0000E2740000}"/>
    <cellStyle name="Normal 3 5 2 4 2 3 2" xfId="34962" xr:uid="{00000000-0005-0000-0000-0000E3740000}"/>
    <cellStyle name="Normal 3 5 2 4 2 4" xfId="25264" xr:uid="{00000000-0005-0000-0000-0000E4740000}"/>
    <cellStyle name="Normal 3 5 2 4 3" xfId="7793" xr:uid="{00000000-0005-0000-0000-0000E5740000}"/>
    <cellStyle name="Normal 3 5 2 4 3 2" xfId="17789" xr:uid="{00000000-0005-0000-0000-0000E6740000}"/>
    <cellStyle name="Normal 3 5 2 4 3 2 2" xfId="37189" xr:uid="{00000000-0005-0000-0000-0000E7740000}"/>
    <cellStyle name="Normal 3 5 2 4 3 3" xfId="27491" xr:uid="{00000000-0005-0000-0000-0000E8740000}"/>
    <cellStyle name="Normal 3 5 2 4 4" xfId="13334" xr:uid="{00000000-0005-0000-0000-0000E9740000}"/>
    <cellStyle name="Normal 3 5 2 4 4 2" xfId="32734" xr:uid="{00000000-0005-0000-0000-0000EA740000}"/>
    <cellStyle name="Normal 3 5 2 4 5" xfId="23036" xr:uid="{00000000-0005-0000-0000-0000EB740000}"/>
    <cellStyle name="Normal 3 5 2 5" xfId="3871" xr:uid="{00000000-0005-0000-0000-0000EC740000}"/>
    <cellStyle name="Normal 3 5 2 5 2" xfId="5001" xr:uid="{00000000-0005-0000-0000-0000ED740000}"/>
    <cellStyle name="Normal 3 5 2 5 2 2" xfId="9465" xr:uid="{00000000-0005-0000-0000-0000EE740000}"/>
    <cellStyle name="Normal 3 5 2 5 2 2 2" xfId="19461" xr:uid="{00000000-0005-0000-0000-0000EF740000}"/>
    <cellStyle name="Normal 3 5 2 5 2 2 2 2" xfId="38861" xr:uid="{00000000-0005-0000-0000-0000F0740000}"/>
    <cellStyle name="Normal 3 5 2 5 2 2 3" xfId="29163" xr:uid="{00000000-0005-0000-0000-0000F1740000}"/>
    <cellStyle name="Normal 3 5 2 5 2 3" xfId="15006" xr:uid="{00000000-0005-0000-0000-0000F2740000}"/>
    <cellStyle name="Normal 3 5 2 5 2 3 2" xfId="34406" xr:uid="{00000000-0005-0000-0000-0000F3740000}"/>
    <cellStyle name="Normal 3 5 2 5 2 4" xfId="24708" xr:uid="{00000000-0005-0000-0000-0000F4740000}"/>
    <cellStyle name="Normal 3 5 2 5 3" xfId="8350" xr:uid="{00000000-0005-0000-0000-0000F5740000}"/>
    <cellStyle name="Normal 3 5 2 5 3 2" xfId="18346" xr:uid="{00000000-0005-0000-0000-0000F6740000}"/>
    <cellStyle name="Normal 3 5 2 5 3 2 2" xfId="37746" xr:uid="{00000000-0005-0000-0000-0000F7740000}"/>
    <cellStyle name="Normal 3 5 2 5 3 3" xfId="28048" xr:uid="{00000000-0005-0000-0000-0000F8740000}"/>
    <cellStyle name="Normal 3 5 2 5 4" xfId="13891" xr:uid="{00000000-0005-0000-0000-0000F9740000}"/>
    <cellStyle name="Normal 3 5 2 5 4 2" xfId="33291" xr:uid="{00000000-0005-0000-0000-0000FA740000}"/>
    <cellStyle name="Normal 3 5 2 5 5" xfId="23593" xr:uid="{00000000-0005-0000-0000-0000FB740000}"/>
    <cellStyle name="Normal 3 5 2 6" xfId="4444" xr:uid="{00000000-0005-0000-0000-0000FC740000}"/>
    <cellStyle name="Normal 3 5 2 6 2" xfId="8908" xr:uid="{00000000-0005-0000-0000-0000FD740000}"/>
    <cellStyle name="Normal 3 5 2 6 2 2" xfId="18904" xr:uid="{00000000-0005-0000-0000-0000FE740000}"/>
    <cellStyle name="Normal 3 5 2 6 2 2 2" xfId="38304" xr:uid="{00000000-0005-0000-0000-0000FF740000}"/>
    <cellStyle name="Normal 3 5 2 6 2 3" xfId="28606" xr:uid="{00000000-0005-0000-0000-000000750000}"/>
    <cellStyle name="Normal 3 5 2 6 3" xfId="14449" xr:uid="{00000000-0005-0000-0000-000001750000}"/>
    <cellStyle name="Normal 3 5 2 6 3 2" xfId="33849" xr:uid="{00000000-0005-0000-0000-000002750000}"/>
    <cellStyle name="Normal 3 5 2 6 4" xfId="24151" xr:uid="{00000000-0005-0000-0000-000003750000}"/>
    <cellStyle name="Normal 3 5 2 7" xfId="6114" xr:uid="{00000000-0005-0000-0000-000004750000}"/>
    <cellStyle name="Normal 3 5 2 7 2" xfId="10578" xr:uid="{00000000-0005-0000-0000-000005750000}"/>
    <cellStyle name="Normal 3 5 2 7 2 2" xfId="20574" xr:uid="{00000000-0005-0000-0000-000006750000}"/>
    <cellStyle name="Normal 3 5 2 7 2 2 2" xfId="39974" xr:uid="{00000000-0005-0000-0000-000007750000}"/>
    <cellStyle name="Normal 3 5 2 7 2 3" xfId="30276" xr:uid="{00000000-0005-0000-0000-000008750000}"/>
    <cellStyle name="Normal 3 5 2 7 3" xfId="16119" xr:uid="{00000000-0005-0000-0000-000009750000}"/>
    <cellStyle name="Normal 3 5 2 7 3 2" xfId="35519" xr:uid="{00000000-0005-0000-0000-00000A750000}"/>
    <cellStyle name="Normal 3 5 2 7 4" xfId="25821" xr:uid="{00000000-0005-0000-0000-00000B750000}"/>
    <cellStyle name="Normal 3 5 2 8" xfId="6680" xr:uid="{00000000-0005-0000-0000-00000C750000}"/>
    <cellStyle name="Normal 3 5 2 8 2" xfId="11135" xr:uid="{00000000-0005-0000-0000-00000D750000}"/>
    <cellStyle name="Normal 3 5 2 8 2 2" xfId="21131" xr:uid="{00000000-0005-0000-0000-00000E750000}"/>
    <cellStyle name="Normal 3 5 2 8 2 2 2" xfId="40531" xr:uid="{00000000-0005-0000-0000-00000F750000}"/>
    <cellStyle name="Normal 3 5 2 8 2 3" xfId="30833" xr:uid="{00000000-0005-0000-0000-000010750000}"/>
    <cellStyle name="Normal 3 5 2 8 3" xfId="16676" xr:uid="{00000000-0005-0000-0000-000011750000}"/>
    <cellStyle name="Normal 3 5 2 8 3 2" xfId="36076" xr:uid="{00000000-0005-0000-0000-000012750000}"/>
    <cellStyle name="Normal 3 5 2 8 4" xfId="26378" xr:uid="{00000000-0005-0000-0000-000013750000}"/>
    <cellStyle name="Normal 3 5 2 9" xfId="7237" xr:uid="{00000000-0005-0000-0000-000014750000}"/>
    <cellStyle name="Normal 3 5 2 9 2" xfId="17233" xr:uid="{00000000-0005-0000-0000-000015750000}"/>
    <cellStyle name="Normal 3 5 2 9 2 2" xfId="36633" xr:uid="{00000000-0005-0000-0000-000016750000}"/>
    <cellStyle name="Normal 3 5 2 9 3" xfId="26935" xr:uid="{00000000-0005-0000-0000-000017750000}"/>
    <cellStyle name="Normal 3 5 3" xfId="2344" xr:uid="{00000000-0005-0000-0000-000018750000}"/>
    <cellStyle name="Normal 3 5 3 10" xfId="12780" xr:uid="{00000000-0005-0000-0000-000019750000}"/>
    <cellStyle name="Normal 3 5 3 10 2" xfId="32181" xr:uid="{00000000-0005-0000-0000-00001A750000}"/>
    <cellStyle name="Normal 3 5 3 11" xfId="22483" xr:uid="{00000000-0005-0000-0000-00001B750000}"/>
    <cellStyle name="Normal 3 5 3 2" xfId="2345" xr:uid="{00000000-0005-0000-0000-00001C750000}"/>
    <cellStyle name="Normal 3 5 3 2 2" xfId="3292" xr:uid="{00000000-0005-0000-0000-00001D750000}"/>
    <cellStyle name="Normal 3 5 3 2 2 2" xfId="5561" xr:uid="{00000000-0005-0000-0000-00001E750000}"/>
    <cellStyle name="Normal 3 5 3 2 2 2 2" xfId="10025" xr:uid="{00000000-0005-0000-0000-00001F750000}"/>
    <cellStyle name="Normal 3 5 3 2 2 2 2 2" xfId="20021" xr:uid="{00000000-0005-0000-0000-000020750000}"/>
    <cellStyle name="Normal 3 5 3 2 2 2 2 2 2" xfId="39421" xr:uid="{00000000-0005-0000-0000-000021750000}"/>
    <cellStyle name="Normal 3 5 3 2 2 2 2 3" xfId="29723" xr:uid="{00000000-0005-0000-0000-000022750000}"/>
    <cellStyle name="Normal 3 5 3 2 2 2 3" xfId="15566" xr:uid="{00000000-0005-0000-0000-000023750000}"/>
    <cellStyle name="Normal 3 5 3 2 2 2 3 2" xfId="34966" xr:uid="{00000000-0005-0000-0000-000024750000}"/>
    <cellStyle name="Normal 3 5 3 2 2 2 4" xfId="25268" xr:uid="{00000000-0005-0000-0000-000025750000}"/>
    <cellStyle name="Normal 3 5 3 2 2 3" xfId="7797" xr:uid="{00000000-0005-0000-0000-000026750000}"/>
    <cellStyle name="Normal 3 5 3 2 2 3 2" xfId="17793" xr:uid="{00000000-0005-0000-0000-000027750000}"/>
    <cellStyle name="Normal 3 5 3 2 2 3 2 2" xfId="37193" xr:uid="{00000000-0005-0000-0000-000028750000}"/>
    <cellStyle name="Normal 3 5 3 2 2 3 3" xfId="27495" xr:uid="{00000000-0005-0000-0000-000029750000}"/>
    <cellStyle name="Normal 3 5 3 2 2 4" xfId="13338" xr:uid="{00000000-0005-0000-0000-00002A750000}"/>
    <cellStyle name="Normal 3 5 3 2 2 4 2" xfId="32738" xr:uid="{00000000-0005-0000-0000-00002B750000}"/>
    <cellStyle name="Normal 3 5 3 2 2 5" xfId="23040" xr:uid="{00000000-0005-0000-0000-00002C750000}"/>
    <cellStyle name="Normal 3 5 3 2 3" xfId="3875" xr:uid="{00000000-0005-0000-0000-00002D750000}"/>
    <cellStyle name="Normal 3 5 3 2 3 2" xfId="5005" xr:uid="{00000000-0005-0000-0000-00002E750000}"/>
    <cellStyle name="Normal 3 5 3 2 3 2 2" xfId="9469" xr:uid="{00000000-0005-0000-0000-00002F750000}"/>
    <cellStyle name="Normal 3 5 3 2 3 2 2 2" xfId="19465" xr:uid="{00000000-0005-0000-0000-000030750000}"/>
    <cellStyle name="Normal 3 5 3 2 3 2 2 2 2" xfId="38865" xr:uid="{00000000-0005-0000-0000-000031750000}"/>
    <cellStyle name="Normal 3 5 3 2 3 2 2 3" xfId="29167" xr:uid="{00000000-0005-0000-0000-000032750000}"/>
    <cellStyle name="Normal 3 5 3 2 3 2 3" xfId="15010" xr:uid="{00000000-0005-0000-0000-000033750000}"/>
    <cellStyle name="Normal 3 5 3 2 3 2 3 2" xfId="34410" xr:uid="{00000000-0005-0000-0000-000034750000}"/>
    <cellStyle name="Normal 3 5 3 2 3 2 4" xfId="24712" xr:uid="{00000000-0005-0000-0000-000035750000}"/>
    <cellStyle name="Normal 3 5 3 2 3 3" xfId="8354" xr:uid="{00000000-0005-0000-0000-000036750000}"/>
    <cellStyle name="Normal 3 5 3 2 3 3 2" xfId="18350" xr:uid="{00000000-0005-0000-0000-000037750000}"/>
    <cellStyle name="Normal 3 5 3 2 3 3 2 2" xfId="37750" xr:uid="{00000000-0005-0000-0000-000038750000}"/>
    <cellStyle name="Normal 3 5 3 2 3 3 3" xfId="28052" xr:uid="{00000000-0005-0000-0000-000039750000}"/>
    <cellStyle name="Normal 3 5 3 2 3 4" xfId="13895" xr:uid="{00000000-0005-0000-0000-00003A750000}"/>
    <cellStyle name="Normal 3 5 3 2 3 4 2" xfId="33295" xr:uid="{00000000-0005-0000-0000-00003B750000}"/>
    <cellStyle name="Normal 3 5 3 2 3 5" xfId="23597" xr:uid="{00000000-0005-0000-0000-00003C750000}"/>
    <cellStyle name="Normal 3 5 3 2 4" xfId="4448" xr:uid="{00000000-0005-0000-0000-00003D750000}"/>
    <cellStyle name="Normal 3 5 3 2 4 2" xfId="8912" xr:uid="{00000000-0005-0000-0000-00003E750000}"/>
    <cellStyle name="Normal 3 5 3 2 4 2 2" xfId="18908" xr:uid="{00000000-0005-0000-0000-00003F750000}"/>
    <cellStyle name="Normal 3 5 3 2 4 2 2 2" xfId="38308" xr:uid="{00000000-0005-0000-0000-000040750000}"/>
    <cellStyle name="Normal 3 5 3 2 4 2 3" xfId="28610" xr:uid="{00000000-0005-0000-0000-000041750000}"/>
    <cellStyle name="Normal 3 5 3 2 4 3" xfId="14453" xr:uid="{00000000-0005-0000-0000-000042750000}"/>
    <cellStyle name="Normal 3 5 3 2 4 3 2" xfId="33853" xr:uid="{00000000-0005-0000-0000-000043750000}"/>
    <cellStyle name="Normal 3 5 3 2 4 4" xfId="24155" xr:uid="{00000000-0005-0000-0000-000044750000}"/>
    <cellStyle name="Normal 3 5 3 2 5" xfId="6118" xr:uid="{00000000-0005-0000-0000-000045750000}"/>
    <cellStyle name="Normal 3 5 3 2 5 2" xfId="10582" xr:uid="{00000000-0005-0000-0000-000046750000}"/>
    <cellStyle name="Normal 3 5 3 2 5 2 2" xfId="20578" xr:uid="{00000000-0005-0000-0000-000047750000}"/>
    <cellStyle name="Normal 3 5 3 2 5 2 2 2" xfId="39978" xr:uid="{00000000-0005-0000-0000-000048750000}"/>
    <cellStyle name="Normal 3 5 3 2 5 2 3" xfId="30280" xr:uid="{00000000-0005-0000-0000-000049750000}"/>
    <cellStyle name="Normal 3 5 3 2 5 3" xfId="16123" xr:uid="{00000000-0005-0000-0000-00004A750000}"/>
    <cellStyle name="Normal 3 5 3 2 5 3 2" xfId="35523" xr:uid="{00000000-0005-0000-0000-00004B750000}"/>
    <cellStyle name="Normal 3 5 3 2 5 4" xfId="25825" xr:uid="{00000000-0005-0000-0000-00004C750000}"/>
    <cellStyle name="Normal 3 5 3 2 6" xfId="6684" xr:uid="{00000000-0005-0000-0000-00004D750000}"/>
    <cellStyle name="Normal 3 5 3 2 6 2" xfId="11139" xr:uid="{00000000-0005-0000-0000-00004E750000}"/>
    <cellStyle name="Normal 3 5 3 2 6 2 2" xfId="21135" xr:uid="{00000000-0005-0000-0000-00004F750000}"/>
    <cellStyle name="Normal 3 5 3 2 6 2 2 2" xfId="40535" xr:uid="{00000000-0005-0000-0000-000050750000}"/>
    <cellStyle name="Normal 3 5 3 2 6 2 3" xfId="30837" xr:uid="{00000000-0005-0000-0000-000051750000}"/>
    <cellStyle name="Normal 3 5 3 2 6 3" xfId="16680" xr:uid="{00000000-0005-0000-0000-000052750000}"/>
    <cellStyle name="Normal 3 5 3 2 6 3 2" xfId="36080" xr:uid="{00000000-0005-0000-0000-000053750000}"/>
    <cellStyle name="Normal 3 5 3 2 6 4" xfId="26382" xr:uid="{00000000-0005-0000-0000-000054750000}"/>
    <cellStyle name="Normal 3 5 3 2 7" xfId="7241" xr:uid="{00000000-0005-0000-0000-000055750000}"/>
    <cellStyle name="Normal 3 5 3 2 7 2" xfId="17237" xr:uid="{00000000-0005-0000-0000-000056750000}"/>
    <cellStyle name="Normal 3 5 3 2 7 2 2" xfId="36637" xr:uid="{00000000-0005-0000-0000-000057750000}"/>
    <cellStyle name="Normal 3 5 3 2 7 3" xfId="26939" xr:uid="{00000000-0005-0000-0000-000058750000}"/>
    <cellStyle name="Normal 3 5 3 2 8" xfId="12781" xr:uid="{00000000-0005-0000-0000-000059750000}"/>
    <cellStyle name="Normal 3 5 3 2 8 2" xfId="32182" xr:uid="{00000000-0005-0000-0000-00005A750000}"/>
    <cellStyle name="Normal 3 5 3 2 9" xfId="22484" xr:uid="{00000000-0005-0000-0000-00005B750000}"/>
    <cellStyle name="Normal 3 5 3 3" xfId="2346" xr:uid="{00000000-0005-0000-0000-00005C750000}"/>
    <cellStyle name="Normal 3 5 3 3 2" xfId="3293" xr:uid="{00000000-0005-0000-0000-00005D750000}"/>
    <cellStyle name="Normal 3 5 3 3 2 2" xfId="5562" xr:uid="{00000000-0005-0000-0000-00005E750000}"/>
    <cellStyle name="Normal 3 5 3 3 2 2 2" xfId="10026" xr:uid="{00000000-0005-0000-0000-00005F750000}"/>
    <cellStyle name="Normal 3 5 3 3 2 2 2 2" xfId="20022" xr:uid="{00000000-0005-0000-0000-000060750000}"/>
    <cellStyle name="Normal 3 5 3 3 2 2 2 2 2" xfId="39422" xr:uid="{00000000-0005-0000-0000-000061750000}"/>
    <cellStyle name="Normal 3 5 3 3 2 2 2 3" xfId="29724" xr:uid="{00000000-0005-0000-0000-000062750000}"/>
    <cellStyle name="Normal 3 5 3 3 2 2 3" xfId="15567" xr:uid="{00000000-0005-0000-0000-000063750000}"/>
    <cellStyle name="Normal 3 5 3 3 2 2 3 2" xfId="34967" xr:uid="{00000000-0005-0000-0000-000064750000}"/>
    <cellStyle name="Normal 3 5 3 3 2 2 4" xfId="25269" xr:uid="{00000000-0005-0000-0000-000065750000}"/>
    <cellStyle name="Normal 3 5 3 3 2 3" xfId="7798" xr:uid="{00000000-0005-0000-0000-000066750000}"/>
    <cellStyle name="Normal 3 5 3 3 2 3 2" xfId="17794" xr:uid="{00000000-0005-0000-0000-000067750000}"/>
    <cellStyle name="Normal 3 5 3 3 2 3 2 2" xfId="37194" xr:uid="{00000000-0005-0000-0000-000068750000}"/>
    <cellStyle name="Normal 3 5 3 3 2 3 3" xfId="27496" xr:uid="{00000000-0005-0000-0000-000069750000}"/>
    <cellStyle name="Normal 3 5 3 3 2 4" xfId="13339" xr:uid="{00000000-0005-0000-0000-00006A750000}"/>
    <cellStyle name="Normal 3 5 3 3 2 4 2" xfId="32739" xr:uid="{00000000-0005-0000-0000-00006B750000}"/>
    <cellStyle name="Normal 3 5 3 3 2 5" xfId="23041" xr:uid="{00000000-0005-0000-0000-00006C750000}"/>
    <cellStyle name="Normal 3 5 3 3 3" xfId="3876" xr:uid="{00000000-0005-0000-0000-00006D750000}"/>
    <cellStyle name="Normal 3 5 3 3 3 2" xfId="5006" xr:uid="{00000000-0005-0000-0000-00006E750000}"/>
    <cellStyle name="Normal 3 5 3 3 3 2 2" xfId="9470" xr:uid="{00000000-0005-0000-0000-00006F750000}"/>
    <cellStyle name="Normal 3 5 3 3 3 2 2 2" xfId="19466" xr:uid="{00000000-0005-0000-0000-000070750000}"/>
    <cellStyle name="Normal 3 5 3 3 3 2 2 2 2" xfId="38866" xr:uid="{00000000-0005-0000-0000-000071750000}"/>
    <cellStyle name="Normal 3 5 3 3 3 2 2 3" xfId="29168" xr:uid="{00000000-0005-0000-0000-000072750000}"/>
    <cellStyle name="Normal 3 5 3 3 3 2 3" xfId="15011" xr:uid="{00000000-0005-0000-0000-000073750000}"/>
    <cellStyle name="Normal 3 5 3 3 3 2 3 2" xfId="34411" xr:uid="{00000000-0005-0000-0000-000074750000}"/>
    <cellStyle name="Normal 3 5 3 3 3 2 4" xfId="24713" xr:uid="{00000000-0005-0000-0000-000075750000}"/>
    <cellStyle name="Normal 3 5 3 3 3 3" xfId="8355" xr:uid="{00000000-0005-0000-0000-000076750000}"/>
    <cellStyle name="Normal 3 5 3 3 3 3 2" xfId="18351" xr:uid="{00000000-0005-0000-0000-000077750000}"/>
    <cellStyle name="Normal 3 5 3 3 3 3 2 2" xfId="37751" xr:uid="{00000000-0005-0000-0000-000078750000}"/>
    <cellStyle name="Normal 3 5 3 3 3 3 3" xfId="28053" xr:uid="{00000000-0005-0000-0000-000079750000}"/>
    <cellStyle name="Normal 3 5 3 3 3 4" xfId="13896" xr:uid="{00000000-0005-0000-0000-00007A750000}"/>
    <cellStyle name="Normal 3 5 3 3 3 4 2" xfId="33296" xr:uid="{00000000-0005-0000-0000-00007B750000}"/>
    <cellStyle name="Normal 3 5 3 3 3 5" xfId="23598" xr:uid="{00000000-0005-0000-0000-00007C750000}"/>
    <cellStyle name="Normal 3 5 3 3 4" xfId="4449" xr:uid="{00000000-0005-0000-0000-00007D750000}"/>
    <cellStyle name="Normal 3 5 3 3 4 2" xfId="8913" xr:uid="{00000000-0005-0000-0000-00007E750000}"/>
    <cellStyle name="Normal 3 5 3 3 4 2 2" xfId="18909" xr:uid="{00000000-0005-0000-0000-00007F750000}"/>
    <cellStyle name="Normal 3 5 3 3 4 2 2 2" xfId="38309" xr:uid="{00000000-0005-0000-0000-000080750000}"/>
    <cellStyle name="Normal 3 5 3 3 4 2 3" xfId="28611" xr:uid="{00000000-0005-0000-0000-000081750000}"/>
    <cellStyle name="Normal 3 5 3 3 4 3" xfId="14454" xr:uid="{00000000-0005-0000-0000-000082750000}"/>
    <cellStyle name="Normal 3 5 3 3 4 3 2" xfId="33854" xr:uid="{00000000-0005-0000-0000-000083750000}"/>
    <cellStyle name="Normal 3 5 3 3 4 4" xfId="24156" xr:uid="{00000000-0005-0000-0000-000084750000}"/>
    <cellStyle name="Normal 3 5 3 3 5" xfId="6119" xr:uid="{00000000-0005-0000-0000-000085750000}"/>
    <cellStyle name="Normal 3 5 3 3 5 2" xfId="10583" xr:uid="{00000000-0005-0000-0000-000086750000}"/>
    <cellStyle name="Normal 3 5 3 3 5 2 2" xfId="20579" xr:uid="{00000000-0005-0000-0000-000087750000}"/>
    <cellStyle name="Normal 3 5 3 3 5 2 2 2" xfId="39979" xr:uid="{00000000-0005-0000-0000-000088750000}"/>
    <cellStyle name="Normal 3 5 3 3 5 2 3" xfId="30281" xr:uid="{00000000-0005-0000-0000-000089750000}"/>
    <cellStyle name="Normal 3 5 3 3 5 3" xfId="16124" xr:uid="{00000000-0005-0000-0000-00008A750000}"/>
    <cellStyle name="Normal 3 5 3 3 5 3 2" xfId="35524" xr:uid="{00000000-0005-0000-0000-00008B750000}"/>
    <cellStyle name="Normal 3 5 3 3 5 4" xfId="25826" xr:uid="{00000000-0005-0000-0000-00008C750000}"/>
    <cellStyle name="Normal 3 5 3 3 6" xfId="6685" xr:uid="{00000000-0005-0000-0000-00008D750000}"/>
    <cellStyle name="Normal 3 5 3 3 6 2" xfId="11140" xr:uid="{00000000-0005-0000-0000-00008E750000}"/>
    <cellStyle name="Normal 3 5 3 3 6 2 2" xfId="21136" xr:uid="{00000000-0005-0000-0000-00008F750000}"/>
    <cellStyle name="Normal 3 5 3 3 6 2 2 2" xfId="40536" xr:uid="{00000000-0005-0000-0000-000090750000}"/>
    <cellStyle name="Normal 3 5 3 3 6 2 3" xfId="30838" xr:uid="{00000000-0005-0000-0000-000091750000}"/>
    <cellStyle name="Normal 3 5 3 3 6 3" xfId="16681" xr:uid="{00000000-0005-0000-0000-000092750000}"/>
    <cellStyle name="Normal 3 5 3 3 6 3 2" xfId="36081" xr:uid="{00000000-0005-0000-0000-000093750000}"/>
    <cellStyle name="Normal 3 5 3 3 6 4" xfId="26383" xr:uid="{00000000-0005-0000-0000-000094750000}"/>
    <cellStyle name="Normal 3 5 3 3 7" xfId="7242" xr:uid="{00000000-0005-0000-0000-000095750000}"/>
    <cellStyle name="Normal 3 5 3 3 7 2" xfId="17238" xr:uid="{00000000-0005-0000-0000-000096750000}"/>
    <cellStyle name="Normal 3 5 3 3 7 2 2" xfId="36638" xr:uid="{00000000-0005-0000-0000-000097750000}"/>
    <cellStyle name="Normal 3 5 3 3 7 3" xfId="26940" xr:uid="{00000000-0005-0000-0000-000098750000}"/>
    <cellStyle name="Normal 3 5 3 3 8" xfId="12782" xr:uid="{00000000-0005-0000-0000-000099750000}"/>
    <cellStyle name="Normal 3 5 3 3 8 2" xfId="32183" xr:uid="{00000000-0005-0000-0000-00009A750000}"/>
    <cellStyle name="Normal 3 5 3 3 9" xfId="22485" xr:uid="{00000000-0005-0000-0000-00009B750000}"/>
    <cellStyle name="Normal 3 5 3 4" xfId="3291" xr:uid="{00000000-0005-0000-0000-00009C750000}"/>
    <cellStyle name="Normal 3 5 3 4 2" xfId="5560" xr:uid="{00000000-0005-0000-0000-00009D750000}"/>
    <cellStyle name="Normal 3 5 3 4 2 2" xfId="10024" xr:uid="{00000000-0005-0000-0000-00009E750000}"/>
    <cellStyle name="Normal 3 5 3 4 2 2 2" xfId="20020" xr:uid="{00000000-0005-0000-0000-00009F750000}"/>
    <cellStyle name="Normal 3 5 3 4 2 2 2 2" xfId="39420" xr:uid="{00000000-0005-0000-0000-0000A0750000}"/>
    <cellStyle name="Normal 3 5 3 4 2 2 3" xfId="29722" xr:uid="{00000000-0005-0000-0000-0000A1750000}"/>
    <cellStyle name="Normal 3 5 3 4 2 3" xfId="15565" xr:uid="{00000000-0005-0000-0000-0000A2750000}"/>
    <cellStyle name="Normal 3 5 3 4 2 3 2" xfId="34965" xr:uid="{00000000-0005-0000-0000-0000A3750000}"/>
    <cellStyle name="Normal 3 5 3 4 2 4" xfId="25267" xr:uid="{00000000-0005-0000-0000-0000A4750000}"/>
    <cellStyle name="Normal 3 5 3 4 3" xfId="7796" xr:uid="{00000000-0005-0000-0000-0000A5750000}"/>
    <cellStyle name="Normal 3 5 3 4 3 2" xfId="17792" xr:uid="{00000000-0005-0000-0000-0000A6750000}"/>
    <cellStyle name="Normal 3 5 3 4 3 2 2" xfId="37192" xr:uid="{00000000-0005-0000-0000-0000A7750000}"/>
    <cellStyle name="Normal 3 5 3 4 3 3" xfId="27494" xr:uid="{00000000-0005-0000-0000-0000A8750000}"/>
    <cellStyle name="Normal 3 5 3 4 4" xfId="13337" xr:uid="{00000000-0005-0000-0000-0000A9750000}"/>
    <cellStyle name="Normal 3 5 3 4 4 2" xfId="32737" xr:uid="{00000000-0005-0000-0000-0000AA750000}"/>
    <cellStyle name="Normal 3 5 3 4 5" xfId="23039" xr:uid="{00000000-0005-0000-0000-0000AB750000}"/>
    <cellStyle name="Normal 3 5 3 5" xfId="3874" xr:uid="{00000000-0005-0000-0000-0000AC750000}"/>
    <cellStyle name="Normal 3 5 3 5 2" xfId="5004" xr:uid="{00000000-0005-0000-0000-0000AD750000}"/>
    <cellStyle name="Normal 3 5 3 5 2 2" xfId="9468" xr:uid="{00000000-0005-0000-0000-0000AE750000}"/>
    <cellStyle name="Normal 3 5 3 5 2 2 2" xfId="19464" xr:uid="{00000000-0005-0000-0000-0000AF750000}"/>
    <cellStyle name="Normal 3 5 3 5 2 2 2 2" xfId="38864" xr:uid="{00000000-0005-0000-0000-0000B0750000}"/>
    <cellStyle name="Normal 3 5 3 5 2 2 3" xfId="29166" xr:uid="{00000000-0005-0000-0000-0000B1750000}"/>
    <cellStyle name="Normal 3 5 3 5 2 3" xfId="15009" xr:uid="{00000000-0005-0000-0000-0000B2750000}"/>
    <cellStyle name="Normal 3 5 3 5 2 3 2" xfId="34409" xr:uid="{00000000-0005-0000-0000-0000B3750000}"/>
    <cellStyle name="Normal 3 5 3 5 2 4" xfId="24711" xr:uid="{00000000-0005-0000-0000-0000B4750000}"/>
    <cellStyle name="Normal 3 5 3 5 3" xfId="8353" xr:uid="{00000000-0005-0000-0000-0000B5750000}"/>
    <cellStyle name="Normal 3 5 3 5 3 2" xfId="18349" xr:uid="{00000000-0005-0000-0000-0000B6750000}"/>
    <cellStyle name="Normal 3 5 3 5 3 2 2" xfId="37749" xr:uid="{00000000-0005-0000-0000-0000B7750000}"/>
    <cellStyle name="Normal 3 5 3 5 3 3" xfId="28051" xr:uid="{00000000-0005-0000-0000-0000B8750000}"/>
    <cellStyle name="Normal 3 5 3 5 4" xfId="13894" xr:uid="{00000000-0005-0000-0000-0000B9750000}"/>
    <cellStyle name="Normal 3 5 3 5 4 2" xfId="33294" xr:uid="{00000000-0005-0000-0000-0000BA750000}"/>
    <cellStyle name="Normal 3 5 3 5 5" xfId="23596" xr:uid="{00000000-0005-0000-0000-0000BB750000}"/>
    <cellStyle name="Normal 3 5 3 6" xfId="4447" xr:uid="{00000000-0005-0000-0000-0000BC750000}"/>
    <cellStyle name="Normal 3 5 3 6 2" xfId="8911" xr:uid="{00000000-0005-0000-0000-0000BD750000}"/>
    <cellStyle name="Normal 3 5 3 6 2 2" xfId="18907" xr:uid="{00000000-0005-0000-0000-0000BE750000}"/>
    <cellStyle name="Normal 3 5 3 6 2 2 2" xfId="38307" xr:uid="{00000000-0005-0000-0000-0000BF750000}"/>
    <cellStyle name="Normal 3 5 3 6 2 3" xfId="28609" xr:uid="{00000000-0005-0000-0000-0000C0750000}"/>
    <cellStyle name="Normal 3 5 3 6 3" xfId="14452" xr:uid="{00000000-0005-0000-0000-0000C1750000}"/>
    <cellStyle name="Normal 3 5 3 6 3 2" xfId="33852" xr:uid="{00000000-0005-0000-0000-0000C2750000}"/>
    <cellStyle name="Normal 3 5 3 6 4" xfId="24154" xr:uid="{00000000-0005-0000-0000-0000C3750000}"/>
    <cellStyle name="Normal 3 5 3 7" xfId="6117" xr:uid="{00000000-0005-0000-0000-0000C4750000}"/>
    <cellStyle name="Normal 3 5 3 7 2" xfId="10581" xr:uid="{00000000-0005-0000-0000-0000C5750000}"/>
    <cellStyle name="Normal 3 5 3 7 2 2" xfId="20577" xr:uid="{00000000-0005-0000-0000-0000C6750000}"/>
    <cellStyle name="Normal 3 5 3 7 2 2 2" xfId="39977" xr:uid="{00000000-0005-0000-0000-0000C7750000}"/>
    <cellStyle name="Normal 3 5 3 7 2 3" xfId="30279" xr:uid="{00000000-0005-0000-0000-0000C8750000}"/>
    <cellStyle name="Normal 3 5 3 7 3" xfId="16122" xr:uid="{00000000-0005-0000-0000-0000C9750000}"/>
    <cellStyle name="Normal 3 5 3 7 3 2" xfId="35522" xr:uid="{00000000-0005-0000-0000-0000CA750000}"/>
    <cellStyle name="Normal 3 5 3 7 4" xfId="25824" xr:uid="{00000000-0005-0000-0000-0000CB750000}"/>
    <cellStyle name="Normal 3 5 3 8" xfId="6683" xr:uid="{00000000-0005-0000-0000-0000CC750000}"/>
    <cellStyle name="Normal 3 5 3 8 2" xfId="11138" xr:uid="{00000000-0005-0000-0000-0000CD750000}"/>
    <cellStyle name="Normal 3 5 3 8 2 2" xfId="21134" xr:uid="{00000000-0005-0000-0000-0000CE750000}"/>
    <cellStyle name="Normal 3 5 3 8 2 2 2" xfId="40534" xr:uid="{00000000-0005-0000-0000-0000CF750000}"/>
    <cellStyle name="Normal 3 5 3 8 2 3" xfId="30836" xr:uid="{00000000-0005-0000-0000-0000D0750000}"/>
    <cellStyle name="Normal 3 5 3 8 3" xfId="16679" xr:uid="{00000000-0005-0000-0000-0000D1750000}"/>
    <cellStyle name="Normal 3 5 3 8 3 2" xfId="36079" xr:uid="{00000000-0005-0000-0000-0000D2750000}"/>
    <cellStyle name="Normal 3 5 3 8 4" xfId="26381" xr:uid="{00000000-0005-0000-0000-0000D3750000}"/>
    <cellStyle name="Normal 3 5 3 9" xfId="7240" xr:uid="{00000000-0005-0000-0000-0000D4750000}"/>
    <cellStyle name="Normal 3 5 3 9 2" xfId="17236" xr:uid="{00000000-0005-0000-0000-0000D5750000}"/>
    <cellStyle name="Normal 3 5 3 9 2 2" xfId="36636" xr:uid="{00000000-0005-0000-0000-0000D6750000}"/>
    <cellStyle name="Normal 3 5 3 9 3" xfId="26938" xr:uid="{00000000-0005-0000-0000-0000D7750000}"/>
    <cellStyle name="Normal 3 5 4" xfId="2347" xr:uid="{00000000-0005-0000-0000-0000D8750000}"/>
    <cellStyle name="Normal 3 5 4 2" xfId="3294" xr:uid="{00000000-0005-0000-0000-0000D9750000}"/>
    <cellStyle name="Normal 3 5 4 2 2" xfId="5563" xr:uid="{00000000-0005-0000-0000-0000DA750000}"/>
    <cellStyle name="Normal 3 5 4 2 2 2" xfId="10027" xr:uid="{00000000-0005-0000-0000-0000DB750000}"/>
    <cellStyle name="Normal 3 5 4 2 2 2 2" xfId="20023" xr:uid="{00000000-0005-0000-0000-0000DC750000}"/>
    <cellStyle name="Normal 3 5 4 2 2 2 2 2" xfId="39423" xr:uid="{00000000-0005-0000-0000-0000DD750000}"/>
    <cellStyle name="Normal 3 5 4 2 2 2 3" xfId="29725" xr:uid="{00000000-0005-0000-0000-0000DE750000}"/>
    <cellStyle name="Normal 3 5 4 2 2 3" xfId="15568" xr:uid="{00000000-0005-0000-0000-0000DF750000}"/>
    <cellStyle name="Normal 3 5 4 2 2 3 2" xfId="34968" xr:uid="{00000000-0005-0000-0000-0000E0750000}"/>
    <cellStyle name="Normal 3 5 4 2 2 4" xfId="25270" xr:uid="{00000000-0005-0000-0000-0000E1750000}"/>
    <cellStyle name="Normal 3 5 4 2 3" xfId="7799" xr:uid="{00000000-0005-0000-0000-0000E2750000}"/>
    <cellStyle name="Normal 3 5 4 2 3 2" xfId="17795" xr:uid="{00000000-0005-0000-0000-0000E3750000}"/>
    <cellStyle name="Normal 3 5 4 2 3 2 2" xfId="37195" xr:uid="{00000000-0005-0000-0000-0000E4750000}"/>
    <cellStyle name="Normal 3 5 4 2 3 3" xfId="27497" xr:uid="{00000000-0005-0000-0000-0000E5750000}"/>
    <cellStyle name="Normal 3 5 4 2 4" xfId="13340" xr:uid="{00000000-0005-0000-0000-0000E6750000}"/>
    <cellStyle name="Normal 3 5 4 2 4 2" xfId="32740" xr:uid="{00000000-0005-0000-0000-0000E7750000}"/>
    <cellStyle name="Normal 3 5 4 2 5" xfId="23042" xr:uid="{00000000-0005-0000-0000-0000E8750000}"/>
    <cellStyle name="Normal 3 5 4 3" xfId="3877" xr:uid="{00000000-0005-0000-0000-0000E9750000}"/>
    <cellStyle name="Normal 3 5 4 3 2" xfId="5007" xr:uid="{00000000-0005-0000-0000-0000EA750000}"/>
    <cellStyle name="Normal 3 5 4 3 2 2" xfId="9471" xr:uid="{00000000-0005-0000-0000-0000EB750000}"/>
    <cellStyle name="Normal 3 5 4 3 2 2 2" xfId="19467" xr:uid="{00000000-0005-0000-0000-0000EC750000}"/>
    <cellStyle name="Normal 3 5 4 3 2 2 2 2" xfId="38867" xr:uid="{00000000-0005-0000-0000-0000ED750000}"/>
    <cellStyle name="Normal 3 5 4 3 2 2 3" xfId="29169" xr:uid="{00000000-0005-0000-0000-0000EE750000}"/>
    <cellStyle name="Normal 3 5 4 3 2 3" xfId="15012" xr:uid="{00000000-0005-0000-0000-0000EF750000}"/>
    <cellStyle name="Normal 3 5 4 3 2 3 2" xfId="34412" xr:uid="{00000000-0005-0000-0000-0000F0750000}"/>
    <cellStyle name="Normal 3 5 4 3 2 4" xfId="24714" xr:uid="{00000000-0005-0000-0000-0000F1750000}"/>
    <cellStyle name="Normal 3 5 4 3 3" xfId="8356" xr:uid="{00000000-0005-0000-0000-0000F2750000}"/>
    <cellStyle name="Normal 3 5 4 3 3 2" xfId="18352" xr:uid="{00000000-0005-0000-0000-0000F3750000}"/>
    <cellStyle name="Normal 3 5 4 3 3 2 2" xfId="37752" xr:uid="{00000000-0005-0000-0000-0000F4750000}"/>
    <cellStyle name="Normal 3 5 4 3 3 3" xfId="28054" xr:uid="{00000000-0005-0000-0000-0000F5750000}"/>
    <cellStyle name="Normal 3 5 4 3 4" xfId="13897" xr:uid="{00000000-0005-0000-0000-0000F6750000}"/>
    <cellStyle name="Normal 3 5 4 3 4 2" xfId="33297" xr:uid="{00000000-0005-0000-0000-0000F7750000}"/>
    <cellStyle name="Normal 3 5 4 3 5" xfId="23599" xr:uid="{00000000-0005-0000-0000-0000F8750000}"/>
    <cellStyle name="Normal 3 5 4 4" xfId="4450" xr:uid="{00000000-0005-0000-0000-0000F9750000}"/>
    <cellStyle name="Normal 3 5 4 4 2" xfId="8914" xr:uid="{00000000-0005-0000-0000-0000FA750000}"/>
    <cellStyle name="Normal 3 5 4 4 2 2" xfId="18910" xr:uid="{00000000-0005-0000-0000-0000FB750000}"/>
    <cellStyle name="Normal 3 5 4 4 2 2 2" xfId="38310" xr:uid="{00000000-0005-0000-0000-0000FC750000}"/>
    <cellStyle name="Normal 3 5 4 4 2 3" xfId="28612" xr:uid="{00000000-0005-0000-0000-0000FD750000}"/>
    <cellStyle name="Normal 3 5 4 4 3" xfId="14455" xr:uid="{00000000-0005-0000-0000-0000FE750000}"/>
    <cellStyle name="Normal 3 5 4 4 3 2" xfId="33855" xr:uid="{00000000-0005-0000-0000-0000FF750000}"/>
    <cellStyle name="Normal 3 5 4 4 4" xfId="24157" xr:uid="{00000000-0005-0000-0000-000000760000}"/>
    <cellStyle name="Normal 3 5 4 5" xfId="6120" xr:uid="{00000000-0005-0000-0000-000001760000}"/>
    <cellStyle name="Normal 3 5 4 5 2" xfId="10584" xr:uid="{00000000-0005-0000-0000-000002760000}"/>
    <cellStyle name="Normal 3 5 4 5 2 2" xfId="20580" xr:uid="{00000000-0005-0000-0000-000003760000}"/>
    <cellStyle name="Normal 3 5 4 5 2 2 2" xfId="39980" xr:uid="{00000000-0005-0000-0000-000004760000}"/>
    <cellStyle name="Normal 3 5 4 5 2 3" xfId="30282" xr:uid="{00000000-0005-0000-0000-000005760000}"/>
    <cellStyle name="Normal 3 5 4 5 3" xfId="16125" xr:uid="{00000000-0005-0000-0000-000006760000}"/>
    <cellStyle name="Normal 3 5 4 5 3 2" xfId="35525" xr:uid="{00000000-0005-0000-0000-000007760000}"/>
    <cellStyle name="Normal 3 5 4 5 4" xfId="25827" xr:uid="{00000000-0005-0000-0000-000008760000}"/>
    <cellStyle name="Normal 3 5 4 6" xfId="6686" xr:uid="{00000000-0005-0000-0000-000009760000}"/>
    <cellStyle name="Normal 3 5 4 6 2" xfId="11141" xr:uid="{00000000-0005-0000-0000-00000A760000}"/>
    <cellStyle name="Normal 3 5 4 6 2 2" xfId="21137" xr:uid="{00000000-0005-0000-0000-00000B760000}"/>
    <cellStyle name="Normal 3 5 4 6 2 2 2" xfId="40537" xr:uid="{00000000-0005-0000-0000-00000C760000}"/>
    <cellStyle name="Normal 3 5 4 6 2 3" xfId="30839" xr:uid="{00000000-0005-0000-0000-00000D760000}"/>
    <cellStyle name="Normal 3 5 4 6 3" xfId="16682" xr:uid="{00000000-0005-0000-0000-00000E760000}"/>
    <cellStyle name="Normal 3 5 4 6 3 2" xfId="36082" xr:uid="{00000000-0005-0000-0000-00000F760000}"/>
    <cellStyle name="Normal 3 5 4 6 4" xfId="26384" xr:uid="{00000000-0005-0000-0000-000010760000}"/>
    <cellStyle name="Normal 3 5 4 7" xfId="7243" xr:uid="{00000000-0005-0000-0000-000011760000}"/>
    <cellStyle name="Normal 3 5 4 7 2" xfId="17239" xr:uid="{00000000-0005-0000-0000-000012760000}"/>
    <cellStyle name="Normal 3 5 4 7 2 2" xfId="36639" xr:uid="{00000000-0005-0000-0000-000013760000}"/>
    <cellStyle name="Normal 3 5 4 7 3" xfId="26941" xr:uid="{00000000-0005-0000-0000-000014760000}"/>
    <cellStyle name="Normal 3 5 4 8" xfId="12783" xr:uid="{00000000-0005-0000-0000-000015760000}"/>
    <cellStyle name="Normal 3 5 4 8 2" xfId="32184" xr:uid="{00000000-0005-0000-0000-000016760000}"/>
    <cellStyle name="Normal 3 5 4 9" xfId="22486" xr:uid="{00000000-0005-0000-0000-000017760000}"/>
    <cellStyle name="Normal 3 5 5" xfId="2348" xr:uid="{00000000-0005-0000-0000-000018760000}"/>
    <cellStyle name="Normal 3 5 5 2" xfId="3295" xr:uid="{00000000-0005-0000-0000-000019760000}"/>
    <cellStyle name="Normal 3 5 5 2 2" xfId="5564" xr:uid="{00000000-0005-0000-0000-00001A760000}"/>
    <cellStyle name="Normal 3 5 5 2 2 2" xfId="10028" xr:uid="{00000000-0005-0000-0000-00001B760000}"/>
    <cellStyle name="Normal 3 5 5 2 2 2 2" xfId="20024" xr:uid="{00000000-0005-0000-0000-00001C760000}"/>
    <cellStyle name="Normal 3 5 5 2 2 2 2 2" xfId="39424" xr:uid="{00000000-0005-0000-0000-00001D760000}"/>
    <cellStyle name="Normal 3 5 5 2 2 2 3" xfId="29726" xr:uid="{00000000-0005-0000-0000-00001E760000}"/>
    <cellStyle name="Normal 3 5 5 2 2 3" xfId="15569" xr:uid="{00000000-0005-0000-0000-00001F760000}"/>
    <cellStyle name="Normal 3 5 5 2 2 3 2" xfId="34969" xr:uid="{00000000-0005-0000-0000-000020760000}"/>
    <cellStyle name="Normal 3 5 5 2 2 4" xfId="25271" xr:uid="{00000000-0005-0000-0000-000021760000}"/>
    <cellStyle name="Normal 3 5 5 2 3" xfId="7800" xr:uid="{00000000-0005-0000-0000-000022760000}"/>
    <cellStyle name="Normal 3 5 5 2 3 2" xfId="17796" xr:uid="{00000000-0005-0000-0000-000023760000}"/>
    <cellStyle name="Normal 3 5 5 2 3 2 2" xfId="37196" xr:uid="{00000000-0005-0000-0000-000024760000}"/>
    <cellStyle name="Normal 3 5 5 2 3 3" xfId="27498" xr:uid="{00000000-0005-0000-0000-000025760000}"/>
    <cellStyle name="Normal 3 5 5 2 4" xfId="13341" xr:uid="{00000000-0005-0000-0000-000026760000}"/>
    <cellStyle name="Normal 3 5 5 2 4 2" xfId="32741" xr:uid="{00000000-0005-0000-0000-000027760000}"/>
    <cellStyle name="Normal 3 5 5 2 5" xfId="23043" xr:uid="{00000000-0005-0000-0000-000028760000}"/>
    <cellStyle name="Normal 3 5 5 3" xfId="3878" xr:uid="{00000000-0005-0000-0000-000029760000}"/>
    <cellStyle name="Normal 3 5 5 3 2" xfId="5008" xr:uid="{00000000-0005-0000-0000-00002A760000}"/>
    <cellStyle name="Normal 3 5 5 3 2 2" xfId="9472" xr:uid="{00000000-0005-0000-0000-00002B760000}"/>
    <cellStyle name="Normal 3 5 5 3 2 2 2" xfId="19468" xr:uid="{00000000-0005-0000-0000-00002C760000}"/>
    <cellStyle name="Normal 3 5 5 3 2 2 2 2" xfId="38868" xr:uid="{00000000-0005-0000-0000-00002D760000}"/>
    <cellStyle name="Normal 3 5 5 3 2 2 3" xfId="29170" xr:uid="{00000000-0005-0000-0000-00002E760000}"/>
    <cellStyle name="Normal 3 5 5 3 2 3" xfId="15013" xr:uid="{00000000-0005-0000-0000-00002F760000}"/>
    <cellStyle name="Normal 3 5 5 3 2 3 2" xfId="34413" xr:uid="{00000000-0005-0000-0000-000030760000}"/>
    <cellStyle name="Normal 3 5 5 3 2 4" xfId="24715" xr:uid="{00000000-0005-0000-0000-000031760000}"/>
    <cellStyle name="Normal 3 5 5 3 3" xfId="8357" xr:uid="{00000000-0005-0000-0000-000032760000}"/>
    <cellStyle name="Normal 3 5 5 3 3 2" xfId="18353" xr:uid="{00000000-0005-0000-0000-000033760000}"/>
    <cellStyle name="Normal 3 5 5 3 3 2 2" xfId="37753" xr:uid="{00000000-0005-0000-0000-000034760000}"/>
    <cellStyle name="Normal 3 5 5 3 3 3" xfId="28055" xr:uid="{00000000-0005-0000-0000-000035760000}"/>
    <cellStyle name="Normal 3 5 5 3 4" xfId="13898" xr:uid="{00000000-0005-0000-0000-000036760000}"/>
    <cellStyle name="Normal 3 5 5 3 4 2" xfId="33298" xr:uid="{00000000-0005-0000-0000-000037760000}"/>
    <cellStyle name="Normal 3 5 5 3 5" xfId="23600" xr:uid="{00000000-0005-0000-0000-000038760000}"/>
    <cellStyle name="Normal 3 5 5 4" xfId="4451" xr:uid="{00000000-0005-0000-0000-000039760000}"/>
    <cellStyle name="Normal 3 5 5 4 2" xfId="8915" xr:uid="{00000000-0005-0000-0000-00003A760000}"/>
    <cellStyle name="Normal 3 5 5 4 2 2" xfId="18911" xr:uid="{00000000-0005-0000-0000-00003B760000}"/>
    <cellStyle name="Normal 3 5 5 4 2 2 2" xfId="38311" xr:uid="{00000000-0005-0000-0000-00003C760000}"/>
    <cellStyle name="Normal 3 5 5 4 2 3" xfId="28613" xr:uid="{00000000-0005-0000-0000-00003D760000}"/>
    <cellStyle name="Normal 3 5 5 4 3" xfId="14456" xr:uid="{00000000-0005-0000-0000-00003E760000}"/>
    <cellStyle name="Normal 3 5 5 4 3 2" xfId="33856" xr:uid="{00000000-0005-0000-0000-00003F760000}"/>
    <cellStyle name="Normal 3 5 5 4 4" xfId="24158" xr:uid="{00000000-0005-0000-0000-000040760000}"/>
    <cellStyle name="Normal 3 5 5 5" xfId="6121" xr:uid="{00000000-0005-0000-0000-000041760000}"/>
    <cellStyle name="Normal 3 5 5 5 2" xfId="10585" xr:uid="{00000000-0005-0000-0000-000042760000}"/>
    <cellStyle name="Normal 3 5 5 5 2 2" xfId="20581" xr:uid="{00000000-0005-0000-0000-000043760000}"/>
    <cellStyle name="Normal 3 5 5 5 2 2 2" xfId="39981" xr:uid="{00000000-0005-0000-0000-000044760000}"/>
    <cellStyle name="Normal 3 5 5 5 2 3" xfId="30283" xr:uid="{00000000-0005-0000-0000-000045760000}"/>
    <cellStyle name="Normal 3 5 5 5 3" xfId="16126" xr:uid="{00000000-0005-0000-0000-000046760000}"/>
    <cellStyle name="Normal 3 5 5 5 3 2" xfId="35526" xr:uid="{00000000-0005-0000-0000-000047760000}"/>
    <cellStyle name="Normal 3 5 5 5 4" xfId="25828" xr:uid="{00000000-0005-0000-0000-000048760000}"/>
    <cellStyle name="Normal 3 5 5 6" xfId="6687" xr:uid="{00000000-0005-0000-0000-000049760000}"/>
    <cellStyle name="Normal 3 5 5 6 2" xfId="11142" xr:uid="{00000000-0005-0000-0000-00004A760000}"/>
    <cellStyle name="Normal 3 5 5 6 2 2" xfId="21138" xr:uid="{00000000-0005-0000-0000-00004B760000}"/>
    <cellStyle name="Normal 3 5 5 6 2 2 2" xfId="40538" xr:uid="{00000000-0005-0000-0000-00004C760000}"/>
    <cellStyle name="Normal 3 5 5 6 2 3" xfId="30840" xr:uid="{00000000-0005-0000-0000-00004D760000}"/>
    <cellStyle name="Normal 3 5 5 6 3" xfId="16683" xr:uid="{00000000-0005-0000-0000-00004E760000}"/>
    <cellStyle name="Normal 3 5 5 6 3 2" xfId="36083" xr:uid="{00000000-0005-0000-0000-00004F760000}"/>
    <cellStyle name="Normal 3 5 5 6 4" xfId="26385" xr:uid="{00000000-0005-0000-0000-000050760000}"/>
    <cellStyle name="Normal 3 5 5 7" xfId="7244" xr:uid="{00000000-0005-0000-0000-000051760000}"/>
    <cellStyle name="Normal 3 5 5 7 2" xfId="17240" xr:uid="{00000000-0005-0000-0000-000052760000}"/>
    <cellStyle name="Normal 3 5 5 7 2 2" xfId="36640" xr:uid="{00000000-0005-0000-0000-000053760000}"/>
    <cellStyle name="Normal 3 5 5 7 3" xfId="26942" xr:uid="{00000000-0005-0000-0000-000054760000}"/>
    <cellStyle name="Normal 3 5 5 8" xfId="12784" xr:uid="{00000000-0005-0000-0000-000055760000}"/>
    <cellStyle name="Normal 3 5 5 8 2" xfId="32185" xr:uid="{00000000-0005-0000-0000-000056760000}"/>
    <cellStyle name="Normal 3 5 5 9" xfId="22487" xr:uid="{00000000-0005-0000-0000-000057760000}"/>
    <cellStyle name="Normal 3 5 6" xfId="11658" xr:uid="{00000000-0005-0000-0000-000058760000}"/>
    <cellStyle name="Normal 3 5 6 2" xfId="21396" xr:uid="{00000000-0005-0000-0000-000059760000}"/>
    <cellStyle name="Normal 3 5 6 2 2" xfId="40796" xr:uid="{00000000-0005-0000-0000-00005A760000}"/>
    <cellStyle name="Normal 3 5 6 3" xfId="31098" xr:uid="{00000000-0005-0000-0000-00005B760000}"/>
    <cellStyle name="Normal 3 5 7" xfId="1537" xr:uid="{00000000-0005-0000-0000-00005C760000}"/>
    <cellStyle name="Normal 3 5 8" xfId="12048" xr:uid="{00000000-0005-0000-0000-00005D760000}"/>
    <cellStyle name="Normal 3 5 8 2" xfId="31451" xr:uid="{00000000-0005-0000-0000-00005E760000}"/>
    <cellStyle name="Normal 3 5 9" xfId="21753" xr:uid="{00000000-0005-0000-0000-00005F760000}"/>
    <cellStyle name="Normal 3 6" xfId="1095" xr:uid="{00000000-0005-0000-0000-000060760000}"/>
    <cellStyle name="Normal 3 6 2" xfId="2349" xr:uid="{00000000-0005-0000-0000-000061760000}"/>
    <cellStyle name="Normal 3 6 2 10" xfId="12785" xr:uid="{00000000-0005-0000-0000-000062760000}"/>
    <cellStyle name="Normal 3 6 2 10 2" xfId="32186" xr:uid="{00000000-0005-0000-0000-000063760000}"/>
    <cellStyle name="Normal 3 6 2 11" xfId="22488" xr:uid="{00000000-0005-0000-0000-000064760000}"/>
    <cellStyle name="Normal 3 6 2 2" xfId="2350" xr:uid="{00000000-0005-0000-0000-000065760000}"/>
    <cellStyle name="Normal 3 6 2 2 2" xfId="3297" xr:uid="{00000000-0005-0000-0000-000066760000}"/>
    <cellStyle name="Normal 3 6 2 2 2 2" xfId="5566" xr:uid="{00000000-0005-0000-0000-000067760000}"/>
    <cellStyle name="Normal 3 6 2 2 2 2 2" xfId="10030" xr:uid="{00000000-0005-0000-0000-000068760000}"/>
    <cellStyle name="Normal 3 6 2 2 2 2 2 2" xfId="20026" xr:uid="{00000000-0005-0000-0000-000069760000}"/>
    <cellStyle name="Normal 3 6 2 2 2 2 2 2 2" xfId="39426" xr:uid="{00000000-0005-0000-0000-00006A760000}"/>
    <cellStyle name="Normal 3 6 2 2 2 2 2 3" xfId="29728" xr:uid="{00000000-0005-0000-0000-00006B760000}"/>
    <cellStyle name="Normal 3 6 2 2 2 2 3" xfId="15571" xr:uid="{00000000-0005-0000-0000-00006C760000}"/>
    <cellStyle name="Normal 3 6 2 2 2 2 3 2" xfId="34971" xr:uid="{00000000-0005-0000-0000-00006D760000}"/>
    <cellStyle name="Normal 3 6 2 2 2 2 4" xfId="25273" xr:uid="{00000000-0005-0000-0000-00006E760000}"/>
    <cellStyle name="Normal 3 6 2 2 2 3" xfId="7802" xr:uid="{00000000-0005-0000-0000-00006F760000}"/>
    <cellStyle name="Normal 3 6 2 2 2 3 2" xfId="17798" xr:uid="{00000000-0005-0000-0000-000070760000}"/>
    <cellStyle name="Normal 3 6 2 2 2 3 2 2" xfId="37198" xr:uid="{00000000-0005-0000-0000-000071760000}"/>
    <cellStyle name="Normal 3 6 2 2 2 3 3" xfId="27500" xr:uid="{00000000-0005-0000-0000-000072760000}"/>
    <cellStyle name="Normal 3 6 2 2 2 4" xfId="13343" xr:uid="{00000000-0005-0000-0000-000073760000}"/>
    <cellStyle name="Normal 3 6 2 2 2 4 2" xfId="32743" xr:uid="{00000000-0005-0000-0000-000074760000}"/>
    <cellStyle name="Normal 3 6 2 2 2 5" xfId="23045" xr:uid="{00000000-0005-0000-0000-000075760000}"/>
    <cellStyle name="Normal 3 6 2 2 3" xfId="3880" xr:uid="{00000000-0005-0000-0000-000076760000}"/>
    <cellStyle name="Normal 3 6 2 2 3 2" xfId="5010" xr:uid="{00000000-0005-0000-0000-000077760000}"/>
    <cellStyle name="Normal 3 6 2 2 3 2 2" xfId="9474" xr:uid="{00000000-0005-0000-0000-000078760000}"/>
    <cellStyle name="Normal 3 6 2 2 3 2 2 2" xfId="19470" xr:uid="{00000000-0005-0000-0000-000079760000}"/>
    <cellStyle name="Normal 3 6 2 2 3 2 2 2 2" xfId="38870" xr:uid="{00000000-0005-0000-0000-00007A760000}"/>
    <cellStyle name="Normal 3 6 2 2 3 2 2 3" xfId="29172" xr:uid="{00000000-0005-0000-0000-00007B760000}"/>
    <cellStyle name="Normal 3 6 2 2 3 2 3" xfId="15015" xr:uid="{00000000-0005-0000-0000-00007C760000}"/>
    <cellStyle name="Normal 3 6 2 2 3 2 3 2" xfId="34415" xr:uid="{00000000-0005-0000-0000-00007D760000}"/>
    <cellStyle name="Normal 3 6 2 2 3 2 4" xfId="24717" xr:uid="{00000000-0005-0000-0000-00007E760000}"/>
    <cellStyle name="Normal 3 6 2 2 3 3" xfId="8359" xr:uid="{00000000-0005-0000-0000-00007F760000}"/>
    <cellStyle name="Normal 3 6 2 2 3 3 2" xfId="18355" xr:uid="{00000000-0005-0000-0000-000080760000}"/>
    <cellStyle name="Normal 3 6 2 2 3 3 2 2" xfId="37755" xr:uid="{00000000-0005-0000-0000-000081760000}"/>
    <cellStyle name="Normal 3 6 2 2 3 3 3" xfId="28057" xr:uid="{00000000-0005-0000-0000-000082760000}"/>
    <cellStyle name="Normal 3 6 2 2 3 4" xfId="13900" xr:uid="{00000000-0005-0000-0000-000083760000}"/>
    <cellStyle name="Normal 3 6 2 2 3 4 2" xfId="33300" xr:uid="{00000000-0005-0000-0000-000084760000}"/>
    <cellStyle name="Normal 3 6 2 2 3 5" xfId="23602" xr:uid="{00000000-0005-0000-0000-000085760000}"/>
    <cellStyle name="Normal 3 6 2 2 4" xfId="4453" xr:uid="{00000000-0005-0000-0000-000086760000}"/>
    <cellStyle name="Normal 3 6 2 2 4 2" xfId="8917" xr:uid="{00000000-0005-0000-0000-000087760000}"/>
    <cellStyle name="Normal 3 6 2 2 4 2 2" xfId="18913" xr:uid="{00000000-0005-0000-0000-000088760000}"/>
    <cellStyle name="Normal 3 6 2 2 4 2 2 2" xfId="38313" xr:uid="{00000000-0005-0000-0000-000089760000}"/>
    <cellStyle name="Normal 3 6 2 2 4 2 3" xfId="28615" xr:uid="{00000000-0005-0000-0000-00008A760000}"/>
    <cellStyle name="Normal 3 6 2 2 4 3" xfId="14458" xr:uid="{00000000-0005-0000-0000-00008B760000}"/>
    <cellStyle name="Normal 3 6 2 2 4 3 2" xfId="33858" xr:uid="{00000000-0005-0000-0000-00008C760000}"/>
    <cellStyle name="Normal 3 6 2 2 4 4" xfId="24160" xr:uid="{00000000-0005-0000-0000-00008D760000}"/>
    <cellStyle name="Normal 3 6 2 2 5" xfId="6123" xr:uid="{00000000-0005-0000-0000-00008E760000}"/>
    <cellStyle name="Normal 3 6 2 2 5 2" xfId="10587" xr:uid="{00000000-0005-0000-0000-00008F760000}"/>
    <cellStyle name="Normal 3 6 2 2 5 2 2" xfId="20583" xr:uid="{00000000-0005-0000-0000-000090760000}"/>
    <cellStyle name="Normal 3 6 2 2 5 2 2 2" xfId="39983" xr:uid="{00000000-0005-0000-0000-000091760000}"/>
    <cellStyle name="Normal 3 6 2 2 5 2 3" xfId="30285" xr:uid="{00000000-0005-0000-0000-000092760000}"/>
    <cellStyle name="Normal 3 6 2 2 5 3" xfId="16128" xr:uid="{00000000-0005-0000-0000-000093760000}"/>
    <cellStyle name="Normal 3 6 2 2 5 3 2" xfId="35528" xr:uid="{00000000-0005-0000-0000-000094760000}"/>
    <cellStyle name="Normal 3 6 2 2 5 4" xfId="25830" xr:uid="{00000000-0005-0000-0000-000095760000}"/>
    <cellStyle name="Normal 3 6 2 2 6" xfId="6689" xr:uid="{00000000-0005-0000-0000-000096760000}"/>
    <cellStyle name="Normal 3 6 2 2 6 2" xfId="11144" xr:uid="{00000000-0005-0000-0000-000097760000}"/>
    <cellStyle name="Normal 3 6 2 2 6 2 2" xfId="21140" xr:uid="{00000000-0005-0000-0000-000098760000}"/>
    <cellStyle name="Normal 3 6 2 2 6 2 2 2" xfId="40540" xr:uid="{00000000-0005-0000-0000-000099760000}"/>
    <cellStyle name="Normal 3 6 2 2 6 2 3" xfId="30842" xr:uid="{00000000-0005-0000-0000-00009A760000}"/>
    <cellStyle name="Normal 3 6 2 2 6 3" xfId="16685" xr:uid="{00000000-0005-0000-0000-00009B760000}"/>
    <cellStyle name="Normal 3 6 2 2 6 3 2" xfId="36085" xr:uid="{00000000-0005-0000-0000-00009C760000}"/>
    <cellStyle name="Normal 3 6 2 2 6 4" xfId="26387" xr:uid="{00000000-0005-0000-0000-00009D760000}"/>
    <cellStyle name="Normal 3 6 2 2 7" xfId="7246" xr:uid="{00000000-0005-0000-0000-00009E760000}"/>
    <cellStyle name="Normal 3 6 2 2 7 2" xfId="17242" xr:uid="{00000000-0005-0000-0000-00009F760000}"/>
    <cellStyle name="Normal 3 6 2 2 7 2 2" xfId="36642" xr:uid="{00000000-0005-0000-0000-0000A0760000}"/>
    <cellStyle name="Normal 3 6 2 2 7 3" xfId="26944" xr:uid="{00000000-0005-0000-0000-0000A1760000}"/>
    <cellStyle name="Normal 3 6 2 2 8" xfId="12786" xr:uid="{00000000-0005-0000-0000-0000A2760000}"/>
    <cellStyle name="Normal 3 6 2 2 8 2" xfId="32187" xr:uid="{00000000-0005-0000-0000-0000A3760000}"/>
    <cellStyle name="Normal 3 6 2 2 9" xfId="22489" xr:uid="{00000000-0005-0000-0000-0000A4760000}"/>
    <cellStyle name="Normal 3 6 2 3" xfId="2351" xr:uid="{00000000-0005-0000-0000-0000A5760000}"/>
    <cellStyle name="Normal 3 6 2 3 2" xfId="3298" xr:uid="{00000000-0005-0000-0000-0000A6760000}"/>
    <cellStyle name="Normal 3 6 2 3 2 2" xfId="5567" xr:uid="{00000000-0005-0000-0000-0000A7760000}"/>
    <cellStyle name="Normal 3 6 2 3 2 2 2" xfId="10031" xr:uid="{00000000-0005-0000-0000-0000A8760000}"/>
    <cellStyle name="Normal 3 6 2 3 2 2 2 2" xfId="20027" xr:uid="{00000000-0005-0000-0000-0000A9760000}"/>
    <cellStyle name="Normal 3 6 2 3 2 2 2 2 2" xfId="39427" xr:uid="{00000000-0005-0000-0000-0000AA760000}"/>
    <cellStyle name="Normal 3 6 2 3 2 2 2 3" xfId="29729" xr:uid="{00000000-0005-0000-0000-0000AB760000}"/>
    <cellStyle name="Normal 3 6 2 3 2 2 3" xfId="15572" xr:uid="{00000000-0005-0000-0000-0000AC760000}"/>
    <cellStyle name="Normal 3 6 2 3 2 2 3 2" xfId="34972" xr:uid="{00000000-0005-0000-0000-0000AD760000}"/>
    <cellStyle name="Normal 3 6 2 3 2 2 4" xfId="25274" xr:uid="{00000000-0005-0000-0000-0000AE760000}"/>
    <cellStyle name="Normal 3 6 2 3 2 3" xfId="7803" xr:uid="{00000000-0005-0000-0000-0000AF760000}"/>
    <cellStyle name="Normal 3 6 2 3 2 3 2" xfId="17799" xr:uid="{00000000-0005-0000-0000-0000B0760000}"/>
    <cellStyle name="Normal 3 6 2 3 2 3 2 2" xfId="37199" xr:uid="{00000000-0005-0000-0000-0000B1760000}"/>
    <cellStyle name="Normal 3 6 2 3 2 3 3" xfId="27501" xr:uid="{00000000-0005-0000-0000-0000B2760000}"/>
    <cellStyle name="Normal 3 6 2 3 2 4" xfId="13344" xr:uid="{00000000-0005-0000-0000-0000B3760000}"/>
    <cellStyle name="Normal 3 6 2 3 2 4 2" xfId="32744" xr:uid="{00000000-0005-0000-0000-0000B4760000}"/>
    <cellStyle name="Normal 3 6 2 3 2 5" xfId="23046" xr:uid="{00000000-0005-0000-0000-0000B5760000}"/>
    <cellStyle name="Normal 3 6 2 3 3" xfId="3881" xr:uid="{00000000-0005-0000-0000-0000B6760000}"/>
    <cellStyle name="Normal 3 6 2 3 3 2" xfId="5011" xr:uid="{00000000-0005-0000-0000-0000B7760000}"/>
    <cellStyle name="Normal 3 6 2 3 3 2 2" xfId="9475" xr:uid="{00000000-0005-0000-0000-0000B8760000}"/>
    <cellStyle name="Normal 3 6 2 3 3 2 2 2" xfId="19471" xr:uid="{00000000-0005-0000-0000-0000B9760000}"/>
    <cellStyle name="Normal 3 6 2 3 3 2 2 2 2" xfId="38871" xr:uid="{00000000-0005-0000-0000-0000BA760000}"/>
    <cellStyle name="Normal 3 6 2 3 3 2 2 3" xfId="29173" xr:uid="{00000000-0005-0000-0000-0000BB760000}"/>
    <cellStyle name="Normal 3 6 2 3 3 2 3" xfId="15016" xr:uid="{00000000-0005-0000-0000-0000BC760000}"/>
    <cellStyle name="Normal 3 6 2 3 3 2 3 2" xfId="34416" xr:uid="{00000000-0005-0000-0000-0000BD760000}"/>
    <cellStyle name="Normal 3 6 2 3 3 2 4" xfId="24718" xr:uid="{00000000-0005-0000-0000-0000BE760000}"/>
    <cellStyle name="Normal 3 6 2 3 3 3" xfId="8360" xr:uid="{00000000-0005-0000-0000-0000BF760000}"/>
    <cellStyle name="Normal 3 6 2 3 3 3 2" xfId="18356" xr:uid="{00000000-0005-0000-0000-0000C0760000}"/>
    <cellStyle name="Normal 3 6 2 3 3 3 2 2" xfId="37756" xr:uid="{00000000-0005-0000-0000-0000C1760000}"/>
    <cellStyle name="Normal 3 6 2 3 3 3 3" xfId="28058" xr:uid="{00000000-0005-0000-0000-0000C2760000}"/>
    <cellStyle name="Normal 3 6 2 3 3 4" xfId="13901" xr:uid="{00000000-0005-0000-0000-0000C3760000}"/>
    <cellStyle name="Normal 3 6 2 3 3 4 2" xfId="33301" xr:uid="{00000000-0005-0000-0000-0000C4760000}"/>
    <cellStyle name="Normal 3 6 2 3 3 5" xfId="23603" xr:uid="{00000000-0005-0000-0000-0000C5760000}"/>
    <cellStyle name="Normal 3 6 2 3 4" xfId="4454" xr:uid="{00000000-0005-0000-0000-0000C6760000}"/>
    <cellStyle name="Normal 3 6 2 3 4 2" xfId="8918" xr:uid="{00000000-0005-0000-0000-0000C7760000}"/>
    <cellStyle name="Normal 3 6 2 3 4 2 2" xfId="18914" xr:uid="{00000000-0005-0000-0000-0000C8760000}"/>
    <cellStyle name="Normal 3 6 2 3 4 2 2 2" xfId="38314" xr:uid="{00000000-0005-0000-0000-0000C9760000}"/>
    <cellStyle name="Normal 3 6 2 3 4 2 3" xfId="28616" xr:uid="{00000000-0005-0000-0000-0000CA760000}"/>
    <cellStyle name="Normal 3 6 2 3 4 3" xfId="14459" xr:uid="{00000000-0005-0000-0000-0000CB760000}"/>
    <cellStyle name="Normal 3 6 2 3 4 3 2" xfId="33859" xr:uid="{00000000-0005-0000-0000-0000CC760000}"/>
    <cellStyle name="Normal 3 6 2 3 4 4" xfId="24161" xr:uid="{00000000-0005-0000-0000-0000CD760000}"/>
    <cellStyle name="Normal 3 6 2 3 5" xfId="6124" xr:uid="{00000000-0005-0000-0000-0000CE760000}"/>
    <cellStyle name="Normal 3 6 2 3 5 2" xfId="10588" xr:uid="{00000000-0005-0000-0000-0000CF760000}"/>
    <cellStyle name="Normal 3 6 2 3 5 2 2" xfId="20584" xr:uid="{00000000-0005-0000-0000-0000D0760000}"/>
    <cellStyle name="Normal 3 6 2 3 5 2 2 2" xfId="39984" xr:uid="{00000000-0005-0000-0000-0000D1760000}"/>
    <cellStyle name="Normal 3 6 2 3 5 2 3" xfId="30286" xr:uid="{00000000-0005-0000-0000-0000D2760000}"/>
    <cellStyle name="Normal 3 6 2 3 5 3" xfId="16129" xr:uid="{00000000-0005-0000-0000-0000D3760000}"/>
    <cellStyle name="Normal 3 6 2 3 5 3 2" xfId="35529" xr:uid="{00000000-0005-0000-0000-0000D4760000}"/>
    <cellStyle name="Normal 3 6 2 3 5 4" xfId="25831" xr:uid="{00000000-0005-0000-0000-0000D5760000}"/>
    <cellStyle name="Normal 3 6 2 3 6" xfId="6690" xr:uid="{00000000-0005-0000-0000-0000D6760000}"/>
    <cellStyle name="Normal 3 6 2 3 6 2" xfId="11145" xr:uid="{00000000-0005-0000-0000-0000D7760000}"/>
    <cellStyle name="Normal 3 6 2 3 6 2 2" xfId="21141" xr:uid="{00000000-0005-0000-0000-0000D8760000}"/>
    <cellStyle name="Normal 3 6 2 3 6 2 2 2" xfId="40541" xr:uid="{00000000-0005-0000-0000-0000D9760000}"/>
    <cellStyle name="Normal 3 6 2 3 6 2 3" xfId="30843" xr:uid="{00000000-0005-0000-0000-0000DA760000}"/>
    <cellStyle name="Normal 3 6 2 3 6 3" xfId="16686" xr:uid="{00000000-0005-0000-0000-0000DB760000}"/>
    <cellStyle name="Normal 3 6 2 3 6 3 2" xfId="36086" xr:uid="{00000000-0005-0000-0000-0000DC760000}"/>
    <cellStyle name="Normal 3 6 2 3 6 4" xfId="26388" xr:uid="{00000000-0005-0000-0000-0000DD760000}"/>
    <cellStyle name="Normal 3 6 2 3 7" xfId="7247" xr:uid="{00000000-0005-0000-0000-0000DE760000}"/>
    <cellStyle name="Normal 3 6 2 3 7 2" xfId="17243" xr:uid="{00000000-0005-0000-0000-0000DF760000}"/>
    <cellStyle name="Normal 3 6 2 3 7 2 2" xfId="36643" xr:uid="{00000000-0005-0000-0000-0000E0760000}"/>
    <cellStyle name="Normal 3 6 2 3 7 3" xfId="26945" xr:uid="{00000000-0005-0000-0000-0000E1760000}"/>
    <cellStyle name="Normal 3 6 2 3 8" xfId="12787" xr:uid="{00000000-0005-0000-0000-0000E2760000}"/>
    <cellStyle name="Normal 3 6 2 3 8 2" xfId="32188" xr:uid="{00000000-0005-0000-0000-0000E3760000}"/>
    <cellStyle name="Normal 3 6 2 3 9" xfId="22490" xr:uid="{00000000-0005-0000-0000-0000E4760000}"/>
    <cellStyle name="Normal 3 6 2 4" xfId="3296" xr:uid="{00000000-0005-0000-0000-0000E5760000}"/>
    <cellStyle name="Normal 3 6 2 4 2" xfId="5565" xr:uid="{00000000-0005-0000-0000-0000E6760000}"/>
    <cellStyle name="Normal 3 6 2 4 2 2" xfId="10029" xr:uid="{00000000-0005-0000-0000-0000E7760000}"/>
    <cellStyle name="Normal 3 6 2 4 2 2 2" xfId="20025" xr:uid="{00000000-0005-0000-0000-0000E8760000}"/>
    <cellStyle name="Normal 3 6 2 4 2 2 2 2" xfId="39425" xr:uid="{00000000-0005-0000-0000-0000E9760000}"/>
    <cellStyle name="Normal 3 6 2 4 2 2 3" xfId="29727" xr:uid="{00000000-0005-0000-0000-0000EA760000}"/>
    <cellStyle name="Normal 3 6 2 4 2 3" xfId="15570" xr:uid="{00000000-0005-0000-0000-0000EB760000}"/>
    <cellStyle name="Normal 3 6 2 4 2 3 2" xfId="34970" xr:uid="{00000000-0005-0000-0000-0000EC760000}"/>
    <cellStyle name="Normal 3 6 2 4 2 4" xfId="25272" xr:uid="{00000000-0005-0000-0000-0000ED760000}"/>
    <cellStyle name="Normal 3 6 2 4 3" xfId="7801" xr:uid="{00000000-0005-0000-0000-0000EE760000}"/>
    <cellStyle name="Normal 3 6 2 4 3 2" xfId="17797" xr:uid="{00000000-0005-0000-0000-0000EF760000}"/>
    <cellStyle name="Normal 3 6 2 4 3 2 2" xfId="37197" xr:uid="{00000000-0005-0000-0000-0000F0760000}"/>
    <cellStyle name="Normal 3 6 2 4 3 3" xfId="27499" xr:uid="{00000000-0005-0000-0000-0000F1760000}"/>
    <cellStyle name="Normal 3 6 2 4 4" xfId="13342" xr:uid="{00000000-0005-0000-0000-0000F2760000}"/>
    <cellStyle name="Normal 3 6 2 4 4 2" xfId="32742" xr:uid="{00000000-0005-0000-0000-0000F3760000}"/>
    <cellStyle name="Normal 3 6 2 4 5" xfId="23044" xr:uid="{00000000-0005-0000-0000-0000F4760000}"/>
    <cellStyle name="Normal 3 6 2 5" xfId="3879" xr:uid="{00000000-0005-0000-0000-0000F5760000}"/>
    <cellStyle name="Normal 3 6 2 5 2" xfId="5009" xr:uid="{00000000-0005-0000-0000-0000F6760000}"/>
    <cellStyle name="Normal 3 6 2 5 2 2" xfId="9473" xr:uid="{00000000-0005-0000-0000-0000F7760000}"/>
    <cellStyle name="Normal 3 6 2 5 2 2 2" xfId="19469" xr:uid="{00000000-0005-0000-0000-0000F8760000}"/>
    <cellStyle name="Normal 3 6 2 5 2 2 2 2" xfId="38869" xr:uid="{00000000-0005-0000-0000-0000F9760000}"/>
    <cellStyle name="Normal 3 6 2 5 2 2 3" xfId="29171" xr:uid="{00000000-0005-0000-0000-0000FA760000}"/>
    <cellStyle name="Normal 3 6 2 5 2 3" xfId="15014" xr:uid="{00000000-0005-0000-0000-0000FB760000}"/>
    <cellStyle name="Normal 3 6 2 5 2 3 2" xfId="34414" xr:uid="{00000000-0005-0000-0000-0000FC760000}"/>
    <cellStyle name="Normal 3 6 2 5 2 4" xfId="24716" xr:uid="{00000000-0005-0000-0000-0000FD760000}"/>
    <cellStyle name="Normal 3 6 2 5 3" xfId="8358" xr:uid="{00000000-0005-0000-0000-0000FE760000}"/>
    <cellStyle name="Normal 3 6 2 5 3 2" xfId="18354" xr:uid="{00000000-0005-0000-0000-0000FF760000}"/>
    <cellStyle name="Normal 3 6 2 5 3 2 2" xfId="37754" xr:uid="{00000000-0005-0000-0000-000000770000}"/>
    <cellStyle name="Normal 3 6 2 5 3 3" xfId="28056" xr:uid="{00000000-0005-0000-0000-000001770000}"/>
    <cellStyle name="Normal 3 6 2 5 4" xfId="13899" xr:uid="{00000000-0005-0000-0000-000002770000}"/>
    <cellStyle name="Normal 3 6 2 5 4 2" xfId="33299" xr:uid="{00000000-0005-0000-0000-000003770000}"/>
    <cellStyle name="Normal 3 6 2 5 5" xfId="23601" xr:uid="{00000000-0005-0000-0000-000004770000}"/>
    <cellStyle name="Normal 3 6 2 6" xfId="4452" xr:uid="{00000000-0005-0000-0000-000005770000}"/>
    <cellStyle name="Normal 3 6 2 6 2" xfId="8916" xr:uid="{00000000-0005-0000-0000-000006770000}"/>
    <cellStyle name="Normal 3 6 2 6 2 2" xfId="18912" xr:uid="{00000000-0005-0000-0000-000007770000}"/>
    <cellStyle name="Normal 3 6 2 6 2 2 2" xfId="38312" xr:uid="{00000000-0005-0000-0000-000008770000}"/>
    <cellStyle name="Normal 3 6 2 6 2 3" xfId="28614" xr:uid="{00000000-0005-0000-0000-000009770000}"/>
    <cellStyle name="Normal 3 6 2 6 3" xfId="14457" xr:uid="{00000000-0005-0000-0000-00000A770000}"/>
    <cellStyle name="Normal 3 6 2 6 3 2" xfId="33857" xr:uid="{00000000-0005-0000-0000-00000B770000}"/>
    <cellStyle name="Normal 3 6 2 6 4" xfId="24159" xr:uid="{00000000-0005-0000-0000-00000C770000}"/>
    <cellStyle name="Normal 3 6 2 7" xfId="6122" xr:uid="{00000000-0005-0000-0000-00000D770000}"/>
    <cellStyle name="Normal 3 6 2 7 2" xfId="10586" xr:uid="{00000000-0005-0000-0000-00000E770000}"/>
    <cellStyle name="Normal 3 6 2 7 2 2" xfId="20582" xr:uid="{00000000-0005-0000-0000-00000F770000}"/>
    <cellStyle name="Normal 3 6 2 7 2 2 2" xfId="39982" xr:uid="{00000000-0005-0000-0000-000010770000}"/>
    <cellStyle name="Normal 3 6 2 7 2 3" xfId="30284" xr:uid="{00000000-0005-0000-0000-000011770000}"/>
    <cellStyle name="Normal 3 6 2 7 3" xfId="16127" xr:uid="{00000000-0005-0000-0000-000012770000}"/>
    <cellStyle name="Normal 3 6 2 7 3 2" xfId="35527" xr:uid="{00000000-0005-0000-0000-000013770000}"/>
    <cellStyle name="Normal 3 6 2 7 4" xfId="25829" xr:uid="{00000000-0005-0000-0000-000014770000}"/>
    <cellStyle name="Normal 3 6 2 8" xfId="6688" xr:uid="{00000000-0005-0000-0000-000015770000}"/>
    <cellStyle name="Normal 3 6 2 8 2" xfId="11143" xr:uid="{00000000-0005-0000-0000-000016770000}"/>
    <cellStyle name="Normal 3 6 2 8 2 2" xfId="21139" xr:uid="{00000000-0005-0000-0000-000017770000}"/>
    <cellStyle name="Normal 3 6 2 8 2 2 2" xfId="40539" xr:uid="{00000000-0005-0000-0000-000018770000}"/>
    <cellStyle name="Normal 3 6 2 8 2 3" xfId="30841" xr:uid="{00000000-0005-0000-0000-000019770000}"/>
    <cellStyle name="Normal 3 6 2 8 3" xfId="16684" xr:uid="{00000000-0005-0000-0000-00001A770000}"/>
    <cellStyle name="Normal 3 6 2 8 3 2" xfId="36084" xr:uid="{00000000-0005-0000-0000-00001B770000}"/>
    <cellStyle name="Normal 3 6 2 8 4" xfId="26386" xr:uid="{00000000-0005-0000-0000-00001C770000}"/>
    <cellStyle name="Normal 3 6 2 9" xfId="7245" xr:uid="{00000000-0005-0000-0000-00001D770000}"/>
    <cellStyle name="Normal 3 6 2 9 2" xfId="17241" xr:uid="{00000000-0005-0000-0000-00001E770000}"/>
    <cellStyle name="Normal 3 6 2 9 2 2" xfId="36641" xr:uid="{00000000-0005-0000-0000-00001F770000}"/>
    <cellStyle name="Normal 3 6 2 9 3" xfId="26943" xr:uid="{00000000-0005-0000-0000-000020770000}"/>
    <cellStyle name="Normal 3 6 3" xfId="2352" xr:uid="{00000000-0005-0000-0000-000021770000}"/>
    <cellStyle name="Normal 3 6 3 2" xfId="3299" xr:uid="{00000000-0005-0000-0000-000022770000}"/>
    <cellStyle name="Normal 3 6 3 2 2" xfId="5568" xr:uid="{00000000-0005-0000-0000-000023770000}"/>
    <cellStyle name="Normal 3 6 3 2 2 2" xfId="10032" xr:uid="{00000000-0005-0000-0000-000024770000}"/>
    <cellStyle name="Normal 3 6 3 2 2 2 2" xfId="20028" xr:uid="{00000000-0005-0000-0000-000025770000}"/>
    <cellStyle name="Normal 3 6 3 2 2 2 2 2" xfId="39428" xr:uid="{00000000-0005-0000-0000-000026770000}"/>
    <cellStyle name="Normal 3 6 3 2 2 2 3" xfId="29730" xr:uid="{00000000-0005-0000-0000-000027770000}"/>
    <cellStyle name="Normal 3 6 3 2 2 3" xfId="15573" xr:uid="{00000000-0005-0000-0000-000028770000}"/>
    <cellStyle name="Normal 3 6 3 2 2 3 2" xfId="34973" xr:uid="{00000000-0005-0000-0000-000029770000}"/>
    <cellStyle name="Normal 3 6 3 2 2 4" xfId="25275" xr:uid="{00000000-0005-0000-0000-00002A770000}"/>
    <cellStyle name="Normal 3 6 3 2 3" xfId="7804" xr:uid="{00000000-0005-0000-0000-00002B770000}"/>
    <cellStyle name="Normal 3 6 3 2 3 2" xfId="17800" xr:uid="{00000000-0005-0000-0000-00002C770000}"/>
    <cellStyle name="Normal 3 6 3 2 3 2 2" xfId="37200" xr:uid="{00000000-0005-0000-0000-00002D770000}"/>
    <cellStyle name="Normal 3 6 3 2 3 3" xfId="27502" xr:uid="{00000000-0005-0000-0000-00002E770000}"/>
    <cellStyle name="Normal 3 6 3 2 4" xfId="13345" xr:uid="{00000000-0005-0000-0000-00002F770000}"/>
    <cellStyle name="Normal 3 6 3 2 4 2" xfId="32745" xr:uid="{00000000-0005-0000-0000-000030770000}"/>
    <cellStyle name="Normal 3 6 3 2 5" xfId="23047" xr:uid="{00000000-0005-0000-0000-000031770000}"/>
    <cellStyle name="Normal 3 6 3 3" xfId="3882" xr:uid="{00000000-0005-0000-0000-000032770000}"/>
    <cellStyle name="Normal 3 6 3 3 2" xfId="5012" xr:uid="{00000000-0005-0000-0000-000033770000}"/>
    <cellStyle name="Normal 3 6 3 3 2 2" xfId="9476" xr:uid="{00000000-0005-0000-0000-000034770000}"/>
    <cellStyle name="Normal 3 6 3 3 2 2 2" xfId="19472" xr:uid="{00000000-0005-0000-0000-000035770000}"/>
    <cellStyle name="Normal 3 6 3 3 2 2 2 2" xfId="38872" xr:uid="{00000000-0005-0000-0000-000036770000}"/>
    <cellStyle name="Normal 3 6 3 3 2 2 3" xfId="29174" xr:uid="{00000000-0005-0000-0000-000037770000}"/>
    <cellStyle name="Normal 3 6 3 3 2 3" xfId="15017" xr:uid="{00000000-0005-0000-0000-000038770000}"/>
    <cellStyle name="Normal 3 6 3 3 2 3 2" xfId="34417" xr:uid="{00000000-0005-0000-0000-000039770000}"/>
    <cellStyle name="Normal 3 6 3 3 2 4" xfId="24719" xr:uid="{00000000-0005-0000-0000-00003A770000}"/>
    <cellStyle name="Normal 3 6 3 3 3" xfId="8361" xr:uid="{00000000-0005-0000-0000-00003B770000}"/>
    <cellStyle name="Normal 3 6 3 3 3 2" xfId="18357" xr:uid="{00000000-0005-0000-0000-00003C770000}"/>
    <cellStyle name="Normal 3 6 3 3 3 2 2" xfId="37757" xr:uid="{00000000-0005-0000-0000-00003D770000}"/>
    <cellStyle name="Normal 3 6 3 3 3 3" xfId="28059" xr:uid="{00000000-0005-0000-0000-00003E770000}"/>
    <cellStyle name="Normal 3 6 3 3 4" xfId="13902" xr:uid="{00000000-0005-0000-0000-00003F770000}"/>
    <cellStyle name="Normal 3 6 3 3 4 2" xfId="33302" xr:uid="{00000000-0005-0000-0000-000040770000}"/>
    <cellStyle name="Normal 3 6 3 3 5" xfId="23604" xr:uid="{00000000-0005-0000-0000-000041770000}"/>
    <cellStyle name="Normal 3 6 3 4" xfId="4455" xr:uid="{00000000-0005-0000-0000-000042770000}"/>
    <cellStyle name="Normal 3 6 3 4 2" xfId="8919" xr:uid="{00000000-0005-0000-0000-000043770000}"/>
    <cellStyle name="Normal 3 6 3 4 2 2" xfId="18915" xr:uid="{00000000-0005-0000-0000-000044770000}"/>
    <cellStyle name="Normal 3 6 3 4 2 2 2" xfId="38315" xr:uid="{00000000-0005-0000-0000-000045770000}"/>
    <cellStyle name="Normal 3 6 3 4 2 3" xfId="28617" xr:uid="{00000000-0005-0000-0000-000046770000}"/>
    <cellStyle name="Normal 3 6 3 4 3" xfId="14460" xr:uid="{00000000-0005-0000-0000-000047770000}"/>
    <cellStyle name="Normal 3 6 3 4 3 2" xfId="33860" xr:uid="{00000000-0005-0000-0000-000048770000}"/>
    <cellStyle name="Normal 3 6 3 4 4" xfId="24162" xr:uid="{00000000-0005-0000-0000-000049770000}"/>
    <cellStyle name="Normal 3 6 3 5" xfId="6125" xr:uid="{00000000-0005-0000-0000-00004A770000}"/>
    <cellStyle name="Normal 3 6 3 5 2" xfId="10589" xr:uid="{00000000-0005-0000-0000-00004B770000}"/>
    <cellStyle name="Normal 3 6 3 5 2 2" xfId="20585" xr:uid="{00000000-0005-0000-0000-00004C770000}"/>
    <cellStyle name="Normal 3 6 3 5 2 2 2" xfId="39985" xr:uid="{00000000-0005-0000-0000-00004D770000}"/>
    <cellStyle name="Normal 3 6 3 5 2 3" xfId="30287" xr:uid="{00000000-0005-0000-0000-00004E770000}"/>
    <cellStyle name="Normal 3 6 3 5 3" xfId="16130" xr:uid="{00000000-0005-0000-0000-00004F770000}"/>
    <cellStyle name="Normal 3 6 3 5 3 2" xfId="35530" xr:uid="{00000000-0005-0000-0000-000050770000}"/>
    <cellStyle name="Normal 3 6 3 5 4" xfId="25832" xr:uid="{00000000-0005-0000-0000-000051770000}"/>
    <cellStyle name="Normal 3 6 3 6" xfId="6691" xr:uid="{00000000-0005-0000-0000-000052770000}"/>
    <cellStyle name="Normal 3 6 3 6 2" xfId="11146" xr:uid="{00000000-0005-0000-0000-000053770000}"/>
    <cellStyle name="Normal 3 6 3 6 2 2" xfId="21142" xr:uid="{00000000-0005-0000-0000-000054770000}"/>
    <cellStyle name="Normal 3 6 3 6 2 2 2" xfId="40542" xr:uid="{00000000-0005-0000-0000-000055770000}"/>
    <cellStyle name="Normal 3 6 3 6 2 3" xfId="30844" xr:uid="{00000000-0005-0000-0000-000056770000}"/>
    <cellStyle name="Normal 3 6 3 6 3" xfId="16687" xr:uid="{00000000-0005-0000-0000-000057770000}"/>
    <cellStyle name="Normal 3 6 3 6 3 2" xfId="36087" xr:uid="{00000000-0005-0000-0000-000058770000}"/>
    <cellStyle name="Normal 3 6 3 6 4" xfId="26389" xr:uid="{00000000-0005-0000-0000-000059770000}"/>
    <cellStyle name="Normal 3 6 3 7" xfId="7248" xr:uid="{00000000-0005-0000-0000-00005A770000}"/>
    <cellStyle name="Normal 3 6 3 7 2" xfId="17244" xr:uid="{00000000-0005-0000-0000-00005B770000}"/>
    <cellStyle name="Normal 3 6 3 7 2 2" xfId="36644" xr:uid="{00000000-0005-0000-0000-00005C770000}"/>
    <cellStyle name="Normal 3 6 3 7 3" xfId="26946" xr:uid="{00000000-0005-0000-0000-00005D770000}"/>
    <cellStyle name="Normal 3 6 3 8" xfId="12788" xr:uid="{00000000-0005-0000-0000-00005E770000}"/>
    <cellStyle name="Normal 3 6 3 8 2" xfId="32189" xr:uid="{00000000-0005-0000-0000-00005F770000}"/>
    <cellStyle name="Normal 3 6 3 9" xfId="22491" xr:uid="{00000000-0005-0000-0000-000060770000}"/>
    <cellStyle name="Normal 3 6 4" xfId="2353" xr:uid="{00000000-0005-0000-0000-000061770000}"/>
    <cellStyle name="Normal 3 6 4 2" xfId="3300" xr:uid="{00000000-0005-0000-0000-000062770000}"/>
    <cellStyle name="Normal 3 6 4 2 2" xfId="5569" xr:uid="{00000000-0005-0000-0000-000063770000}"/>
    <cellStyle name="Normal 3 6 4 2 2 2" xfId="10033" xr:uid="{00000000-0005-0000-0000-000064770000}"/>
    <cellStyle name="Normal 3 6 4 2 2 2 2" xfId="20029" xr:uid="{00000000-0005-0000-0000-000065770000}"/>
    <cellStyle name="Normal 3 6 4 2 2 2 2 2" xfId="39429" xr:uid="{00000000-0005-0000-0000-000066770000}"/>
    <cellStyle name="Normal 3 6 4 2 2 2 3" xfId="29731" xr:uid="{00000000-0005-0000-0000-000067770000}"/>
    <cellStyle name="Normal 3 6 4 2 2 3" xfId="15574" xr:uid="{00000000-0005-0000-0000-000068770000}"/>
    <cellStyle name="Normal 3 6 4 2 2 3 2" xfId="34974" xr:uid="{00000000-0005-0000-0000-000069770000}"/>
    <cellStyle name="Normal 3 6 4 2 2 4" xfId="25276" xr:uid="{00000000-0005-0000-0000-00006A770000}"/>
    <cellStyle name="Normal 3 6 4 2 3" xfId="7805" xr:uid="{00000000-0005-0000-0000-00006B770000}"/>
    <cellStyle name="Normal 3 6 4 2 3 2" xfId="17801" xr:uid="{00000000-0005-0000-0000-00006C770000}"/>
    <cellStyle name="Normal 3 6 4 2 3 2 2" xfId="37201" xr:uid="{00000000-0005-0000-0000-00006D770000}"/>
    <cellStyle name="Normal 3 6 4 2 3 3" xfId="27503" xr:uid="{00000000-0005-0000-0000-00006E770000}"/>
    <cellStyle name="Normal 3 6 4 2 4" xfId="13346" xr:uid="{00000000-0005-0000-0000-00006F770000}"/>
    <cellStyle name="Normal 3 6 4 2 4 2" xfId="32746" xr:uid="{00000000-0005-0000-0000-000070770000}"/>
    <cellStyle name="Normal 3 6 4 2 5" xfId="23048" xr:uid="{00000000-0005-0000-0000-000071770000}"/>
    <cellStyle name="Normal 3 6 4 3" xfId="3883" xr:uid="{00000000-0005-0000-0000-000072770000}"/>
    <cellStyle name="Normal 3 6 4 3 2" xfId="5013" xr:uid="{00000000-0005-0000-0000-000073770000}"/>
    <cellStyle name="Normal 3 6 4 3 2 2" xfId="9477" xr:uid="{00000000-0005-0000-0000-000074770000}"/>
    <cellStyle name="Normal 3 6 4 3 2 2 2" xfId="19473" xr:uid="{00000000-0005-0000-0000-000075770000}"/>
    <cellStyle name="Normal 3 6 4 3 2 2 2 2" xfId="38873" xr:uid="{00000000-0005-0000-0000-000076770000}"/>
    <cellStyle name="Normal 3 6 4 3 2 2 3" xfId="29175" xr:uid="{00000000-0005-0000-0000-000077770000}"/>
    <cellStyle name="Normal 3 6 4 3 2 3" xfId="15018" xr:uid="{00000000-0005-0000-0000-000078770000}"/>
    <cellStyle name="Normal 3 6 4 3 2 3 2" xfId="34418" xr:uid="{00000000-0005-0000-0000-000079770000}"/>
    <cellStyle name="Normal 3 6 4 3 2 4" xfId="24720" xr:uid="{00000000-0005-0000-0000-00007A770000}"/>
    <cellStyle name="Normal 3 6 4 3 3" xfId="8362" xr:uid="{00000000-0005-0000-0000-00007B770000}"/>
    <cellStyle name="Normal 3 6 4 3 3 2" xfId="18358" xr:uid="{00000000-0005-0000-0000-00007C770000}"/>
    <cellStyle name="Normal 3 6 4 3 3 2 2" xfId="37758" xr:uid="{00000000-0005-0000-0000-00007D770000}"/>
    <cellStyle name="Normal 3 6 4 3 3 3" xfId="28060" xr:uid="{00000000-0005-0000-0000-00007E770000}"/>
    <cellStyle name="Normal 3 6 4 3 4" xfId="13903" xr:uid="{00000000-0005-0000-0000-00007F770000}"/>
    <cellStyle name="Normal 3 6 4 3 4 2" xfId="33303" xr:uid="{00000000-0005-0000-0000-000080770000}"/>
    <cellStyle name="Normal 3 6 4 3 5" xfId="23605" xr:uid="{00000000-0005-0000-0000-000081770000}"/>
    <cellStyle name="Normal 3 6 4 4" xfId="4456" xr:uid="{00000000-0005-0000-0000-000082770000}"/>
    <cellStyle name="Normal 3 6 4 4 2" xfId="8920" xr:uid="{00000000-0005-0000-0000-000083770000}"/>
    <cellStyle name="Normal 3 6 4 4 2 2" xfId="18916" xr:uid="{00000000-0005-0000-0000-000084770000}"/>
    <cellStyle name="Normal 3 6 4 4 2 2 2" xfId="38316" xr:uid="{00000000-0005-0000-0000-000085770000}"/>
    <cellStyle name="Normal 3 6 4 4 2 3" xfId="28618" xr:uid="{00000000-0005-0000-0000-000086770000}"/>
    <cellStyle name="Normal 3 6 4 4 3" xfId="14461" xr:uid="{00000000-0005-0000-0000-000087770000}"/>
    <cellStyle name="Normal 3 6 4 4 3 2" xfId="33861" xr:uid="{00000000-0005-0000-0000-000088770000}"/>
    <cellStyle name="Normal 3 6 4 4 4" xfId="24163" xr:uid="{00000000-0005-0000-0000-000089770000}"/>
    <cellStyle name="Normal 3 6 4 5" xfId="6126" xr:uid="{00000000-0005-0000-0000-00008A770000}"/>
    <cellStyle name="Normal 3 6 4 5 2" xfId="10590" xr:uid="{00000000-0005-0000-0000-00008B770000}"/>
    <cellStyle name="Normal 3 6 4 5 2 2" xfId="20586" xr:uid="{00000000-0005-0000-0000-00008C770000}"/>
    <cellStyle name="Normal 3 6 4 5 2 2 2" xfId="39986" xr:uid="{00000000-0005-0000-0000-00008D770000}"/>
    <cellStyle name="Normal 3 6 4 5 2 3" xfId="30288" xr:uid="{00000000-0005-0000-0000-00008E770000}"/>
    <cellStyle name="Normal 3 6 4 5 3" xfId="16131" xr:uid="{00000000-0005-0000-0000-00008F770000}"/>
    <cellStyle name="Normal 3 6 4 5 3 2" xfId="35531" xr:uid="{00000000-0005-0000-0000-000090770000}"/>
    <cellStyle name="Normal 3 6 4 5 4" xfId="25833" xr:uid="{00000000-0005-0000-0000-000091770000}"/>
    <cellStyle name="Normal 3 6 4 6" xfId="6692" xr:uid="{00000000-0005-0000-0000-000092770000}"/>
    <cellStyle name="Normal 3 6 4 6 2" xfId="11147" xr:uid="{00000000-0005-0000-0000-000093770000}"/>
    <cellStyle name="Normal 3 6 4 6 2 2" xfId="21143" xr:uid="{00000000-0005-0000-0000-000094770000}"/>
    <cellStyle name="Normal 3 6 4 6 2 2 2" xfId="40543" xr:uid="{00000000-0005-0000-0000-000095770000}"/>
    <cellStyle name="Normal 3 6 4 6 2 3" xfId="30845" xr:uid="{00000000-0005-0000-0000-000096770000}"/>
    <cellStyle name="Normal 3 6 4 6 3" xfId="16688" xr:uid="{00000000-0005-0000-0000-000097770000}"/>
    <cellStyle name="Normal 3 6 4 6 3 2" xfId="36088" xr:uid="{00000000-0005-0000-0000-000098770000}"/>
    <cellStyle name="Normal 3 6 4 6 4" xfId="26390" xr:uid="{00000000-0005-0000-0000-000099770000}"/>
    <cellStyle name="Normal 3 6 4 7" xfId="7249" xr:uid="{00000000-0005-0000-0000-00009A770000}"/>
    <cellStyle name="Normal 3 6 4 7 2" xfId="17245" xr:uid="{00000000-0005-0000-0000-00009B770000}"/>
    <cellStyle name="Normal 3 6 4 7 2 2" xfId="36645" xr:uid="{00000000-0005-0000-0000-00009C770000}"/>
    <cellStyle name="Normal 3 6 4 7 3" xfId="26947" xr:uid="{00000000-0005-0000-0000-00009D770000}"/>
    <cellStyle name="Normal 3 6 4 8" xfId="12789" xr:uid="{00000000-0005-0000-0000-00009E770000}"/>
    <cellStyle name="Normal 3 6 4 8 2" xfId="32190" xr:uid="{00000000-0005-0000-0000-00009F770000}"/>
    <cellStyle name="Normal 3 6 4 9" xfId="22492" xr:uid="{00000000-0005-0000-0000-0000A0770000}"/>
    <cellStyle name="Normal 3 6 5" xfId="11962" xr:uid="{00000000-0005-0000-0000-0000A1770000}"/>
    <cellStyle name="Normal 3 6 5 2" xfId="21666" xr:uid="{00000000-0005-0000-0000-0000A2770000}"/>
    <cellStyle name="Normal 3 6 5 2 2" xfId="41066" xr:uid="{00000000-0005-0000-0000-0000A3770000}"/>
    <cellStyle name="Normal 3 6 5 3" xfId="31368" xr:uid="{00000000-0005-0000-0000-0000A4770000}"/>
    <cellStyle name="Normal 3 6 6" xfId="1538" xr:uid="{00000000-0005-0000-0000-0000A5770000}"/>
    <cellStyle name="Normal 3 6 7" xfId="12318" xr:uid="{00000000-0005-0000-0000-0000A6770000}"/>
    <cellStyle name="Normal 3 6 7 2" xfId="31721" xr:uid="{00000000-0005-0000-0000-0000A7770000}"/>
    <cellStyle name="Normal 3 6 8" xfId="22023" xr:uid="{00000000-0005-0000-0000-0000A8770000}"/>
    <cellStyle name="Normal 3 7" xfId="1539" xr:uid="{00000000-0005-0000-0000-0000A9770000}"/>
    <cellStyle name="Normal 3 7 2" xfId="2354" xr:uid="{00000000-0005-0000-0000-0000AA770000}"/>
    <cellStyle name="Normal 3 7 2 2" xfId="3301" xr:uid="{00000000-0005-0000-0000-0000AB770000}"/>
    <cellStyle name="Normal 3 7 2 2 2" xfId="5570" xr:uid="{00000000-0005-0000-0000-0000AC770000}"/>
    <cellStyle name="Normal 3 7 2 2 2 2" xfId="10034" xr:uid="{00000000-0005-0000-0000-0000AD770000}"/>
    <cellStyle name="Normal 3 7 2 2 2 2 2" xfId="20030" xr:uid="{00000000-0005-0000-0000-0000AE770000}"/>
    <cellStyle name="Normal 3 7 2 2 2 2 2 2" xfId="39430" xr:uid="{00000000-0005-0000-0000-0000AF770000}"/>
    <cellStyle name="Normal 3 7 2 2 2 2 3" xfId="29732" xr:uid="{00000000-0005-0000-0000-0000B0770000}"/>
    <cellStyle name="Normal 3 7 2 2 2 3" xfId="15575" xr:uid="{00000000-0005-0000-0000-0000B1770000}"/>
    <cellStyle name="Normal 3 7 2 2 2 3 2" xfId="34975" xr:uid="{00000000-0005-0000-0000-0000B2770000}"/>
    <cellStyle name="Normal 3 7 2 2 2 4" xfId="25277" xr:uid="{00000000-0005-0000-0000-0000B3770000}"/>
    <cellStyle name="Normal 3 7 2 2 3" xfId="7806" xr:uid="{00000000-0005-0000-0000-0000B4770000}"/>
    <cellStyle name="Normal 3 7 2 2 3 2" xfId="17802" xr:uid="{00000000-0005-0000-0000-0000B5770000}"/>
    <cellStyle name="Normal 3 7 2 2 3 2 2" xfId="37202" xr:uid="{00000000-0005-0000-0000-0000B6770000}"/>
    <cellStyle name="Normal 3 7 2 2 3 3" xfId="27504" xr:uid="{00000000-0005-0000-0000-0000B7770000}"/>
    <cellStyle name="Normal 3 7 2 2 4" xfId="13347" xr:uid="{00000000-0005-0000-0000-0000B8770000}"/>
    <cellStyle name="Normal 3 7 2 2 4 2" xfId="32747" xr:uid="{00000000-0005-0000-0000-0000B9770000}"/>
    <cellStyle name="Normal 3 7 2 2 5" xfId="23049" xr:uid="{00000000-0005-0000-0000-0000BA770000}"/>
    <cellStyle name="Normal 3 7 2 3" xfId="3884" xr:uid="{00000000-0005-0000-0000-0000BB770000}"/>
    <cellStyle name="Normal 3 7 2 3 2" xfId="5014" xr:uid="{00000000-0005-0000-0000-0000BC770000}"/>
    <cellStyle name="Normal 3 7 2 3 2 2" xfId="9478" xr:uid="{00000000-0005-0000-0000-0000BD770000}"/>
    <cellStyle name="Normal 3 7 2 3 2 2 2" xfId="19474" xr:uid="{00000000-0005-0000-0000-0000BE770000}"/>
    <cellStyle name="Normal 3 7 2 3 2 2 2 2" xfId="38874" xr:uid="{00000000-0005-0000-0000-0000BF770000}"/>
    <cellStyle name="Normal 3 7 2 3 2 2 3" xfId="29176" xr:uid="{00000000-0005-0000-0000-0000C0770000}"/>
    <cellStyle name="Normal 3 7 2 3 2 3" xfId="15019" xr:uid="{00000000-0005-0000-0000-0000C1770000}"/>
    <cellStyle name="Normal 3 7 2 3 2 3 2" xfId="34419" xr:uid="{00000000-0005-0000-0000-0000C2770000}"/>
    <cellStyle name="Normal 3 7 2 3 2 4" xfId="24721" xr:uid="{00000000-0005-0000-0000-0000C3770000}"/>
    <cellStyle name="Normal 3 7 2 3 3" xfId="8363" xr:uid="{00000000-0005-0000-0000-0000C4770000}"/>
    <cellStyle name="Normal 3 7 2 3 3 2" xfId="18359" xr:uid="{00000000-0005-0000-0000-0000C5770000}"/>
    <cellStyle name="Normal 3 7 2 3 3 2 2" xfId="37759" xr:uid="{00000000-0005-0000-0000-0000C6770000}"/>
    <cellStyle name="Normal 3 7 2 3 3 3" xfId="28061" xr:uid="{00000000-0005-0000-0000-0000C7770000}"/>
    <cellStyle name="Normal 3 7 2 3 4" xfId="13904" xr:uid="{00000000-0005-0000-0000-0000C8770000}"/>
    <cellStyle name="Normal 3 7 2 3 4 2" xfId="33304" xr:uid="{00000000-0005-0000-0000-0000C9770000}"/>
    <cellStyle name="Normal 3 7 2 3 5" xfId="23606" xr:uid="{00000000-0005-0000-0000-0000CA770000}"/>
    <cellStyle name="Normal 3 7 2 4" xfId="4457" xr:uid="{00000000-0005-0000-0000-0000CB770000}"/>
    <cellStyle name="Normal 3 7 2 4 2" xfId="8921" xr:uid="{00000000-0005-0000-0000-0000CC770000}"/>
    <cellStyle name="Normal 3 7 2 4 2 2" xfId="18917" xr:uid="{00000000-0005-0000-0000-0000CD770000}"/>
    <cellStyle name="Normal 3 7 2 4 2 2 2" xfId="38317" xr:uid="{00000000-0005-0000-0000-0000CE770000}"/>
    <cellStyle name="Normal 3 7 2 4 2 3" xfId="28619" xr:uid="{00000000-0005-0000-0000-0000CF770000}"/>
    <cellStyle name="Normal 3 7 2 4 3" xfId="14462" xr:uid="{00000000-0005-0000-0000-0000D0770000}"/>
    <cellStyle name="Normal 3 7 2 4 3 2" xfId="33862" xr:uid="{00000000-0005-0000-0000-0000D1770000}"/>
    <cellStyle name="Normal 3 7 2 4 4" xfId="24164" xr:uid="{00000000-0005-0000-0000-0000D2770000}"/>
    <cellStyle name="Normal 3 7 2 5" xfId="6127" xr:uid="{00000000-0005-0000-0000-0000D3770000}"/>
    <cellStyle name="Normal 3 7 2 5 2" xfId="10591" xr:uid="{00000000-0005-0000-0000-0000D4770000}"/>
    <cellStyle name="Normal 3 7 2 5 2 2" xfId="20587" xr:uid="{00000000-0005-0000-0000-0000D5770000}"/>
    <cellStyle name="Normal 3 7 2 5 2 2 2" xfId="39987" xr:uid="{00000000-0005-0000-0000-0000D6770000}"/>
    <cellStyle name="Normal 3 7 2 5 2 3" xfId="30289" xr:uid="{00000000-0005-0000-0000-0000D7770000}"/>
    <cellStyle name="Normal 3 7 2 5 3" xfId="16132" xr:uid="{00000000-0005-0000-0000-0000D8770000}"/>
    <cellStyle name="Normal 3 7 2 5 3 2" xfId="35532" xr:uid="{00000000-0005-0000-0000-0000D9770000}"/>
    <cellStyle name="Normal 3 7 2 5 4" xfId="25834" xr:uid="{00000000-0005-0000-0000-0000DA770000}"/>
    <cellStyle name="Normal 3 7 2 6" xfId="6693" xr:uid="{00000000-0005-0000-0000-0000DB770000}"/>
    <cellStyle name="Normal 3 7 2 6 2" xfId="11148" xr:uid="{00000000-0005-0000-0000-0000DC770000}"/>
    <cellStyle name="Normal 3 7 2 6 2 2" xfId="21144" xr:uid="{00000000-0005-0000-0000-0000DD770000}"/>
    <cellStyle name="Normal 3 7 2 6 2 2 2" xfId="40544" xr:uid="{00000000-0005-0000-0000-0000DE770000}"/>
    <cellStyle name="Normal 3 7 2 6 2 3" xfId="30846" xr:uid="{00000000-0005-0000-0000-0000DF770000}"/>
    <cellStyle name="Normal 3 7 2 6 3" xfId="16689" xr:uid="{00000000-0005-0000-0000-0000E0770000}"/>
    <cellStyle name="Normal 3 7 2 6 3 2" xfId="36089" xr:uid="{00000000-0005-0000-0000-0000E1770000}"/>
    <cellStyle name="Normal 3 7 2 6 4" xfId="26391" xr:uid="{00000000-0005-0000-0000-0000E2770000}"/>
    <cellStyle name="Normal 3 7 2 7" xfId="7250" xr:uid="{00000000-0005-0000-0000-0000E3770000}"/>
    <cellStyle name="Normal 3 7 2 7 2" xfId="17246" xr:uid="{00000000-0005-0000-0000-0000E4770000}"/>
    <cellStyle name="Normal 3 7 2 7 2 2" xfId="36646" xr:uid="{00000000-0005-0000-0000-0000E5770000}"/>
    <cellStyle name="Normal 3 7 2 7 3" xfId="26948" xr:uid="{00000000-0005-0000-0000-0000E6770000}"/>
    <cellStyle name="Normal 3 7 2 8" xfId="12790" xr:uid="{00000000-0005-0000-0000-0000E7770000}"/>
    <cellStyle name="Normal 3 7 2 8 2" xfId="32191" xr:uid="{00000000-0005-0000-0000-0000E8770000}"/>
    <cellStyle name="Normal 3 7 2 9" xfId="22493" xr:uid="{00000000-0005-0000-0000-0000E9770000}"/>
    <cellStyle name="Normal 3 7 3" xfId="2355" xr:uid="{00000000-0005-0000-0000-0000EA770000}"/>
    <cellStyle name="Normal 3 7 3 2" xfId="3302" xr:uid="{00000000-0005-0000-0000-0000EB770000}"/>
    <cellStyle name="Normal 3 7 3 2 2" xfId="5571" xr:uid="{00000000-0005-0000-0000-0000EC770000}"/>
    <cellStyle name="Normal 3 7 3 2 2 2" xfId="10035" xr:uid="{00000000-0005-0000-0000-0000ED770000}"/>
    <cellStyle name="Normal 3 7 3 2 2 2 2" xfId="20031" xr:uid="{00000000-0005-0000-0000-0000EE770000}"/>
    <cellStyle name="Normal 3 7 3 2 2 2 2 2" xfId="39431" xr:uid="{00000000-0005-0000-0000-0000EF770000}"/>
    <cellStyle name="Normal 3 7 3 2 2 2 3" xfId="29733" xr:uid="{00000000-0005-0000-0000-0000F0770000}"/>
    <cellStyle name="Normal 3 7 3 2 2 3" xfId="15576" xr:uid="{00000000-0005-0000-0000-0000F1770000}"/>
    <cellStyle name="Normal 3 7 3 2 2 3 2" xfId="34976" xr:uid="{00000000-0005-0000-0000-0000F2770000}"/>
    <cellStyle name="Normal 3 7 3 2 2 4" xfId="25278" xr:uid="{00000000-0005-0000-0000-0000F3770000}"/>
    <cellStyle name="Normal 3 7 3 2 3" xfId="7807" xr:uid="{00000000-0005-0000-0000-0000F4770000}"/>
    <cellStyle name="Normal 3 7 3 2 3 2" xfId="17803" xr:uid="{00000000-0005-0000-0000-0000F5770000}"/>
    <cellStyle name="Normal 3 7 3 2 3 2 2" xfId="37203" xr:uid="{00000000-0005-0000-0000-0000F6770000}"/>
    <cellStyle name="Normal 3 7 3 2 3 3" xfId="27505" xr:uid="{00000000-0005-0000-0000-0000F7770000}"/>
    <cellStyle name="Normal 3 7 3 2 4" xfId="13348" xr:uid="{00000000-0005-0000-0000-0000F8770000}"/>
    <cellStyle name="Normal 3 7 3 2 4 2" xfId="32748" xr:uid="{00000000-0005-0000-0000-0000F9770000}"/>
    <cellStyle name="Normal 3 7 3 2 5" xfId="23050" xr:uid="{00000000-0005-0000-0000-0000FA770000}"/>
    <cellStyle name="Normal 3 7 3 3" xfId="3885" xr:uid="{00000000-0005-0000-0000-0000FB770000}"/>
    <cellStyle name="Normal 3 7 3 3 2" xfId="5015" xr:uid="{00000000-0005-0000-0000-0000FC770000}"/>
    <cellStyle name="Normal 3 7 3 3 2 2" xfId="9479" xr:uid="{00000000-0005-0000-0000-0000FD770000}"/>
    <cellStyle name="Normal 3 7 3 3 2 2 2" xfId="19475" xr:uid="{00000000-0005-0000-0000-0000FE770000}"/>
    <cellStyle name="Normal 3 7 3 3 2 2 2 2" xfId="38875" xr:uid="{00000000-0005-0000-0000-0000FF770000}"/>
    <cellStyle name="Normal 3 7 3 3 2 2 3" xfId="29177" xr:uid="{00000000-0005-0000-0000-000000780000}"/>
    <cellStyle name="Normal 3 7 3 3 2 3" xfId="15020" xr:uid="{00000000-0005-0000-0000-000001780000}"/>
    <cellStyle name="Normal 3 7 3 3 2 3 2" xfId="34420" xr:uid="{00000000-0005-0000-0000-000002780000}"/>
    <cellStyle name="Normal 3 7 3 3 2 4" xfId="24722" xr:uid="{00000000-0005-0000-0000-000003780000}"/>
    <cellStyle name="Normal 3 7 3 3 3" xfId="8364" xr:uid="{00000000-0005-0000-0000-000004780000}"/>
    <cellStyle name="Normal 3 7 3 3 3 2" xfId="18360" xr:uid="{00000000-0005-0000-0000-000005780000}"/>
    <cellStyle name="Normal 3 7 3 3 3 2 2" xfId="37760" xr:uid="{00000000-0005-0000-0000-000006780000}"/>
    <cellStyle name="Normal 3 7 3 3 3 3" xfId="28062" xr:uid="{00000000-0005-0000-0000-000007780000}"/>
    <cellStyle name="Normal 3 7 3 3 4" xfId="13905" xr:uid="{00000000-0005-0000-0000-000008780000}"/>
    <cellStyle name="Normal 3 7 3 3 4 2" xfId="33305" xr:uid="{00000000-0005-0000-0000-000009780000}"/>
    <cellStyle name="Normal 3 7 3 3 5" xfId="23607" xr:uid="{00000000-0005-0000-0000-00000A780000}"/>
    <cellStyle name="Normal 3 7 3 4" xfId="4458" xr:uid="{00000000-0005-0000-0000-00000B780000}"/>
    <cellStyle name="Normal 3 7 3 4 2" xfId="8922" xr:uid="{00000000-0005-0000-0000-00000C780000}"/>
    <cellStyle name="Normal 3 7 3 4 2 2" xfId="18918" xr:uid="{00000000-0005-0000-0000-00000D780000}"/>
    <cellStyle name="Normal 3 7 3 4 2 2 2" xfId="38318" xr:uid="{00000000-0005-0000-0000-00000E780000}"/>
    <cellStyle name="Normal 3 7 3 4 2 3" xfId="28620" xr:uid="{00000000-0005-0000-0000-00000F780000}"/>
    <cellStyle name="Normal 3 7 3 4 3" xfId="14463" xr:uid="{00000000-0005-0000-0000-000010780000}"/>
    <cellStyle name="Normal 3 7 3 4 3 2" xfId="33863" xr:uid="{00000000-0005-0000-0000-000011780000}"/>
    <cellStyle name="Normal 3 7 3 4 4" xfId="24165" xr:uid="{00000000-0005-0000-0000-000012780000}"/>
    <cellStyle name="Normal 3 7 3 5" xfId="6128" xr:uid="{00000000-0005-0000-0000-000013780000}"/>
    <cellStyle name="Normal 3 7 3 5 2" xfId="10592" xr:uid="{00000000-0005-0000-0000-000014780000}"/>
    <cellStyle name="Normal 3 7 3 5 2 2" xfId="20588" xr:uid="{00000000-0005-0000-0000-000015780000}"/>
    <cellStyle name="Normal 3 7 3 5 2 2 2" xfId="39988" xr:uid="{00000000-0005-0000-0000-000016780000}"/>
    <cellStyle name="Normal 3 7 3 5 2 3" xfId="30290" xr:uid="{00000000-0005-0000-0000-000017780000}"/>
    <cellStyle name="Normal 3 7 3 5 3" xfId="16133" xr:uid="{00000000-0005-0000-0000-000018780000}"/>
    <cellStyle name="Normal 3 7 3 5 3 2" xfId="35533" xr:uid="{00000000-0005-0000-0000-000019780000}"/>
    <cellStyle name="Normal 3 7 3 5 4" xfId="25835" xr:uid="{00000000-0005-0000-0000-00001A780000}"/>
    <cellStyle name="Normal 3 7 3 6" xfId="6694" xr:uid="{00000000-0005-0000-0000-00001B780000}"/>
    <cellStyle name="Normal 3 7 3 6 2" xfId="11149" xr:uid="{00000000-0005-0000-0000-00001C780000}"/>
    <cellStyle name="Normal 3 7 3 6 2 2" xfId="21145" xr:uid="{00000000-0005-0000-0000-00001D780000}"/>
    <cellStyle name="Normal 3 7 3 6 2 2 2" xfId="40545" xr:uid="{00000000-0005-0000-0000-00001E780000}"/>
    <cellStyle name="Normal 3 7 3 6 2 3" xfId="30847" xr:uid="{00000000-0005-0000-0000-00001F780000}"/>
    <cellStyle name="Normal 3 7 3 6 3" xfId="16690" xr:uid="{00000000-0005-0000-0000-000020780000}"/>
    <cellStyle name="Normal 3 7 3 6 3 2" xfId="36090" xr:uid="{00000000-0005-0000-0000-000021780000}"/>
    <cellStyle name="Normal 3 7 3 6 4" xfId="26392" xr:uid="{00000000-0005-0000-0000-000022780000}"/>
    <cellStyle name="Normal 3 7 3 7" xfId="7251" xr:uid="{00000000-0005-0000-0000-000023780000}"/>
    <cellStyle name="Normal 3 7 3 7 2" xfId="17247" xr:uid="{00000000-0005-0000-0000-000024780000}"/>
    <cellStyle name="Normal 3 7 3 7 2 2" xfId="36647" xr:uid="{00000000-0005-0000-0000-000025780000}"/>
    <cellStyle name="Normal 3 7 3 7 3" xfId="26949" xr:uid="{00000000-0005-0000-0000-000026780000}"/>
    <cellStyle name="Normal 3 7 3 8" xfId="12791" xr:uid="{00000000-0005-0000-0000-000027780000}"/>
    <cellStyle name="Normal 3 7 3 8 2" xfId="32192" xr:uid="{00000000-0005-0000-0000-000028780000}"/>
    <cellStyle name="Normal 3 7 3 9" xfId="22494" xr:uid="{00000000-0005-0000-0000-000029780000}"/>
    <cellStyle name="Normal 3 8" xfId="1656" xr:uid="{00000000-0005-0000-0000-00002A780000}"/>
    <cellStyle name="Normal 3 8 2" xfId="2890" xr:uid="{00000000-0005-0000-0000-00002B780000}"/>
    <cellStyle name="Normal 3 8 2 2" xfId="5159" xr:uid="{00000000-0005-0000-0000-00002C780000}"/>
    <cellStyle name="Normal 3 8 2 2 2" xfId="9623" xr:uid="{00000000-0005-0000-0000-00002D780000}"/>
    <cellStyle name="Normal 3 8 2 2 2 2" xfId="19619" xr:uid="{00000000-0005-0000-0000-00002E780000}"/>
    <cellStyle name="Normal 3 8 2 2 2 2 2" xfId="39019" xr:uid="{00000000-0005-0000-0000-00002F780000}"/>
    <cellStyle name="Normal 3 8 2 2 2 3" xfId="29321" xr:uid="{00000000-0005-0000-0000-000030780000}"/>
    <cellStyle name="Normal 3 8 2 2 3" xfId="15164" xr:uid="{00000000-0005-0000-0000-000031780000}"/>
    <cellStyle name="Normal 3 8 2 2 3 2" xfId="34564" xr:uid="{00000000-0005-0000-0000-000032780000}"/>
    <cellStyle name="Normal 3 8 2 2 4" xfId="24866" xr:uid="{00000000-0005-0000-0000-000033780000}"/>
    <cellStyle name="Normal 3 8 2 3" xfId="7395" xr:uid="{00000000-0005-0000-0000-000034780000}"/>
    <cellStyle name="Normal 3 8 2 3 2" xfId="17391" xr:uid="{00000000-0005-0000-0000-000035780000}"/>
    <cellStyle name="Normal 3 8 2 3 2 2" xfId="36791" xr:uid="{00000000-0005-0000-0000-000036780000}"/>
    <cellStyle name="Normal 3 8 2 3 3" xfId="27093" xr:uid="{00000000-0005-0000-0000-000037780000}"/>
    <cellStyle name="Normal 3 8 2 4" xfId="12936" xr:uid="{00000000-0005-0000-0000-000038780000}"/>
    <cellStyle name="Normal 3 8 2 4 2" xfId="32336" xr:uid="{00000000-0005-0000-0000-000039780000}"/>
    <cellStyle name="Normal 3 8 2 5" xfId="22638" xr:uid="{00000000-0005-0000-0000-00003A780000}"/>
    <cellStyle name="Normal 3 8 3" xfId="3473" xr:uid="{00000000-0005-0000-0000-00003B780000}"/>
    <cellStyle name="Normal 3 8 3 2" xfId="4603" xr:uid="{00000000-0005-0000-0000-00003C780000}"/>
    <cellStyle name="Normal 3 8 3 2 2" xfId="9067" xr:uid="{00000000-0005-0000-0000-00003D780000}"/>
    <cellStyle name="Normal 3 8 3 2 2 2" xfId="19063" xr:uid="{00000000-0005-0000-0000-00003E780000}"/>
    <cellStyle name="Normal 3 8 3 2 2 2 2" xfId="38463" xr:uid="{00000000-0005-0000-0000-00003F780000}"/>
    <cellStyle name="Normal 3 8 3 2 2 3" xfId="28765" xr:uid="{00000000-0005-0000-0000-000040780000}"/>
    <cellStyle name="Normal 3 8 3 2 3" xfId="14608" xr:uid="{00000000-0005-0000-0000-000041780000}"/>
    <cellStyle name="Normal 3 8 3 2 3 2" xfId="34008" xr:uid="{00000000-0005-0000-0000-000042780000}"/>
    <cellStyle name="Normal 3 8 3 2 4" xfId="24310" xr:uid="{00000000-0005-0000-0000-000043780000}"/>
    <cellStyle name="Normal 3 8 3 3" xfId="7952" xr:uid="{00000000-0005-0000-0000-000044780000}"/>
    <cellStyle name="Normal 3 8 3 3 2" xfId="17948" xr:uid="{00000000-0005-0000-0000-000045780000}"/>
    <cellStyle name="Normal 3 8 3 3 2 2" xfId="37348" xr:uid="{00000000-0005-0000-0000-000046780000}"/>
    <cellStyle name="Normal 3 8 3 3 3" xfId="27650" xr:uid="{00000000-0005-0000-0000-000047780000}"/>
    <cellStyle name="Normal 3 8 3 4" xfId="13493" xr:uid="{00000000-0005-0000-0000-000048780000}"/>
    <cellStyle name="Normal 3 8 3 4 2" xfId="32893" xr:uid="{00000000-0005-0000-0000-000049780000}"/>
    <cellStyle name="Normal 3 8 3 5" xfId="23195" xr:uid="{00000000-0005-0000-0000-00004A780000}"/>
    <cellStyle name="Normal 3 8 4" xfId="4046" xr:uid="{00000000-0005-0000-0000-00004B780000}"/>
    <cellStyle name="Normal 3 8 4 2" xfId="8510" xr:uid="{00000000-0005-0000-0000-00004C780000}"/>
    <cellStyle name="Normal 3 8 4 2 2" xfId="18506" xr:uid="{00000000-0005-0000-0000-00004D780000}"/>
    <cellStyle name="Normal 3 8 4 2 2 2" xfId="37906" xr:uid="{00000000-0005-0000-0000-00004E780000}"/>
    <cellStyle name="Normal 3 8 4 2 3" xfId="28208" xr:uid="{00000000-0005-0000-0000-00004F780000}"/>
    <cellStyle name="Normal 3 8 4 3" xfId="14051" xr:uid="{00000000-0005-0000-0000-000050780000}"/>
    <cellStyle name="Normal 3 8 4 3 2" xfId="33451" xr:uid="{00000000-0005-0000-0000-000051780000}"/>
    <cellStyle name="Normal 3 8 4 4" xfId="23753" xr:uid="{00000000-0005-0000-0000-000052780000}"/>
    <cellStyle name="Normal 3 8 5" xfId="5716" xr:uid="{00000000-0005-0000-0000-000053780000}"/>
    <cellStyle name="Normal 3 8 5 2" xfId="10180" xr:uid="{00000000-0005-0000-0000-000054780000}"/>
    <cellStyle name="Normal 3 8 5 2 2" xfId="20176" xr:uid="{00000000-0005-0000-0000-000055780000}"/>
    <cellStyle name="Normal 3 8 5 2 2 2" xfId="39576" xr:uid="{00000000-0005-0000-0000-000056780000}"/>
    <cellStyle name="Normal 3 8 5 2 3" xfId="29878" xr:uid="{00000000-0005-0000-0000-000057780000}"/>
    <cellStyle name="Normal 3 8 5 3" xfId="15721" xr:uid="{00000000-0005-0000-0000-000058780000}"/>
    <cellStyle name="Normal 3 8 5 3 2" xfId="35121" xr:uid="{00000000-0005-0000-0000-000059780000}"/>
    <cellStyle name="Normal 3 8 5 4" xfId="25423" xr:uid="{00000000-0005-0000-0000-00005A780000}"/>
    <cellStyle name="Normal 3 8 6" xfId="6282" xr:uid="{00000000-0005-0000-0000-00005B780000}"/>
    <cellStyle name="Normal 3 8 6 2" xfId="10737" xr:uid="{00000000-0005-0000-0000-00005C780000}"/>
    <cellStyle name="Normal 3 8 6 2 2" xfId="20733" xr:uid="{00000000-0005-0000-0000-00005D780000}"/>
    <cellStyle name="Normal 3 8 6 2 2 2" xfId="40133" xr:uid="{00000000-0005-0000-0000-00005E780000}"/>
    <cellStyle name="Normal 3 8 6 2 3" xfId="30435" xr:uid="{00000000-0005-0000-0000-00005F780000}"/>
    <cellStyle name="Normal 3 8 6 3" xfId="16278" xr:uid="{00000000-0005-0000-0000-000060780000}"/>
    <cellStyle name="Normal 3 8 6 3 2" xfId="35678" xr:uid="{00000000-0005-0000-0000-000061780000}"/>
    <cellStyle name="Normal 3 8 6 4" xfId="25980" xr:uid="{00000000-0005-0000-0000-000062780000}"/>
    <cellStyle name="Normal 3 8 7" xfId="6839" xr:uid="{00000000-0005-0000-0000-000063780000}"/>
    <cellStyle name="Normal 3 8 7 2" xfId="16835" xr:uid="{00000000-0005-0000-0000-000064780000}"/>
    <cellStyle name="Normal 3 8 7 2 2" xfId="36235" xr:uid="{00000000-0005-0000-0000-000065780000}"/>
    <cellStyle name="Normal 3 8 7 3" xfId="26537" xr:uid="{00000000-0005-0000-0000-000066780000}"/>
    <cellStyle name="Normal 3 8 8" xfId="12379" xr:uid="{00000000-0005-0000-0000-000067780000}"/>
    <cellStyle name="Normal 3 8 8 2" xfId="31780" xr:uid="{00000000-0005-0000-0000-000068780000}"/>
    <cellStyle name="Normal 3 8 9" xfId="22082" xr:uid="{00000000-0005-0000-0000-000069780000}"/>
    <cellStyle name="Normal 3 9" xfId="1913" xr:uid="{00000000-0005-0000-0000-00006A780000}"/>
    <cellStyle name="Normal 3 9 2" xfId="2926" xr:uid="{00000000-0005-0000-0000-00006B780000}"/>
    <cellStyle name="Normal 3 9 2 2" xfId="5195" xr:uid="{00000000-0005-0000-0000-00006C780000}"/>
    <cellStyle name="Normal 3 9 2 2 2" xfId="9659" xr:uid="{00000000-0005-0000-0000-00006D780000}"/>
    <cellStyle name="Normal 3 9 2 2 2 2" xfId="19655" xr:uid="{00000000-0005-0000-0000-00006E780000}"/>
    <cellStyle name="Normal 3 9 2 2 2 2 2" xfId="39055" xr:uid="{00000000-0005-0000-0000-00006F780000}"/>
    <cellStyle name="Normal 3 9 2 2 2 3" xfId="29357" xr:uid="{00000000-0005-0000-0000-000070780000}"/>
    <cellStyle name="Normal 3 9 2 2 3" xfId="15200" xr:uid="{00000000-0005-0000-0000-000071780000}"/>
    <cellStyle name="Normal 3 9 2 2 3 2" xfId="34600" xr:uid="{00000000-0005-0000-0000-000072780000}"/>
    <cellStyle name="Normal 3 9 2 2 4" xfId="24902" xr:uid="{00000000-0005-0000-0000-000073780000}"/>
    <cellStyle name="Normal 3 9 2 3" xfId="7431" xr:uid="{00000000-0005-0000-0000-000074780000}"/>
    <cellStyle name="Normal 3 9 2 3 2" xfId="17427" xr:uid="{00000000-0005-0000-0000-000075780000}"/>
    <cellStyle name="Normal 3 9 2 3 2 2" xfId="36827" xr:uid="{00000000-0005-0000-0000-000076780000}"/>
    <cellStyle name="Normal 3 9 2 3 3" xfId="27129" xr:uid="{00000000-0005-0000-0000-000077780000}"/>
    <cellStyle name="Normal 3 9 2 4" xfId="12972" xr:uid="{00000000-0005-0000-0000-000078780000}"/>
    <cellStyle name="Normal 3 9 2 4 2" xfId="32372" xr:uid="{00000000-0005-0000-0000-000079780000}"/>
    <cellStyle name="Normal 3 9 2 5" xfId="22674" xr:uid="{00000000-0005-0000-0000-00007A780000}"/>
    <cellStyle name="Normal 3 9 3" xfId="3509" xr:uid="{00000000-0005-0000-0000-00007B780000}"/>
    <cellStyle name="Normal 3 9 3 2" xfId="4639" xr:uid="{00000000-0005-0000-0000-00007C780000}"/>
    <cellStyle name="Normal 3 9 3 2 2" xfId="9103" xr:uid="{00000000-0005-0000-0000-00007D780000}"/>
    <cellStyle name="Normal 3 9 3 2 2 2" xfId="19099" xr:uid="{00000000-0005-0000-0000-00007E780000}"/>
    <cellStyle name="Normal 3 9 3 2 2 2 2" xfId="38499" xr:uid="{00000000-0005-0000-0000-00007F780000}"/>
    <cellStyle name="Normal 3 9 3 2 2 3" xfId="28801" xr:uid="{00000000-0005-0000-0000-000080780000}"/>
    <cellStyle name="Normal 3 9 3 2 3" xfId="14644" xr:uid="{00000000-0005-0000-0000-000081780000}"/>
    <cellStyle name="Normal 3 9 3 2 3 2" xfId="34044" xr:uid="{00000000-0005-0000-0000-000082780000}"/>
    <cellStyle name="Normal 3 9 3 2 4" xfId="24346" xr:uid="{00000000-0005-0000-0000-000083780000}"/>
    <cellStyle name="Normal 3 9 3 3" xfId="7988" xr:uid="{00000000-0005-0000-0000-000084780000}"/>
    <cellStyle name="Normal 3 9 3 3 2" xfId="17984" xr:uid="{00000000-0005-0000-0000-000085780000}"/>
    <cellStyle name="Normal 3 9 3 3 2 2" xfId="37384" xr:uid="{00000000-0005-0000-0000-000086780000}"/>
    <cellStyle name="Normal 3 9 3 3 3" xfId="27686" xr:uid="{00000000-0005-0000-0000-000087780000}"/>
    <cellStyle name="Normal 3 9 3 4" xfId="13529" xr:uid="{00000000-0005-0000-0000-000088780000}"/>
    <cellStyle name="Normal 3 9 3 4 2" xfId="32929" xr:uid="{00000000-0005-0000-0000-000089780000}"/>
    <cellStyle name="Normal 3 9 3 5" xfId="23231" xr:uid="{00000000-0005-0000-0000-00008A780000}"/>
    <cellStyle name="Normal 3 9 4" xfId="4082" xr:uid="{00000000-0005-0000-0000-00008B780000}"/>
    <cellStyle name="Normal 3 9 4 2" xfId="8546" xr:uid="{00000000-0005-0000-0000-00008C780000}"/>
    <cellStyle name="Normal 3 9 4 2 2" xfId="18542" xr:uid="{00000000-0005-0000-0000-00008D780000}"/>
    <cellStyle name="Normal 3 9 4 2 2 2" xfId="37942" xr:uid="{00000000-0005-0000-0000-00008E780000}"/>
    <cellStyle name="Normal 3 9 4 2 3" xfId="28244" xr:uid="{00000000-0005-0000-0000-00008F780000}"/>
    <cellStyle name="Normal 3 9 4 3" xfId="14087" xr:uid="{00000000-0005-0000-0000-000090780000}"/>
    <cellStyle name="Normal 3 9 4 3 2" xfId="33487" xr:uid="{00000000-0005-0000-0000-000091780000}"/>
    <cellStyle name="Normal 3 9 4 4" xfId="23789" xr:uid="{00000000-0005-0000-0000-000092780000}"/>
    <cellStyle name="Normal 3 9 5" xfId="5752" xr:uid="{00000000-0005-0000-0000-000093780000}"/>
    <cellStyle name="Normal 3 9 5 2" xfId="10216" xr:uid="{00000000-0005-0000-0000-000094780000}"/>
    <cellStyle name="Normal 3 9 5 2 2" xfId="20212" xr:uid="{00000000-0005-0000-0000-000095780000}"/>
    <cellStyle name="Normal 3 9 5 2 2 2" xfId="39612" xr:uid="{00000000-0005-0000-0000-000096780000}"/>
    <cellStyle name="Normal 3 9 5 2 3" xfId="29914" xr:uid="{00000000-0005-0000-0000-000097780000}"/>
    <cellStyle name="Normal 3 9 5 3" xfId="15757" xr:uid="{00000000-0005-0000-0000-000098780000}"/>
    <cellStyle name="Normal 3 9 5 3 2" xfId="35157" xr:uid="{00000000-0005-0000-0000-000099780000}"/>
    <cellStyle name="Normal 3 9 5 4" xfId="25459" xr:uid="{00000000-0005-0000-0000-00009A780000}"/>
    <cellStyle name="Normal 3 9 6" xfId="6318" xr:uid="{00000000-0005-0000-0000-00009B780000}"/>
    <cellStyle name="Normal 3 9 6 2" xfId="10773" xr:uid="{00000000-0005-0000-0000-00009C780000}"/>
    <cellStyle name="Normal 3 9 6 2 2" xfId="20769" xr:uid="{00000000-0005-0000-0000-00009D780000}"/>
    <cellStyle name="Normal 3 9 6 2 2 2" xfId="40169" xr:uid="{00000000-0005-0000-0000-00009E780000}"/>
    <cellStyle name="Normal 3 9 6 2 3" xfId="30471" xr:uid="{00000000-0005-0000-0000-00009F780000}"/>
    <cellStyle name="Normal 3 9 6 3" xfId="16314" xr:uid="{00000000-0005-0000-0000-0000A0780000}"/>
    <cellStyle name="Normal 3 9 6 3 2" xfId="35714" xr:uid="{00000000-0005-0000-0000-0000A1780000}"/>
    <cellStyle name="Normal 3 9 6 4" xfId="26016" xr:uid="{00000000-0005-0000-0000-0000A2780000}"/>
    <cellStyle name="Normal 3 9 7" xfId="6875" xr:uid="{00000000-0005-0000-0000-0000A3780000}"/>
    <cellStyle name="Normal 3 9 7 2" xfId="16871" xr:uid="{00000000-0005-0000-0000-0000A4780000}"/>
    <cellStyle name="Normal 3 9 7 2 2" xfId="36271" xr:uid="{00000000-0005-0000-0000-0000A5780000}"/>
    <cellStyle name="Normal 3 9 7 3" xfId="26573" xr:uid="{00000000-0005-0000-0000-0000A6780000}"/>
    <cellStyle name="Normal 3 9 8" xfId="12415" xr:uid="{00000000-0005-0000-0000-0000A7780000}"/>
    <cellStyle name="Normal 3 9 8 2" xfId="31816" xr:uid="{00000000-0005-0000-0000-0000A8780000}"/>
    <cellStyle name="Normal 3 9 9" xfId="22118" xr:uid="{00000000-0005-0000-0000-0000A9780000}"/>
    <cellStyle name="Normal 30" xfId="922" xr:uid="{00000000-0005-0000-0000-0000AA780000}"/>
    <cellStyle name="Normal 30 2" xfId="11829" xr:uid="{00000000-0005-0000-0000-0000AB780000}"/>
    <cellStyle name="Normal 30 2 2" xfId="21536" xr:uid="{00000000-0005-0000-0000-0000AC780000}"/>
    <cellStyle name="Normal 30 2 2 2" xfId="40936" xr:uid="{00000000-0005-0000-0000-0000AD780000}"/>
    <cellStyle name="Normal 30 2 3" xfId="31238" xr:uid="{00000000-0005-0000-0000-0000AE780000}"/>
    <cellStyle name="Normal 30 3" xfId="2555" xr:uid="{00000000-0005-0000-0000-0000AF780000}"/>
    <cellStyle name="Normal 30 4" xfId="12188" xr:uid="{00000000-0005-0000-0000-0000B0780000}"/>
    <cellStyle name="Normal 30 4 2" xfId="31591" xr:uid="{00000000-0005-0000-0000-0000B1780000}"/>
    <cellStyle name="Normal 30 5" xfId="21893" xr:uid="{00000000-0005-0000-0000-0000B2780000}"/>
    <cellStyle name="Normal 31" xfId="964" xr:uid="{00000000-0005-0000-0000-0000B3780000}"/>
    <cellStyle name="Normal 31 2" xfId="11845" xr:uid="{00000000-0005-0000-0000-0000B4780000}"/>
    <cellStyle name="Normal 31 2 2" xfId="21549" xr:uid="{00000000-0005-0000-0000-0000B5780000}"/>
    <cellStyle name="Normal 31 2 2 2" xfId="40949" xr:uid="{00000000-0005-0000-0000-0000B6780000}"/>
    <cellStyle name="Normal 31 2 3" xfId="31251" xr:uid="{00000000-0005-0000-0000-0000B7780000}"/>
    <cellStyle name="Normal 31 3" xfId="2502" xr:uid="{00000000-0005-0000-0000-0000B8780000}"/>
    <cellStyle name="Normal 31 4" xfId="12201" xr:uid="{00000000-0005-0000-0000-0000B9780000}"/>
    <cellStyle name="Normal 31 4 2" xfId="31604" xr:uid="{00000000-0005-0000-0000-0000BA780000}"/>
    <cellStyle name="Normal 31 5" xfId="21906" xr:uid="{00000000-0005-0000-0000-0000BB780000}"/>
    <cellStyle name="Normal 32" xfId="966" xr:uid="{00000000-0005-0000-0000-0000BC780000}"/>
    <cellStyle name="Normal 32 2" xfId="11847" xr:uid="{00000000-0005-0000-0000-0000BD780000}"/>
    <cellStyle name="Normal 32 2 2" xfId="21551" xr:uid="{00000000-0005-0000-0000-0000BE780000}"/>
    <cellStyle name="Normal 32 2 2 2" xfId="40951" xr:uid="{00000000-0005-0000-0000-0000BF780000}"/>
    <cellStyle name="Normal 32 2 3" xfId="31253" xr:uid="{00000000-0005-0000-0000-0000C0780000}"/>
    <cellStyle name="Normal 32 3" xfId="2551" xr:uid="{00000000-0005-0000-0000-0000C1780000}"/>
    <cellStyle name="Normal 32 4" xfId="12203" xr:uid="{00000000-0005-0000-0000-0000C2780000}"/>
    <cellStyle name="Normal 32 4 2" xfId="31606" xr:uid="{00000000-0005-0000-0000-0000C3780000}"/>
    <cellStyle name="Normal 32 5" xfId="21908" xr:uid="{00000000-0005-0000-0000-0000C4780000}"/>
    <cellStyle name="Normal 33" xfId="968" xr:uid="{00000000-0005-0000-0000-0000C5780000}"/>
    <cellStyle name="Normal 34" xfId="969" xr:uid="{00000000-0005-0000-0000-0000C6780000}"/>
    <cellStyle name="Normal 35" xfId="974" xr:uid="{00000000-0005-0000-0000-0000C7780000}"/>
    <cellStyle name="Normal 35 2" xfId="11851" xr:uid="{00000000-0005-0000-0000-0000C8780000}"/>
    <cellStyle name="Normal 35 2 2" xfId="21555" xr:uid="{00000000-0005-0000-0000-0000C9780000}"/>
    <cellStyle name="Normal 35 2 2 2" xfId="40955" xr:uid="{00000000-0005-0000-0000-0000CA780000}"/>
    <cellStyle name="Normal 35 2 3" xfId="31257" xr:uid="{00000000-0005-0000-0000-0000CB780000}"/>
    <cellStyle name="Normal 35 3" xfId="2493" xr:uid="{00000000-0005-0000-0000-0000CC780000}"/>
    <cellStyle name="Normal 35 4" xfId="12207" xr:uid="{00000000-0005-0000-0000-0000CD780000}"/>
    <cellStyle name="Normal 35 4 2" xfId="31610" xr:uid="{00000000-0005-0000-0000-0000CE780000}"/>
    <cellStyle name="Normal 35 5" xfId="21912" xr:uid="{00000000-0005-0000-0000-0000CF780000}"/>
    <cellStyle name="Normal 36" xfId="976" xr:uid="{00000000-0005-0000-0000-0000D0780000}"/>
    <cellStyle name="Normal 36 2" xfId="11853" xr:uid="{00000000-0005-0000-0000-0000D1780000}"/>
    <cellStyle name="Normal 36 2 2" xfId="21557" xr:uid="{00000000-0005-0000-0000-0000D2780000}"/>
    <cellStyle name="Normal 36 2 2 2" xfId="40957" xr:uid="{00000000-0005-0000-0000-0000D3780000}"/>
    <cellStyle name="Normal 36 2 3" xfId="31259" xr:uid="{00000000-0005-0000-0000-0000D4780000}"/>
    <cellStyle name="Normal 36 3" xfId="2548" xr:uid="{00000000-0005-0000-0000-0000D5780000}"/>
    <cellStyle name="Normal 36 4" xfId="12209" xr:uid="{00000000-0005-0000-0000-0000D6780000}"/>
    <cellStyle name="Normal 36 4 2" xfId="31612" xr:uid="{00000000-0005-0000-0000-0000D7780000}"/>
    <cellStyle name="Normal 36 5" xfId="21914" xr:uid="{00000000-0005-0000-0000-0000D8780000}"/>
    <cellStyle name="Normal 37" xfId="977" xr:uid="{00000000-0005-0000-0000-0000D9780000}"/>
    <cellStyle name="Normal 37 2" xfId="11854" xr:uid="{00000000-0005-0000-0000-0000DA780000}"/>
    <cellStyle name="Normal 37 2 2" xfId="21558" xr:uid="{00000000-0005-0000-0000-0000DB780000}"/>
    <cellStyle name="Normal 37 2 2 2" xfId="40958" xr:uid="{00000000-0005-0000-0000-0000DC780000}"/>
    <cellStyle name="Normal 37 2 3" xfId="31260" xr:uid="{00000000-0005-0000-0000-0000DD780000}"/>
    <cellStyle name="Normal 37 3" xfId="2490" xr:uid="{00000000-0005-0000-0000-0000DE780000}"/>
    <cellStyle name="Normal 37 4" xfId="12210" xr:uid="{00000000-0005-0000-0000-0000DF780000}"/>
    <cellStyle name="Normal 37 4 2" xfId="31613" xr:uid="{00000000-0005-0000-0000-0000E0780000}"/>
    <cellStyle name="Normal 37 5" xfId="21915" xr:uid="{00000000-0005-0000-0000-0000E1780000}"/>
    <cellStyle name="Normal 38" xfId="978" xr:uid="{00000000-0005-0000-0000-0000E2780000}"/>
    <cellStyle name="Normal 39" xfId="981" xr:uid="{00000000-0005-0000-0000-0000E3780000}"/>
    <cellStyle name="Normal 4" xfId="523" xr:uid="{00000000-0005-0000-0000-0000E4780000}"/>
    <cellStyle name="Normal 4 10" xfId="2356" xr:uid="{00000000-0005-0000-0000-0000E5780000}"/>
    <cellStyle name="Normal 4 11" xfId="2357" xr:uid="{00000000-0005-0000-0000-0000E6780000}"/>
    <cellStyle name="Normal 4 11 2" xfId="3303" xr:uid="{00000000-0005-0000-0000-0000E7780000}"/>
    <cellStyle name="Normal 4 11 2 2" xfId="5572" xr:uid="{00000000-0005-0000-0000-0000E8780000}"/>
    <cellStyle name="Normal 4 11 2 2 2" xfId="10036" xr:uid="{00000000-0005-0000-0000-0000E9780000}"/>
    <cellStyle name="Normal 4 11 2 2 2 2" xfId="20032" xr:uid="{00000000-0005-0000-0000-0000EA780000}"/>
    <cellStyle name="Normal 4 11 2 2 2 2 2" xfId="39432" xr:uid="{00000000-0005-0000-0000-0000EB780000}"/>
    <cellStyle name="Normal 4 11 2 2 2 3" xfId="29734" xr:uid="{00000000-0005-0000-0000-0000EC780000}"/>
    <cellStyle name="Normal 4 11 2 2 3" xfId="15577" xr:uid="{00000000-0005-0000-0000-0000ED780000}"/>
    <cellStyle name="Normal 4 11 2 2 3 2" xfId="34977" xr:uid="{00000000-0005-0000-0000-0000EE780000}"/>
    <cellStyle name="Normal 4 11 2 2 4" xfId="25279" xr:uid="{00000000-0005-0000-0000-0000EF780000}"/>
    <cellStyle name="Normal 4 11 2 3" xfId="7808" xr:uid="{00000000-0005-0000-0000-0000F0780000}"/>
    <cellStyle name="Normal 4 11 2 3 2" xfId="17804" xr:uid="{00000000-0005-0000-0000-0000F1780000}"/>
    <cellStyle name="Normal 4 11 2 3 2 2" xfId="37204" xr:uid="{00000000-0005-0000-0000-0000F2780000}"/>
    <cellStyle name="Normal 4 11 2 3 3" xfId="27506" xr:uid="{00000000-0005-0000-0000-0000F3780000}"/>
    <cellStyle name="Normal 4 11 2 4" xfId="13349" xr:uid="{00000000-0005-0000-0000-0000F4780000}"/>
    <cellStyle name="Normal 4 11 2 4 2" xfId="32749" xr:uid="{00000000-0005-0000-0000-0000F5780000}"/>
    <cellStyle name="Normal 4 11 2 5" xfId="23051" xr:uid="{00000000-0005-0000-0000-0000F6780000}"/>
    <cellStyle name="Normal 4 11 3" xfId="3886" xr:uid="{00000000-0005-0000-0000-0000F7780000}"/>
    <cellStyle name="Normal 4 11 3 2" xfId="5016" xr:uid="{00000000-0005-0000-0000-0000F8780000}"/>
    <cellStyle name="Normal 4 11 3 2 2" xfId="9480" xr:uid="{00000000-0005-0000-0000-0000F9780000}"/>
    <cellStyle name="Normal 4 11 3 2 2 2" xfId="19476" xr:uid="{00000000-0005-0000-0000-0000FA780000}"/>
    <cellStyle name="Normal 4 11 3 2 2 2 2" xfId="38876" xr:uid="{00000000-0005-0000-0000-0000FB780000}"/>
    <cellStyle name="Normal 4 11 3 2 2 3" xfId="29178" xr:uid="{00000000-0005-0000-0000-0000FC780000}"/>
    <cellStyle name="Normal 4 11 3 2 3" xfId="15021" xr:uid="{00000000-0005-0000-0000-0000FD780000}"/>
    <cellStyle name="Normal 4 11 3 2 3 2" xfId="34421" xr:uid="{00000000-0005-0000-0000-0000FE780000}"/>
    <cellStyle name="Normal 4 11 3 2 4" xfId="24723" xr:uid="{00000000-0005-0000-0000-0000FF780000}"/>
    <cellStyle name="Normal 4 11 3 3" xfId="8365" xr:uid="{00000000-0005-0000-0000-000000790000}"/>
    <cellStyle name="Normal 4 11 3 3 2" xfId="18361" xr:uid="{00000000-0005-0000-0000-000001790000}"/>
    <cellStyle name="Normal 4 11 3 3 2 2" xfId="37761" xr:uid="{00000000-0005-0000-0000-000002790000}"/>
    <cellStyle name="Normal 4 11 3 3 3" xfId="28063" xr:uid="{00000000-0005-0000-0000-000003790000}"/>
    <cellStyle name="Normal 4 11 3 4" xfId="13906" xr:uid="{00000000-0005-0000-0000-000004790000}"/>
    <cellStyle name="Normal 4 11 3 4 2" xfId="33306" xr:uid="{00000000-0005-0000-0000-000005790000}"/>
    <cellStyle name="Normal 4 11 3 5" xfId="23608" xr:uid="{00000000-0005-0000-0000-000006790000}"/>
    <cellStyle name="Normal 4 11 4" xfId="4459" xr:uid="{00000000-0005-0000-0000-000007790000}"/>
    <cellStyle name="Normal 4 11 4 2" xfId="8923" xr:uid="{00000000-0005-0000-0000-000008790000}"/>
    <cellStyle name="Normal 4 11 4 2 2" xfId="18919" xr:uid="{00000000-0005-0000-0000-000009790000}"/>
    <cellStyle name="Normal 4 11 4 2 2 2" xfId="38319" xr:uid="{00000000-0005-0000-0000-00000A790000}"/>
    <cellStyle name="Normal 4 11 4 2 3" xfId="28621" xr:uid="{00000000-0005-0000-0000-00000B790000}"/>
    <cellStyle name="Normal 4 11 4 3" xfId="14464" xr:uid="{00000000-0005-0000-0000-00000C790000}"/>
    <cellStyle name="Normal 4 11 4 3 2" xfId="33864" xr:uid="{00000000-0005-0000-0000-00000D790000}"/>
    <cellStyle name="Normal 4 11 4 4" xfId="24166" xr:uid="{00000000-0005-0000-0000-00000E790000}"/>
    <cellStyle name="Normal 4 11 5" xfId="6129" xr:uid="{00000000-0005-0000-0000-00000F790000}"/>
    <cellStyle name="Normal 4 11 5 2" xfId="10593" xr:uid="{00000000-0005-0000-0000-000010790000}"/>
    <cellStyle name="Normal 4 11 5 2 2" xfId="20589" xr:uid="{00000000-0005-0000-0000-000011790000}"/>
    <cellStyle name="Normal 4 11 5 2 2 2" xfId="39989" xr:uid="{00000000-0005-0000-0000-000012790000}"/>
    <cellStyle name="Normal 4 11 5 2 3" xfId="30291" xr:uid="{00000000-0005-0000-0000-000013790000}"/>
    <cellStyle name="Normal 4 11 5 3" xfId="16134" xr:uid="{00000000-0005-0000-0000-000014790000}"/>
    <cellStyle name="Normal 4 11 5 3 2" xfId="35534" xr:uid="{00000000-0005-0000-0000-000015790000}"/>
    <cellStyle name="Normal 4 11 5 4" xfId="25836" xr:uid="{00000000-0005-0000-0000-000016790000}"/>
    <cellStyle name="Normal 4 11 6" xfId="6695" xr:uid="{00000000-0005-0000-0000-000017790000}"/>
    <cellStyle name="Normal 4 11 6 2" xfId="11150" xr:uid="{00000000-0005-0000-0000-000018790000}"/>
    <cellStyle name="Normal 4 11 6 2 2" xfId="21146" xr:uid="{00000000-0005-0000-0000-000019790000}"/>
    <cellStyle name="Normal 4 11 6 2 2 2" xfId="40546" xr:uid="{00000000-0005-0000-0000-00001A790000}"/>
    <cellStyle name="Normal 4 11 6 2 3" xfId="30848" xr:uid="{00000000-0005-0000-0000-00001B790000}"/>
    <cellStyle name="Normal 4 11 6 3" xfId="16691" xr:uid="{00000000-0005-0000-0000-00001C790000}"/>
    <cellStyle name="Normal 4 11 6 3 2" xfId="36091" xr:uid="{00000000-0005-0000-0000-00001D790000}"/>
    <cellStyle name="Normal 4 11 6 4" xfId="26393" xr:uid="{00000000-0005-0000-0000-00001E790000}"/>
    <cellStyle name="Normal 4 11 7" xfId="7252" xr:uid="{00000000-0005-0000-0000-00001F790000}"/>
    <cellStyle name="Normal 4 11 7 2" xfId="17248" xr:uid="{00000000-0005-0000-0000-000020790000}"/>
    <cellStyle name="Normal 4 11 7 2 2" xfId="36648" xr:uid="{00000000-0005-0000-0000-000021790000}"/>
    <cellStyle name="Normal 4 11 7 3" xfId="26950" xr:uid="{00000000-0005-0000-0000-000022790000}"/>
    <cellStyle name="Normal 4 11 8" xfId="12792" xr:uid="{00000000-0005-0000-0000-000023790000}"/>
    <cellStyle name="Normal 4 11 8 2" xfId="32193" xr:uid="{00000000-0005-0000-0000-000024790000}"/>
    <cellStyle name="Normal 4 11 9" xfId="22495" xr:uid="{00000000-0005-0000-0000-000025790000}"/>
    <cellStyle name="Normal 4 12" xfId="3457" xr:uid="{00000000-0005-0000-0000-000026790000}"/>
    <cellStyle name="Normal 4 12 2" xfId="4038" xr:uid="{00000000-0005-0000-0000-000027790000}"/>
    <cellStyle name="Normal 4 12 2 2" xfId="5710" xr:uid="{00000000-0005-0000-0000-000028790000}"/>
    <cellStyle name="Normal 4 12 2 2 2" xfId="10174" xr:uid="{00000000-0005-0000-0000-000029790000}"/>
    <cellStyle name="Normal 4 12 2 2 2 2" xfId="20170" xr:uid="{00000000-0005-0000-0000-00002A790000}"/>
    <cellStyle name="Normal 4 12 2 2 2 2 2" xfId="39570" xr:uid="{00000000-0005-0000-0000-00002B790000}"/>
    <cellStyle name="Normal 4 12 2 2 2 3" xfId="29872" xr:uid="{00000000-0005-0000-0000-00002C790000}"/>
    <cellStyle name="Normal 4 12 2 2 3" xfId="15715" xr:uid="{00000000-0005-0000-0000-00002D790000}"/>
    <cellStyle name="Normal 4 12 2 2 3 2" xfId="35115" xr:uid="{00000000-0005-0000-0000-00002E790000}"/>
    <cellStyle name="Normal 4 12 2 2 4" xfId="25417" xr:uid="{00000000-0005-0000-0000-00002F790000}"/>
    <cellStyle name="Normal 4 12 2 3" xfId="8504" xr:uid="{00000000-0005-0000-0000-000030790000}"/>
    <cellStyle name="Normal 4 12 2 3 2" xfId="18500" xr:uid="{00000000-0005-0000-0000-000031790000}"/>
    <cellStyle name="Normal 4 12 2 3 2 2" xfId="37900" xr:uid="{00000000-0005-0000-0000-000032790000}"/>
    <cellStyle name="Normal 4 12 2 3 3" xfId="28202" xr:uid="{00000000-0005-0000-0000-000033790000}"/>
    <cellStyle name="Normal 4 12 2 4" xfId="14045" xr:uid="{00000000-0005-0000-0000-000034790000}"/>
    <cellStyle name="Normal 4 12 2 4 2" xfId="33445" xr:uid="{00000000-0005-0000-0000-000035790000}"/>
    <cellStyle name="Normal 4 12 2 5" xfId="23747" xr:uid="{00000000-0005-0000-0000-000036790000}"/>
    <cellStyle name="Normal 4 12 3" xfId="4597" xr:uid="{00000000-0005-0000-0000-000037790000}"/>
    <cellStyle name="Normal 4 12 3 2" xfId="9061" xr:uid="{00000000-0005-0000-0000-000038790000}"/>
    <cellStyle name="Normal 4 12 3 2 2" xfId="19057" xr:uid="{00000000-0005-0000-0000-000039790000}"/>
    <cellStyle name="Normal 4 12 3 2 2 2" xfId="38457" xr:uid="{00000000-0005-0000-0000-00003A790000}"/>
    <cellStyle name="Normal 4 12 3 2 3" xfId="28759" xr:uid="{00000000-0005-0000-0000-00003B790000}"/>
    <cellStyle name="Normal 4 12 3 3" xfId="14602" xr:uid="{00000000-0005-0000-0000-00003C790000}"/>
    <cellStyle name="Normal 4 12 3 3 2" xfId="34002" xr:uid="{00000000-0005-0000-0000-00003D790000}"/>
    <cellStyle name="Normal 4 12 3 4" xfId="24304" xr:uid="{00000000-0005-0000-0000-00003E790000}"/>
    <cellStyle name="Normal 4 12 4" xfId="6273" xr:uid="{00000000-0005-0000-0000-00003F790000}"/>
    <cellStyle name="Normal 4 12 4 2" xfId="10731" xr:uid="{00000000-0005-0000-0000-000040790000}"/>
    <cellStyle name="Normal 4 12 4 2 2" xfId="20727" xr:uid="{00000000-0005-0000-0000-000041790000}"/>
    <cellStyle name="Normal 4 12 4 2 2 2" xfId="40127" xr:uid="{00000000-0005-0000-0000-000042790000}"/>
    <cellStyle name="Normal 4 12 4 2 3" xfId="30429" xr:uid="{00000000-0005-0000-0000-000043790000}"/>
    <cellStyle name="Normal 4 12 4 3" xfId="16272" xr:uid="{00000000-0005-0000-0000-000044790000}"/>
    <cellStyle name="Normal 4 12 4 3 2" xfId="35672" xr:uid="{00000000-0005-0000-0000-000045790000}"/>
    <cellStyle name="Normal 4 12 4 4" xfId="25974" xr:uid="{00000000-0005-0000-0000-000046790000}"/>
    <cellStyle name="Normal 4 12 5" xfId="6833" xr:uid="{00000000-0005-0000-0000-000047790000}"/>
    <cellStyle name="Normal 4 12 5 2" xfId="11288" xr:uid="{00000000-0005-0000-0000-000048790000}"/>
    <cellStyle name="Normal 4 12 5 2 2" xfId="21284" xr:uid="{00000000-0005-0000-0000-000049790000}"/>
    <cellStyle name="Normal 4 12 5 2 2 2" xfId="40684" xr:uid="{00000000-0005-0000-0000-00004A790000}"/>
    <cellStyle name="Normal 4 12 5 2 3" xfId="30986" xr:uid="{00000000-0005-0000-0000-00004B790000}"/>
    <cellStyle name="Normal 4 12 5 3" xfId="16829" xr:uid="{00000000-0005-0000-0000-00004C790000}"/>
    <cellStyle name="Normal 4 12 5 3 2" xfId="36229" xr:uid="{00000000-0005-0000-0000-00004D790000}"/>
    <cellStyle name="Normal 4 12 5 4" xfId="26531" xr:uid="{00000000-0005-0000-0000-00004E790000}"/>
    <cellStyle name="Normal 4 12 6" xfId="7946" xr:uid="{00000000-0005-0000-0000-00004F790000}"/>
    <cellStyle name="Normal 4 12 6 2" xfId="17942" xr:uid="{00000000-0005-0000-0000-000050790000}"/>
    <cellStyle name="Normal 4 12 6 2 2" xfId="37342" xr:uid="{00000000-0005-0000-0000-000051790000}"/>
    <cellStyle name="Normal 4 12 6 3" xfId="27644" xr:uid="{00000000-0005-0000-0000-000052790000}"/>
    <cellStyle name="Normal 4 12 7" xfId="13487" xr:uid="{00000000-0005-0000-0000-000053790000}"/>
    <cellStyle name="Normal 4 12 7 2" xfId="32887" xr:uid="{00000000-0005-0000-0000-000054790000}"/>
    <cellStyle name="Normal 4 12 8" xfId="23189" xr:uid="{00000000-0005-0000-0000-000055790000}"/>
    <cellStyle name="Normal 4 13" xfId="11296" xr:uid="{00000000-0005-0000-0000-000056790000}"/>
    <cellStyle name="Normal 4 13 2" xfId="21286" xr:uid="{00000000-0005-0000-0000-000057790000}"/>
    <cellStyle name="Normal 4 13 2 2" xfId="40686" xr:uid="{00000000-0005-0000-0000-000058790000}"/>
    <cellStyle name="Normal 4 13 3" xfId="30988" xr:uid="{00000000-0005-0000-0000-000059790000}"/>
    <cellStyle name="Normal 4 14" xfId="11345" xr:uid="{00000000-0005-0000-0000-00005A790000}"/>
    <cellStyle name="Normal 4 14 2" xfId="21327" xr:uid="{00000000-0005-0000-0000-00005B790000}"/>
    <cellStyle name="Normal 4 14 2 2" xfId="40727" xr:uid="{00000000-0005-0000-0000-00005C790000}"/>
    <cellStyle name="Normal 4 14 3" xfId="31029" xr:uid="{00000000-0005-0000-0000-00005D790000}"/>
    <cellStyle name="Normal 4 15" xfId="1540" xr:uid="{00000000-0005-0000-0000-00005E790000}"/>
    <cellStyle name="Normal 4 16" xfId="1141" xr:uid="{00000000-0005-0000-0000-00005F790000}"/>
    <cellStyle name="Normal 4 16 2" xfId="12360" xr:uid="{00000000-0005-0000-0000-000060790000}"/>
    <cellStyle name="Normal 4 16 2 2" xfId="31762" xr:uid="{00000000-0005-0000-0000-000061790000}"/>
    <cellStyle name="Normal 4 16 3" xfId="22064" xr:uid="{00000000-0005-0000-0000-000062790000}"/>
    <cellStyle name="Normal 4 2" xfId="610" xr:uid="{00000000-0005-0000-0000-000063790000}"/>
    <cellStyle name="Normal 4 2 2" xfId="1798" xr:uid="{00000000-0005-0000-0000-000064790000}"/>
    <cellStyle name="Normal 4 2 3" xfId="1541" xr:uid="{00000000-0005-0000-0000-000065790000}"/>
    <cellStyle name="Normal 4 2 4" xfId="1236" xr:uid="{00000000-0005-0000-0000-000066790000}"/>
    <cellStyle name="Normal 4 2 4 2" xfId="12373" xr:uid="{00000000-0005-0000-0000-000067790000}"/>
    <cellStyle name="Normal 4 2 4 2 2" xfId="31775" xr:uid="{00000000-0005-0000-0000-000068790000}"/>
    <cellStyle name="Normal 4 2 4 3" xfId="22077" xr:uid="{00000000-0005-0000-0000-000069790000}"/>
    <cellStyle name="Normal 4 3" xfId="740" xr:uid="{00000000-0005-0000-0000-00006A790000}"/>
    <cellStyle name="Normal 4 3 10" xfId="1542" xr:uid="{00000000-0005-0000-0000-00006B790000}"/>
    <cellStyle name="Normal 4 3 11" xfId="12062" xr:uid="{00000000-0005-0000-0000-00006C790000}"/>
    <cellStyle name="Normal 4 3 11 2" xfId="31465" xr:uid="{00000000-0005-0000-0000-00006D790000}"/>
    <cellStyle name="Normal 4 3 12" xfId="21767" xr:uid="{00000000-0005-0000-0000-00006E790000}"/>
    <cellStyle name="Normal 4 3 2" xfId="1543" xr:uid="{00000000-0005-0000-0000-00006F790000}"/>
    <cellStyle name="Normal 4 3 2 2" xfId="2358" xr:uid="{00000000-0005-0000-0000-000070790000}"/>
    <cellStyle name="Normal 4 3 2 2 10" xfId="7253" xr:uid="{00000000-0005-0000-0000-000071790000}"/>
    <cellStyle name="Normal 4 3 2 2 10 2" xfId="17249" xr:uid="{00000000-0005-0000-0000-000072790000}"/>
    <cellStyle name="Normal 4 3 2 2 10 2 2" xfId="36649" xr:uid="{00000000-0005-0000-0000-000073790000}"/>
    <cellStyle name="Normal 4 3 2 2 10 3" xfId="26951" xr:uid="{00000000-0005-0000-0000-000074790000}"/>
    <cellStyle name="Normal 4 3 2 2 11" xfId="12793" xr:uid="{00000000-0005-0000-0000-000075790000}"/>
    <cellStyle name="Normal 4 3 2 2 11 2" xfId="32194" xr:uid="{00000000-0005-0000-0000-000076790000}"/>
    <cellStyle name="Normal 4 3 2 2 12" xfId="22496" xr:uid="{00000000-0005-0000-0000-000077790000}"/>
    <cellStyle name="Normal 4 3 2 2 2" xfId="2359" xr:uid="{00000000-0005-0000-0000-000078790000}"/>
    <cellStyle name="Normal 4 3 2 2 2 10" xfId="12794" xr:uid="{00000000-0005-0000-0000-000079790000}"/>
    <cellStyle name="Normal 4 3 2 2 2 10 2" xfId="32195" xr:uid="{00000000-0005-0000-0000-00007A790000}"/>
    <cellStyle name="Normal 4 3 2 2 2 11" xfId="22497" xr:uid="{00000000-0005-0000-0000-00007B790000}"/>
    <cellStyle name="Normal 4 3 2 2 2 2" xfId="2360" xr:uid="{00000000-0005-0000-0000-00007C790000}"/>
    <cellStyle name="Normal 4 3 2 2 2 2 2" xfId="3306" xr:uid="{00000000-0005-0000-0000-00007D790000}"/>
    <cellStyle name="Normal 4 3 2 2 2 2 2 2" xfId="5575" xr:uid="{00000000-0005-0000-0000-00007E790000}"/>
    <cellStyle name="Normal 4 3 2 2 2 2 2 2 2" xfId="10039" xr:uid="{00000000-0005-0000-0000-00007F790000}"/>
    <cellStyle name="Normal 4 3 2 2 2 2 2 2 2 2" xfId="20035" xr:uid="{00000000-0005-0000-0000-000080790000}"/>
    <cellStyle name="Normal 4 3 2 2 2 2 2 2 2 2 2" xfId="39435" xr:uid="{00000000-0005-0000-0000-000081790000}"/>
    <cellStyle name="Normal 4 3 2 2 2 2 2 2 2 3" xfId="29737" xr:uid="{00000000-0005-0000-0000-000082790000}"/>
    <cellStyle name="Normal 4 3 2 2 2 2 2 2 3" xfId="15580" xr:uid="{00000000-0005-0000-0000-000083790000}"/>
    <cellStyle name="Normal 4 3 2 2 2 2 2 2 3 2" xfId="34980" xr:uid="{00000000-0005-0000-0000-000084790000}"/>
    <cellStyle name="Normal 4 3 2 2 2 2 2 2 4" xfId="25282" xr:uid="{00000000-0005-0000-0000-000085790000}"/>
    <cellStyle name="Normal 4 3 2 2 2 2 2 3" xfId="7811" xr:uid="{00000000-0005-0000-0000-000086790000}"/>
    <cellStyle name="Normal 4 3 2 2 2 2 2 3 2" xfId="17807" xr:uid="{00000000-0005-0000-0000-000087790000}"/>
    <cellStyle name="Normal 4 3 2 2 2 2 2 3 2 2" xfId="37207" xr:uid="{00000000-0005-0000-0000-000088790000}"/>
    <cellStyle name="Normal 4 3 2 2 2 2 2 3 3" xfId="27509" xr:uid="{00000000-0005-0000-0000-000089790000}"/>
    <cellStyle name="Normal 4 3 2 2 2 2 2 4" xfId="13352" xr:uid="{00000000-0005-0000-0000-00008A790000}"/>
    <cellStyle name="Normal 4 3 2 2 2 2 2 4 2" xfId="32752" xr:uid="{00000000-0005-0000-0000-00008B790000}"/>
    <cellStyle name="Normal 4 3 2 2 2 2 2 5" xfId="23054" xr:uid="{00000000-0005-0000-0000-00008C790000}"/>
    <cellStyle name="Normal 4 3 2 2 2 2 3" xfId="3889" xr:uid="{00000000-0005-0000-0000-00008D790000}"/>
    <cellStyle name="Normal 4 3 2 2 2 2 3 2" xfId="5019" xr:uid="{00000000-0005-0000-0000-00008E790000}"/>
    <cellStyle name="Normal 4 3 2 2 2 2 3 2 2" xfId="9483" xr:uid="{00000000-0005-0000-0000-00008F790000}"/>
    <cellStyle name="Normal 4 3 2 2 2 2 3 2 2 2" xfId="19479" xr:uid="{00000000-0005-0000-0000-000090790000}"/>
    <cellStyle name="Normal 4 3 2 2 2 2 3 2 2 2 2" xfId="38879" xr:uid="{00000000-0005-0000-0000-000091790000}"/>
    <cellStyle name="Normal 4 3 2 2 2 2 3 2 2 3" xfId="29181" xr:uid="{00000000-0005-0000-0000-000092790000}"/>
    <cellStyle name="Normal 4 3 2 2 2 2 3 2 3" xfId="15024" xr:uid="{00000000-0005-0000-0000-000093790000}"/>
    <cellStyle name="Normal 4 3 2 2 2 2 3 2 3 2" xfId="34424" xr:uid="{00000000-0005-0000-0000-000094790000}"/>
    <cellStyle name="Normal 4 3 2 2 2 2 3 2 4" xfId="24726" xr:uid="{00000000-0005-0000-0000-000095790000}"/>
    <cellStyle name="Normal 4 3 2 2 2 2 3 3" xfId="8368" xr:uid="{00000000-0005-0000-0000-000096790000}"/>
    <cellStyle name="Normal 4 3 2 2 2 2 3 3 2" xfId="18364" xr:uid="{00000000-0005-0000-0000-000097790000}"/>
    <cellStyle name="Normal 4 3 2 2 2 2 3 3 2 2" xfId="37764" xr:uid="{00000000-0005-0000-0000-000098790000}"/>
    <cellStyle name="Normal 4 3 2 2 2 2 3 3 3" xfId="28066" xr:uid="{00000000-0005-0000-0000-000099790000}"/>
    <cellStyle name="Normal 4 3 2 2 2 2 3 4" xfId="13909" xr:uid="{00000000-0005-0000-0000-00009A790000}"/>
    <cellStyle name="Normal 4 3 2 2 2 2 3 4 2" xfId="33309" xr:uid="{00000000-0005-0000-0000-00009B790000}"/>
    <cellStyle name="Normal 4 3 2 2 2 2 3 5" xfId="23611" xr:uid="{00000000-0005-0000-0000-00009C790000}"/>
    <cellStyle name="Normal 4 3 2 2 2 2 4" xfId="4462" xr:uid="{00000000-0005-0000-0000-00009D790000}"/>
    <cellStyle name="Normal 4 3 2 2 2 2 4 2" xfId="8926" xr:uid="{00000000-0005-0000-0000-00009E790000}"/>
    <cellStyle name="Normal 4 3 2 2 2 2 4 2 2" xfId="18922" xr:uid="{00000000-0005-0000-0000-00009F790000}"/>
    <cellStyle name="Normal 4 3 2 2 2 2 4 2 2 2" xfId="38322" xr:uid="{00000000-0005-0000-0000-0000A0790000}"/>
    <cellStyle name="Normal 4 3 2 2 2 2 4 2 3" xfId="28624" xr:uid="{00000000-0005-0000-0000-0000A1790000}"/>
    <cellStyle name="Normal 4 3 2 2 2 2 4 3" xfId="14467" xr:uid="{00000000-0005-0000-0000-0000A2790000}"/>
    <cellStyle name="Normal 4 3 2 2 2 2 4 3 2" xfId="33867" xr:uid="{00000000-0005-0000-0000-0000A3790000}"/>
    <cellStyle name="Normal 4 3 2 2 2 2 4 4" xfId="24169" xr:uid="{00000000-0005-0000-0000-0000A4790000}"/>
    <cellStyle name="Normal 4 3 2 2 2 2 5" xfId="6132" xr:uid="{00000000-0005-0000-0000-0000A5790000}"/>
    <cellStyle name="Normal 4 3 2 2 2 2 5 2" xfId="10596" xr:uid="{00000000-0005-0000-0000-0000A6790000}"/>
    <cellStyle name="Normal 4 3 2 2 2 2 5 2 2" xfId="20592" xr:uid="{00000000-0005-0000-0000-0000A7790000}"/>
    <cellStyle name="Normal 4 3 2 2 2 2 5 2 2 2" xfId="39992" xr:uid="{00000000-0005-0000-0000-0000A8790000}"/>
    <cellStyle name="Normal 4 3 2 2 2 2 5 2 3" xfId="30294" xr:uid="{00000000-0005-0000-0000-0000A9790000}"/>
    <cellStyle name="Normal 4 3 2 2 2 2 5 3" xfId="16137" xr:uid="{00000000-0005-0000-0000-0000AA790000}"/>
    <cellStyle name="Normal 4 3 2 2 2 2 5 3 2" xfId="35537" xr:uid="{00000000-0005-0000-0000-0000AB790000}"/>
    <cellStyle name="Normal 4 3 2 2 2 2 5 4" xfId="25839" xr:uid="{00000000-0005-0000-0000-0000AC790000}"/>
    <cellStyle name="Normal 4 3 2 2 2 2 6" xfId="6698" xr:uid="{00000000-0005-0000-0000-0000AD790000}"/>
    <cellStyle name="Normal 4 3 2 2 2 2 6 2" xfId="11153" xr:uid="{00000000-0005-0000-0000-0000AE790000}"/>
    <cellStyle name="Normal 4 3 2 2 2 2 6 2 2" xfId="21149" xr:uid="{00000000-0005-0000-0000-0000AF790000}"/>
    <cellStyle name="Normal 4 3 2 2 2 2 6 2 2 2" xfId="40549" xr:uid="{00000000-0005-0000-0000-0000B0790000}"/>
    <cellStyle name="Normal 4 3 2 2 2 2 6 2 3" xfId="30851" xr:uid="{00000000-0005-0000-0000-0000B1790000}"/>
    <cellStyle name="Normal 4 3 2 2 2 2 6 3" xfId="16694" xr:uid="{00000000-0005-0000-0000-0000B2790000}"/>
    <cellStyle name="Normal 4 3 2 2 2 2 6 3 2" xfId="36094" xr:uid="{00000000-0005-0000-0000-0000B3790000}"/>
    <cellStyle name="Normal 4 3 2 2 2 2 6 4" xfId="26396" xr:uid="{00000000-0005-0000-0000-0000B4790000}"/>
    <cellStyle name="Normal 4 3 2 2 2 2 7" xfId="7255" xr:uid="{00000000-0005-0000-0000-0000B5790000}"/>
    <cellStyle name="Normal 4 3 2 2 2 2 7 2" xfId="17251" xr:uid="{00000000-0005-0000-0000-0000B6790000}"/>
    <cellStyle name="Normal 4 3 2 2 2 2 7 2 2" xfId="36651" xr:uid="{00000000-0005-0000-0000-0000B7790000}"/>
    <cellStyle name="Normal 4 3 2 2 2 2 7 3" xfId="26953" xr:uid="{00000000-0005-0000-0000-0000B8790000}"/>
    <cellStyle name="Normal 4 3 2 2 2 2 8" xfId="12795" xr:uid="{00000000-0005-0000-0000-0000B9790000}"/>
    <cellStyle name="Normal 4 3 2 2 2 2 8 2" xfId="32196" xr:uid="{00000000-0005-0000-0000-0000BA790000}"/>
    <cellStyle name="Normal 4 3 2 2 2 2 9" xfId="22498" xr:uid="{00000000-0005-0000-0000-0000BB790000}"/>
    <cellStyle name="Normal 4 3 2 2 2 3" xfId="2361" xr:uid="{00000000-0005-0000-0000-0000BC790000}"/>
    <cellStyle name="Normal 4 3 2 2 2 3 2" xfId="3307" xr:uid="{00000000-0005-0000-0000-0000BD790000}"/>
    <cellStyle name="Normal 4 3 2 2 2 3 2 2" xfId="5576" xr:uid="{00000000-0005-0000-0000-0000BE790000}"/>
    <cellStyle name="Normal 4 3 2 2 2 3 2 2 2" xfId="10040" xr:uid="{00000000-0005-0000-0000-0000BF790000}"/>
    <cellStyle name="Normal 4 3 2 2 2 3 2 2 2 2" xfId="20036" xr:uid="{00000000-0005-0000-0000-0000C0790000}"/>
    <cellStyle name="Normal 4 3 2 2 2 3 2 2 2 2 2" xfId="39436" xr:uid="{00000000-0005-0000-0000-0000C1790000}"/>
    <cellStyle name="Normal 4 3 2 2 2 3 2 2 2 3" xfId="29738" xr:uid="{00000000-0005-0000-0000-0000C2790000}"/>
    <cellStyle name="Normal 4 3 2 2 2 3 2 2 3" xfId="15581" xr:uid="{00000000-0005-0000-0000-0000C3790000}"/>
    <cellStyle name="Normal 4 3 2 2 2 3 2 2 3 2" xfId="34981" xr:uid="{00000000-0005-0000-0000-0000C4790000}"/>
    <cellStyle name="Normal 4 3 2 2 2 3 2 2 4" xfId="25283" xr:uid="{00000000-0005-0000-0000-0000C5790000}"/>
    <cellStyle name="Normal 4 3 2 2 2 3 2 3" xfId="7812" xr:uid="{00000000-0005-0000-0000-0000C6790000}"/>
    <cellStyle name="Normal 4 3 2 2 2 3 2 3 2" xfId="17808" xr:uid="{00000000-0005-0000-0000-0000C7790000}"/>
    <cellStyle name="Normal 4 3 2 2 2 3 2 3 2 2" xfId="37208" xr:uid="{00000000-0005-0000-0000-0000C8790000}"/>
    <cellStyle name="Normal 4 3 2 2 2 3 2 3 3" xfId="27510" xr:uid="{00000000-0005-0000-0000-0000C9790000}"/>
    <cellStyle name="Normal 4 3 2 2 2 3 2 4" xfId="13353" xr:uid="{00000000-0005-0000-0000-0000CA790000}"/>
    <cellStyle name="Normal 4 3 2 2 2 3 2 4 2" xfId="32753" xr:uid="{00000000-0005-0000-0000-0000CB790000}"/>
    <cellStyle name="Normal 4 3 2 2 2 3 2 5" xfId="23055" xr:uid="{00000000-0005-0000-0000-0000CC790000}"/>
    <cellStyle name="Normal 4 3 2 2 2 3 3" xfId="3890" xr:uid="{00000000-0005-0000-0000-0000CD790000}"/>
    <cellStyle name="Normal 4 3 2 2 2 3 3 2" xfId="5020" xr:uid="{00000000-0005-0000-0000-0000CE790000}"/>
    <cellStyle name="Normal 4 3 2 2 2 3 3 2 2" xfId="9484" xr:uid="{00000000-0005-0000-0000-0000CF790000}"/>
    <cellStyle name="Normal 4 3 2 2 2 3 3 2 2 2" xfId="19480" xr:uid="{00000000-0005-0000-0000-0000D0790000}"/>
    <cellStyle name="Normal 4 3 2 2 2 3 3 2 2 2 2" xfId="38880" xr:uid="{00000000-0005-0000-0000-0000D1790000}"/>
    <cellStyle name="Normal 4 3 2 2 2 3 3 2 2 3" xfId="29182" xr:uid="{00000000-0005-0000-0000-0000D2790000}"/>
    <cellStyle name="Normal 4 3 2 2 2 3 3 2 3" xfId="15025" xr:uid="{00000000-0005-0000-0000-0000D3790000}"/>
    <cellStyle name="Normal 4 3 2 2 2 3 3 2 3 2" xfId="34425" xr:uid="{00000000-0005-0000-0000-0000D4790000}"/>
    <cellStyle name="Normal 4 3 2 2 2 3 3 2 4" xfId="24727" xr:uid="{00000000-0005-0000-0000-0000D5790000}"/>
    <cellStyle name="Normal 4 3 2 2 2 3 3 3" xfId="8369" xr:uid="{00000000-0005-0000-0000-0000D6790000}"/>
    <cellStyle name="Normal 4 3 2 2 2 3 3 3 2" xfId="18365" xr:uid="{00000000-0005-0000-0000-0000D7790000}"/>
    <cellStyle name="Normal 4 3 2 2 2 3 3 3 2 2" xfId="37765" xr:uid="{00000000-0005-0000-0000-0000D8790000}"/>
    <cellStyle name="Normal 4 3 2 2 2 3 3 3 3" xfId="28067" xr:uid="{00000000-0005-0000-0000-0000D9790000}"/>
    <cellStyle name="Normal 4 3 2 2 2 3 3 4" xfId="13910" xr:uid="{00000000-0005-0000-0000-0000DA790000}"/>
    <cellStyle name="Normal 4 3 2 2 2 3 3 4 2" xfId="33310" xr:uid="{00000000-0005-0000-0000-0000DB790000}"/>
    <cellStyle name="Normal 4 3 2 2 2 3 3 5" xfId="23612" xr:uid="{00000000-0005-0000-0000-0000DC790000}"/>
    <cellStyle name="Normal 4 3 2 2 2 3 4" xfId="4463" xr:uid="{00000000-0005-0000-0000-0000DD790000}"/>
    <cellStyle name="Normal 4 3 2 2 2 3 4 2" xfId="8927" xr:uid="{00000000-0005-0000-0000-0000DE790000}"/>
    <cellStyle name="Normal 4 3 2 2 2 3 4 2 2" xfId="18923" xr:uid="{00000000-0005-0000-0000-0000DF790000}"/>
    <cellStyle name="Normal 4 3 2 2 2 3 4 2 2 2" xfId="38323" xr:uid="{00000000-0005-0000-0000-0000E0790000}"/>
    <cellStyle name="Normal 4 3 2 2 2 3 4 2 3" xfId="28625" xr:uid="{00000000-0005-0000-0000-0000E1790000}"/>
    <cellStyle name="Normal 4 3 2 2 2 3 4 3" xfId="14468" xr:uid="{00000000-0005-0000-0000-0000E2790000}"/>
    <cellStyle name="Normal 4 3 2 2 2 3 4 3 2" xfId="33868" xr:uid="{00000000-0005-0000-0000-0000E3790000}"/>
    <cellStyle name="Normal 4 3 2 2 2 3 4 4" xfId="24170" xr:uid="{00000000-0005-0000-0000-0000E4790000}"/>
    <cellStyle name="Normal 4 3 2 2 2 3 5" xfId="6133" xr:uid="{00000000-0005-0000-0000-0000E5790000}"/>
    <cellStyle name="Normal 4 3 2 2 2 3 5 2" xfId="10597" xr:uid="{00000000-0005-0000-0000-0000E6790000}"/>
    <cellStyle name="Normal 4 3 2 2 2 3 5 2 2" xfId="20593" xr:uid="{00000000-0005-0000-0000-0000E7790000}"/>
    <cellStyle name="Normal 4 3 2 2 2 3 5 2 2 2" xfId="39993" xr:uid="{00000000-0005-0000-0000-0000E8790000}"/>
    <cellStyle name="Normal 4 3 2 2 2 3 5 2 3" xfId="30295" xr:uid="{00000000-0005-0000-0000-0000E9790000}"/>
    <cellStyle name="Normal 4 3 2 2 2 3 5 3" xfId="16138" xr:uid="{00000000-0005-0000-0000-0000EA790000}"/>
    <cellStyle name="Normal 4 3 2 2 2 3 5 3 2" xfId="35538" xr:uid="{00000000-0005-0000-0000-0000EB790000}"/>
    <cellStyle name="Normal 4 3 2 2 2 3 5 4" xfId="25840" xr:uid="{00000000-0005-0000-0000-0000EC790000}"/>
    <cellStyle name="Normal 4 3 2 2 2 3 6" xfId="6699" xr:uid="{00000000-0005-0000-0000-0000ED790000}"/>
    <cellStyle name="Normal 4 3 2 2 2 3 6 2" xfId="11154" xr:uid="{00000000-0005-0000-0000-0000EE790000}"/>
    <cellStyle name="Normal 4 3 2 2 2 3 6 2 2" xfId="21150" xr:uid="{00000000-0005-0000-0000-0000EF790000}"/>
    <cellStyle name="Normal 4 3 2 2 2 3 6 2 2 2" xfId="40550" xr:uid="{00000000-0005-0000-0000-0000F0790000}"/>
    <cellStyle name="Normal 4 3 2 2 2 3 6 2 3" xfId="30852" xr:uid="{00000000-0005-0000-0000-0000F1790000}"/>
    <cellStyle name="Normal 4 3 2 2 2 3 6 3" xfId="16695" xr:uid="{00000000-0005-0000-0000-0000F2790000}"/>
    <cellStyle name="Normal 4 3 2 2 2 3 6 3 2" xfId="36095" xr:uid="{00000000-0005-0000-0000-0000F3790000}"/>
    <cellStyle name="Normal 4 3 2 2 2 3 6 4" xfId="26397" xr:uid="{00000000-0005-0000-0000-0000F4790000}"/>
    <cellStyle name="Normal 4 3 2 2 2 3 7" xfId="7256" xr:uid="{00000000-0005-0000-0000-0000F5790000}"/>
    <cellStyle name="Normal 4 3 2 2 2 3 7 2" xfId="17252" xr:uid="{00000000-0005-0000-0000-0000F6790000}"/>
    <cellStyle name="Normal 4 3 2 2 2 3 7 2 2" xfId="36652" xr:uid="{00000000-0005-0000-0000-0000F7790000}"/>
    <cellStyle name="Normal 4 3 2 2 2 3 7 3" xfId="26954" xr:uid="{00000000-0005-0000-0000-0000F8790000}"/>
    <cellStyle name="Normal 4 3 2 2 2 3 8" xfId="12796" xr:uid="{00000000-0005-0000-0000-0000F9790000}"/>
    <cellStyle name="Normal 4 3 2 2 2 3 8 2" xfId="32197" xr:uid="{00000000-0005-0000-0000-0000FA790000}"/>
    <cellStyle name="Normal 4 3 2 2 2 3 9" xfId="22499" xr:uid="{00000000-0005-0000-0000-0000FB790000}"/>
    <cellStyle name="Normal 4 3 2 2 2 4" xfId="3305" xr:uid="{00000000-0005-0000-0000-0000FC790000}"/>
    <cellStyle name="Normal 4 3 2 2 2 4 2" xfId="5574" xr:uid="{00000000-0005-0000-0000-0000FD790000}"/>
    <cellStyle name="Normal 4 3 2 2 2 4 2 2" xfId="10038" xr:uid="{00000000-0005-0000-0000-0000FE790000}"/>
    <cellStyle name="Normal 4 3 2 2 2 4 2 2 2" xfId="20034" xr:uid="{00000000-0005-0000-0000-0000FF790000}"/>
    <cellStyle name="Normal 4 3 2 2 2 4 2 2 2 2" xfId="39434" xr:uid="{00000000-0005-0000-0000-0000007A0000}"/>
    <cellStyle name="Normal 4 3 2 2 2 4 2 2 3" xfId="29736" xr:uid="{00000000-0005-0000-0000-0000017A0000}"/>
    <cellStyle name="Normal 4 3 2 2 2 4 2 3" xfId="15579" xr:uid="{00000000-0005-0000-0000-0000027A0000}"/>
    <cellStyle name="Normal 4 3 2 2 2 4 2 3 2" xfId="34979" xr:uid="{00000000-0005-0000-0000-0000037A0000}"/>
    <cellStyle name="Normal 4 3 2 2 2 4 2 4" xfId="25281" xr:uid="{00000000-0005-0000-0000-0000047A0000}"/>
    <cellStyle name="Normal 4 3 2 2 2 4 3" xfId="7810" xr:uid="{00000000-0005-0000-0000-0000057A0000}"/>
    <cellStyle name="Normal 4 3 2 2 2 4 3 2" xfId="17806" xr:uid="{00000000-0005-0000-0000-0000067A0000}"/>
    <cellStyle name="Normal 4 3 2 2 2 4 3 2 2" xfId="37206" xr:uid="{00000000-0005-0000-0000-0000077A0000}"/>
    <cellStyle name="Normal 4 3 2 2 2 4 3 3" xfId="27508" xr:uid="{00000000-0005-0000-0000-0000087A0000}"/>
    <cellStyle name="Normal 4 3 2 2 2 4 4" xfId="13351" xr:uid="{00000000-0005-0000-0000-0000097A0000}"/>
    <cellStyle name="Normal 4 3 2 2 2 4 4 2" xfId="32751" xr:uid="{00000000-0005-0000-0000-00000A7A0000}"/>
    <cellStyle name="Normal 4 3 2 2 2 4 5" xfId="23053" xr:uid="{00000000-0005-0000-0000-00000B7A0000}"/>
    <cellStyle name="Normal 4 3 2 2 2 5" xfId="3888" xr:uid="{00000000-0005-0000-0000-00000C7A0000}"/>
    <cellStyle name="Normal 4 3 2 2 2 5 2" xfId="5018" xr:uid="{00000000-0005-0000-0000-00000D7A0000}"/>
    <cellStyle name="Normal 4 3 2 2 2 5 2 2" xfId="9482" xr:uid="{00000000-0005-0000-0000-00000E7A0000}"/>
    <cellStyle name="Normal 4 3 2 2 2 5 2 2 2" xfId="19478" xr:uid="{00000000-0005-0000-0000-00000F7A0000}"/>
    <cellStyle name="Normal 4 3 2 2 2 5 2 2 2 2" xfId="38878" xr:uid="{00000000-0005-0000-0000-0000107A0000}"/>
    <cellStyle name="Normal 4 3 2 2 2 5 2 2 3" xfId="29180" xr:uid="{00000000-0005-0000-0000-0000117A0000}"/>
    <cellStyle name="Normal 4 3 2 2 2 5 2 3" xfId="15023" xr:uid="{00000000-0005-0000-0000-0000127A0000}"/>
    <cellStyle name="Normal 4 3 2 2 2 5 2 3 2" xfId="34423" xr:uid="{00000000-0005-0000-0000-0000137A0000}"/>
    <cellStyle name="Normal 4 3 2 2 2 5 2 4" xfId="24725" xr:uid="{00000000-0005-0000-0000-0000147A0000}"/>
    <cellStyle name="Normal 4 3 2 2 2 5 3" xfId="8367" xr:uid="{00000000-0005-0000-0000-0000157A0000}"/>
    <cellStyle name="Normal 4 3 2 2 2 5 3 2" xfId="18363" xr:uid="{00000000-0005-0000-0000-0000167A0000}"/>
    <cellStyle name="Normal 4 3 2 2 2 5 3 2 2" xfId="37763" xr:uid="{00000000-0005-0000-0000-0000177A0000}"/>
    <cellStyle name="Normal 4 3 2 2 2 5 3 3" xfId="28065" xr:uid="{00000000-0005-0000-0000-0000187A0000}"/>
    <cellStyle name="Normal 4 3 2 2 2 5 4" xfId="13908" xr:uid="{00000000-0005-0000-0000-0000197A0000}"/>
    <cellStyle name="Normal 4 3 2 2 2 5 4 2" xfId="33308" xr:uid="{00000000-0005-0000-0000-00001A7A0000}"/>
    <cellStyle name="Normal 4 3 2 2 2 5 5" xfId="23610" xr:uid="{00000000-0005-0000-0000-00001B7A0000}"/>
    <cellStyle name="Normal 4 3 2 2 2 6" xfId="4461" xr:uid="{00000000-0005-0000-0000-00001C7A0000}"/>
    <cellStyle name="Normal 4 3 2 2 2 6 2" xfId="8925" xr:uid="{00000000-0005-0000-0000-00001D7A0000}"/>
    <cellStyle name="Normal 4 3 2 2 2 6 2 2" xfId="18921" xr:uid="{00000000-0005-0000-0000-00001E7A0000}"/>
    <cellStyle name="Normal 4 3 2 2 2 6 2 2 2" xfId="38321" xr:uid="{00000000-0005-0000-0000-00001F7A0000}"/>
    <cellStyle name="Normal 4 3 2 2 2 6 2 3" xfId="28623" xr:uid="{00000000-0005-0000-0000-0000207A0000}"/>
    <cellStyle name="Normal 4 3 2 2 2 6 3" xfId="14466" xr:uid="{00000000-0005-0000-0000-0000217A0000}"/>
    <cellStyle name="Normal 4 3 2 2 2 6 3 2" xfId="33866" xr:uid="{00000000-0005-0000-0000-0000227A0000}"/>
    <cellStyle name="Normal 4 3 2 2 2 6 4" xfId="24168" xr:uid="{00000000-0005-0000-0000-0000237A0000}"/>
    <cellStyle name="Normal 4 3 2 2 2 7" xfId="6131" xr:uid="{00000000-0005-0000-0000-0000247A0000}"/>
    <cellStyle name="Normal 4 3 2 2 2 7 2" xfId="10595" xr:uid="{00000000-0005-0000-0000-0000257A0000}"/>
    <cellStyle name="Normal 4 3 2 2 2 7 2 2" xfId="20591" xr:uid="{00000000-0005-0000-0000-0000267A0000}"/>
    <cellStyle name="Normal 4 3 2 2 2 7 2 2 2" xfId="39991" xr:uid="{00000000-0005-0000-0000-0000277A0000}"/>
    <cellStyle name="Normal 4 3 2 2 2 7 2 3" xfId="30293" xr:uid="{00000000-0005-0000-0000-0000287A0000}"/>
    <cellStyle name="Normal 4 3 2 2 2 7 3" xfId="16136" xr:uid="{00000000-0005-0000-0000-0000297A0000}"/>
    <cellStyle name="Normal 4 3 2 2 2 7 3 2" xfId="35536" xr:uid="{00000000-0005-0000-0000-00002A7A0000}"/>
    <cellStyle name="Normal 4 3 2 2 2 7 4" xfId="25838" xr:uid="{00000000-0005-0000-0000-00002B7A0000}"/>
    <cellStyle name="Normal 4 3 2 2 2 8" xfId="6697" xr:uid="{00000000-0005-0000-0000-00002C7A0000}"/>
    <cellStyle name="Normal 4 3 2 2 2 8 2" xfId="11152" xr:uid="{00000000-0005-0000-0000-00002D7A0000}"/>
    <cellStyle name="Normal 4 3 2 2 2 8 2 2" xfId="21148" xr:uid="{00000000-0005-0000-0000-00002E7A0000}"/>
    <cellStyle name="Normal 4 3 2 2 2 8 2 2 2" xfId="40548" xr:uid="{00000000-0005-0000-0000-00002F7A0000}"/>
    <cellStyle name="Normal 4 3 2 2 2 8 2 3" xfId="30850" xr:uid="{00000000-0005-0000-0000-0000307A0000}"/>
    <cellStyle name="Normal 4 3 2 2 2 8 3" xfId="16693" xr:uid="{00000000-0005-0000-0000-0000317A0000}"/>
    <cellStyle name="Normal 4 3 2 2 2 8 3 2" xfId="36093" xr:uid="{00000000-0005-0000-0000-0000327A0000}"/>
    <cellStyle name="Normal 4 3 2 2 2 8 4" xfId="26395" xr:uid="{00000000-0005-0000-0000-0000337A0000}"/>
    <cellStyle name="Normal 4 3 2 2 2 9" xfId="7254" xr:uid="{00000000-0005-0000-0000-0000347A0000}"/>
    <cellStyle name="Normal 4 3 2 2 2 9 2" xfId="17250" xr:uid="{00000000-0005-0000-0000-0000357A0000}"/>
    <cellStyle name="Normal 4 3 2 2 2 9 2 2" xfId="36650" xr:uid="{00000000-0005-0000-0000-0000367A0000}"/>
    <cellStyle name="Normal 4 3 2 2 2 9 3" xfId="26952" xr:uid="{00000000-0005-0000-0000-0000377A0000}"/>
    <cellStyle name="Normal 4 3 2 2 3" xfId="2362" xr:uid="{00000000-0005-0000-0000-0000387A0000}"/>
    <cellStyle name="Normal 4 3 2 2 3 2" xfId="3308" xr:uid="{00000000-0005-0000-0000-0000397A0000}"/>
    <cellStyle name="Normal 4 3 2 2 3 2 2" xfId="5577" xr:uid="{00000000-0005-0000-0000-00003A7A0000}"/>
    <cellStyle name="Normal 4 3 2 2 3 2 2 2" xfId="10041" xr:uid="{00000000-0005-0000-0000-00003B7A0000}"/>
    <cellStyle name="Normal 4 3 2 2 3 2 2 2 2" xfId="20037" xr:uid="{00000000-0005-0000-0000-00003C7A0000}"/>
    <cellStyle name="Normal 4 3 2 2 3 2 2 2 2 2" xfId="39437" xr:uid="{00000000-0005-0000-0000-00003D7A0000}"/>
    <cellStyle name="Normal 4 3 2 2 3 2 2 2 3" xfId="29739" xr:uid="{00000000-0005-0000-0000-00003E7A0000}"/>
    <cellStyle name="Normal 4 3 2 2 3 2 2 3" xfId="15582" xr:uid="{00000000-0005-0000-0000-00003F7A0000}"/>
    <cellStyle name="Normal 4 3 2 2 3 2 2 3 2" xfId="34982" xr:uid="{00000000-0005-0000-0000-0000407A0000}"/>
    <cellStyle name="Normal 4 3 2 2 3 2 2 4" xfId="25284" xr:uid="{00000000-0005-0000-0000-0000417A0000}"/>
    <cellStyle name="Normal 4 3 2 2 3 2 3" xfId="7813" xr:uid="{00000000-0005-0000-0000-0000427A0000}"/>
    <cellStyle name="Normal 4 3 2 2 3 2 3 2" xfId="17809" xr:uid="{00000000-0005-0000-0000-0000437A0000}"/>
    <cellStyle name="Normal 4 3 2 2 3 2 3 2 2" xfId="37209" xr:uid="{00000000-0005-0000-0000-0000447A0000}"/>
    <cellStyle name="Normal 4 3 2 2 3 2 3 3" xfId="27511" xr:uid="{00000000-0005-0000-0000-0000457A0000}"/>
    <cellStyle name="Normal 4 3 2 2 3 2 4" xfId="13354" xr:uid="{00000000-0005-0000-0000-0000467A0000}"/>
    <cellStyle name="Normal 4 3 2 2 3 2 4 2" xfId="32754" xr:uid="{00000000-0005-0000-0000-0000477A0000}"/>
    <cellStyle name="Normal 4 3 2 2 3 2 5" xfId="23056" xr:uid="{00000000-0005-0000-0000-0000487A0000}"/>
    <cellStyle name="Normal 4 3 2 2 3 3" xfId="3891" xr:uid="{00000000-0005-0000-0000-0000497A0000}"/>
    <cellStyle name="Normal 4 3 2 2 3 3 2" xfId="5021" xr:uid="{00000000-0005-0000-0000-00004A7A0000}"/>
    <cellStyle name="Normal 4 3 2 2 3 3 2 2" xfId="9485" xr:uid="{00000000-0005-0000-0000-00004B7A0000}"/>
    <cellStyle name="Normal 4 3 2 2 3 3 2 2 2" xfId="19481" xr:uid="{00000000-0005-0000-0000-00004C7A0000}"/>
    <cellStyle name="Normal 4 3 2 2 3 3 2 2 2 2" xfId="38881" xr:uid="{00000000-0005-0000-0000-00004D7A0000}"/>
    <cellStyle name="Normal 4 3 2 2 3 3 2 2 3" xfId="29183" xr:uid="{00000000-0005-0000-0000-00004E7A0000}"/>
    <cellStyle name="Normal 4 3 2 2 3 3 2 3" xfId="15026" xr:uid="{00000000-0005-0000-0000-00004F7A0000}"/>
    <cellStyle name="Normal 4 3 2 2 3 3 2 3 2" xfId="34426" xr:uid="{00000000-0005-0000-0000-0000507A0000}"/>
    <cellStyle name="Normal 4 3 2 2 3 3 2 4" xfId="24728" xr:uid="{00000000-0005-0000-0000-0000517A0000}"/>
    <cellStyle name="Normal 4 3 2 2 3 3 3" xfId="8370" xr:uid="{00000000-0005-0000-0000-0000527A0000}"/>
    <cellStyle name="Normal 4 3 2 2 3 3 3 2" xfId="18366" xr:uid="{00000000-0005-0000-0000-0000537A0000}"/>
    <cellStyle name="Normal 4 3 2 2 3 3 3 2 2" xfId="37766" xr:uid="{00000000-0005-0000-0000-0000547A0000}"/>
    <cellStyle name="Normal 4 3 2 2 3 3 3 3" xfId="28068" xr:uid="{00000000-0005-0000-0000-0000557A0000}"/>
    <cellStyle name="Normal 4 3 2 2 3 3 4" xfId="13911" xr:uid="{00000000-0005-0000-0000-0000567A0000}"/>
    <cellStyle name="Normal 4 3 2 2 3 3 4 2" xfId="33311" xr:uid="{00000000-0005-0000-0000-0000577A0000}"/>
    <cellStyle name="Normal 4 3 2 2 3 3 5" xfId="23613" xr:uid="{00000000-0005-0000-0000-0000587A0000}"/>
    <cellStyle name="Normal 4 3 2 2 3 4" xfId="4464" xr:uid="{00000000-0005-0000-0000-0000597A0000}"/>
    <cellStyle name="Normal 4 3 2 2 3 4 2" xfId="8928" xr:uid="{00000000-0005-0000-0000-00005A7A0000}"/>
    <cellStyle name="Normal 4 3 2 2 3 4 2 2" xfId="18924" xr:uid="{00000000-0005-0000-0000-00005B7A0000}"/>
    <cellStyle name="Normal 4 3 2 2 3 4 2 2 2" xfId="38324" xr:uid="{00000000-0005-0000-0000-00005C7A0000}"/>
    <cellStyle name="Normal 4 3 2 2 3 4 2 3" xfId="28626" xr:uid="{00000000-0005-0000-0000-00005D7A0000}"/>
    <cellStyle name="Normal 4 3 2 2 3 4 3" xfId="14469" xr:uid="{00000000-0005-0000-0000-00005E7A0000}"/>
    <cellStyle name="Normal 4 3 2 2 3 4 3 2" xfId="33869" xr:uid="{00000000-0005-0000-0000-00005F7A0000}"/>
    <cellStyle name="Normal 4 3 2 2 3 4 4" xfId="24171" xr:uid="{00000000-0005-0000-0000-0000607A0000}"/>
    <cellStyle name="Normal 4 3 2 2 3 5" xfId="6134" xr:uid="{00000000-0005-0000-0000-0000617A0000}"/>
    <cellStyle name="Normal 4 3 2 2 3 5 2" xfId="10598" xr:uid="{00000000-0005-0000-0000-0000627A0000}"/>
    <cellStyle name="Normal 4 3 2 2 3 5 2 2" xfId="20594" xr:uid="{00000000-0005-0000-0000-0000637A0000}"/>
    <cellStyle name="Normal 4 3 2 2 3 5 2 2 2" xfId="39994" xr:uid="{00000000-0005-0000-0000-0000647A0000}"/>
    <cellStyle name="Normal 4 3 2 2 3 5 2 3" xfId="30296" xr:uid="{00000000-0005-0000-0000-0000657A0000}"/>
    <cellStyle name="Normal 4 3 2 2 3 5 3" xfId="16139" xr:uid="{00000000-0005-0000-0000-0000667A0000}"/>
    <cellStyle name="Normal 4 3 2 2 3 5 3 2" xfId="35539" xr:uid="{00000000-0005-0000-0000-0000677A0000}"/>
    <cellStyle name="Normal 4 3 2 2 3 5 4" xfId="25841" xr:uid="{00000000-0005-0000-0000-0000687A0000}"/>
    <cellStyle name="Normal 4 3 2 2 3 6" xfId="6700" xr:uid="{00000000-0005-0000-0000-0000697A0000}"/>
    <cellStyle name="Normal 4 3 2 2 3 6 2" xfId="11155" xr:uid="{00000000-0005-0000-0000-00006A7A0000}"/>
    <cellStyle name="Normal 4 3 2 2 3 6 2 2" xfId="21151" xr:uid="{00000000-0005-0000-0000-00006B7A0000}"/>
    <cellStyle name="Normal 4 3 2 2 3 6 2 2 2" xfId="40551" xr:uid="{00000000-0005-0000-0000-00006C7A0000}"/>
    <cellStyle name="Normal 4 3 2 2 3 6 2 3" xfId="30853" xr:uid="{00000000-0005-0000-0000-00006D7A0000}"/>
    <cellStyle name="Normal 4 3 2 2 3 6 3" xfId="16696" xr:uid="{00000000-0005-0000-0000-00006E7A0000}"/>
    <cellStyle name="Normal 4 3 2 2 3 6 3 2" xfId="36096" xr:uid="{00000000-0005-0000-0000-00006F7A0000}"/>
    <cellStyle name="Normal 4 3 2 2 3 6 4" xfId="26398" xr:uid="{00000000-0005-0000-0000-0000707A0000}"/>
    <cellStyle name="Normal 4 3 2 2 3 7" xfId="7257" xr:uid="{00000000-0005-0000-0000-0000717A0000}"/>
    <cellStyle name="Normal 4 3 2 2 3 7 2" xfId="17253" xr:uid="{00000000-0005-0000-0000-0000727A0000}"/>
    <cellStyle name="Normal 4 3 2 2 3 7 2 2" xfId="36653" xr:uid="{00000000-0005-0000-0000-0000737A0000}"/>
    <cellStyle name="Normal 4 3 2 2 3 7 3" xfId="26955" xr:uid="{00000000-0005-0000-0000-0000747A0000}"/>
    <cellStyle name="Normal 4 3 2 2 3 8" xfId="12797" xr:uid="{00000000-0005-0000-0000-0000757A0000}"/>
    <cellStyle name="Normal 4 3 2 2 3 8 2" xfId="32198" xr:uid="{00000000-0005-0000-0000-0000767A0000}"/>
    <cellStyle name="Normal 4 3 2 2 3 9" xfId="22500" xr:uid="{00000000-0005-0000-0000-0000777A0000}"/>
    <cellStyle name="Normal 4 3 2 2 4" xfId="2363" xr:uid="{00000000-0005-0000-0000-0000787A0000}"/>
    <cellStyle name="Normal 4 3 2 2 4 2" xfId="3309" xr:uid="{00000000-0005-0000-0000-0000797A0000}"/>
    <cellStyle name="Normal 4 3 2 2 4 2 2" xfId="5578" xr:uid="{00000000-0005-0000-0000-00007A7A0000}"/>
    <cellStyle name="Normal 4 3 2 2 4 2 2 2" xfId="10042" xr:uid="{00000000-0005-0000-0000-00007B7A0000}"/>
    <cellStyle name="Normal 4 3 2 2 4 2 2 2 2" xfId="20038" xr:uid="{00000000-0005-0000-0000-00007C7A0000}"/>
    <cellStyle name="Normal 4 3 2 2 4 2 2 2 2 2" xfId="39438" xr:uid="{00000000-0005-0000-0000-00007D7A0000}"/>
    <cellStyle name="Normal 4 3 2 2 4 2 2 2 3" xfId="29740" xr:uid="{00000000-0005-0000-0000-00007E7A0000}"/>
    <cellStyle name="Normal 4 3 2 2 4 2 2 3" xfId="15583" xr:uid="{00000000-0005-0000-0000-00007F7A0000}"/>
    <cellStyle name="Normal 4 3 2 2 4 2 2 3 2" xfId="34983" xr:uid="{00000000-0005-0000-0000-0000807A0000}"/>
    <cellStyle name="Normal 4 3 2 2 4 2 2 4" xfId="25285" xr:uid="{00000000-0005-0000-0000-0000817A0000}"/>
    <cellStyle name="Normal 4 3 2 2 4 2 3" xfId="7814" xr:uid="{00000000-0005-0000-0000-0000827A0000}"/>
    <cellStyle name="Normal 4 3 2 2 4 2 3 2" xfId="17810" xr:uid="{00000000-0005-0000-0000-0000837A0000}"/>
    <cellStyle name="Normal 4 3 2 2 4 2 3 2 2" xfId="37210" xr:uid="{00000000-0005-0000-0000-0000847A0000}"/>
    <cellStyle name="Normal 4 3 2 2 4 2 3 3" xfId="27512" xr:uid="{00000000-0005-0000-0000-0000857A0000}"/>
    <cellStyle name="Normal 4 3 2 2 4 2 4" xfId="13355" xr:uid="{00000000-0005-0000-0000-0000867A0000}"/>
    <cellStyle name="Normal 4 3 2 2 4 2 4 2" xfId="32755" xr:uid="{00000000-0005-0000-0000-0000877A0000}"/>
    <cellStyle name="Normal 4 3 2 2 4 2 5" xfId="23057" xr:uid="{00000000-0005-0000-0000-0000887A0000}"/>
    <cellStyle name="Normal 4 3 2 2 4 3" xfId="3892" xr:uid="{00000000-0005-0000-0000-0000897A0000}"/>
    <cellStyle name="Normal 4 3 2 2 4 3 2" xfId="5022" xr:uid="{00000000-0005-0000-0000-00008A7A0000}"/>
    <cellStyle name="Normal 4 3 2 2 4 3 2 2" xfId="9486" xr:uid="{00000000-0005-0000-0000-00008B7A0000}"/>
    <cellStyle name="Normal 4 3 2 2 4 3 2 2 2" xfId="19482" xr:uid="{00000000-0005-0000-0000-00008C7A0000}"/>
    <cellStyle name="Normal 4 3 2 2 4 3 2 2 2 2" xfId="38882" xr:uid="{00000000-0005-0000-0000-00008D7A0000}"/>
    <cellStyle name="Normal 4 3 2 2 4 3 2 2 3" xfId="29184" xr:uid="{00000000-0005-0000-0000-00008E7A0000}"/>
    <cellStyle name="Normal 4 3 2 2 4 3 2 3" xfId="15027" xr:uid="{00000000-0005-0000-0000-00008F7A0000}"/>
    <cellStyle name="Normal 4 3 2 2 4 3 2 3 2" xfId="34427" xr:uid="{00000000-0005-0000-0000-0000907A0000}"/>
    <cellStyle name="Normal 4 3 2 2 4 3 2 4" xfId="24729" xr:uid="{00000000-0005-0000-0000-0000917A0000}"/>
    <cellStyle name="Normal 4 3 2 2 4 3 3" xfId="8371" xr:uid="{00000000-0005-0000-0000-0000927A0000}"/>
    <cellStyle name="Normal 4 3 2 2 4 3 3 2" xfId="18367" xr:uid="{00000000-0005-0000-0000-0000937A0000}"/>
    <cellStyle name="Normal 4 3 2 2 4 3 3 2 2" xfId="37767" xr:uid="{00000000-0005-0000-0000-0000947A0000}"/>
    <cellStyle name="Normal 4 3 2 2 4 3 3 3" xfId="28069" xr:uid="{00000000-0005-0000-0000-0000957A0000}"/>
    <cellStyle name="Normal 4 3 2 2 4 3 4" xfId="13912" xr:uid="{00000000-0005-0000-0000-0000967A0000}"/>
    <cellStyle name="Normal 4 3 2 2 4 3 4 2" xfId="33312" xr:uid="{00000000-0005-0000-0000-0000977A0000}"/>
    <cellStyle name="Normal 4 3 2 2 4 3 5" xfId="23614" xr:uid="{00000000-0005-0000-0000-0000987A0000}"/>
    <cellStyle name="Normal 4 3 2 2 4 4" xfId="4465" xr:uid="{00000000-0005-0000-0000-0000997A0000}"/>
    <cellStyle name="Normal 4 3 2 2 4 4 2" xfId="8929" xr:uid="{00000000-0005-0000-0000-00009A7A0000}"/>
    <cellStyle name="Normal 4 3 2 2 4 4 2 2" xfId="18925" xr:uid="{00000000-0005-0000-0000-00009B7A0000}"/>
    <cellStyle name="Normal 4 3 2 2 4 4 2 2 2" xfId="38325" xr:uid="{00000000-0005-0000-0000-00009C7A0000}"/>
    <cellStyle name="Normal 4 3 2 2 4 4 2 3" xfId="28627" xr:uid="{00000000-0005-0000-0000-00009D7A0000}"/>
    <cellStyle name="Normal 4 3 2 2 4 4 3" xfId="14470" xr:uid="{00000000-0005-0000-0000-00009E7A0000}"/>
    <cellStyle name="Normal 4 3 2 2 4 4 3 2" xfId="33870" xr:uid="{00000000-0005-0000-0000-00009F7A0000}"/>
    <cellStyle name="Normal 4 3 2 2 4 4 4" xfId="24172" xr:uid="{00000000-0005-0000-0000-0000A07A0000}"/>
    <cellStyle name="Normal 4 3 2 2 4 5" xfId="6135" xr:uid="{00000000-0005-0000-0000-0000A17A0000}"/>
    <cellStyle name="Normal 4 3 2 2 4 5 2" xfId="10599" xr:uid="{00000000-0005-0000-0000-0000A27A0000}"/>
    <cellStyle name="Normal 4 3 2 2 4 5 2 2" xfId="20595" xr:uid="{00000000-0005-0000-0000-0000A37A0000}"/>
    <cellStyle name="Normal 4 3 2 2 4 5 2 2 2" xfId="39995" xr:uid="{00000000-0005-0000-0000-0000A47A0000}"/>
    <cellStyle name="Normal 4 3 2 2 4 5 2 3" xfId="30297" xr:uid="{00000000-0005-0000-0000-0000A57A0000}"/>
    <cellStyle name="Normal 4 3 2 2 4 5 3" xfId="16140" xr:uid="{00000000-0005-0000-0000-0000A67A0000}"/>
    <cellStyle name="Normal 4 3 2 2 4 5 3 2" xfId="35540" xr:uid="{00000000-0005-0000-0000-0000A77A0000}"/>
    <cellStyle name="Normal 4 3 2 2 4 5 4" xfId="25842" xr:uid="{00000000-0005-0000-0000-0000A87A0000}"/>
    <cellStyle name="Normal 4 3 2 2 4 6" xfId="6701" xr:uid="{00000000-0005-0000-0000-0000A97A0000}"/>
    <cellStyle name="Normal 4 3 2 2 4 6 2" xfId="11156" xr:uid="{00000000-0005-0000-0000-0000AA7A0000}"/>
    <cellStyle name="Normal 4 3 2 2 4 6 2 2" xfId="21152" xr:uid="{00000000-0005-0000-0000-0000AB7A0000}"/>
    <cellStyle name="Normal 4 3 2 2 4 6 2 2 2" xfId="40552" xr:uid="{00000000-0005-0000-0000-0000AC7A0000}"/>
    <cellStyle name="Normal 4 3 2 2 4 6 2 3" xfId="30854" xr:uid="{00000000-0005-0000-0000-0000AD7A0000}"/>
    <cellStyle name="Normal 4 3 2 2 4 6 3" xfId="16697" xr:uid="{00000000-0005-0000-0000-0000AE7A0000}"/>
    <cellStyle name="Normal 4 3 2 2 4 6 3 2" xfId="36097" xr:uid="{00000000-0005-0000-0000-0000AF7A0000}"/>
    <cellStyle name="Normal 4 3 2 2 4 6 4" xfId="26399" xr:uid="{00000000-0005-0000-0000-0000B07A0000}"/>
    <cellStyle name="Normal 4 3 2 2 4 7" xfId="7258" xr:uid="{00000000-0005-0000-0000-0000B17A0000}"/>
    <cellStyle name="Normal 4 3 2 2 4 7 2" xfId="17254" xr:uid="{00000000-0005-0000-0000-0000B27A0000}"/>
    <cellStyle name="Normal 4 3 2 2 4 7 2 2" xfId="36654" xr:uid="{00000000-0005-0000-0000-0000B37A0000}"/>
    <cellStyle name="Normal 4 3 2 2 4 7 3" xfId="26956" xr:uid="{00000000-0005-0000-0000-0000B47A0000}"/>
    <cellStyle name="Normal 4 3 2 2 4 8" xfId="12798" xr:uid="{00000000-0005-0000-0000-0000B57A0000}"/>
    <cellStyle name="Normal 4 3 2 2 4 8 2" xfId="32199" xr:uid="{00000000-0005-0000-0000-0000B67A0000}"/>
    <cellStyle name="Normal 4 3 2 2 4 9" xfId="22501" xr:uid="{00000000-0005-0000-0000-0000B77A0000}"/>
    <cellStyle name="Normal 4 3 2 2 5" xfId="3304" xr:uid="{00000000-0005-0000-0000-0000B87A0000}"/>
    <cellStyle name="Normal 4 3 2 2 5 2" xfId="5573" xr:uid="{00000000-0005-0000-0000-0000B97A0000}"/>
    <cellStyle name="Normal 4 3 2 2 5 2 2" xfId="10037" xr:uid="{00000000-0005-0000-0000-0000BA7A0000}"/>
    <cellStyle name="Normal 4 3 2 2 5 2 2 2" xfId="20033" xr:uid="{00000000-0005-0000-0000-0000BB7A0000}"/>
    <cellStyle name="Normal 4 3 2 2 5 2 2 2 2" xfId="39433" xr:uid="{00000000-0005-0000-0000-0000BC7A0000}"/>
    <cellStyle name="Normal 4 3 2 2 5 2 2 3" xfId="29735" xr:uid="{00000000-0005-0000-0000-0000BD7A0000}"/>
    <cellStyle name="Normal 4 3 2 2 5 2 3" xfId="15578" xr:uid="{00000000-0005-0000-0000-0000BE7A0000}"/>
    <cellStyle name="Normal 4 3 2 2 5 2 3 2" xfId="34978" xr:uid="{00000000-0005-0000-0000-0000BF7A0000}"/>
    <cellStyle name="Normal 4 3 2 2 5 2 4" xfId="25280" xr:uid="{00000000-0005-0000-0000-0000C07A0000}"/>
    <cellStyle name="Normal 4 3 2 2 5 3" xfId="7809" xr:uid="{00000000-0005-0000-0000-0000C17A0000}"/>
    <cellStyle name="Normal 4 3 2 2 5 3 2" xfId="17805" xr:uid="{00000000-0005-0000-0000-0000C27A0000}"/>
    <cellStyle name="Normal 4 3 2 2 5 3 2 2" xfId="37205" xr:uid="{00000000-0005-0000-0000-0000C37A0000}"/>
    <cellStyle name="Normal 4 3 2 2 5 3 3" xfId="27507" xr:uid="{00000000-0005-0000-0000-0000C47A0000}"/>
    <cellStyle name="Normal 4 3 2 2 5 4" xfId="13350" xr:uid="{00000000-0005-0000-0000-0000C57A0000}"/>
    <cellStyle name="Normal 4 3 2 2 5 4 2" xfId="32750" xr:uid="{00000000-0005-0000-0000-0000C67A0000}"/>
    <cellStyle name="Normal 4 3 2 2 5 5" xfId="23052" xr:uid="{00000000-0005-0000-0000-0000C77A0000}"/>
    <cellStyle name="Normal 4 3 2 2 6" xfId="3887" xr:uid="{00000000-0005-0000-0000-0000C87A0000}"/>
    <cellStyle name="Normal 4 3 2 2 6 2" xfId="5017" xr:uid="{00000000-0005-0000-0000-0000C97A0000}"/>
    <cellStyle name="Normal 4 3 2 2 6 2 2" xfId="9481" xr:uid="{00000000-0005-0000-0000-0000CA7A0000}"/>
    <cellStyle name="Normal 4 3 2 2 6 2 2 2" xfId="19477" xr:uid="{00000000-0005-0000-0000-0000CB7A0000}"/>
    <cellStyle name="Normal 4 3 2 2 6 2 2 2 2" xfId="38877" xr:uid="{00000000-0005-0000-0000-0000CC7A0000}"/>
    <cellStyle name="Normal 4 3 2 2 6 2 2 3" xfId="29179" xr:uid="{00000000-0005-0000-0000-0000CD7A0000}"/>
    <cellStyle name="Normal 4 3 2 2 6 2 3" xfId="15022" xr:uid="{00000000-0005-0000-0000-0000CE7A0000}"/>
    <cellStyle name="Normal 4 3 2 2 6 2 3 2" xfId="34422" xr:uid="{00000000-0005-0000-0000-0000CF7A0000}"/>
    <cellStyle name="Normal 4 3 2 2 6 2 4" xfId="24724" xr:uid="{00000000-0005-0000-0000-0000D07A0000}"/>
    <cellStyle name="Normal 4 3 2 2 6 3" xfId="8366" xr:uid="{00000000-0005-0000-0000-0000D17A0000}"/>
    <cellStyle name="Normal 4 3 2 2 6 3 2" xfId="18362" xr:uid="{00000000-0005-0000-0000-0000D27A0000}"/>
    <cellStyle name="Normal 4 3 2 2 6 3 2 2" xfId="37762" xr:uid="{00000000-0005-0000-0000-0000D37A0000}"/>
    <cellStyle name="Normal 4 3 2 2 6 3 3" xfId="28064" xr:uid="{00000000-0005-0000-0000-0000D47A0000}"/>
    <cellStyle name="Normal 4 3 2 2 6 4" xfId="13907" xr:uid="{00000000-0005-0000-0000-0000D57A0000}"/>
    <cellStyle name="Normal 4 3 2 2 6 4 2" xfId="33307" xr:uid="{00000000-0005-0000-0000-0000D67A0000}"/>
    <cellStyle name="Normal 4 3 2 2 6 5" xfId="23609" xr:uid="{00000000-0005-0000-0000-0000D77A0000}"/>
    <cellStyle name="Normal 4 3 2 2 7" xfId="4460" xr:uid="{00000000-0005-0000-0000-0000D87A0000}"/>
    <cellStyle name="Normal 4 3 2 2 7 2" xfId="8924" xr:uid="{00000000-0005-0000-0000-0000D97A0000}"/>
    <cellStyle name="Normal 4 3 2 2 7 2 2" xfId="18920" xr:uid="{00000000-0005-0000-0000-0000DA7A0000}"/>
    <cellStyle name="Normal 4 3 2 2 7 2 2 2" xfId="38320" xr:uid="{00000000-0005-0000-0000-0000DB7A0000}"/>
    <cellStyle name="Normal 4 3 2 2 7 2 3" xfId="28622" xr:uid="{00000000-0005-0000-0000-0000DC7A0000}"/>
    <cellStyle name="Normal 4 3 2 2 7 3" xfId="14465" xr:uid="{00000000-0005-0000-0000-0000DD7A0000}"/>
    <cellStyle name="Normal 4 3 2 2 7 3 2" xfId="33865" xr:uid="{00000000-0005-0000-0000-0000DE7A0000}"/>
    <cellStyle name="Normal 4 3 2 2 7 4" xfId="24167" xr:uid="{00000000-0005-0000-0000-0000DF7A0000}"/>
    <cellStyle name="Normal 4 3 2 2 8" xfId="6130" xr:uid="{00000000-0005-0000-0000-0000E07A0000}"/>
    <cellStyle name="Normal 4 3 2 2 8 2" xfId="10594" xr:uid="{00000000-0005-0000-0000-0000E17A0000}"/>
    <cellStyle name="Normal 4 3 2 2 8 2 2" xfId="20590" xr:uid="{00000000-0005-0000-0000-0000E27A0000}"/>
    <cellStyle name="Normal 4 3 2 2 8 2 2 2" xfId="39990" xr:uid="{00000000-0005-0000-0000-0000E37A0000}"/>
    <cellStyle name="Normal 4 3 2 2 8 2 3" xfId="30292" xr:uid="{00000000-0005-0000-0000-0000E47A0000}"/>
    <cellStyle name="Normal 4 3 2 2 8 3" xfId="16135" xr:uid="{00000000-0005-0000-0000-0000E57A0000}"/>
    <cellStyle name="Normal 4 3 2 2 8 3 2" xfId="35535" xr:uid="{00000000-0005-0000-0000-0000E67A0000}"/>
    <cellStyle name="Normal 4 3 2 2 8 4" xfId="25837" xr:uid="{00000000-0005-0000-0000-0000E77A0000}"/>
    <cellStyle name="Normal 4 3 2 2 9" xfId="6696" xr:uid="{00000000-0005-0000-0000-0000E87A0000}"/>
    <cellStyle name="Normal 4 3 2 2 9 2" xfId="11151" xr:uid="{00000000-0005-0000-0000-0000E97A0000}"/>
    <cellStyle name="Normal 4 3 2 2 9 2 2" xfId="21147" xr:uid="{00000000-0005-0000-0000-0000EA7A0000}"/>
    <cellStyle name="Normal 4 3 2 2 9 2 2 2" xfId="40547" xr:uid="{00000000-0005-0000-0000-0000EB7A0000}"/>
    <cellStyle name="Normal 4 3 2 2 9 2 3" xfId="30849" xr:uid="{00000000-0005-0000-0000-0000EC7A0000}"/>
    <cellStyle name="Normal 4 3 2 2 9 3" xfId="16692" xr:uid="{00000000-0005-0000-0000-0000ED7A0000}"/>
    <cellStyle name="Normal 4 3 2 2 9 3 2" xfId="36092" xr:uid="{00000000-0005-0000-0000-0000EE7A0000}"/>
    <cellStyle name="Normal 4 3 2 2 9 4" xfId="26394" xr:uid="{00000000-0005-0000-0000-0000EF7A0000}"/>
    <cellStyle name="Normal 4 3 2 3" xfId="2364" xr:uid="{00000000-0005-0000-0000-0000F07A0000}"/>
    <cellStyle name="Normal 4 3 2 3 10" xfId="12799" xr:uid="{00000000-0005-0000-0000-0000F17A0000}"/>
    <cellStyle name="Normal 4 3 2 3 10 2" xfId="32200" xr:uid="{00000000-0005-0000-0000-0000F27A0000}"/>
    <cellStyle name="Normal 4 3 2 3 11" xfId="22502" xr:uid="{00000000-0005-0000-0000-0000F37A0000}"/>
    <cellStyle name="Normal 4 3 2 3 2" xfId="2365" xr:uid="{00000000-0005-0000-0000-0000F47A0000}"/>
    <cellStyle name="Normal 4 3 2 3 2 2" xfId="3311" xr:uid="{00000000-0005-0000-0000-0000F57A0000}"/>
    <cellStyle name="Normal 4 3 2 3 2 2 2" xfId="5580" xr:uid="{00000000-0005-0000-0000-0000F67A0000}"/>
    <cellStyle name="Normal 4 3 2 3 2 2 2 2" xfId="10044" xr:uid="{00000000-0005-0000-0000-0000F77A0000}"/>
    <cellStyle name="Normal 4 3 2 3 2 2 2 2 2" xfId="20040" xr:uid="{00000000-0005-0000-0000-0000F87A0000}"/>
    <cellStyle name="Normal 4 3 2 3 2 2 2 2 2 2" xfId="39440" xr:uid="{00000000-0005-0000-0000-0000F97A0000}"/>
    <cellStyle name="Normal 4 3 2 3 2 2 2 2 3" xfId="29742" xr:uid="{00000000-0005-0000-0000-0000FA7A0000}"/>
    <cellStyle name="Normal 4 3 2 3 2 2 2 3" xfId="15585" xr:uid="{00000000-0005-0000-0000-0000FB7A0000}"/>
    <cellStyle name="Normal 4 3 2 3 2 2 2 3 2" xfId="34985" xr:uid="{00000000-0005-0000-0000-0000FC7A0000}"/>
    <cellStyle name="Normal 4 3 2 3 2 2 2 4" xfId="25287" xr:uid="{00000000-0005-0000-0000-0000FD7A0000}"/>
    <cellStyle name="Normal 4 3 2 3 2 2 3" xfId="7816" xr:uid="{00000000-0005-0000-0000-0000FE7A0000}"/>
    <cellStyle name="Normal 4 3 2 3 2 2 3 2" xfId="17812" xr:uid="{00000000-0005-0000-0000-0000FF7A0000}"/>
    <cellStyle name="Normal 4 3 2 3 2 2 3 2 2" xfId="37212" xr:uid="{00000000-0005-0000-0000-0000007B0000}"/>
    <cellStyle name="Normal 4 3 2 3 2 2 3 3" xfId="27514" xr:uid="{00000000-0005-0000-0000-0000017B0000}"/>
    <cellStyle name="Normal 4 3 2 3 2 2 4" xfId="13357" xr:uid="{00000000-0005-0000-0000-0000027B0000}"/>
    <cellStyle name="Normal 4 3 2 3 2 2 4 2" xfId="32757" xr:uid="{00000000-0005-0000-0000-0000037B0000}"/>
    <cellStyle name="Normal 4 3 2 3 2 2 5" xfId="23059" xr:uid="{00000000-0005-0000-0000-0000047B0000}"/>
    <cellStyle name="Normal 4 3 2 3 2 3" xfId="3894" xr:uid="{00000000-0005-0000-0000-0000057B0000}"/>
    <cellStyle name="Normal 4 3 2 3 2 3 2" xfId="5024" xr:uid="{00000000-0005-0000-0000-0000067B0000}"/>
    <cellStyle name="Normal 4 3 2 3 2 3 2 2" xfId="9488" xr:uid="{00000000-0005-0000-0000-0000077B0000}"/>
    <cellStyle name="Normal 4 3 2 3 2 3 2 2 2" xfId="19484" xr:uid="{00000000-0005-0000-0000-0000087B0000}"/>
    <cellStyle name="Normal 4 3 2 3 2 3 2 2 2 2" xfId="38884" xr:uid="{00000000-0005-0000-0000-0000097B0000}"/>
    <cellStyle name="Normal 4 3 2 3 2 3 2 2 3" xfId="29186" xr:uid="{00000000-0005-0000-0000-00000A7B0000}"/>
    <cellStyle name="Normal 4 3 2 3 2 3 2 3" xfId="15029" xr:uid="{00000000-0005-0000-0000-00000B7B0000}"/>
    <cellStyle name="Normal 4 3 2 3 2 3 2 3 2" xfId="34429" xr:uid="{00000000-0005-0000-0000-00000C7B0000}"/>
    <cellStyle name="Normal 4 3 2 3 2 3 2 4" xfId="24731" xr:uid="{00000000-0005-0000-0000-00000D7B0000}"/>
    <cellStyle name="Normal 4 3 2 3 2 3 3" xfId="8373" xr:uid="{00000000-0005-0000-0000-00000E7B0000}"/>
    <cellStyle name="Normal 4 3 2 3 2 3 3 2" xfId="18369" xr:uid="{00000000-0005-0000-0000-00000F7B0000}"/>
    <cellStyle name="Normal 4 3 2 3 2 3 3 2 2" xfId="37769" xr:uid="{00000000-0005-0000-0000-0000107B0000}"/>
    <cellStyle name="Normal 4 3 2 3 2 3 3 3" xfId="28071" xr:uid="{00000000-0005-0000-0000-0000117B0000}"/>
    <cellStyle name="Normal 4 3 2 3 2 3 4" xfId="13914" xr:uid="{00000000-0005-0000-0000-0000127B0000}"/>
    <cellStyle name="Normal 4 3 2 3 2 3 4 2" xfId="33314" xr:uid="{00000000-0005-0000-0000-0000137B0000}"/>
    <cellStyle name="Normal 4 3 2 3 2 3 5" xfId="23616" xr:uid="{00000000-0005-0000-0000-0000147B0000}"/>
    <cellStyle name="Normal 4 3 2 3 2 4" xfId="4467" xr:uid="{00000000-0005-0000-0000-0000157B0000}"/>
    <cellStyle name="Normal 4 3 2 3 2 4 2" xfId="8931" xr:uid="{00000000-0005-0000-0000-0000167B0000}"/>
    <cellStyle name="Normal 4 3 2 3 2 4 2 2" xfId="18927" xr:uid="{00000000-0005-0000-0000-0000177B0000}"/>
    <cellStyle name="Normal 4 3 2 3 2 4 2 2 2" xfId="38327" xr:uid="{00000000-0005-0000-0000-0000187B0000}"/>
    <cellStyle name="Normal 4 3 2 3 2 4 2 3" xfId="28629" xr:uid="{00000000-0005-0000-0000-0000197B0000}"/>
    <cellStyle name="Normal 4 3 2 3 2 4 3" xfId="14472" xr:uid="{00000000-0005-0000-0000-00001A7B0000}"/>
    <cellStyle name="Normal 4 3 2 3 2 4 3 2" xfId="33872" xr:uid="{00000000-0005-0000-0000-00001B7B0000}"/>
    <cellStyle name="Normal 4 3 2 3 2 4 4" xfId="24174" xr:uid="{00000000-0005-0000-0000-00001C7B0000}"/>
    <cellStyle name="Normal 4 3 2 3 2 5" xfId="6137" xr:uid="{00000000-0005-0000-0000-00001D7B0000}"/>
    <cellStyle name="Normal 4 3 2 3 2 5 2" xfId="10601" xr:uid="{00000000-0005-0000-0000-00001E7B0000}"/>
    <cellStyle name="Normal 4 3 2 3 2 5 2 2" xfId="20597" xr:uid="{00000000-0005-0000-0000-00001F7B0000}"/>
    <cellStyle name="Normal 4 3 2 3 2 5 2 2 2" xfId="39997" xr:uid="{00000000-0005-0000-0000-0000207B0000}"/>
    <cellStyle name="Normal 4 3 2 3 2 5 2 3" xfId="30299" xr:uid="{00000000-0005-0000-0000-0000217B0000}"/>
    <cellStyle name="Normal 4 3 2 3 2 5 3" xfId="16142" xr:uid="{00000000-0005-0000-0000-0000227B0000}"/>
    <cellStyle name="Normal 4 3 2 3 2 5 3 2" xfId="35542" xr:uid="{00000000-0005-0000-0000-0000237B0000}"/>
    <cellStyle name="Normal 4 3 2 3 2 5 4" xfId="25844" xr:uid="{00000000-0005-0000-0000-0000247B0000}"/>
    <cellStyle name="Normal 4 3 2 3 2 6" xfId="6703" xr:uid="{00000000-0005-0000-0000-0000257B0000}"/>
    <cellStyle name="Normal 4 3 2 3 2 6 2" xfId="11158" xr:uid="{00000000-0005-0000-0000-0000267B0000}"/>
    <cellStyle name="Normal 4 3 2 3 2 6 2 2" xfId="21154" xr:uid="{00000000-0005-0000-0000-0000277B0000}"/>
    <cellStyle name="Normal 4 3 2 3 2 6 2 2 2" xfId="40554" xr:uid="{00000000-0005-0000-0000-0000287B0000}"/>
    <cellStyle name="Normal 4 3 2 3 2 6 2 3" xfId="30856" xr:uid="{00000000-0005-0000-0000-0000297B0000}"/>
    <cellStyle name="Normal 4 3 2 3 2 6 3" xfId="16699" xr:uid="{00000000-0005-0000-0000-00002A7B0000}"/>
    <cellStyle name="Normal 4 3 2 3 2 6 3 2" xfId="36099" xr:uid="{00000000-0005-0000-0000-00002B7B0000}"/>
    <cellStyle name="Normal 4 3 2 3 2 6 4" xfId="26401" xr:uid="{00000000-0005-0000-0000-00002C7B0000}"/>
    <cellStyle name="Normal 4 3 2 3 2 7" xfId="7260" xr:uid="{00000000-0005-0000-0000-00002D7B0000}"/>
    <cellStyle name="Normal 4 3 2 3 2 7 2" xfId="17256" xr:uid="{00000000-0005-0000-0000-00002E7B0000}"/>
    <cellStyle name="Normal 4 3 2 3 2 7 2 2" xfId="36656" xr:uid="{00000000-0005-0000-0000-00002F7B0000}"/>
    <cellStyle name="Normal 4 3 2 3 2 7 3" xfId="26958" xr:uid="{00000000-0005-0000-0000-0000307B0000}"/>
    <cellStyle name="Normal 4 3 2 3 2 8" xfId="12800" xr:uid="{00000000-0005-0000-0000-0000317B0000}"/>
    <cellStyle name="Normal 4 3 2 3 2 8 2" xfId="32201" xr:uid="{00000000-0005-0000-0000-0000327B0000}"/>
    <cellStyle name="Normal 4 3 2 3 2 9" xfId="22503" xr:uid="{00000000-0005-0000-0000-0000337B0000}"/>
    <cellStyle name="Normal 4 3 2 3 3" xfId="2366" xr:uid="{00000000-0005-0000-0000-0000347B0000}"/>
    <cellStyle name="Normal 4 3 2 3 3 2" xfId="3312" xr:uid="{00000000-0005-0000-0000-0000357B0000}"/>
    <cellStyle name="Normal 4 3 2 3 3 2 2" xfId="5581" xr:uid="{00000000-0005-0000-0000-0000367B0000}"/>
    <cellStyle name="Normal 4 3 2 3 3 2 2 2" xfId="10045" xr:uid="{00000000-0005-0000-0000-0000377B0000}"/>
    <cellStyle name="Normal 4 3 2 3 3 2 2 2 2" xfId="20041" xr:uid="{00000000-0005-0000-0000-0000387B0000}"/>
    <cellStyle name="Normal 4 3 2 3 3 2 2 2 2 2" xfId="39441" xr:uid="{00000000-0005-0000-0000-0000397B0000}"/>
    <cellStyle name="Normal 4 3 2 3 3 2 2 2 3" xfId="29743" xr:uid="{00000000-0005-0000-0000-00003A7B0000}"/>
    <cellStyle name="Normal 4 3 2 3 3 2 2 3" xfId="15586" xr:uid="{00000000-0005-0000-0000-00003B7B0000}"/>
    <cellStyle name="Normal 4 3 2 3 3 2 2 3 2" xfId="34986" xr:uid="{00000000-0005-0000-0000-00003C7B0000}"/>
    <cellStyle name="Normal 4 3 2 3 3 2 2 4" xfId="25288" xr:uid="{00000000-0005-0000-0000-00003D7B0000}"/>
    <cellStyle name="Normal 4 3 2 3 3 2 3" xfId="7817" xr:uid="{00000000-0005-0000-0000-00003E7B0000}"/>
    <cellStyle name="Normal 4 3 2 3 3 2 3 2" xfId="17813" xr:uid="{00000000-0005-0000-0000-00003F7B0000}"/>
    <cellStyle name="Normal 4 3 2 3 3 2 3 2 2" xfId="37213" xr:uid="{00000000-0005-0000-0000-0000407B0000}"/>
    <cellStyle name="Normal 4 3 2 3 3 2 3 3" xfId="27515" xr:uid="{00000000-0005-0000-0000-0000417B0000}"/>
    <cellStyle name="Normal 4 3 2 3 3 2 4" xfId="13358" xr:uid="{00000000-0005-0000-0000-0000427B0000}"/>
    <cellStyle name="Normal 4 3 2 3 3 2 4 2" xfId="32758" xr:uid="{00000000-0005-0000-0000-0000437B0000}"/>
    <cellStyle name="Normal 4 3 2 3 3 2 5" xfId="23060" xr:uid="{00000000-0005-0000-0000-0000447B0000}"/>
    <cellStyle name="Normal 4 3 2 3 3 3" xfId="3895" xr:uid="{00000000-0005-0000-0000-0000457B0000}"/>
    <cellStyle name="Normal 4 3 2 3 3 3 2" xfId="5025" xr:uid="{00000000-0005-0000-0000-0000467B0000}"/>
    <cellStyle name="Normal 4 3 2 3 3 3 2 2" xfId="9489" xr:uid="{00000000-0005-0000-0000-0000477B0000}"/>
    <cellStyle name="Normal 4 3 2 3 3 3 2 2 2" xfId="19485" xr:uid="{00000000-0005-0000-0000-0000487B0000}"/>
    <cellStyle name="Normal 4 3 2 3 3 3 2 2 2 2" xfId="38885" xr:uid="{00000000-0005-0000-0000-0000497B0000}"/>
    <cellStyle name="Normal 4 3 2 3 3 3 2 2 3" xfId="29187" xr:uid="{00000000-0005-0000-0000-00004A7B0000}"/>
    <cellStyle name="Normal 4 3 2 3 3 3 2 3" xfId="15030" xr:uid="{00000000-0005-0000-0000-00004B7B0000}"/>
    <cellStyle name="Normal 4 3 2 3 3 3 2 3 2" xfId="34430" xr:uid="{00000000-0005-0000-0000-00004C7B0000}"/>
    <cellStyle name="Normal 4 3 2 3 3 3 2 4" xfId="24732" xr:uid="{00000000-0005-0000-0000-00004D7B0000}"/>
    <cellStyle name="Normal 4 3 2 3 3 3 3" xfId="8374" xr:uid="{00000000-0005-0000-0000-00004E7B0000}"/>
    <cellStyle name="Normal 4 3 2 3 3 3 3 2" xfId="18370" xr:uid="{00000000-0005-0000-0000-00004F7B0000}"/>
    <cellStyle name="Normal 4 3 2 3 3 3 3 2 2" xfId="37770" xr:uid="{00000000-0005-0000-0000-0000507B0000}"/>
    <cellStyle name="Normal 4 3 2 3 3 3 3 3" xfId="28072" xr:uid="{00000000-0005-0000-0000-0000517B0000}"/>
    <cellStyle name="Normal 4 3 2 3 3 3 4" xfId="13915" xr:uid="{00000000-0005-0000-0000-0000527B0000}"/>
    <cellStyle name="Normal 4 3 2 3 3 3 4 2" xfId="33315" xr:uid="{00000000-0005-0000-0000-0000537B0000}"/>
    <cellStyle name="Normal 4 3 2 3 3 3 5" xfId="23617" xr:uid="{00000000-0005-0000-0000-0000547B0000}"/>
    <cellStyle name="Normal 4 3 2 3 3 4" xfId="4468" xr:uid="{00000000-0005-0000-0000-0000557B0000}"/>
    <cellStyle name="Normal 4 3 2 3 3 4 2" xfId="8932" xr:uid="{00000000-0005-0000-0000-0000567B0000}"/>
    <cellStyle name="Normal 4 3 2 3 3 4 2 2" xfId="18928" xr:uid="{00000000-0005-0000-0000-0000577B0000}"/>
    <cellStyle name="Normal 4 3 2 3 3 4 2 2 2" xfId="38328" xr:uid="{00000000-0005-0000-0000-0000587B0000}"/>
    <cellStyle name="Normal 4 3 2 3 3 4 2 3" xfId="28630" xr:uid="{00000000-0005-0000-0000-0000597B0000}"/>
    <cellStyle name="Normal 4 3 2 3 3 4 3" xfId="14473" xr:uid="{00000000-0005-0000-0000-00005A7B0000}"/>
    <cellStyle name="Normal 4 3 2 3 3 4 3 2" xfId="33873" xr:uid="{00000000-0005-0000-0000-00005B7B0000}"/>
    <cellStyle name="Normal 4 3 2 3 3 4 4" xfId="24175" xr:uid="{00000000-0005-0000-0000-00005C7B0000}"/>
    <cellStyle name="Normal 4 3 2 3 3 5" xfId="6138" xr:uid="{00000000-0005-0000-0000-00005D7B0000}"/>
    <cellStyle name="Normal 4 3 2 3 3 5 2" xfId="10602" xr:uid="{00000000-0005-0000-0000-00005E7B0000}"/>
    <cellStyle name="Normal 4 3 2 3 3 5 2 2" xfId="20598" xr:uid="{00000000-0005-0000-0000-00005F7B0000}"/>
    <cellStyle name="Normal 4 3 2 3 3 5 2 2 2" xfId="39998" xr:uid="{00000000-0005-0000-0000-0000607B0000}"/>
    <cellStyle name="Normal 4 3 2 3 3 5 2 3" xfId="30300" xr:uid="{00000000-0005-0000-0000-0000617B0000}"/>
    <cellStyle name="Normal 4 3 2 3 3 5 3" xfId="16143" xr:uid="{00000000-0005-0000-0000-0000627B0000}"/>
    <cellStyle name="Normal 4 3 2 3 3 5 3 2" xfId="35543" xr:uid="{00000000-0005-0000-0000-0000637B0000}"/>
    <cellStyle name="Normal 4 3 2 3 3 5 4" xfId="25845" xr:uid="{00000000-0005-0000-0000-0000647B0000}"/>
    <cellStyle name="Normal 4 3 2 3 3 6" xfId="6704" xr:uid="{00000000-0005-0000-0000-0000657B0000}"/>
    <cellStyle name="Normal 4 3 2 3 3 6 2" xfId="11159" xr:uid="{00000000-0005-0000-0000-0000667B0000}"/>
    <cellStyle name="Normal 4 3 2 3 3 6 2 2" xfId="21155" xr:uid="{00000000-0005-0000-0000-0000677B0000}"/>
    <cellStyle name="Normal 4 3 2 3 3 6 2 2 2" xfId="40555" xr:uid="{00000000-0005-0000-0000-0000687B0000}"/>
    <cellStyle name="Normal 4 3 2 3 3 6 2 3" xfId="30857" xr:uid="{00000000-0005-0000-0000-0000697B0000}"/>
    <cellStyle name="Normal 4 3 2 3 3 6 3" xfId="16700" xr:uid="{00000000-0005-0000-0000-00006A7B0000}"/>
    <cellStyle name="Normal 4 3 2 3 3 6 3 2" xfId="36100" xr:uid="{00000000-0005-0000-0000-00006B7B0000}"/>
    <cellStyle name="Normal 4 3 2 3 3 6 4" xfId="26402" xr:uid="{00000000-0005-0000-0000-00006C7B0000}"/>
    <cellStyle name="Normal 4 3 2 3 3 7" xfId="7261" xr:uid="{00000000-0005-0000-0000-00006D7B0000}"/>
    <cellStyle name="Normal 4 3 2 3 3 7 2" xfId="17257" xr:uid="{00000000-0005-0000-0000-00006E7B0000}"/>
    <cellStyle name="Normal 4 3 2 3 3 7 2 2" xfId="36657" xr:uid="{00000000-0005-0000-0000-00006F7B0000}"/>
    <cellStyle name="Normal 4 3 2 3 3 7 3" xfId="26959" xr:uid="{00000000-0005-0000-0000-0000707B0000}"/>
    <cellStyle name="Normal 4 3 2 3 3 8" xfId="12801" xr:uid="{00000000-0005-0000-0000-0000717B0000}"/>
    <cellStyle name="Normal 4 3 2 3 3 8 2" xfId="32202" xr:uid="{00000000-0005-0000-0000-0000727B0000}"/>
    <cellStyle name="Normal 4 3 2 3 3 9" xfId="22504" xr:uid="{00000000-0005-0000-0000-0000737B0000}"/>
    <cellStyle name="Normal 4 3 2 3 4" xfId="3310" xr:uid="{00000000-0005-0000-0000-0000747B0000}"/>
    <cellStyle name="Normal 4 3 2 3 4 2" xfId="5579" xr:uid="{00000000-0005-0000-0000-0000757B0000}"/>
    <cellStyle name="Normal 4 3 2 3 4 2 2" xfId="10043" xr:uid="{00000000-0005-0000-0000-0000767B0000}"/>
    <cellStyle name="Normal 4 3 2 3 4 2 2 2" xfId="20039" xr:uid="{00000000-0005-0000-0000-0000777B0000}"/>
    <cellStyle name="Normal 4 3 2 3 4 2 2 2 2" xfId="39439" xr:uid="{00000000-0005-0000-0000-0000787B0000}"/>
    <cellStyle name="Normal 4 3 2 3 4 2 2 3" xfId="29741" xr:uid="{00000000-0005-0000-0000-0000797B0000}"/>
    <cellStyle name="Normal 4 3 2 3 4 2 3" xfId="15584" xr:uid="{00000000-0005-0000-0000-00007A7B0000}"/>
    <cellStyle name="Normal 4 3 2 3 4 2 3 2" xfId="34984" xr:uid="{00000000-0005-0000-0000-00007B7B0000}"/>
    <cellStyle name="Normal 4 3 2 3 4 2 4" xfId="25286" xr:uid="{00000000-0005-0000-0000-00007C7B0000}"/>
    <cellStyle name="Normal 4 3 2 3 4 3" xfId="7815" xr:uid="{00000000-0005-0000-0000-00007D7B0000}"/>
    <cellStyle name="Normal 4 3 2 3 4 3 2" xfId="17811" xr:uid="{00000000-0005-0000-0000-00007E7B0000}"/>
    <cellStyle name="Normal 4 3 2 3 4 3 2 2" xfId="37211" xr:uid="{00000000-0005-0000-0000-00007F7B0000}"/>
    <cellStyle name="Normal 4 3 2 3 4 3 3" xfId="27513" xr:uid="{00000000-0005-0000-0000-0000807B0000}"/>
    <cellStyle name="Normal 4 3 2 3 4 4" xfId="13356" xr:uid="{00000000-0005-0000-0000-0000817B0000}"/>
    <cellStyle name="Normal 4 3 2 3 4 4 2" xfId="32756" xr:uid="{00000000-0005-0000-0000-0000827B0000}"/>
    <cellStyle name="Normal 4 3 2 3 4 5" xfId="23058" xr:uid="{00000000-0005-0000-0000-0000837B0000}"/>
    <cellStyle name="Normal 4 3 2 3 5" xfId="3893" xr:uid="{00000000-0005-0000-0000-0000847B0000}"/>
    <cellStyle name="Normal 4 3 2 3 5 2" xfId="5023" xr:uid="{00000000-0005-0000-0000-0000857B0000}"/>
    <cellStyle name="Normal 4 3 2 3 5 2 2" xfId="9487" xr:uid="{00000000-0005-0000-0000-0000867B0000}"/>
    <cellStyle name="Normal 4 3 2 3 5 2 2 2" xfId="19483" xr:uid="{00000000-0005-0000-0000-0000877B0000}"/>
    <cellStyle name="Normal 4 3 2 3 5 2 2 2 2" xfId="38883" xr:uid="{00000000-0005-0000-0000-0000887B0000}"/>
    <cellStyle name="Normal 4 3 2 3 5 2 2 3" xfId="29185" xr:uid="{00000000-0005-0000-0000-0000897B0000}"/>
    <cellStyle name="Normal 4 3 2 3 5 2 3" xfId="15028" xr:uid="{00000000-0005-0000-0000-00008A7B0000}"/>
    <cellStyle name="Normal 4 3 2 3 5 2 3 2" xfId="34428" xr:uid="{00000000-0005-0000-0000-00008B7B0000}"/>
    <cellStyle name="Normal 4 3 2 3 5 2 4" xfId="24730" xr:uid="{00000000-0005-0000-0000-00008C7B0000}"/>
    <cellStyle name="Normal 4 3 2 3 5 3" xfId="8372" xr:uid="{00000000-0005-0000-0000-00008D7B0000}"/>
    <cellStyle name="Normal 4 3 2 3 5 3 2" xfId="18368" xr:uid="{00000000-0005-0000-0000-00008E7B0000}"/>
    <cellStyle name="Normal 4 3 2 3 5 3 2 2" xfId="37768" xr:uid="{00000000-0005-0000-0000-00008F7B0000}"/>
    <cellStyle name="Normal 4 3 2 3 5 3 3" xfId="28070" xr:uid="{00000000-0005-0000-0000-0000907B0000}"/>
    <cellStyle name="Normal 4 3 2 3 5 4" xfId="13913" xr:uid="{00000000-0005-0000-0000-0000917B0000}"/>
    <cellStyle name="Normal 4 3 2 3 5 4 2" xfId="33313" xr:uid="{00000000-0005-0000-0000-0000927B0000}"/>
    <cellStyle name="Normal 4 3 2 3 5 5" xfId="23615" xr:uid="{00000000-0005-0000-0000-0000937B0000}"/>
    <cellStyle name="Normal 4 3 2 3 6" xfId="4466" xr:uid="{00000000-0005-0000-0000-0000947B0000}"/>
    <cellStyle name="Normal 4 3 2 3 6 2" xfId="8930" xr:uid="{00000000-0005-0000-0000-0000957B0000}"/>
    <cellStyle name="Normal 4 3 2 3 6 2 2" xfId="18926" xr:uid="{00000000-0005-0000-0000-0000967B0000}"/>
    <cellStyle name="Normal 4 3 2 3 6 2 2 2" xfId="38326" xr:uid="{00000000-0005-0000-0000-0000977B0000}"/>
    <cellStyle name="Normal 4 3 2 3 6 2 3" xfId="28628" xr:uid="{00000000-0005-0000-0000-0000987B0000}"/>
    <cellStyle name="Normal 4 3 2 3 6 3" xfId="14471" xr:uid="{00000000-0005-0000-0000-0000997B0000}"/>
    <cellStyle name="Normal 4 3 2 3 6 3 2" xfId="33871" xr:uid="{00000000-0005-0000-0000-00009A7B0000}"/>
    <cellStyle name="Normal 4 3 2 3 6 4" xfId="24173" xr:uid="{00000000-0005-0000-0000-00009B7B0000}"/>
    <cellStyle name="Normal 4 3 2 3 7" xfId="6136" xr:uid="{00000000-0005-0000-0000-00009C7B0000}"/>
    <cellStyle name="Normal 4 3 2 3 7 2" xfId="10600" xr:uid="{00000000-0005-0000-0000-00009D7B0000}"/>
    <cellStyle name="Normal 4 3 2 3 7 2 2" xfId="20596" xr:uid="{00000000-0005-0000-0000-00009E7B0000}"/>
    <cellStyle name="Normal 4 3 2 3 7 2 2 2" xfId="39996" xr:uid="{00000000-0005-0000-0000-00009F7B0000}"/>
    <cellStyle name="Normal 4 3 2 3 7 2 3" xfId="30298" xr:uid="{00000000-0005-0000-0000-0000A07B0000}"/>
    <cellStyle name="Normal 4 3 2 3 7 3" xfId="16141" xr:uid="{00000000-0005-0000-0000-0000A17B0000}"/>
    <cellStyle name="Normal 4 3 2 3 7 3 2" xfId="35541" xr:uid="{00000000-0005-0000-0000-0000A27B0000}"/>
    <cellStyle name="Normal 4 3 2 3 7 4" xfId="25843" xr:uid="{00000000-0005-0000-0000-0000A37B0000}"/>
    <cellStyle name="Normal 4 3 2 3 8" xfId="6702" xr:uid="{00000000-0005-0000-0000-0000A47B0000}"/>
    <cellStyle name="Normal 4 3 2 3 8 2" xfId="11157" xr:uid="{00000000-0005-0000-0000-0000A57B0000}"/>
    <cellStyle name="Normal 4 3 2 3 8 2 2" xfId="21153" xr:uid="{00000000-0005-0000-0000-0000A67B0000}"/>
    <cellStyle name="Normal 4 3 2 3 8 2 2 2" xfId="40553" xr:uid="{00000000-0005-0000-0000-0000A77B0000}"/>
    <cellStyle name="Normal 4 3 2 3 8 2 3" xfId="30855" xr:uid="{00000000-0005-0000-0000-0000A87B0000}"/>
    <cellStyle name="Normal 4 3 2 3 8 3" xfId="16698" xr:uid="{00000000-0005-0000-0000-0000A97B0000}"/>
    <cellStyle name="Normal 4 3 2 3 8 3 2" xfId="36098" xr:uid="{00000000-0005-0000-0000-0000AA7B0000}"/>
    <cellStyle name="Normal 4 3 2 3 8 4" xfId="26400" xr:uid="{00000000-0005-0000-0000-0000AB7B0000}"/>
    <cellStyle name="Normal 4 3 2 3 9" xfId="7259" xr:uid="{00000000-0005-0000-0000-0000AC7B0000}"/>
    <cellStyle name="Normal 4 3 2 3 9 2" xfId="17255" xr:uid="{00000000-0005-0000-0000-0000AD7B0000}"/>
    <cellStyle name="Normal 4 3 2 3 9 2 2" xfId="36655" xr:uid="{00000000-0005-0000-0000-0000AE7B0000}"/>
    <cellStyle name="Normal 4 3 2 3 9 3" xfId="26957" xr:uid="{00000000-0005-0000-0000-0000AF7B0000}"/>
    <cellStyle name="Normal 4 3 2 4" xfId="2367" xr:uid="{00000000-0005-0000-0000-0000B07B0000}"/>
    <cellStyle name="Normal 4 3 2 4 2" xfId="3313" xr:uid="{00000000-0005-0000-0000-0000B17B0000}"/>
    <cellStyle name="Normal 4 3 2 4 2 2" xfId="5582" xr:uid="{00000000-0005-0000-0000-0000B27B0000}"/>
    <cellStyle name="Normal 4 3 2 4 2 2 2" xfId="10046" xr:uid="{00000000-0005-0000-0000-0000B37B0000}"/>
    <cellStyle name="Normal 4 3 2 4 2 2 2 2" xfId="20042" xr:uid="{00000000-0005-0000-0000-0000B47B0000}"/>
    <cellStyle name="Normal 4 3 2 4 2 2 2 2 2" xfId="39442" xr:uid="{00000000-0005-0000-0000-0000B57B0000}"/>
    <cellStyle name="Normal 4 3 2 4 2 2 2 3" xfId="29744" xr:uid="{00000000-0005-0000-0000-0000B67B0000}"/>
    <cellStyle name="Normal 4 3 2 4 2 2 3" xfId="15587" xr:uid="{00000000-0005-0000-0000-0000B77B0000}"/>
    <cellStyle name="Normal 4 3 2 4 2 2 3 2" xfId="34987" xr:uid="{00000000-0005-0000-0000-0000B87B0000}"/>
    <cellStyle name="Normal 4 3 2 4 2 2 4" xfId="25289" xr:uid="{00000000-0005-0000-0000-0000B97B0000}"/>
    <cellStyle name="Normal 4 3 2 4 2 3" xfId="7818" xr:uid="{00000000-0005-0000-0000-0000BA7B0000}"/>
    <cellStyle name="Normal 4 3 2 4 2 3 2" xfId="17814" xr:uid="{00000000-0005-0000-0000-0000BB7B0000}"/>
    <cellStyle name="Normal 4 3 2 4 2 3 2 2" xfId="37214" xr:uid="{00000000-0005-0000-0000-0000BC7B0000}"/>
    <cellStyle name="Normal 4 3 2 4 2 3 3" xfId="27516" xr:uid="{00000000-0005-0000-0000-0000BD7B0000}"/>
    <cellStyle name="Normal 4 3 2 4 2 4" xfId="13359" xr:uid="{00000000-0005-0000-0000-0000BE7B0000}"/>
    <cellStyle name="Normal 4 3 2 4 2 4 2" xfId="32759" xr:uid="{00000000-0005-0000-0000-0000BF7B0000}"/>
    <cellStyle name="Normal 4 3 2 4 2 5" xfId="23061" xr:uid="{00000000-0005-0000-0000-0000C07B0000}"/>
    <cellStyle name="Normal 4 3 2 4 3" xfId="3896" xr:uid="{00000000-0005-0000-0000-0000C17B0000}"/>
    <cellStyle name="Normal 4 3 2 4 3 2" xfId="5026" xr:uid="{00000000-0005-0000-0000-0000C27B0000}"/>
    <cellStyle name="Normal 4 3 2 4 3 2 2" xfId="9490" xr:uid="{00000000-0005-0000-0000-0000C37B0000}"/>
    <cellStyle name="Normal 4 3 2 4 3 2 2 2" xfId="19486" xr:uid="{00000000-0005-0000-0000-0000C47B0000}"/>
    <cellStyle name="Normal 4 3 2 4 3 2 2 2 2" xfId="38886" xr:uid="{00000000-0005-0000-0000-0000C57B0000}"/>
    <cellStyle name="Normal 4 3 2 4 3 2 2 3" xfId="29188" xr:uid="{00000000-0005-0000-0000-0000C67B0000}"/>
    <cellStyle name="Normal 4 3 2 4 3 2 3" xfId="15031" xr:uid="{00000000-0005-0000-0000-0000C77B0000}"/>
    <cellStyle name="Normal 4 3 2 4 3 2 3 2" xfId="34431" xr:uid="{00000000-0005-0000-0000-0000C87B0000}"/>
    <cellStyle name="Normal 4 3 2 4 3 2 4" xfId="24733" xr:uid="{00000000-0005-0000-0000-0000C97B0000}"/>
    <cellStyle name="Normal 4 3 2 4 3 3" xfId="8375" xr:uid="{00000000-0005-0000-0000-0000CA7B0000}"/>
    <cellStyle name="Normal 4 3 2 4 3 3 2" xfId="18371" xr:uid="{00000000-0005-0000-0000-0000CB7B0000}"/>
    <cellStyle name="Normal 4 3 2 4 3 3 2 2" xfId="37771" xr:uid="{00000000-0005-0000-0000-0000CC7B0000}"/>
    <cellStyle name="Normal 4 3 2 4 3 3 3" xfId="28073" xr:uid="{00000000-0005-0000-0000-0000CD7B0000}"/>
    <cellStyle name="Normal 4 3 2 4 3 4" xfId="13916" xr:uid="{00000000-0005-0000-0000-0000CE7B0000}"/>
    <cellStyle name="Normal 4 3 2 4 3 4 2" xfId="33316" xr:uid="{00000000-0005-0000-0000-0000CF7B0000}"/>
    <cellStyle name="Normal 4 3 2 4 3 5" xfId="23618" xr:uid="{00000000-0005-0000-0000-0000D07B0000}"/>
    <cellStyle name="Normal 4 3 2 4 4" xfId="4469" xr:uid="{00000000-0005-0000-0000-0000D17B0000}"/>
    <cellStyle name="Normal 4 3 2 4 4 2" xfId="8933" xr:uid="{00000000-0005-0000-0000-0000D27B0000}"/>
    <cellStyle name="Normal 4 3 2 4 4 2 2" xfId="18929" xr:uid="{00000000-0005-0000-0000-0000D37B0000}"/>
    <cellStyle name="Normal 4 3 2 4 4 2 2 2" xfId="38329" xr:uid="{00000000-0005-0000-0000-0000D47B0000}"/>
    <cellStyle name="Normal 4 3 2 4 4 2 3" xfId="28631" xr:uid="{00000000-0005-0000-0000-0000D57B0000}"/>
    <cellStyle name="Normal 4 3 2 4 4 3" xfId="14474" xr:uid="{00000000-0005-0000-0000-0000D67B0000}"/>
    <cellStyle name="Normal 4 3 2 4 4 3 2" xfId="33874" xr:uid="{00000000-0005-0000-0000-0000D77B0000}"/>
    <cellStyle name="Normal 4 3 2 4 4 4" xfId="24176" xr:uid="{00000000-0005-0000-0000-0000D87B0000}"/>
    <cellStyle name="Normal 4 3 2 4 5" xfId="6139" xr:uid="{00000000-0005-0000-0000-0000D97B0000}"/>
    <cellStyle name="Normal 4 3 2 4 5 2" xfId="10603" xr:uid="{00000000-0005-0000-0000-0000DA7B0000}"/>
    <cellStyle name="Normal 4 3 2 4 5 2 2" xfId="20599" xr:uid="{00000000-0005-0000-0000-0000DB7B0000}"/>
    <cellStyle name="Normal 4 3 2 4 5 2 2 2" xfId="39999" xr:uid="{00000000-0005-0000-0000-0000DC7B0000}"/>
    <cellStyle name="Normal 4 3 2 4 5 2 3" xfId="30301" xr:uid="{00000000-0005-0000-0000-0000DD7B0000}"/>
    <cellStyle name="Normal 4 3 2 4 5 3" xfId="16144" xr:uid="{00000000-0005-0000-0000-0000DE7B0000}"/>
    <cellStyle name="Normal 4 3 2 4 5 3 2" xfId="35544" xr:uid="{00000000-0005-0000-0000-0000DF7B0000}"/>
    <cellStyle name="Normal 4 3 2 4 5 4" xfId="25846" xr:uid="{00000000-0005-0000-0000-0000E07B0000}"/>
    <cellStyle name="Normal 4 3 2 4 6" xfId="6705" xr:uid="{00000000-0005-0000-0000-0000E17B0000}"/>
    <cellStyle name="Normal 4 3 2 4 6 2" xfId="11160" xr:uid="{00000000-0005-0000-0000-0000E27B0000}"/>
    <cellStyle name="Normal 4 3 2 4 6 2 2" xfId="21156" xr:uid="{00000000-0005-0000-0000-0000E37B0000}"/>
    <cellStyle name="Normal 4 3 2 4 6 2 2 2" xfId="40556" xr:uid="{00000000-0005-0000-0000-0000E47B0000}"/>
    <cellStyle name="Normal 4 3 2 4 6 2 3" xfId="30858" xr:uid="{00000000-0005-0000-0000-0000E57B0000}"/>
    <cellStyle name="Normal 4 3 2 4 6 3" xfId="16701" xr:uid="{00000000-0005-0000-0000-0000E67B0000}"/>
    <cellStyle name="Normal 4 3 2 4 6 3 2" xfId="36101" xr:uid="{00000000-0005-0000-0000-0000E77B0000}"/>
    <cellStyle name="Normal 4 3 2 4 6 4" xfId="26403" xr:uid="{00000000-0005-0000-0000-0000E87B0000}"/>
    <cellStyle name="Normal 4 3 2 4 7" xfId="7262" xr:uid="{00000000-0005-0000-0000-0000E97B0000}"/>
    <cellStyle name="Normal 4 3 2 4 7 2" xfId="17258" xr:uid="{00000000-0005-0000-0000-0000EA7B0000}"/>
    <cellStyle name="Normal 4 3 2 4 7 2 2" xfId="36658" xr:uid="{00000000-0005-0000-0000-0000EB7B0000}"/>
    <cellStyle name="Normal 4 3 2 4 7 3" xfId="26960" xr:uid="{00000000-0005-0000-0000-0000EC7B0000}"/>
    <cellStyle name="Normal 4 3 2 4 8" xfId="12802" xr:uid="{00000000-0005-0000-0000-0000ED7B0000}"/>
    <cellStyle name="Normal 4 3 2 4 8 2" xfId="32203" xr:uid="{00000000-0005-0000-0000-0000EE7B0000}"/>
    <cellStyle name="Normal 4 3 2 4 9" xfId="22505" xr:uid="{00000000-0005-0000-0000-0000EF7B0000}"/>
    <cellStyle name="Normal 4 3 2 5" xfId="2368" xr:uid="{00000000-0005-0000-0000-0000F07B0000}"/>
    <cellStyle name="Normal 4 3 2 5 2" xfId="3314" xr:uid="{00000000-0005-0000-0000-0000F17B0000}"/>
    <cellStyle name="Normal 4 3 2 5 2 2" xfId="5583" xr:uid="{00000000-0005-0000-0000-0000F27B0000}"/>
    <cellStyle name="Normal 4 3 2 5 2 2 2" xfId="10047" xr:uid="{00000000-0005-0000-0000-0000F37B0000}"/>
    <cellStyle name="Normal 4 3 2 5 2 2 2 2" xfId="20043" xr:uid="{00000000-0005-0000-0000-0000F47B0000}"/>
    <cellStyle name="Normal 4 3 2 5 2 2 2 2 2" xfId="39443" xr:uid="{00000000-0005-0000-0000-0000F57B0000}"/>
    <cellStyle name="Normal 4 3 2 5 2 2 2 3" xfId="29745" xr:uid="{00000000-0005-0000-0000-0000F67B0000}"/>
    <cellStyle name="Normal 4 3 2 5 2 2 3" xfId="15588" xr:uid="{00000000-0005-0000-0000-0000F77B0000}"/>
    <cellStyle name="Normal 4 3 2 5 2 2 3 2" xfId="34988" xr:uid="{00000000-0005-0000-0000-0000F87B0000}"/>
    <cellStyle name="Normal 4 3 2 5 2 2 4" xfId="25290" xr:uid="{00000000-0005-0000-0000-0000F97B0000}"/>
    <cellStyle name="Normal 4 3 2 5 2 3" xfId="7819" xr:uid="{00000000-0005-0000-0000-0000FA7B0000}"/>
    <cellStyle name="Normal 4 3 2 5 2 3 2" xfId="17815" xr:uid="{00000000-0005-0000-0000-0000FB7B0000}"/>
    <cellStyle name="Normal 4 3 2 5 2 3 2 2" xfId="37215" xr:uid="{00000000-0005-0000-0000-0000FC7B0000}"/>
    <cellStyle name="Normal 4 3 2 5 2 3 3" xfId="27517" xr:uid="{00000000-0005-0000-0000-0000FD7B0000}"/>
    <cellStyle name="Normal 4 3 2 5 2 4" xfId="13360" xr:uid="{00000000-0005-0000-0000-0000FE7B0000}"/>
    <cellStyle name="Normal 4 3 2 5 2 4 2" xfId="32760" xr:uid="{00000000-0005-0000-0000-0000FF7B0000}"/>
    <cellStyle name="Normal 4 3 2 5 2 5" xfId="23062" xr:uid="{00000000-0005-0000-0000-0000007C0000}"/>
    <cellStyle name="Normal 4 3 2 5 3" xfId="3897" xr:uid="{00000000-0005-0000-0000-0000017C0000}"/>
    <cellStyle name="Normal 4 3 2 5 3 2" xfId="5027" xr:uid="{00000000-0005-0000-0000-0000027C0000}"/>
    <cellStyle name="Normal 4 3 2 5 3 2 2" xfId="9491" xr:uid="{00000000-0005-0000-0000-0000037C0000}"/>
    <cellStyle name="Normal 4 3 2 5 3 2 2 2" xfId="19487" xr:uid="{00000000-0005-0000-0000-0000047C0000}"/>
    <cellStyle name="Normal 4 3 2 5 3 2 2 2 2" xfId="38887" xr:uid="{00000000-0005-0000-0000-0000057C0000}"/>
    <cellStyle name="Normal 4 3 2 5 3 2 2 3" xfId="29189" xr:uid="{00000000-0005-0000-0000-0000067C0000}"/>
    <cellStyle name="Normal 4 3 2 5 3 2 3" xfId="15032" xr:uid="{00000000-0005-0000-0000-0000077C0000}"/>
    <cellStyle name="Normal 4 3 2 5 3 2 3 2" xfId="34432" xr:uid="{00000000-0005-0000-0000-0000087C0000}"/>
    <cellStyle name="Normal 4 3 2 5 3 2 4" xfId="24734" xr:uid="{00000000-0005-0000-0000-0000097C0000}"/>
    <cellStyle name="Normal 4 3 2 5 3 3" xfId="8376" xr:uid="{00000000-0005-0000-0000-00000A7C0000}"/>
    <cellStyle name="Normal 4 3 2 5 3 3 2" xfId="18372" xr:uid="{00000000-0005-0000-0000-00000B7C0000}"/>
    <cellStyle name="Normal 4 3 2 5 3 3 2 2" xfId="37772" xr:uid="{00000000-0005-0000-0000-00000C7C0000}"/>
    <cellStyle name="Normal 4 3 2 5 3 3 3" xfId="28074" xr:uid="{00000000-0005-0000-0000-00000D7C0000}"/>
    <cellStyle name="Normal 4 3 2 5 3 4" xfId="13917" xr:uid="{00000000-0005-0000-0000-00000E7C0000}"/>
    <cellStyle name="Normal 4 3 2 5 3 4 2" xfId="33317" xr:uid="{00000000-0005-0000-0000-00000F7C0000}"/>
    <cellStyle name="Normal 4 3 2 5 3 5" xfId="23619" xr:uid="{00000000-0005-0000-0000-0000107C0000}"/>
    <cellStyle name="Normal 4 3 2 5 4" xfId="4470" xr:uid="{00000000-0005-0000-0000-0000117C0000}"/>
    <cellStyle name="Normal 4 3 2 5 4 2" xfId="8934" xr:uid="{00000000-0005-0000-0000-0000127C0000}"/>
    <cellStyle name="Normal 4 3 2 5 4 2 2" xfId="18930" xr:uid="{00000000-0005-0000-0000-0000137C0000}"/>
    <cellStyle name="Normal 4 3 2 5 4 2 2 2" xfId="38330" xr:uid="{00000000-0005-0000-0000-0000147C0000}"/>
    <cellStyle name="Normal 4 3 2 5 4 2 3" xfId="28632" xr:uid="{00000000-0005-0000-0000-0000157C0000}"/>
    <cellStyle name="Normal 4 3 2 5 4 3" xfId="14475" xr:uid="{00000000-0005-0000-0000-0000167C0000}"/>
    <cellStyle name="Normal 4 3 2 5 4 3 2" xfId="33875" xr:uid="{00000000-0005-0000-0000-0000177C0000}"/>
    <cellStyle name="Normal 4 3 2 5 4 4" xfId="24177" xr:uid="{00000000-0005-0000-0000-0000187C0000}"/>
    <cellStyle name="Normal 4 3 2 5 5" xfId="6140" xr:uid="{00000000-0005-0000-0000-0000197C0000}"/>
    <cellStyle name="Normal 4 3 2 5 5 2" xfId="10604" xr:uid="{00000000-0005-0000-0000-00001A7C0000}"/>
    <cellStyle name="Normal 4 3 2 5 5 2 2" xfId="20600" xr:uid="{00000000-0005-0000-0000-00001B7C0000}"/>
    <cellStyle name="Normal 4 3 2 5 5 2 2 2" xfId="40000" xr:uid="{00000000-0005-0000-0000-00001C7C0000}"/>
    <cellStyle name="Normal 4 3 2 5 5 2 3" xfId="30302" xr:uid="{00000000-0005-0000-0000-00001D7C0000}"/>
    <cellStyle name="Normal 4 3 2 5 5 3" xfId="16145" xr:uid="{00000000-0005-0000-0000-00001E7C0000}"/>
    <cellStyle name="Normal 4 3 2 5 5 3 2" xfId="35545" xr:uid="{00000000-0005-0000-0000-00001F7C0000}"/>
    <cellStyle name="Normal 4 3 2 5 5 4" xfId="25847" xr:uid="{00000000-0005-0000-0000-0000207C0000}"/>
    <cellStyle name="Normal 4 3 2 5 6" xfId="6706" xr:uid="{00000000-0005-0000-0000-0000217C0000}"/>
    <cellStyle name="Normal 4 3 2 5 6 2" xfId="11161" xr:uid="{00000000-0005-0000-0000-0000227C0000}"/>
    <cellStyle name="Normal 4 3 2 5 6 2 2" xfId="21157" xr:uid="{00000000-0005-0000-0000-0000237C0000}"/>
    <cellStyle name="Normal 4 3 2 5 6 2 2 2" xfId="40557" xr:uid="{00000000-0005-0000-0000-0000247C0000}"/>
    <cellStyle name="Normal 4 3 2 5 6 2 3" xfId="30859" xr:uid="{00000000-0005-0000-0000-0000257C0000}"/>
    <cellStyle name="Normal 4 3 2 5 6 3" xfId="16702" xr:uid="{00000000-0005-0000-0000-0000267C0000}"/>
    <cellStyle name="Normal 4 3 2 5 6 3 2" xfId="36102" xr:uid="{00000000-0005-0000-0000-0000277C0000}"/>
    <cellStyle name="Normal 4 3 2 5 6 4" xfId="26404" xr:uid="{00000000-0005-0000-0000-0000287C0000}"/>
    <cellStyle name="Normal 4 3 2 5 7" xfId="7263" xr:uid="{00000000-0005-0000-0000-0000297C0000}"/>
    <cellStyle name="Normal 4 3 2 5 7 2" xfId="17259" xr:uid="{00000000-0005-0000-0000-00002A7C0000}"/>
    <cellStyle name="Normal 4 3 2 5 7 2 2" xfId="36659" xr:uid="{00000000-0005-0000-0000-00002B7C0000}"/>
    <cellStyle name="Normal 4 3 2 5 7 3" xfId="26961" xr:uid="{00000000-0005-0000-0000-00002C7C0000}"/>
    <cellStyle name="Normal 4 3 2 5 8" xfId="12803" xr:uid="{00000000-0005-0000-0000-00002D7C0000}"/>
    <cellStyle name="Normal 4 3 2 5 8 2" xfId="32204" xr:uid="{00000000-0005-0000-0000-00002E7C0000}"/>
    <cellStyle name="Normal 4 3 2 5 9" xfId="22506" xr:uid="{00000000-0005-0000-0000-00002F7C0000}"/>
    <cellStyle name="Normal 4 3 3" xfId="1544" xr:uid="{00000000-0005-0000-0000-0000307C0000}"/>
    <cellStyle name="Normal 4 3 3 2" xfId="2369" xr:uid="{00000000-0005-0000-0000-0000317C0000}"/>
    <cellStyle name="Normal 4 3 3 2 10" xfId="12804" xr:uid="{00000000-0005-0000-0000-0000327C0000}"/>
    <cellStyle name="Normal 4 3 3 2 10 2" xfId="32205" xr:uid="{00000000-0005-0000-0000-0000337C0000}"/>
    <cellStyle name="Normal 4 3 3 2 11" xfId="22507" xr:uid="{00000000-0005-0000-0000-0000347C0000}"/>
    <cellStyle name="Normal 4 3 3 2 2" xfId="2370" xr:uid="{00000000-0005-0000-0000-0000357C0000}"/>
    <cellStyle name="Normal 4 3 3 2 2 2" xfId="3316" xr:uid="{00000000-0005-0000-0000-0000367C0000}"/>
    <cellStyle name="Normal 4 3 3 2 2 2 2" xfId="5585" xr:uid="{00000000-0005-0000-0000-0000377C0000}"/>
    <cellStyle name="Normal 4 3 3 2 2 2 2 2" xfId="10049" xr:uid="{00000000-0005-0000-0000-0000387C0000}"/>
    <cellStyle name="Normal 4 3 3 2 2 2 2 2 2" xfId="20045" xr:uid="{00000000-0005-0000-0000-0000397C0000}"/>
    <cellStyle name="Normal 4 3 3 2 2 2 2 2 2 2" xfId="39445" xr:uid="{00000000-0005-0000-0000-00003A7C0000}"/>
    <cellStyle name="Normal 4 3 3 2 2 2 2 2 3" xfId="29747" xr:uid="{00000000-0005-0000-0000-00003B7C0000}"/>
    <cellStyle name="Normal 4 3 3 2 2 2 2 3" xfId="15590" xr:uid="{00000000-0005-0000-0000-00003C7C0000}"/>
    <cellStyle name="Normal 4 3 3 2 2 2 2 3 2" xfId="34990" xr:uid="{00000000-0005-0000-0000-00003D7C0000}"/>
    <cellStyle name="Normal 4 3 3 2 2 2 2 4" xfId="25292" xr:uid="{00000000-0005-0000-0000-00003E7C0000}"/>
    <cellStyle name="Normal 4 3 3 2 2 2 3" xfId="7821" xr:uid="{00000000-0005-0000-0000-00003F7C0000}"/>
    <cellStyle name="Normal 4 3 3 2 2 2 3 2" xfId="17817" xr:uid="{00000000-0005-0000-0000-0000407C0000}"/>
    <cellStyle name="Normal 4 3 3 2 2 2 3 2 2" xfId="37217" xr:uid="{00000000-0005-0000-0000-0000417C0000}"/>
    <cellStyle name="Normal 4 3 3 2 2 2 3 3" xfId="27519" xr:uid="{00000000-0005-0000-0000-0000427C0000}"/>
    <cellStyle name="Normal 4 3 3 2 2 2 4" xfId="13362" xr:uid="{00000000-0005-0000-0000-0000437C0000}"/>
    <cellStyle name="Normal 4 3 3 2 2 2 4 2" xfId="32762" xr:uid="{00000000-0005-0000-0000-0000447C0000}"/>
    <cellStyle name="Normal 4 3 3 2 2 2 5" xfId="23064" xr:uid="{00000000-0005-0000-0000-0000457C0000}"/>
    <cellStyle name="Normal 4 3 3 2 2 3" xfId="3899" xr:uid="{00000000-0005-0000-0000-0000467C0000}"/>
    <cellStyle name="Normal 4 3 3 2 2 3 2" xfId="5029" xr:uid="{00000000-0005-0000-0000-0000477C0000}"/>
    <cellStyle name="Normal 4 3 3 2 2 3 2 2" xfId="9493" xr:uid="{00000000-0005-0000-0000-0000487C0000}"/>
    <cellStyle name="Normal 4 3 3 2 2 3 2 2 2" xfId="19489" xr:uid="{00000000-0005-0000-0000-0000497C0000}"/>
    <cellStyle name="Normal 4 3 3 2 2 3 2 2 2 2" xfId="38889" xr:uid="{00000000-0005-0000-0000-00004A7C0000}"/>
    <cellStyle name="Normal 4 3 3 2 2 3 2 2 3" xfId="29191" xr:uid="{00000000-0005-0000-0000-00004B7C0000}"/>
    <cellStyle name="Normal 4 3 3 2 2 3 2 3" xfId="15034" xr:uid="{00000000-0005-0000-0000-00004C7C0000}"/>
    <cellStyle name="Normal 4 3 3 2 2 3 2 3 2" xfId="34434" xr:uid="{00000000-0005-0000-0000-00004D7C0000}"/>
    <cellStyle name="Normal 4 3 3 2 2 3 2 4" xfId="24736" xr:uid="{00000000-0005-0000-0000-00004E7C0000}"/>
    <cellStyle name="Normal 4 3 3 2 2 3 3" xfId="8378" xr:uid="{00000000-0005-0000-0000-00004F7C0000}"/>
    <cellStyle name="Normal 4 3 3 2 2 3 3 2" xfId="18374" xr:uid="{00000000-0005-0000-0000-0000507C0000}"/>
    <cellStyle name="Normal 4 3 3 2 2 3 3 2 2" xfId="37774" xr:uid="{00000000-0005-0000-0000-0000517C0000}"/>
    <cellStyle name="Normal 4 3 3 2 2 3 3 3" xfId="28076" xr:uid="{00000000-0005-0000-0000-0000527C0000}"/>
    <cellStyle name="Normal 4 3 3 2 2 3 4" xfId="13919" xr:uid="{00000000-0005-0000-0000-0000537C0000}"/>
    <cellStyle name="Normal 4 3 3 2 2 3 4 2" xfId="33319" xr:uid="{00000000-0005-0000-0000-0000547C0000}"/>
    <cellStyle name="Normal 4 3 3 2 2 3 5" xfId="23621" xr:uid="{00000000-0005-0000-0000-0000557C0000}"/>
    <cellStyle name="Normal 4 3 3 2 2 4" xfId="4472" xr:uid="{00000000-0005-0000-0000-0000567C0000}"/>
    <cellStyle name="Normal 4 3 3 2 2 4 2" xfId="8936" xr:uid="{00000000-0005-0000-0000-0000577C0000}"/>
    <cellStyle name="Normal 4 3 3 2 2 4 2 2" xfId="18932" xr:uid="{00000000-0005-0000-0000-0000587C0000}"/>
    <cellStyle name="Normal 4 3 3 2 2 4 2 2 2" xfId="38332" xr:uid="{00000000-0005-0000-0000-0000597C0000}"/>
    <cellStyle name="Normal 4 3 3 2 2 4 2 3" xfId="28634" xr:uid="{00000000-0005-0000-0000-00005A7C0000}"/>
    <cellStyle name="Normal 4 3 3 2 2 4 3" xfId="14477" xr:uid="{00000000-0005-0000-0000-00005B7C0000}"/>
    <cellStyle name="Normal 4 3 3 2 2 4 3 2" xfId="33877" xr:uid="{00000000-0005-0000-0000-00005C7C0000}"/>
    <cellStyle name="Normal 4 3 3 2 2 4 4" xfId="24179" xr:uid="{00000000-0005-0000-0000-00005D7C0000}"/>
    <cellStyle name="Normal 4 3 3 2 2 5" xfId="6142" xr:uid="{00000000-0005-0000-0000-00005E7C0000}"/>
    <cellStyle name="Normal 4 3 3 2 2 5 2" xfId="10606" xr:uid="{00000000-0005-0000-0000-00005F7C0000}"/>
    <cellStyle name="Normal 4 3 3 2 2 5 2 2" xfId="20602" xr:uid="{00000000-0005-0000-0000-0000607C0000}"/>
    <cellStyle name="Normal 4 3 3 2 2 5 2 2 2" xfId="40002" xr:uid="{00000000-0005-0000-0000-0000617C0000}"/>
    <cellStyle name="Normal 4 3 3 2 2 5 2 3" xfId="30304" xr:uid="{00000000-0005-0000-0000-0000627C0000}"/>
    <cellStyle name="Normal 4 3 3 2 2 5 3" xfId="16147" xr:uid="{00000000-0005-0000-0000-0000637C0000}"/>
    <cellStyle name="Normal 4 3 3 2 2 5 3 2" xfId="35547" xr:uid="{00000000-0005-0000-0000-0000647C0000}"/>
    <cellStyle name="Normal 4 3 3 2 2 5 4" xfId="25849" xr:uid="{00000000-0005-0000-0000-0000657C0000}"/>
    <cellStyle name="Normal 4 3 3 2 2 6" xfId="6708" xr:uid="{00000000-0005-0000-0000-0000667C0000}"/>
    <cellStyle name="Normal 4 3 3 2 2 6 2" xfId="11163" xr:uid="{00000000-0005-0000-0000-0000677C0000}"/>
    <cellStyle name="Normal 4 3 3 2 2 6 2 2" xfId="21159" xr:uid="{00000000-0005-0000-0000-0000687C0000}"/>
    <cellStyle name="Normal 4 3 3 2 2 6 2 2 2" xfId="40559" xr:uid="{00000000-0005-0000-0000-0000697C0000}"/>
    <cellStyle name="Normal 4 3 3 2 2 6 2 3" xfId="30861" xr:uid="{00000000-0005-0000-0000-00006A7C0000}"/>
    <cellStyle name="Normal 4 3 3 2 2 6 3" xfId="16704" xr:uid="{00000000-0005-0000-0000-00006B7C0000}"/>
    <cellStyle name="Normal 4 3 3 2 2 6 3 2" xfId="36104" xr:uid="{00000000-0005-0000-0000-00006C7C0000}"/>
    <cellStyle name="Normal 4 3 3 2 2 6 4" xfId="26406" xr:uid="{00000000-0005-0000-0000-00006D7C0000}"/>
    <cellStyle name="Normal 4 3 3 2 2 7" xfId="7265" xr:uid="{00000000-0005-0000-0000-00006E7C0000}"/>
    <cellStyle name="Normal 4 3 3 2 2 7 2" xfId="17261" xr:uid="{00000000-0005-0000-0000-00006F7C0000}"/>
    <cellStyle name="Normal 4 3 3 2 2 7 2 2" xfId="36661" xr:uid="{00000000-0005-0000-0000-0000707C0000}"/>
    <cellStyle name="Normal 4 3 3 2 2 7 3" xfId="26963" xr:uid="{00000000-0005-0000-0000-0000717C0000}"/>
    <cellStyle name="Normal 4 3 3 2 2 8" xfId="12805" xr:uid="{00000000-0005-0000-0000-0000727C0000}"/>
    <cellStyle name="Normal 4 3 3 2 2 8 2" xfId="32206" xr:uid="{00000000-0005-0000-0000-0000737C0000}"/>
    <cellStyle name="Normal 4 3 3 2 2 9" xfId="22508" xr:uid="{00000000-0005-0000-0000-0000747C0000}"/>
    <cellStyle name="Normal 4 3 3 2 3" xfId="2371" xr:uid="{00000000-0005-0000-0000-0000757C0000}"/>
    <cellStyle name="Normal 4 3 3 2 3 2" xfId="3317" xr:uid="{00000000-0005-0000-0000-0000767C0000}"/>
    <cellStyle name="Normal 4 3 3 2 3 2 2" xfId="5586" xr:uid="{00000000-0005-0000-0000-0000777C0000}"/>
    <cellStyle name="Normal 4 3 3 2 3 2 2 2" xfId="10050" xr:uid="{00000000-0005-0000-0000-0000787C0000}"/>
    <cellStyle name="Normal 4 3 3 2 3 2 2 2 2" xfId="20046" xr:uid="{00000000-0005-0000-0000-0000797C0000}"/>
    <cellStyle name="Normal 4 3 3 2 3 2 2 2 2 2" xfId="39446" xr:uid="{00000000-0005-0000-0000-00007A7C0000}"/>
    <cellStyle name="Normal 4 3 3 2 3 2 2 2 3" xfId="29748" xr:uid="{00000000-0005-0000-0000-00007B7C0000}"/>
    <cellStyle name="Normal 4 3 3 2 3 2 2 3" xfId="15591" xr:uid="{00000000-0005-0000-0000-00007C7C0000}"/>
    <cellStyle name="Normal 4 3 3 2 3 2 2 3 2" xfId="34991" xr:uid="{00000000-0005-0000-0000-00007D7C0000}"/>
    <cellStyle name="Normal 4 3 3 2 3 2 2 4" xfId="25293" xr:uid="{00000000-0005-0000-0000-00007E7C0000}"/>
    <cellStyle name="Normal 4 3 3 2 3 2 3" xfId="7822" xr:uid="{00000000-0005-0000-0000-00007F7C0000}"/>
    <cellStyle name="Normal 4 3 3 2 3 2 3 2" xfId="17818" xr:uid="{00000000-0005-0000-0000-0000807C0000}"/>
    <cellStyle name="Normal 4 3 3 2 3 2 3 2 2" xfId="37218" xr:uid="{00000000-0005-0000-0000-0000817C0000}"/>
    <cellStyle name="Normal 4 3 3 2 3 2 3 3" xfId="27520" xr:uid="{00000000-0005-0000-0000-0000827C0000}"/>
    <cellStyle name="Normal 4 3 3 2 3 2 4" xfId="13363" xr:uid="{00000000-0005-0000-0000-0000837C0000}"/>
    <cellStyle name="Normal 4 3 3 2 3 2 4 2" xfId="32763" xr:uid="{00000000-0005-0000-0000-0000847C0000}"/>
    <cellStyle name="Normal 4 3 3 2 3 2 5" xfId="23065" xr:uid="{00000000-0005-0000-0000-0000857C0000}"/>
    <cellStyle name="Normal 4 3 3 2 3 3" xfId="3900" xr:uid="{00000000-0005-0000-0000-0000867C0000}"/>
    <cellStyle name="Normal 4 3 3 2 3 3 2" xfId="5030" xr:uid="{00000000-0005-0000-0000-0000877C0000}"/>
    <cellStyle name="Normal 4 3 3 2 3 3 2 2" xfId="9494" xr:uid="{00000000-0005-0000-0000-0000887C0000}"/>
    <cellStyle name="Normal 4 3 3 2 3 3 2 2 2" xfId="19490" xr:uid="{00000000-0005-0000-0000-0000897C0000}"/>
    <cellStyle name="Normal 4 3 3 2 3 3 2 2 2 2" xfId="38890" xr:uid="{00000000-0005-0000-0000-00008A7C0000}"/>
    <cellStyle name="Normal 4 3 3 2 3 3 2 2 3" xfId="29192" xr:uid="{00000000-0005-0000-0000-00008B7C0000}"/>
    <cellStyle name="Normal 4 3 3 2 3 3 2 3" xfId="15035" xr:uid="{00000000-0005-0000-0000-00008C7C0000}"/>
    <cellStyle name="Normal 4 3 3 2 3 3 2 3 2" xfId="34435" xr:uid="{00000000-0005-0000-0000-00008D7C0000}"/>
    <cellStyle name="Normal 4 3 3 2 3 3 2 4" xfId="24737" xr:uid="{00000000-0005-0000-0000-00008E7C0000}"/>
    <cellStyle name="Normal 4 3 3 2 3 3 3" xfId="8379" xr:uid="{00000000-0005-0000-0000-00008F7C0000}"/>
    <cellStyle name="Normal 4 3 3 2 3 3 3 2" xfId="18375" xr:uid="{00000000-0005-0000-0000-0000907C0000}"/>
    <cellStyle name="Normal 4 3 3 2 3 3 3 2 2" xfId="37775" xr:uid="{00000000-0005-0000-0000-0000917C0000}"/>
    <cellStyle name="Normal 4 3 3 2 3 3 3 3" xfId="28077" xr:uid="{00000000-0005-0000-0000-0000927C0000}"/>
    <cellStyle name="Normal 4 3 3 2 3 3 4" xfId="13920" xr:uid="{00000000-0005-0000-0000-0000937C0000}"/>
    <cellStyle name="Normal 4 3 3 2 3 3 4 2" xfId="33320" xr:uid="{00000000-0005-0000-0000-0000947C0000}"/>
    <cellStyle name="Normal 4 3 3 2 3 3 5" xfId="23622" xr:uid="{00000000-0005-0000-0000-0000957C0000}"/>
    <cellStyle name="Normal 4 3 3 2 3 4" xfId="4473" xr:uid="{00000000-0005-0000-0000-0000967C0000}"/>
    <cellStyle name="Normal 4 3 3 2 3 4 2" xfId="8937" xr:uid="{00000000-0005-0000-0000-0000977C0000}"/>
    <cellStyle name="Normal 4 3 3 2 3 4 2 2" xfId="18933" xr:uid="{00000000-0005-0000-0000-0000987C0000}"/>
    <cellStyle name="Normal 4 3 3 2 3 4 2 2 2" xfId="38333" xr:uid="{00000000-0005-0000-0000-0000997C0000}"/>
    <cellStyle name="Normal 4 3 3 2 3 4 2 3" xfId="28635" xr:uid="{00000000-0005-0000-0000-00009A7C0000}"/>
    <cellStyle name="Normal 4 3 3 2 3 4 3" xfId="14478" xr:uid="{00000000-0005-0000-0000-00009B7C0000}"/>
    <cellStyle name="Normal 4 3 3 2 3 4 3 2" xfId="33878" xr:uid="{00000000-0005-0000-0000-00009C7C0000}"/>
    <cellStyle name="Normal 4 3 3 2 3 4 4" xfId="24180" xr:uid="{00000000-0005-0000-0000-00009D7C0000}"/>
    <cellStyle name="Normal 4 3 3 2 3 5" xfId="6143" xr:uid="{00000000-0005-0000-0000-00009E7C0000}"/>
    <cellStyle name="Normal 4 3 3 2 3 5 2" xfId="10607" xr:uid="{00000000-0005-0000-0000-00009F7C0000}"/>
    <cellStyle name="Normal 4 3 3 2 3 5 2 2" xfId="20603" xr:uid="{00000000-0005-0000-0000-0000A07C0000}"/>
    <cellStyle name="Normal 4 3 3 2 3 5 2 2 2" xfId="40003" xr:uid="{00000000-0005-0000-0000-0000A17C0000}"/>
    <cellStyle name="Normal 4 3 3 2 3 5 2 3" xfId="30305" xr:uid="{00000000-0005-0000-0000-0000A27C0000}"/>
    <cellStyle name="Normal 4 3 3 2 3 5 3" xfId="16148" xr:uid="{00000000-0005-0000-0000-0000A37C0000}"/>
    <cellStyle name="Normal 4 3 3 2 3 5 3 2" xfId="35548" xr:uid="{00000000-0005-0000-0000-0000A47C0000}"/>
    <cellStyle name="Normal 4 3 3 2 3 5 4" xfId="25850" xr:uid="{00000000-0005-0000-0000-0000A57C0000}"/>
    <cellStyle name="Normal 4 3 3 2 3 6" xfId="6709" xr:uid="{00000000-0005-0000-0000-0000A67C0000}"/>
    <cellStyle name="Normal 4 3 3 2 3 6 2" xfId="11164" xr:uid="{00000000-0005-0000-0000-0000A77C0000}"/>
    <cellStyle name="Normal 4 3 3 2 3 6 2 2" xfId="21160" xr:uid="{00000000-0005-0000-0000-0000A87C0000}"/>
    <cellStyle name="Normal 4 3 3 2 3 6 2 2 2" xfId="40560" xr:uid="{00000000-0005-0000-0000-0000A97C0000}"/>
    <cellStyle name="Normal 4 3 3 2 3 6 2 3" xfId="30862" xr:uid="{00000000-0005-0000-0000-0000AA7C0000}"/>
    <cellStyle name="Normal 4 3 3 2 3 6 3" xfId="16705" xr:uid="{00000000-0005-0000-0000-0000AB7C0000}"/>
    <cellStyle name="Normal 4 3 3 2 3 6 3 2" xfId="36105" xr:uid="{00000000-0005-0000-0000-0000AC7C0000}"/>
    <cellStyle name="Normal 4 3 3 2 3 6 4" xfId="26407" xr:uid="{00000000-0005-0000-0000-0000AD7C0000}"/>
    <cellStyle name="Normal 4 3 3 2 3 7" xfId="7266" xr:uid="{00000000-0005-0000-0000-0000AE7C0000}"/>
    <cellStyle name="Normal 4 3 3 2 3 7 2" xfId="17262" xr:uid="{00000000-0005-0000-0000-0000AF7C0000}"/>
    <cellStyle name="Normal 4 3 3 2 3 7 2 2" xfId="36662" xr:uid="{00000000-0005-0000-0000-0000B07C0000}"/>
    <cellStyle name="Normal 4 3 3 2 3 7 3" xfId="26964" xr:uid="{00000000-0005-0000-0000-0000B17C0000}"/>
    <cellStyle name="Normal 4 3 3 2 3 8" xfId="12806" xr:uid="{00000000-0005-0000-0000-0000B27C0000}"/>
    <cellStyle name="Normal 4 3 3 2 3 8 2" xfId="32207" xr:uid="{00000000-0005-0000-0000-0000B37C0000}"/>
    <cellStyle name="Normal 4 3 3 2 3 9" xfId="22509" xr:uid="{00000000-0005-0000-0000-0000B47C0000}"/>
    <cellStyle name="Normal 4 3 3 2 4" xfId="3315" xr:uid="{00000000-0005-0000-0000-0000B57C0000}"/>
    <cellStyle name="Normal 4 3 3 2 4 2" xfId="5584" xr:uid="{00000000-0005-0000-0000-0000B67C0000}"/>
    <cellStyle name="Normal 4 3 3 2 4 2 2" xfId="10048" xr:uid="{00000000-0005-0000-0000-0000B77C0000}"/>
    <cellStyle name="Normal 4 3 3 2 4 2 2 2" xfId="20044" xr:uid="{00000000-0005-0000-0000-0000B87C0000}"/>
    <cellStyle name="Normal 4 3 3 2 4 2 2 2 2" xfId="39444" xr:uid="{00000000-0005-0000-0000-0000B97C0000}"/>
    <cellStyle name="Normal 4 3 3 2 4 2 2 3" xfId="29746" xr:uid="{00000000-0005-0000-0000-0000BA7C0000}"/>
    <cellStyle name="Normal 4 3 3 2 4 2 3" xfId="15589" xr:uid="{00000000-0005-0000-0000-0000BB7C0000}"/>
    <cellStyle name="Normal 4 3 3 2 4 2 3 2" xfId="34989" xr:uid="{00000000-0005-0000-0000-0000BC7C0000}"/>
    <cellStyle name="Normal 4 3 3 2 4 2 4" xfId="25291" xr:uid="{00000000-0005-0000-0000-0000BD7C0000}"/>
    <cellStyle name="Normal 4 3 3 2 4 3" xfId="7820" xr:uid="{00000000-0005-0000-0000-0000BE7C0000}"/>
    <cellStyle name="Normal 4 3 3 2 4 3 2" xfId="17816" xr:uid="{00000000-0005-0000-0000-0000BF7C0000}"/>
    <cellStyle name="Normal 4 3 3 2 4 3 2 2" xfId="37216" xr:uid="{00000000-0005-0000-0000-0000C07C0000}"/>
    <cellStyle name="Normal 4 3 3 2 4 3 3" xfId="27518" xr:uid="{00000000-0005-0000-0000-0000C17C0000}"/>
    <cellStyle name="Normal 4 3 3 2 4 4" xfId="13361" xr:uid="{00000000-0005-0000-0000-0000C27C0000}"/>
    <cellStyle name="Normal 4 3 3 2 4 4 2" xfId="32761" xr:uid="{00000000-0005-0000-0000-0000C37C0000}"/>
    <cellStyle name="Normal 4 3 3 2 4 5" xfId="23063" xr:uid="{00000000-0005-0000-0000-0000C47C0000}"/>
    <cellStyle name="Normal 4 3 3 2 5" xfId="3898" xr:uid="{00000000-0005-0000-0000-0000C57C0000}"/>
    <cellStyle name="Normal 4 3 3 2 5 2" xfId="5028" xr:uid="{00000000-0005-0000-0000-0000C67C0000}"/>
    <cellStyle name="Normal 4 3 3 2 5 2 2" xfId="9492" xr:uid="{00000000-0005-0000-0000-0000C77C0000}"/>
    <cellStyle name="Normal 4 3 3 2 5 2 2 2" xfId="19488" xr:uid="{00000000-0005-0000-0000-0000C87C0000}"/>
    <cellStyle name="Normal 4 3 3 2 5 2 2 2 2" xfId="38888" xr:uid="{00000000-0005-0000-0000-0000C97C0000}"/>
    <cellStyle name="Normal 4 3 3 2 5 2 2 3" xfId="29190" xr:uid="{00000000-0005-0000-0000-0000CA7C0000}"/>
    <cellStyle name="Normal 4 3 3 2 5 2 3" xfId="15033" xr:uid="{00000000-0005-0000-0000-0000CB7C0000}"/>
    <cellStyle name="Normal 4 3 3 2 5 2 3 2" xfId="34433" xr:uid="{00000000-0005-0000-0000-0000CC7C0000}"/>
    <cellStyle name="Normal 4 3 3 2 5 2 4" xfId="24735" xr:uid="{00000000-0005-0000-0000-0000CD7C0000}"/>
    <cellStyle name="Normal 4 3 3 2 5 3" xfId="8377" xr:uid="{00000000-0005-0000-0000-0000CE7C0000}"/>
    <cellStyle name="Normal 4 3 3 2 5 3 2" xfId="18373" xr:uid="{00000000-0005-0000-0000-0000CF7C0000}"/>
    <cellStyle name="Normal 4 3 3 2 5 3 2 2" xfId="37773" xr:uid="{00000000-0005-0000-0000-0000D07C0000}"/>
    <cellStyle name="Normal 4 3 3 2 5 3 3" xfId="28075" xr:uid="{00000000-0005-0000-0000-0000D17C0000}"/>
    <cellStyle name="Normal 4 3 3 2 5 4" xfId="13918" xr:uid="{00000000-0005-0000-0000-0000D27C0000}"/>
    <cellStyle name="Normal 4 3 3 2 5 4 2" xfId="33318" xr:uid="{00000000-0005-0000-0000-0000D37C0000}"/>
    <cellStyle name="Normal 4 3 3 2 5 5" xfId="23620" xr:uid="{00000000-0005-0000-0000-0000D47C0000}"/>
    <cellStyle name="Normal 4 3 3 2 6" xfId="4471" xr:uid="{00000000-0005-0000-0000-0000D57C0000}"/>
    <cellStyle name="Normal 4 3 3 2 6 2" xfId="8935" xr:uid="{00000000-0005-0000-0000-0000D67C0000}"/>
    <cellStyle name="Normal 4 3 3 2 6 2 2" xfId="18931" xr:uid="{00000000-0005-0000-0000-0000D77C0000}"/>
    <cellStyle name="Normal 4 3 3 2 6 2 2 2" xfId="38331" xr:uid="{00000000-0005-0000-0000-0000D87C0000}"/>
    <cellStyle name="Normal 4 3 3 2 6 2 3" xfId="28633" xr:uid="{00000000-0005-0000-0000-0000D97C0000}"/>
    <cellStyle name="Normal 4 3 3 2 6 3" xfId="14476" xr:uid="{00000000-0005-0000-0000-0000DA7C0000}"/>
    <cellStyle name="Normal 4 3 3 2 6 3 2" xfId="33876" xr:uid="{00000000-0005-0000-0000-0000DB7C0000}"/>
    <cellStyle name="Normal 4 3 3 2 6 4" xfId="24178" xr:uid="{00000000-0005-0000-0000-0000DC7C0000}"/>
    <cellStyle name="Normal 4 3 3 2 7" xfId="6141" xr:uid="{00000000-0005-0000-0000-0000DD7C0000}"/>
    <cellStyle name="Normal 4 3 3 2 7 2" xfId="10605" xr:uid="{00000000-0005-0000-0000-0000DE7C0000}"/>
    <cellStyle name="Normal 4 3 3 2 7 2 2" xfId="20601" xr:uid="{00000000-0005-0000-0000-0000DF7C0000}"/>
    <cellStyle name="Normal 4 3 3 2 7 2 2 2" xfId="40001" xr:uid="{00000000-0005-0000-0000-0000E07C0000}"/>
    <cellStyle name="Normal 4 3 3 2 7 2 3" xfId="30303" xr:uid="{00000000-0005-0000-0000-0000E17C0000}"/>
    <cellStyle name="Normal 4 3 3 2 7 3" xfId="16146" xr:uid="{00000000-0005-0000-0000-0000E27C0000}"/>
    <cellStyle name="Normal 4 3 3 2 7 3 2" xfId="35546" xr:uid="{00000000-0005-0000-0000-0000E37C0000}"/>
    <cellStyle name="Normal 4 3 3 2 7 4" xfId="25848" xr:uid="{00000000-0005-0000-0000-0000E47C0000}"/>
    <cellStyle name="Normal 4 3 3 2 8" xfId="6707" xr:uid="{00000000-0005-0000-0000-0000E57C0000}"/>
    <cellStyle name="Normal 4 3 3 2 8 2" xfId="11162" xr:uid="{00000000-0005-0000-0000-0000E67C0000}"/>
    <cellStyle name="Normal 4 3 3 2 8 2 2" xfId="21158" xr:uid="{00000000-0005-0000-0000-0000E77C0000}"/>
    <cellStyle name="Normal 4 3 3 2 8 2 2 2" xfId="40558" xr:uid="{00000000-0005-0000-0000-0000E87C0000}"/>
    <cellStyle name="Normal 4 3 3 2 8 2 3" xfId="30860" xr:uid="{00000000-0005-0000-0000-0000E97C0000}"/>
    <cellStyle name="Normal 4 3 3 2 8 3" xfId="16703" xr:uid="{00000000-0005-0000-0000-0000EA7C0000}"/>
    <cellStyle name="Normal 4 3 3 2 8 3 2" xfId="36103" xr:uid="{00000000-0005-0000-0000-0000EB7C0000}"/>
    <cellStyle name="Normal 4 3 3 2 8 4" xfId="26405" xr:uid="{00000000-0005-0000-0000-0000EC7C0000}"/>
    <cellStyle name="Normal 4 3 3 2 9" xfId="7264" xr:uid="{00000000-0005-0000-0000-0000ED7C0000}"/>
    <cellStyle name="Normal 4 3 3 2 9 2" xfId="17260" xr:uid="{00000000-0005-0000-0000-0000EE7C0000}"/>
    <cellStyle name="Normal 4 3 3 2 9 2 2" xfId="36660" xr:uid="{00000000-0005-0000-0000-0000EF7C0000}"/>
    <cellStyle name="Normal 4 3 3 2 9 3" xfId="26962" xr:uid="{00000000-0005-0000-0000-0000F07C0000}"/>
    <cellStyle name="Normal 4 3 3 3" xfId="2372" xr:uid="{00000000-0005-0000-0000-0000F17C0000}"/>
    <cellStyle name="Normal 4 3 3 3 10" xfId="12807" xr:uid="{00000000-0005-0000-0000-0000F27C0000}"/>
    <cellStyle name="Normal 4 3 3 3 10 2" xfId="32208" xr:uid="{00000000-0005-0000-0000-0000F37C0000}"/>
    <cellStyle name="Normal 4 3 3 3 11" xfId="22510" xr:uid="{00000000-0005-0000-0000-0000F47C0000}"/>
    <cellStyle name="Normal 4 3 3 3 2" xfId="2373" xr:uid="{00000000-0005-0000-0000-0000F57C0000}"/>
    <cellStyle name="Normal 4 3 3 3 2 2" xfId="3319" xr:uid="{00000000-0005-0000-0000-0000F67C0000}"/>
    <cellStyle name="Normal 4 3 3 3 2 2 2" xfId="5588" xr:uid="{00000000-0005-0000-0000-0000F77C0000}"/>
    <cellStyle name="Normal 4 3 3 3 2 2 2 2" xfId="10052" xr:uid="{00000000-0005-0000-0000-0000F87C0000}"/>
    <cellStyle name="Normal 4 3 3 3 2 2 2 2 2" xfId="20048" xr:uid="{00000000-0005-0000-0000-0000F97C0000}"/>
    <cellStyle name="Normal 4 3 3 3 2 2 2 2 2 2" xfId="39448" xr:uid="{00000000-0005-0000-0000-0000FA7C0000}"/>
    <cellStyle name="Normal 4 3 3 3 2 2 2 2 3" xfId="29750" xr:uid="{00000000-0005-0000-0000-0000FB7C0000}"/>
    <cellStyle name="Normal 4 3 3 3 2 2 2 3" xfId="15593" xr:uid="{00000000-0005-0000-0000-0000FC7C0000}"/>
    <cellStyle name="Normal 4 3 3 3 2 2 2 3 2" xfId="34993" xr:uid="{00000000-0005-0000-0000-0000FD7C0000}"/>
    <cellStyle name="Normal 4 3 3 3 2 2 2 4" xfId="25295" xr:uid="{00000000-0005-0000-0000-0000FE7C0000}"/>
    <cellStyle name="Normal 4 3 3 3 2 2 3" xfId="7824" xr:uid="{00000000-0005-0000-0000-0000FF7C0000}"/>
    <cellStyle name="Normal 4 3 3 3 2 2 3 2" xfId="17820" xr:uid="{00000000-0005-0000-0000-0000007D0000}"/>
    <cellStyle name="Normal 4 3 3 3 2 2 3 2 2" xfId="37220" xr:uid="{00000000-0005-0000-0000-0000017D0000}"/>
    <cellStyle name="Normal 4 3 3 3 2 2 3 3" xfId="27522" xr:uid="{00000000-0005-0000-0000-0000027D0000}"/>
    <cellStyle name="Normal 4 3 3 3 2 2 4" xfId="13365" xr:uid="{00000000-0005-0000-0000-0000037D0000}"/>
    <cellStyle name="Normal 4 3 3 3 2 2 4 2" xfId="32765" xr:uid="{00000000-0005-0000-0000-0000047D0000}"/>
    <cellStyle name="Normal 4 3 3 3 2 2 5" xfId="23067" xr:uid="{00000000-0005-0000-0000-0000057D0000}"/>
    <cellStyle name="Normal 4 3 3 3 2 3" xfId="3902" xr:uid="{00000000-0005-0000-0000-0000067D0000}"/>
    <cellStyle name="Normal 4 3 3 3 2 3 2" xfId="5032" xr:uid="{00000000-0005-0000-0000-0000077D0000}"/>
    <cellStyle name="Normal 4 3 3 3 2 3 2 2" xfId="9496" xr:uid="{00000000-0005-0000-0000-0000087D0000}"/>
    <cellStyle name="Normal 4 3 3 3 2 3 2 2 2" xfId="19492" xr:uid="{00000000-0005-0000-0000-0000097D0000}"/>
    <cellStyle name="Normal 4 3 3 3 2 3 2 2 2 2" xfId="38892" xr:uid="{00000000-0005-0000-0000-00000A7D0000}"/>
    <cellStyle name="Normal 4 3 3 3 2 3 2 2 3" xfId="29194" xr:uid="{00000000-0005-0000-0000-00000B7D0000}"/>
    <cellStyle name="Normal 4 3 3 3 2 3 2 3" xfId="15037" xr:uid="{00000000-0005-0000-0000-00000C7D0000}"/>
    <cellStyle name="Normal 4 3 3 3 2 3 2 3 2" xfId="34437" xr:uid="{00000000-0005-0000-0000-00000D7D0000}"/>
    <cellStyle name="Normal 4 3 3 3 2 3 2 4" xfId="24739" xr:uid="{00000000-0005-0000-0000-00000E7D0000}"/>
    <cellStyle name="Normal 4 3 3 3 2 3 3" xfId="8381" xr:uid="{00000000-0005-0000-0000-00000F7D0000}"/>
    <cellStyle name="Normal 4 3 3 3 2 3 3 2" xfId="18377" xr:uid="{00000000-0005-0000-0000-0000107D0000}"/>
    <cellStyle name="Normal 4 3 3 3 2 3 3 2 2" xfId="37777" xr:uid="{00000000-0005-0000-0000-0000117D0000}"/>
    <cellStyle name="Normal 4 3 3 3 2 3 3 3" xfId="28079" xr:uid="{00000000-0005-0000-0000-0000127D0000}"/>
    <cellStyle name="Normal 4 3 3 3 2 3 4" xfId="13922" xr:uid="{00000000-0005-0000-0000-0000137D0000}"/>
    <cellStyle name="Normal 4 3 3 3 2 3 4 2" xfId="33322" xr:uid="{00000000-0005-0000-0000-0000147D0000}"/>
    <cellStyle name="Normal 4 3 3 3 2 3 5" xfId="23624" xr:uid="{00000000-0005-0000-0000-0000157D0000}"/>
    <cellStyle name="Normal 4 3 3 3 2 4" xfId="4475" xr:uid="{00000000-0005-0000-0000-0000167D0000}"/>
    <cellStyle name="Normal 4 3 3 3 2 4 2" xfId="8939" xr:uid="{00000000-0005-0000-0000-0000177D0000}"/>
    <cellStyle name="Normal 4 3 3 3 2 4 2 2" xfId="18935" xr:uid="{00000000-0005-0000-0000-0000187D0000}"/>
    <cellStyle name="Normal 4 3 3 3 2 4 2 2 2" xfId="38335" xr:uid="{00000000-0005-0000-0000-0000197D0000}"/>
    <cellStyle name="Normal 4 3 3 3 2 4 2 3" xfId="28637" xr:uid="{00000000-0005-0000-0000-00001A7D0000}"/>
    <cellStyle name="Normal 4 3 3 3 2 4 3" xfId="14480" xr:uid="{00000000-0005-0000-0000-00001B7D0000}"/>
    <cellStyle name="Normal 4 3 3 3 2 4 3 2" xfId="33880" xr:uid="{00000000-0005-0000-0000-00001C7D0000}"/>
    <cellStyle name="Normal 4 3 3 3 2 4 4" xfId="24182" xr:uid="{00000000-0005-0000-0000-00001D7D0000}"/>
    <cellStyle name="Normal 4 3 3 3 2 5" xfId="6145" xr:uid="{00000000-0005-0000-0000-00001E7D0000}"/>
    <cellStyle name="Normal 4 3 3 3 2 5 2" xfId="10609" xr:uid="{00000000-0005-0000-0000-00001F7D0000}"/>
    <cellStyle name="Normal 4 3 3 3 2 5 2 2" xfId="20605" xr:uid="{00000000-0005-0000-0000-0000207D0000}"/>
    <cellStyle name="Normal 4 3 3 3 2 5 2 2 2" xfId="40005" xr:uid="{00000000-0005-0000-0000-0000217D0000}"/>
    <cellStyle name="Normal 4 3 3 3 2 5 2 3" xfId="30307" xr:uid="{00000000-0005-0000-0000-0000227D0000}"/>
    <cellStyle name="Normal 4 3 3 3 2 5 3" xfId="16150" xr:uid="{00000000-0005-0000-0000-0000237D0000}"/>
    <cellStyle name="Normal 4 3 3 3 2 5 3 2" xfId="35550" xr:uid="{00000000-0005-0000-0000-0000247D0000}"/>
    <cellStyle name="Normal 4 3 3 3 2 5 4" xfId="25852" xr:uid="{00000000-0005-0000-0000-0000257D0000}"/>
    <cellStyle name="Normal 4 3 3 3 2 6" xfId="6711" xr:uid="{00000000-0005-0000-0000-0000267D0000}"/>
    <cellStyle name="Normal 4 3 3 3 2 6 2" xfId="11166" xr:uid="{00000000-0005-0000-0000-0000277D0000}"/>
    <cellStyle name="Normal 4 3 3 3 2 6 2 2" xfId="21162" xr:uid="{00000000-0005-0000-0000-0000287D0000}"/>
    <cellStyle name="Normal 4 3 3 3 2 6 2 2 2" xfId="40562" xr:uid="{00000000-0005-0000-0000-0000297D0000}"/>
    <cellStyle name="Normal 4 3 3 3 2 6 2 3" xfId="30864" xr:uid="{00000000-0005-0000-0000-00002A7D0000}"/>
    <cellStyle name="Normal 4 3 3 3 2 6 3" xfId="16707" xr:uid="{00000000-0005-0000-0000-00002B7D0000}"/>
    <cellStyle name="Normal 4 3 3 3 2 6 3 2" xfId="36107" xr:uid="{00000000-0005-0000-0000-00002C7D0000}"/>
    <cellStyle name="Normal 4 3 3 3 2 6 4" xfId="26409" xr:uid="{00000000-0005-0000-0000-00002D7D0000}"/>
    <cellStyle name="Normal 4 3 3 3 2 7" xfId="7268" xr:uid="{00000000-0005-0000-0000-00002E7D0000}"/>
    <cellStyle name="Normal 4 3 3 3 2 7 2" xfId="17264" xr:uid="{00000000-0005-0000-0000-00002F7D0000}"/>
    <cellStyle name="Normal 4 3 3 3 2 7 2 2" xfId="36664" xr:uid="{00000000-0005-0000-0000-0000307D0000}"/>
    <cellStyle name="Normal 4 3 3 3 2 7 3" xfId="26966" xr:uid="{00000000-0005-0000-0000-0000317D0000}"/>
    <cellStyle name="Normal 4 3 3 3 2 8" xfId="12808" xr:uid="{00000000-0005-0000-0000-0000327D0000}"/>
    <cellStyle name="Normal 4 3 3 3 2 8 2" xfId="32209" xr:uid="{00000000-0005-0000-0000-0000337D0000}"/>
    <cellStyle name="Normal 4 3 3 3 2 9" xfId="22511" xr:uid="{00000000-0005-0000-0000-0000347D0000}"/>
    <cellStyle name="Normal 4 3 3 3 3" xfId="2374" xr:uid="{00000000-0005-0000-0000-0000357D0000}"/>
    <cellStyle name="Normal 4 3 3 3 3 2" xfId="3320" xr:uid="{00000000-0005-0000-0000-0000367D0000}"/>
    <cellStyle name="Normal 4 3 3 3 3 2 2" xfId="5589" xr:uid="{00000000-0005-0000-0000-0000377D0000}"/>
    <cellStyle name="Normal 4 3 3 3 3 2 2 2" xfId="10053" xr:uid="{00000000-0005-0000-0000-0000387D0000}"/>
    <cellStyle name="Normal 4 3 3 3 3 2 2 2 2" xfId="20049" xr:uid="{00000000-0005-0000-0000-0000397D0000}"/>
    <cellStyle name="Normal 4 3 3 3 3 2 2 2 2 2" xfId="39449" xr:uid="{00000000-0005-0000-0000-00003A7D0000}"/>
    <cellStyle name="Normal 4 3 3 3 3 2 2 2 3" xfId="29751" xr:uid="{00000000-0005-0000-0000-00003B7D0000}"/>
    <cellStyle name="Normal 4 3 3 3 3 2 2 3" xfId="15594" xr:uid="{00000000-0005-0000-0000-00003C7D0000}"/>
    <cellStyle name="Normal 4 3 3 3 3 2 2 3 2" xfId="34994" xr:uid="{00000000-0005-0000-0000-00003D7D0000}"/>
    <cellStyle name="Normal 4 3 3 3 3 2 2 4" xfId="25296" xr:uid="{00000000-0005-0000-0000-00003E7D0000}"/>
    <cellStyle name="Normal 4 3 3 3 3 2 3" xfId="7825" xr:uid="{00000000-0005-0000-0000-00003F7D0000}"/>
    <cellStyle name="Normal 4 3 3 3 3 2 3 2" xfId="17821" xr:uid="{00000000-0005-0000-0000-0000407D0000}"/>
    <cellStyle name="Normal 4 3 3 3 3 2 3 2 2" xfId="37221" xr:uid="{00000000-0005-0000-0000-0000417D0000}"/>
    <cellStyle name="Normal 4 3 3 3 3 2 3 3" xfId="27523" xr:uid="{00000000-0005-0000-0000-0000427D0000}"/>
    <cellStyle name="Normal 4 3 3 3 3 2 4" xfId="13366" xr:uid="{00000000-0005-0000-0000-0000437D0000}"/>
    <cellStyle name="Normal 4 3 3 3 3 2 4 2" xfId="32766" xr:uid="{00000000-0005-0000-0000-0000447D0000}"/>
    <cellStyle name="Normal 4 3 3 3 3 2 5" xfId="23068" xr:uid="{00000000-0005-0000-0000-0000457D0000}"/>
    <cellStyle name="Normal 4 3 3 3 3 3" xfId="3903" xr:uid="{00000000-0005-0000-0000-0000467D0000}"/>
    <cellStyle name="Normal 4 3 3 3 3 3 2" xfId="5033" xr:uid="{00000000-0005-0000-0000-0000477D0000}"/>
    <cellStyle name="Normal 4 3 3 3 3 3 2 2" xfId="9497" xr:uid="{00000000-0005-0000-0000-0000487D0000}"/>
    <cellStyle name="Normal 4 3 3 3 3 3 2 2 2" xfId="19493" xr:uid="{00000000-0005-0000-0000-0000497D0000}"/>
    <cellStyle name="Normal 4 3 3 3 3 3 2 2 2 2" xfId="38893" xr:uid="{00000000-0005-0000-0000-00004A7D0000}"/>
    <cellStyle name="Normal 4 3 3 3 3 3 2 2 3" xfId="29195" xr:uid="{00000000-0005-0000-0000-00004B7D0000}"/>
    <cellStyle name="Normal 4 3 3 3 3 3 2 3" xfId="15038" xr:uid="{00000000-0005-0000-0000-00004C7D0000}"/>
    <cellStyle name="Normal 4 3 3 3 3 3 2 3 2" xfId="34438" xr:uid="{00000000-0005-0000-0000-00004D7D0000}"/>
    <cellStyle name="Normal 4 3 3 3 3 3 2 4" xfId="24740" xr:uid="{00000000-0005-0000-0000-00004E7D0000}"/>
    <cellStyle name="Normal 4 3 3 3 3 3 3" xfId="8382" xr:uid="{00000000-0005-0000-0000-00004F7D0000}"/>
    <cellStyle name="Normal 4 3 3 3 3 3 3 2" xfId="18378" xr:uid="{00000000-0005-0000-0000-0000507D0000}"/>
    <cellStyle name="Normal 4 3 3 3 3 3 3 2 2" xfId="37778" xr:uid="{00000000-0005-0000-0000-0000517D0000}"/>
    <cellStyle name="Normal 4 3 3 3 3 3 3 3" xfId="28080" xr:uid="{00000000-0005-0000-0000-0000527D0000}"/>
    <cellStyle name="Normal 4 3 3 3 3 3 4" xfId="13923" xr:uid="{00000000-0005-0000-0000-0000537D0000}"/>
    <cellStyle name="Normal 4 3 3 3 3 3 4 2" xfId="33323" xr:uid="{00000000-0005-0000-0000-0000547D0000}"/>
    <cellStyle name="Normal 4 3 3 3 3 3 5" xfId="23625" xr:uid="{00000000-0005-0000-0000-0000557D0000}"/>
    <cellStyle name="Normal 4 3 3 3 3 4" xfId="4476" xr:uid="{00000000-0005-0000-0000-0000567D0000}"/>
    <cellStyle name="Normal 4 3 3 3 3 4 2" xfId="8940" xr:uid="{00000000-0005-0000-0000-0000577D0000}"/>
    <cellStyle name="Normal 4 3 3 3 3 4 2 2" xfId="18936" xr:uid="{00000000-0005-0000-0000-0000587D0000}"/>
    <cellStyle name="Normal 4 3 3 3 3 4 2 2 2" xfId="38336" xr:uid="{00000000-0005-0000-0000-0000597D0000}"/>
    <cellStyle name="Normal 4 3 3 3 3 4 2 3" xfId="28638" xr:uid="{00000000-0005-0000-0000-00005A7D0000}"/>
    <cellStyle name="Normal 4 3 3 3 3 4 3" xfId="14481" xr:uid="{00000000-0005-0000-0000-00005B7D0000}"/>
    <cellStyle name="Normal 4 3 3 3 3 4 3 2" xfId="33881" xr:uid="{00000000-0005-0000-0000-00005C7D0000}"/>
    <cellStyle name="Normal 4 3 3 3 3 4 4" xfId="24183" xr:uid="{00000000-0005-0000-0000-00005D7D0000}"/>
    <cellStyle name="Normal 4 3 3 3 3 5" xfId="6146" xr:uid="{00000000-0005-0000-0000-00005E7D0000}"/>
    <cellStyle name="Normal 4 3 3 3 3 5 2" xfId="10610" xr:uid="{00000000-0005-0000-0000-00005F7D0000}"/>
    <cellStyle name="Normal 4 3 3 3 3 5 2 2" xfId="20606" xr:uid="{00000000-0005-0000-0000-0000607D0000}"/>
    <cellStyle name="Normal 4 3 3 3 3 5 2 2 2" xfId="40006" xr:uid="{00000000-0005-0000-0000-0000617D0000}"/>
    <cellStyle name="Normal 4 3 3 3 3 5 2 3" xfId="30308" xr:uid="{00000000-0005-0000-0000-0000627D0000}"/>
    <cellStyle name="Normal 4 3 3 3 3 5 3" xfId="16151" xr:uid="{00000000-0005-0000-0000-0000637D0000}"/>
    <cellStyle name="Normal 4 3 3 3 3 5 3 2" xfId="35551" xr:uid="{00000000-0005-0000-0000-0000647D0000}"/>
    <cellStyle name="Normal 4 3 3 3 3 5 4" xfId="25853" xr:uid="{00000000-0005-0000-0000-0000657D0000}"/>
    <cellStyle name="Normal 4 3 3 3 3 6" xfId="6712" xr:uid="{00000000-0005-0000-0000-0000667D0000}"/>
    <cellStyle name="Normal 4 3 3 3 3 6 2" xfId="11167" xr:uid="{00000000-0005-0000-0000-0000677D0000}"/>
    <cellStyle name="Normal 4 3 3 3 3 6 2 2" xfId="21163" xr:uid="{00000000-0005-0000-0000-0000687D0000}"/>
    <cellStyle name="Normal 4 3 3 3 3 6 2 2 2" xfId="40563" xr:uid="{00000000-0005-0000-0000-0000697D0000}"/>
    <cellStyle name="Normal 4 3 3 3 3 6 2 3" xfId="30865" xr:uid="{00000000-0005-0000-0000-00006A7D0000}"/>
    <cellStyle name="Normal 4 3 3 3 3 6 3" xfId="16708" xr:uid="{00000000-0005-0000-0000-00006B7D0000}"/>
    <cellStyle name="Normal 4 3 3 3 3 6 3 2" xfId="36108" xr:uid="{00000000-0005-0000-0000-00006C7D0000}"/>
    <cellStyle name="Normal 4 3 3 3 3 6 4" xfId="26410" xr:uid="{00000000-0005-0000-0000-00006D7D0000}"/>
    <cellStyle name="Normal 4 3 3 3 3 7" xfId="7269" xr:uid="{00000000-0005-0000-0000-00006E7D0000}"/>
    <cellStyle name="Normal 4 3 3 3 3 7 2" xfId="17265" xr:uid="{00000000-0005-0000-0000-00006F7D0000}"/>
    <cellStyle name="Normal 4 3 3 3 3 7 2 2" xfId="36665" xr:uid="{00000000-0005-0000-0000-0000707D0000}"/>
    <cellStyle name="Normal 4 3 3 3 3 7 3" xfId="26967" xr:uid="{00000000-0005-0000-0000-0000717D0000}"/>
    <cellStyle name="Normal 4 3 3 3 3 8" xfId="12809" xr:uid="{00000000-0005-0000-0000-0000727D0000}"/>
    <cellStyle name="Normal 4 3 3 3 3 8 2" xfId="32210" xr:uid="{00000000-0005-0000-0000-0000737D0000}"/>
    <cellStyle name="Normal 4 3 3 3 3 9" xfId="22512" xr:uid="{00000000-0005-0000-0000-0000747D0000}"/>
    <cellStyle name="Normal 4 3 3 3 4" xfId="3318" xr:uid="{00000000-0005-0000-0000-0000757D0000}"/>
    <cellStyle name="Normal 4 3 3 3 4 2" xfId="5587" xr:uid="{00000000-0005-0000-0000-0000767D0000}"/>
    <cellStyle name="Normal 4 3 3 3 4 2 2" xfId="10051" xr:uid="{00000000-0005-0000-0000-0000777D0000}"/>
    <cellStyle name="Normal 4 3 3 3 4 2 2 2" xfId="20047" xr:uid="{00000000-0005-0000-0000-0000787D0000}"/>
    <cellStyle name="Normal 4 3 3 3 4 2 2 2 2" xfId="39447" xr:uid="{00000000-0005-0000-0000-0000797D0000}"/>
    <cellStyle name="Normal 4 3 3 3 4 2 2 3" xfId="29749" xr:uid="{00000000-0005-0000-0000-00007A7D0000}"/>
    <cellStyle name="Normal 4 3 3 3 4 2 3" xfId="15592" xr:uid="{00000000-0005-0000-0000-00007B7D0000}"/>
    <cellStyle name="Normal 4 3 3 3 4 2 3 2" xfId="34992" xr:uid="{00000000-0005-0000-0000-00007C7D0000}"/>
    <cellStyle name="Normal 4 3 3 3 4 2 4" xfId="25294" xr:uid="{00000000-0005-0000-0000-00007D7D0000}"/>
    <cellStyle name="Normal 4 3 3 3 4 3" xfId="7823" xr:uid="{00000000-0005-0000-0000-00007E7D0000}"/>
    <cellStyle name="Normal 4 3 3 3 4 3 2" xfId="17819" xr:uid="{00000000-0005-0000-0000-00007F7D0000}"/>
    <cellStyle name="Normal 4 3 3 3 4 3 2 2" xfId="37219" xr:uid="{00000000-0005-0000-0000-0000807D0000}"/>
    <cellStyle name="Normal 4 3 3 3 4 3 3" xfId="27521" xr:uid="{00000000-0005-0000-0000-0000817D0000}"/>
    <cellStyle name="Normal 4 3 3 3 4 4" xfId="13364" xr:uid="{00000000-0005-0000-0000-0000827D0000}"/>
    <cellStyle name="Normal 4 3 3 3 4 4 2" xfId="32764" xr:uid="{00000000-0005-0000-0000-0000837D0000}"/>
    <cellStyle name="Normal 4 3 3 3 4 5" xfId="23066" xr:uid="{00000000-0005-0000-0000-0000847D0000}"/>
    <cellStyle name="Normal 4 3 3 3 5" xfId="3901" xr:uid="{00000000-0005-0000-0000-0000857D0000}"/>
    <cellStyle name="Normal 4 3 3 3 5 2" xfId="5031" xr:uid="{00000000-0005-0000-0000-0000867D0000}"/>
    <cellStyle name="Normal 4 3 3 3 5 2 2" xfId="9495" xr:uid="{00000000-0005-0000-0000-0000877D0000}"/>
    <cellStyle name="Normal 4 3 3 3 5 2 2 2" xfId="19491" xr:uid="{00000000-0005-0000-0000-0000887D0000}"/>
    <cellStyle name="Normal 4 3 3 3 5 2 2 2 2" xfId="38891" xr:uid="{00000000-0005-0000-0000-0000897D0000}"/>
    <cellStyle name="Normal 4 3 3 3 5 2 2 3" xfId="29193" xr:uid="{00000000-0005-0000-0000-00008A7D0000}"/>
    <cellStyle name="Normal 4 3 3 3 5 2 3" xfId="15036" xr:uid="{00000000-0005-0000-0000-00008B7D0000}"/>
    <cellStyle name="Normal 4 3 3 3 5 2 3 2" xfId="34436" xr:uid="{00000000-0005-0000-0000-00008C7D0000}"/>
    <cellStyle name="Normal 4 3 3 3 5 2 4" xfId="24738" xr:uid="{00000000-0005-0000-0000-00008D7D0000}"/>
    <cellStyle name="Normal 4 3 3 3 5 3" xfId="8380" xr:uid="{00000000-0005-0000-0000-00008E7D0000}"/>
    <cellStyle name="Normal 4 3 3 3 5 3 2" xfId="18376" xr:uid="{00000000-0005-0000-0000-00008F7D0000}"/>
    <cellStyle name="Normal 4 3 3 3 5 3 2 2" xfId="37776" xr:uid="{00000000-0005-0000-0000-0000907D0000}"/>
    <cellStyle name="Normal 4 3 3 3 5 3 3" xfId="28078" xr:uid="{00000000-0005-0000-0000-0000917D0000}"/>
    <cellStyle name="Normal 4 3 3 3 5 4" xfId="13921" xr:uid="{00000000-0005-0000-0000-0000927D0000}"/>
    <cellStyle name="Normal 4 3 3 3 5 4 2" xfId="33321" xr:uid="{00000000-0005-0000-0000-0000937D0000}"/>
    <cellStyle name="Normal 4 3 3 3 5 5" xfId="23623" xr:uid="{00000000-0005-0000-0000-0000947D0000}"/>
    <cellStyle name="Normal 4 3 3 3 6" xfId="4474" xr:uid="{00000000-0005-0000-0000-0000957D0000}"/>
    <cellStyle name="Normal 4 3 3 3 6 2" xfId="8938" xr:uid="{00000000-0005-0000-0000-0000967D0000}"/>
    <cellStyle name="Normal 4 3 3 3 6 2 2" xfId="18934" xr:uid="{00000000-0005-0000-0000-0000977D0000}"/>
    <cellStyle name="Normal 4 3 3 3 6 2 2 2" xfId="38334" xr:uid="{00000000-0005-0000-0000-0000987D0000}"/>
    <cellStyle name="Normal 4 3 3 3 6 2 3" xfId="28636" xr:uid="{00000000-0005-0000-0000-0000997D0000}"/>
    <cellStyle name="Normal 4 3 3 3 6 3" xfId="14479" xr:uid="{00000000-0005-0000-0000-00009A7D0000}"/>
    <cellStyle name="Normal 4 3 3 3 6 3 2" xfId="33879" xr:uid="{00000000-0005-0000-0000-00009B7D0000}"/>
    <cellStyle name="Normal 4 3 3 3 6 4" xfId="24181" xr:uid="{00000000-0005-0000-0000-00009C7D0000}"/>
    <cellStyle name="Normal 4 3 3 3 7" xfId="6144" xr:uid="{00000000-0005-0000-0000-00009D7D0000}"/>
    <cellStyle name="Normal 4 3 3 3 7 2" xfId="10608" xr:uid="{00000000-0005-0000-0000-00009E7D0000}"/>
    <cellStyle name="Normal 4 3 3 3 7 2 2" xfId="20604" xr:uid="{00000000-0005-0000-0000-00009F7D0000}"/>
    <cellStyle name="Normal 4 3 3 3 7 2 2 2" xfId="40004" xr:uid="{00000000-0005-0000-0000-0000A07D0000}"/>
    <cellStyle name="Normal 4 3 3 3 7 2 3" xfId="30306" xr:uid="{00000000-0005-0000-0000-0000A17D0000}"/>
    <cellStyle name="Normal 4 3 3 3 7 3" xfId="16149" xr:uid="{00000000-0005-0000-0000-0000A27D0000}"/>
    <cellStyle name="Normal 4 3 3 3 7 3 2" xfId="35549" xr:uid="{00000000-0005-0000-0000-0000A37D0000}"/>
    <cellStyle name="Normal 4 3 3 3 7 4" xfId="25851" xr:uid="{00000000-0005-0000-0000-0000A47D0000}"/>
    <cellStyle name="Normal 4 3 3 3 8" xfId="6710" xr:uid="{00000000-0005-0000-0000-0000A57D0000}"/>
    <cellStyle name="Normal 4 3 3 3 8 2" xfId="11165" xr:uid="{00000000-0005-0000-0000-0000A67D0000}"/>
    <cellStyle name="Normal 4 3 3 3 8 2 2" xfId="21161" xr:uid="{00000000-0005-0000-0000-0000A77D0000}"/>
    <cellStyle name="Normal 4 3 3 3 8 2 2 2" xfId="40561" xr:uid="{00000000-0005-0000-0000-0000A87D0000}"/>
    <cellStyle name="Normal 4 3 3 3 8 2 3" xfId="30863" xr:uid="{00000000-0005-0000-0000-0000A97D0000}"/>
    <cellStyle name="Normal 4 3 3 3 8 3" xfId="16706" xr:uid="{00000000-0005-0000-0000-0000AA7D0000}"/>
    <cellStyle name="Normal 4 3 3 3 8 3 2" xfId="36106" xr:uid="{00000000-0005-0000-0000-0000AB7D0000}"/>
    <cellStyle name="Normal 4 3 3 3 8 4" xfId="26408" xr:uid="{00000000-0005-0000-0000-0000AC7D0000}"/>
    <cellStyle name="Normal 4 3 3 3 9" xfId="7267" xr:uid="{00000000-0005-0000-0000-0000AD7D0000}"/>
    <cellStyle name="Normal 4 3 3 3 9 2" xfId="17263" xr:uid="{00000000-0005-0000-0000-0000AE7D0000}"/>
    <cellStyle name="Normal 4 3 3 3 9 2 2" xfId="36663" xr:uid="{00000000-0005-0000-0000-0000AF7D0000}"/>
    <cellStyle name="Normal 4 3 3 3 9 3" xfId="26965" xr:uid="{00000000-0005-0000-0000-0000B07D0000}"/>
    <cellStyle name="Normal 4 3 3 4" xfId="2375" xr:uid="{00000000-0005-0000-0000-0000B17D0000}"/>
    <cellStyle name="Normal 4 3 3 4 2" xfId="3321" xr:uid="{00000000-0005-0000-0000-0000B27D0000}"/>
    <cellStyle name="Normal 4 3 3 4 2 2" xfId="5590" xr:uid="{00000000-0005-0000-0000-0000B37D0000}"/>
    <cellStyle name="Normal 4 3 3 4 2 2 2" xfId="10054" xr:uid="{00000000-0005-0000-0000-0000B47D0000}"/>
    <cellStyle name="Normal 4 3 3 4 2 2 2 2" xfId="20050" xr:uid="{00000000-0005-0000-0000-0000B57D0000}"/>
    <cellStyle name="Normal 4 3 3 4 2 2 2 2 2" xfId="39450" xr:uid="{00000000-0005-0000-0000-0000B67D0000}"/>
    <cellStyle name="Normal 4 3 3 4 2 2 2 3" xfId="29752" xr:uid="{00000000-0005-0000-0000-0000B77D0000}"/>
    <cellStyle name="Normal 4 3 3 4 2 2 3" xfId="15595" xr:uid="{00000000-0005-0000-0000-0000B87D0000}"/>
    <cellStyle name="Normal 4 3 3 4 2 2 3 2" xfId="34995" xr:uid="{00000000-0005-0000-0000-0000B97D0000}"/>
    <cellStyle name="Normal 4 3 3 4 2 2 4" xfId="25297" xr:uid="{00000000-0005-0000-0000-0000BA7D0000}"/>
    <cellStyle name="Normal 4 3 3 4 2 3" xfId="7826" xr:uid="{00000000-0005-0000-0000-0000BB7D0000}"/>
    <cellStyle name="Normal 4 3 3 4 2 3 2" xfId="17822" xr:uid="{00000000-0005-0000-0000-0000BC7D0000}"/>
    <cellStyle name="Normal 4 3 3 4 2 3 2 2" xfId="37222" xr:uid="{00000000-0005-0000-0000-0000BD7D0000}"/>
    <cellStyle name="Normal 4 3 3 4 2 3 3" xfId="27524" xr:uid="{00000000-0005-0000-0000-0000BE7D0000}"/>
    <cellStyle name="Normal 4 3 3 4 2 4" xfId="13367" xr:uid="{00000000-0005-0000-0000-0000BF7D0000}"/>
    <cellStyle name="Normal 4 3 3 4 2 4 2" xfId="32767" xr:uid="{00000000-0005-0000-0000-0000C07D0000}"/>
    <cellStyle name="Normal 4 3 3 4 2 5" xfId="23069" xr:uid="{00000000-0005-0000-0000-0000C17D0000}"/>
    <cellStyle name="Normal 4 3 3 4 3" xfId="3904" xr:uid="{00000000-0005-0000-0000-0000C27D0000}"/>
    <cellStyle name="Normal 4 3 3 4 3 2" xfId="5034" xr:uid="{00000000-0005-0000-0000-0000C37D0000}"/>
    <cellStyle name="Normal 4 3 3 4 3 2 2" xfId="9498" xr:uid="{00000000-0005-0000-0000-0000C47D0000}"/>
    <cellStyle name="Normal 4 3 3 4 3 2 2 2" xfId="19494" xr:uid="{00000000-0005-0000-0000-0000C57D0000}"/>
    <cellStyle name="Normal 4 3 3 4 3 2 2 2 2" xfId="38894" xr:uid="{00000000-0005-0000-0000-0000C67D0000}"/>
    <cellStyle name="Normal 4 3 3 4 3 2 2 3" xfId="29196" xr:uid="{00000000-0005-0000-0000-0000C77D0000}"/>
    <cellStyle name="Normal 4 3 3 4 3 2 3" xfId="15039" xr:uid="{00000000-0005-0000-0000-0000C87D0000}"/>
    <cellStyle name="Normal 4 3 3 4 3 2 3 2" xfId="34439" xr:uid="{00000000-0005-0000-0000-0000C97D0000}"/>
    <cellStyle name="Normal 4 3 3 4 3 2 4" xfId="24741" xr:uid="{00000000-0005-0000-0000-0000CA7D0000}"/>
    <cellStyle name="Normal 4 3 3 4 3 3" xfId="8383" xr:uid="{00000000-0005-0000-0000-0000CB7D0000}"/>
    <cellStyle name="Normal 4 3 3 4 3 3 2" xfId="18379" xr:uid="{00000000-0005-0000-0000-0000CC7D0000}"/>
    <cellStyle name="Normal 4 3 3 4 3 3 2 2" xfId="37779" xr:uid="{00000000-0005-0000-0000-0000CD7D0000}"/>
    <cellStyle name="Normal 4 3 3 4 3 3 3" xfId="28081" xr:uid="{00000000-0005-0000-0000-0000CE7D0000}"/>
    <cellStyle name="Normal 4 3 3 4 3 4" xfId="13924" xr:uid="{00000000-0005-0000-0000-0000CF7D0000}"/>
    <cellStyle name="Normal 4 3 3 4 3 4 2" xfId="33324" xr:uid="{00000000-0005-0000-0000-0000D07D0000}"/>
    <cellStyle name="Normal 4 3 3 4 3 5" xfId="23626" xr:uid="{00000000-0005-0000-0000-0000D17D0000}"/>
    <cellStyle name="Normal 4 3 3 4 4" xfId="4477" xr:uid="{00000000-0005-0000-0000-0000D27D0000}"/>
    <cellStyle name="Normal 4 3 3 4 4 2" xfId="8941" xr:uid="{00000000-0005-0000-0000-0000D37D0000}"/>
    <cellStyle name="Normal 4 3 3 4 4 2 2" xfId="18937" xr:uid="{00000000-0005-0000-0000-0000D47D0000}"/>
    <cellStyle name="Normal 4 3 3 4 4 2 2 2" xfId="38337" xr:uid="{00000000-0005-0000-0000-0000D57D0000}"/>
    <cellStyle name="Normal 4 3 3 4 4 2 3" xfId="28639" xr:uid="{00000000-0005-0000-0000-0000D67D0000}"/>
    <cellStyle name="Normal 4 3 3 4 4 3" xfId="14482" xr:uid="{00000000-0005-0000-0000-0000D77D0000}"/>
    <cellStyle name="Normal 4 3 3 4 4 3 2" xfId="33882" xr:uid="{00000000-0005-0000-0000-0000D87D0000}"/>
    <cellStyle name="Normal 4 3 3 4 4 4" xfId="24184" xr:uid="{00000000-0005-0000-0000-0000D97D0000}"/>
    <cellStyle name="Normal 4 3 3 4 5" xfId="6147" xr:uid="{00000000-0005-0000-0000-0000DA7D0000}"/>
    <cellStyle name="Normal 4 3 3 4 5 2" xfId="10611" xr:uid="{00000000-0005-0000-0000-0000DB7D0000}"/>
    <cellStyle name="Normal 4 3 3 4 5 2 2" xfId="20607" xr:uid="{00000000-0005-0000-0000-0000DC7D0000}"/>
    <cellStyle name="Normal 4 3 3 4 5 2 2 2" xfId="40007" xr:uid="{00000000-0005-0000-0000-0000DD7D0000}"/>
    <cellStyle name="Normal 4 3 3 4 5 2 3" xfId="30309" xr:uid="{00000000-0005-0000-0000-0000DE7D0000}"/>
    <cellStyle name="Normal 4 3 3 4 5 3" xfId="16152" xr:uid="{00000000-0005-0000-0000-0000DF7D0000}"/>
    <cellStyle name="Normal 4 3 3 4 5 3 2" xfId="35552" xr:uid="{00000000-0005-0000-0000-0000E07D0000}"/>
    <cellStyle name="Normal 4 3 3 4 5 4" xfId="25854" xr:uid="{00000000-0005-0000-0000-0000E17D0000}"/>
    <cellStyle name="Normal 4 3 3 4 6" xfId="6713" xr:uid="{00000000-0005-0000-0000-0000E27D0000}"/>
    <cellStyle name="Normal 4 3 3 4 6 2" xfId="11168" xr:uid="{00000000-0005-0000-0000-0000E37D0000}"/>
    <cellStyle name="Normal 4 3 3 4 6 2 2" xfId="21164" xr:uid="{00000000-0005-0000-0000-0000E47D0000}"/>
    <cellStyle name="Normal 4 3 3 4 6 2 2 2" xfId="40564" xr:uid="{00000000-0005-0000-0000-0000E57D0000}"/>
    <cellStyle name="Normal 4 3 3 4 6 2 3" xfId="30866" xr:uid="{00000000-0005-0000-0000-0000E67D0000}"/>
    <cellStyle name="Normal 4 3 3 4 6 3" xfId="16709" xr:uid="{00000000-0005-0000-0000-0000E77D0000}"/>
    <cellStyle name="Normal 4 3 3 4 6 3 2" xfId="36109" xr:uid="{00000000-0005-0000-0000-0000E87D0000}"/>
    <cellStyle name="Normal 4 3 3 4 6 4" xfId="26411" xr:uid="{00000000-0005-0000-0000-0000E97D0000}"/>
    <cellStyle name="Normal 4 3 3 4 7" xfId="7270" xr:uid="{00000000-0005-0000-0000-0000EA7D0000}"/>
    <cellStyle name="Normal 4 3 3 4 7 2" xfId="17266" xr:uid="{00000000-0005-0000-0000-0000EB7D0000}"/>
    <cellStyle name="Normal 4 3 3 4 7 2 2" xfId="36666" xr:uid="{00000000-0005-0000-0000-0000EC7D0000}"/>
    <cellStyle name="Normal 4 3 3 4 7 3" xfId="26968" xr:uid="{00000000-0005-0000-0000-0000ED7D0000}"/>
    <cellStyle name="Normal 4 3 3 4 8" xfId="12810" xr:uid="{00000000-0005-0000-0000-0000EE7D0000}"/>
    <cellStyle name="Normal 4 3 3 4 8 2" xfId="32211" xr:uid="{00000000-0005-0000-0000-0000EF7D0000}"/>
    <cellStyle name="Normal 4 3 3 4 9" xfId="22513" xr:uid="{00000000-0005-0000-0000-0000F07D0000}"/>
    <cellStyle name="Normal 4 3 3 5" xfId="2376" xr:uid="{00000000-0005-0000-0000-0000F17D0000}"/>
    <cellStyle name="Normal 4 3 3 5 2" xfId="3322" xr:uid="{00000000-0005-0000-0000-0000F27D0000}"/>
    <cellStyle name="Normal 4 3 3 5 2 2" xfId="5591" xr:uid="{00000000-0005-0000-0000-0000F37D0000}"/>
    <cellStyle name="Normal 4 3 3 5 2 2 2" xfId="10055" xr:uid="{00000000-0005-0000-0000-0000F47D0000}"/>
    <cellStyle name="Normal 4 3 3 5 2 2 2 2" xfId="20051" xr:uid="{00000000-0005-0000-0000-0000F57D0000}"/>
    <cellStyle name="Normal 4 3 3 5 2 2 2 2 2" xfId="39451" xr:uid="{00000000-0005-0000-0000-0000F67D0000}"/>
    <cellStyle name="Normal 4 3 3 5 2 2 2 3" xfId="29753" xr:uid="{00000000-0005-0000-0000-0000F77D0000}"/>
    <cellStyle name="Normal 4 3 3 5 2 2 3" xfId="15596" xr:uid="{00000000-0005-0000-0000-0000F87D0000}"/>
    <cellStyle name="Normal 4 3 3 5 2 2 3 2" xfId="34996" xr:uid="{00000000-0005-0000-0000-0000F97D0000}"/>
    <cellStyle name="Normal 4 3 3 5 2 2 4" xfId="25298" xr:uid="{00000000-0005-0000-0000-0000FA7D0000}"/>
    <cellStyle name="Normal 4 3 3 5 2 3" xfId="7827" xr:uid="{00000000-0005-0000-0000-0000FB7D0000}"/>
    <cellStyle name="Normal 4 3 3 5 2 3 2" xfId="17823" xr:uid="{00000000-0005-0000-0000-0000FC7D0000}"/>
    <cellStyle name="Normal 4 3 3 5 2 3 2 2" xfId="37223" xr:uid="{00000000-0005-0000-0000-0000FD7D0000}"/>
    <cellStyle name="Normal 4 3 3 5 2 3 3" xfId="27525" xr:uid="{00000000-0005-0000-0000-0000FE7D0000}"/>
    <cellStyle name="Normal 4 3 3 5 2 4" xfId="13368" xr:uid="{00000000-0005-0000-0000-0000FF7D0000}"/>
    <cellStyle name="Normal 4 3 3 5 2 4 2" xfId="32768" xr:uid="{00000000-0005-0000-0000-0000007E0000}"/>
    <cellStyle name="Normal 4 3 3 5 2 5" xfId="23070" xr:uid="{00000000-0005-0000-0000-0000017E0000}"/>
    <cellStyle name="Normal 4 3 3 5 3" xfId="3905" xr:uid="{00000000-0005-0000-0000-0000027E0000}"/>
    <cellStyle name="Normal 4 3 3 5 3 2" xfId="5035" xr:uid="{00000000-0005-0000-0000-0000037E0000}"/>
    <cellStyle name="Normal 4 3 3 5 3 2 2" xfId="9499" xr:uid="{00000000-0005-0000-0000-0000047E0000}"/>
    <cellStyle name="Normal 4 3 3 5 3 2 2 2" xfId="19495" xr:uid="{00000000-0005-0000-0000-0000057E0000}"/>
    <cellStyle name="Normal 4 3 3 5 3 2 2 2 2" xfId="38895" xr:uid="{00000000-0005-0000-0000-0000067E0000}"/>
    <cellStyle name="Normal 4 3 3 5 3 2 2 3" xfId="29197" xr:uid="{00000000-0005-0000-0000-0000077E0000}"/>
    <cellStyle name="Normal 4 3 3 5 3 2 3" xfId="15040" xr:uid="{00000000-0005-0000-0000-0000087E0000}"/>
    <cellStyle name="Normal 4 3 3 5 3 2 3 2" xfId="34440" xr:uid="{00000000-0005-0000-0000-0000097E0000}"/>
    <cellStyle name="Normal 4 3 3 5 3 2 4" xfId="24742" xr:uid="{00000000-0005-0000-0000-00000A7E0000}"/>
    <cellStyle name="Normal 4 3 3 5 3 3" xfId="8384" xr:uid="{00000000-0005-0000-0000-00000B7E0000}"/>
    <cellStyle name="Normal 4 3 3 5 3 3 2" xfId="18380" xr:uid="{00000000-0005-0000-0000-00000C7E0000}"/>
    <cellStyle name="Normal 4 3 3 5 3 3 2 2" xfId="37780" xr:uid="{00000000-0005-0000-0000-00000D7E0000}"/>
    <cellStyle name="Normal 4 3 3 5 3 3 3" xfId="28082" xr:uid="{00000000-0005-0000-0000-00000E7E0000}"/>
    <cellStyle name="Normal 4 3 3 5 3 4" xfId="13925" xr:uid="{00000000-0005-0000-0000-00000F7E0000}"/>
    <cellStyle name="Normal 4 3 3 5 3 4 2" xfId="33325" xr:uid="{00000000-0005-0000-0000-0000107E0000}"/>
    <cellStyle name="Normal 4 3 3 5 3 5" xfId="23627" xr:uid="{00000000-0005-0000-0000-0000117E0000}"/>
    <cellStyle name="Normal 4 3 3 5 4" xfId="4478" xr:uid="{00000000-0005-0000-0000-0000127E0000}"/>
    <cellStyle name="Normal 4 3 3 5 4 2" xfId="8942" xr:uid="{00000000-0005-0000-0000-0000137E0000}"/>
    <cellStyle name="Normal 4 3 3 5 4 2 2" xfId="18938" xr:uid="{00000000-0005-0000-0000-0000147E0000}"/>
    <cellStyle name="Normal 4 3 3 5 4 2 2 2" xfId="38338" xr:uid="{00000000-0005-0000-0000-0000157E0000}"/>
    <cellStyle name="Normal 4 3 3 5 4 2 3" xfId="28640" xr:uid="{00000000-0005-0000-0000-0000167E0000}"/>
    <cellStyle name="Normal 4 3 3 5 4 3" xfId="14483" xr:uid="{00000000-0005-0000-0000-0000177E0000}"/>
    <cellStyle name="Normal 4 3 3 5 4 3 2" xfId="33883" xr:uid="{00000000-0005-0000-0000-0000187E0000}"/>
    <cellStyle name="Normal 4 3 3 5 4 4" xfId="24185" xr:uid="{00000000-0005-0000-0000-0000197E0000}"/>
    <cellStyle name="Normal 4 3 3 5 5" xfId="6148" xr:uid="{00000000-0005-0000-0000-00001A7E0000}"/>
    <cellStyle name="Normal 4 3 3 5 5 2" xfId="10612" xr:uid="{00000000-0005-0000-0000-00001B7E0000}"/>
    <cellStyle name="Normal 4 3 3 5 5 2 2" xfId="20608" xr:uid="{00000000-0005-0000-0000-00001C7E0000}"/>
    <cellStyle name="Normal 4 3 3 5 5 2 2 2" xfId="40008" xr:uid="{00000000-0005-0000-0000-00001D7E0000}"/>
    <cellStyle name="Normal 4 3 3 5 5 2 3" xfId="30310" xr:uid="{00000000-0005-0000-0000-00001E7E0000}"/>
    <cellStyle name="Normal 4 3 3 5 5 3" xfId="16153" xr:uid="{00000000-0005-0000-0000-00001F7E0000}"/>
    <cellStyle name="Normal 4 3 3 5 5 3 2" xfId="35553" xr:uid="{00000000-0005-0000-0000-0000207E0000}"/>
    <cellStyle name="Normal 4 3 3 5 5 4" xfId="25855" xr:uid="{00000000-0005-0000-0000-0000217E0000}"/>
    <cellStyle name="Normal 4 3 3 5 6" xfId="6714" xr:uid="{00000000-0005-0000-0000-0000227E0000}"/>
    <cellStyle name="Normal 4 3 3 5 6 2" xfId="11169" xr:uid="{00000000-0005-0000-0000-0000237E0000}"/>
    <cellStyle name="Normal 4 3 3 5 6 2 2" xfId="21165" xr:uid="{00000000-0005-0000-0000-0000247E0000}"/>
    <cellStyle name="Normal 4 3 3 5 6 2 2 2" xfId="40565" xr:uid="{00000000-0005-0000-0000-0000257E0000}"/>
    <cellStyle name="Normal 4 3 3 5 6 2 3" xfId="30867" xr:uid="{00000000-0005-0000-0000-0000267E0000}"/>
    <cellStyle name="Normal 4 3 3 5 6 3" xfId="16710" xr:uid="{00000000-0005-0000-0000-0000277E0000}"/>
    <cellStyle name="Normal 4 3 3 5 6 3 2" xfId="36110" xr:uid="{00000000-0005-0000-0000-0000287E0000}"/>
    <cellStyle name="Normal 4 3 3 5 6 4" xfId="26412" xr:uid="{00000000-0005-0000-0000-0000297E0000}"/>
    <cellStyle name="Normal 4 3 3 5 7" xfId="7271" xr:uid="{00000000-0005-0000-0000-00002A7E0000}"/>
    <cellStyle name="Normal 4 3 3 5 7 2" xfId="17267" xr:uid="{00000000-0005-0000-0000-00002B7E0000}"/>
    <cellStyle name="Normal 4 3 3 5 7 2 2" xfId="36667" xr:uid="{00000000-0005-0000-0000-00002C7E0000}"/>
    <cellStyle name="Normal 4 3 3 5 7 3" xfId="26969" xr:uid="{00000000-0005-0000-0000-00002D7E0000}"/>
    <cellStyle name="Normal 4 3 3 5 8" xfId="12811" xr:uid="{00000000-0005-0000-0000-00002E7E0000}"/>
    <cellStyle name="Normal 4 3 3 5 8 2" xfId="32212" xr:uid="{00000000-0005-0000-0000-00002F7E0000}"/>
    <cellStyle name="Normal 4 3 3 5 9" xfId="22514" xr:uid="{00000000-0005-0000-0000-0000307E0000}"/>
    <cellStyle name="Normal 4 3 4" xfId="1812" xr:uid="{00000000-0005-0000-0000-0000317E0000}"/>
    <cellStyle name="Normal 4 3 4 10" xfId="6855" xr:uid="{00000000-0005-0000-0000-0000327E0000}"/>
    <cellStyle name="Normal 4 3 4 10 2" xfId="16851" xr:uid="{00000000-0005-0000-0000-0000337E0000}"/>
    <cellStyle name="Normal 4 3 4 10 2 2" xfId="36251" xr:uid="{00000000-0005-0000-0000-0000347E0000}"/>
    <cellStyle name="Normal 4 3 4 10 3" xfId="26553" xr:uid="{00000000-0005-0000-0000-0000357E0000}"/>
    <cellStyle name="Normal 4 3 4 11" xfId="12395" xr:uid="{00000000-0005-0000-0000-0000367E0000}"/>
    <cellStyle name="Normal 4 3 4 11 2" xfId="31796" xr:uid="{00000000-0005-0000-0000-0000377E0000}"/>
    <cellStyle name="Normal 4 3 4 12" xfId="22098" xr:uid="{00000000-0005-0000-0000-0000387E0000}"/>
    <cellStyle name="Normal 4 3 4 2" xfId="2377" xr:uid="{00000000-0005-0000-0000-0000397E0000}"/>
    <cellStyle name="Normal 4 3 4 2 10" xfId="12812" xr:uid="{00000000-0005-0000-0000-00003A7E0000}"/>
    <cellStyle name="Normal 4 3 4 2 10 2" xfId="32213" xr:uid="{00000000-0005-0000-0000-00003B7E0000}"/>
    <cellStyle name="Normal 4 3 4 2 11" xfId="22515" xr:uid="{00000000-0005-0000-0000-00003C7E0000}"/>
    <cellStyle name="Normal 4 3 4 2 2" xfId="2378" xr:uid="{00000000-0005-0000-0000-00003D7E0000}"/>
    <cellStyle name="Normal 4 3 4 2 2 2" xfId="3324" xr:uid="{00000000-0005-0000-0000-00003E7E0000}"/>
    <cellStyle name="Normal 4 3 4 2 2 2 2" xfId="5593" xr:uid="{00000000-0005-0000-0000-00003F7E0000}"/>
    <cellStyle name="Normal 4 3 4 2 2 2 2 2" xfId="10057" xr:uid="{00000000-0005-0000-0000-0000407E0000}"/>
    <cellStyle name="Normal 4 3 4 2 2 2 2 2 2" xfId="20053" xr:uid="{00000000-0005-0000-0000-0000417E0000}"/>
    <cellStyle name="Normal 4 3 4 2 2 2 2 2 2 2" xfId="39453" xr:uid="{00000000-0005-0000-0000-0000427E0000}"/>
    <cellStyle name="Normal 4 3 4 2 2 2 2 2 3" xfId="29755" xr:uid="{00000000-0005-0000-0000-0000437E0000}"/>
    <cellStyle name="Normal 4 3 4 2 2 2 2 3" xfId="15598" xr:uid="{00000000-0005-0000-0000-0000447E0000}"/>
    <cellStyle name="Normal 4 3 4 2 2 2 2 3 2" xfId="34998" xr:uid="{00000000-0005-0000-0000-0000457E0000}"/>
    <cellStyle name="Normal 4 3 4 2 2 2 2 4" xfId="25300" xr:uid="{00000000-0005-0000-0000-0000467E0000}"/>
    <cellStyle name="Normal 4 3 4 2 2 2 3" xfId="7829" xr:uid="{00000000-0005-0000-0000-0000477E0000}"/>
    <cellStyle name="Normal 4 3 4 2 2 2 3 2" xfId="17825" xr:uid="{00000000-0005-0000-0000-0000487E0000}"/>
    <cellStyle name="Normal 4 3 4 2 2 2 3 2 2" xfId="37225" xr:uid="{00000000-0005-0000-0000-0000497E0000}"/>
    <cellStyle name="Normal 4 3 4 2 2 2 3 3" xfId="27527" xr:uid="{00000000-0005-0000-0000-00004A7E0000}"/>
    <cellStyle name="Normal 4 3 4 2 2 2 4" xfId="13370" xr:uid="{00000000-0005-0000-0000-00004B7E0000}"/>
    <cellStyle name="Normal 4 3 4 2 2 2 4 2" xfId="32770" xr:uid="{00000000-0005-0000-0000-00004C7E0000}"/>
    <cellStyle name="Normal 4 3 4 2 2 2 5" xfId="23072" xr:uid="{00000000-0005-0000-0000-00004D7E0000}"/>
    <cellStyle name="Normal 4 3 4 2 2 3" xfId="3907" xr:uid="{00000000-0005-0000-0000-00004E7E0000}"/>
    <cellStyle name="Normal 4 3 4 2 2 3 2" xfId="5037" xr:uid="{00000000-0005-0000-0000-00004F7E0000}"/>
    <cellStyle name="Normal 4 3 4 2 2 3 2 2" xfId="9501" xr:uid="{00000000-0005-0000-0000-0000507E0000}"/>
    <cellStyle name="Normal 4 3 4 2 2 3 2 2 2" xfId="19497" xr:uid="{00000000-0005-0000-0000-0000517E0000}"/>
    <cellStyle name="Normal 4 3 4 2 2 3 2 2 2 2" xfId="38897" xr:uid="{00000000-0005-0000-0000-0000527E0000}"/>
    <cellStyle name="Normal 4 3 4 2 2 3 2 2 3" xfId="29199" xr:uid="{00000000-0005-0000-0000-0000537E0000}"/>
    <cellStyle name="Normal 4 3 4 2 2 3 2 3" xfId="15042" xr:uid="{00000000-0005-0000-0000-0000547E0000}"/>
    <cellStyle name="Normal 4 3 4 2 2 3 2 3 2" xfId="34442" xr:uid="{00000000-0005-0000-0000-0000557E0000}"/>
    <cellStyle name="Normal 4 3 4 2 2 3 2 4" xfId="24744" xr:uid="{00000000-0005-0000-0000-0000567E0000}"/>
    <cellStyle name="Normal 4 3 4 2 2 3 3" xfId="8386" xr:uid="{00000000-0005-0000-0000-0000577E0000}"/>
    <cellStyle name="Normal 4 3 4 2 2 3 3 2" xfId="18382" xr:uid="{00000000-0005-0000-0000-0000587E0000}"/>
    <cellStyle name="Normal 4 3 4 2 2 3 3 2 2" xfId="37782" xr:uid="{00000000-0005-0000-0000-0000597E0000}"/>
    <cellStyle name="Normal 4 3 4 2 2 3 3 3" xfId="28084" xr:uid="{00000000-0005-0000-0000-00005A7E0000}"/>
    <cellStyle name="Normal 4 3 4 2 2 3 4" xfId="13927" xr:uid="{00000000-0005-0000-0000-00005B7E0000}"/>
    <cellStyle name="Normal 4 3 4 2 2 3 4 2" xfId="33327" xr:uid="{00000000-0005-0000-0000-00005C7E0000}"/>
    <cellStyle name="Normal 4 3 4 2 2 3 5" xfId="23629" xr:uid="{00000000-0005-0000-0000-00005D7E0000}"/>
    <cellStyle name="Normal 4 3 4 2 2 4" xfId="4480" xr:uid="{00000000-0005-0000-0000-00005E7E0000}"/>
    <cellStyle name="Normal 4 3 4 2 2 4 2" xfId="8944" xr:uid="{00000000-0005-0000-0000-00005F7E0000}"/>
    <cellStyle name="Normal 4 3 4 2 2 4 2 2" xfId="18940" xr:uid="{00000000-0005-0000-0000-0000607E0000}"/>
    <cellStyle name="Normal 4 3 4 2 2 4 2 2 2" xfId="38340" xr:uid="{00000000-0005-0000-0000-0000617E0000}"/>
    <cellStyle name="Normal 4 3 4 2 2 4 2 3" xfId="28642" xr:uid="{00000000-0005-0000-0000-0000627E0000}"/>
    <cellStyle name="Normal 4 3 4 2 2 4 3" xfId="14485" xr:uid="{00000000-0005-0000-0000-0000637E0000}"/>
    <cellStyle name="Normal 4 3 4 2 2 4 3 2" xfId="33885" xr:uid="{00000000-0005-0000-0000-0000647E0000}"/>
    <cellStyle name="Normal 4 3 4 2 2 4 4" xfId="24187" xr:uid="{00000000-0005-0000-0000-0000657E0000}"/>
    <cellStyle name="Normal 4 3 4 2 2 5" xfId="6150" xr:uid="{00000000-0005-0000-0000-0000667E0000}"/>
    <cellStyle name="Normal 4 3 4 2 2 5 2" xfId="10614" xr:uid="{00000000-0005-0000-0000-0000677E0000}"/>
    <cellStyle name="Normal 4 3 4 2 2 5 2 2" xfId="20610" xr:uid="{00000000-0005-0000-0000-0000687E0000}"/>
    <cellStyle name="Normal 4 3 4 2 2 5 2 2 2" xfId="40010" xr:uid="{00000000-0005-0000-0000-0000697E0000}"/>
    <cellStyle name="Normal 4 3 4 2 2 5 2 3" xfId="30312" xr:uid="{00000000-0005-0000-0000-00006A7E0000}"/>
    <cellStyle name="Normal 4 3 4 2 2 5 3" xfId="16155" xr:uid="{00000000-0005-0000-0000-00006B7E0000}"/>
    <cellStyle name="Normal 4 3 4 2 2 5 3 2" xfId="35555" xr:uid="{00000000-0005-0000-0000-00006C7E0000}"/>
    <cellStyle name="Normal 4 3 4 2 2 5 4" xfId="25857" xr:uid="{00000000-0005-0000-0000-00006D7E0000}"/>
    <cellStyle name="Normal 4 3 4 2 2 6" xfId="6716" xr:uid="{00000000-0005-0000-0000-00006E7E0000}"/>
    <cellStyle name="Normal 4 3 4 2 2 6 2" xfId="11171" xr:uid="{00000000-0005-0000-0000-00006F7E0000}"/>
    <cellStyle name="Normal 4 3 4 2 2 6 2 2" xfId="21167" xr:uid="{00000000-0005-0000-0000-0000707E0000}"/>
    <cellStyle name="Normal 4 3 4 2 2 6 2 2 2" xfId="40567" xr:uid="{00000000-0005-0000-0000-0000717E0000}"/>
    <cellStyle name="Normal 4 3 4 2 2 6 2 3" xfId="30869" xr:uid="{00000000-0005-0000-0000-0000727E0000}"/>
    <cellStyle name="Normal 4 3 4 2 2 6 3" xfId="16712" xr:uid="{00000000-0005-0000-0000-0000737E0000}"/>
    <cellStyle name="Normal 4 3 4 2 2 6 3 2" xfId="36112" xr:uid="{00000000-0005-0000-0000-0000747E0000}"/>
    <cellStyle name="Normal 4 3 4 2 2 6 4" xfId="26414" xr:uid="{00000000-0005-0000-0000-0000757E0000}"/>
    <cellStyle name="Normal 4 3 4 2 2 7" xfId="7273" xr:uid="{00000000-0005-0000-0000-0000767E0000}"/>
    <cellStyle name="Normal 4 3 4 2 2 7 2" xfId="17269" xr:uid="{00000000-0005-0000-0000-0000777E0000}"/>
    <cellStyle name="Normal 4 3 4 2 2 7 2 2" xfId="36669" xr:uid="{00000000-0005-0000-0000-0000787E0000}"/>
    <cellStyle name="Normal 4 3 4 2 2 7 3" xfId="26971" xr:uid="{00000000-0005-0000-0000-0000797E0000}"/>
    <cellStyle name="Normal 4 3 4 2 2 8" xfId="12813" xr:uid="{00000000-0005-0000-0000-00007A7E0000}"/>
    <cellStyle name="Normal 4 3 4 2 2 8 2" xfId="32214" xr:uid="{00000000-0005-0000-0000-00007B7E0000}"/>
    <cellStyle name="Normal 4 3 4 2 2 9" xfId="22516" xr:uid="{00000000-0005-0000-0000-00007C7E0000}"/>
    <cellStyle name="Normal 4 3 4 2 3" xfId="2379" xr:uid="{00000000-0005-0000-0000-00007D7E0000}"/>
    <cellStyle name="Normal 4 3 4 2 3 2" xfId="3325" xr:uid="{00000000-0005-0000-0000-00007E7E0000}"/>
    <cellStyle name="Normal 4 3 4 2 3 2 2" xfId="5594" xr:uid="{00000000-0005-0000-0000-00007F7E0000}"/>
    <cellStyle name="Normal 4 3 4 2 3 2 2 2" xfId="10058" xr:uid="{00000000-0005-0000-0000-0000807E0000}"/>
    <cellStyle name="Normal 4 3 4 2 3 2 2 2 2" xfId="20054" xr:uid="{00000000-0005-0000-0000-0000817E0000}"/>
    <cellStyle name="Normal 4 3 4 2 3 2 2 2 2 2" xfId="39454" xr:uid="{00000000-0005-0000-0000-0000827E0000}"/>
    <cellStyle name="Normal 4 3 4 2 3 2 2 2 3" xfId="29756" xr:uid="{00000000-0005-0000-0000-0000837E0000}"/>
    <cellStyle name="Normal 4 3 4 2 3 2 2 3" xfId="15599" xr:uid="{00000000-0005-0000-0000-0000847E0000}"/>
    <cellStyle name="Normal 4 3 4 2 3 2 2 3 2" xfId="34999" xr:uid="{00000000-0005-0000-0000-0000857E0000}"/>
    <cellStyle name="Normal 4 3 4 2 3 2 2 4" xfId="25301" xr:uid="{00000000-0005-0000-0000-0000867E0000}"/>
    <cellStyle name="Normal 4 3 4 2 3 2 3" xfId="7830" xr:uid="{00000000-0005-0000-0000-0000877E0000}"/>
    <cellStyle name="Normal 4 3 4 2 3 2 3 2" xfId="17826" xr:uid="{00000000-0005-0000-0000-0000887E0000}"/>
    <cellStyle name="Normal 4 3 4 2 3 2 3 2 2" xfId="37226" xr:uid="{00000000-0005-0000-0000-0000897E0000}"/>
    <cellStyle name="Normal 4 3 4 2 3 2 3 3" xfId="27528" xr:uid="{00000000-0005-0000-0000-00008A7E0000}"/>
    <cellStyle name="Normal 4 3 4 2 3 2 4" xfId="13371" xr:uid="{00000000-0005-0000-0000-00008B7E0000}"/>
    <cellStyle name="Normal 4 3 4 2 3 2 4 2" xfId="32771" xr:uid="{00000000-0005-0000-0000-00008C7E0000}"/>
    <cellStyle name="Normal 4 3 4 2 3 2 5" xfId="23073" xr:uid="{00000000-0005-0000-0000-00008D7E0000}"/>
    <cellStyle name="Normal 4 3 4 2 3 3" xfId="3908" xr:uid="{00000000-0005-0000-0000-00008E7E0000}"/>
    <cellStyle name="Normal 4 3 4 2 3 3 2" xfId="5038" xr:uid="{00000000-0005-0000-0000-00008F7E0000}"/>
    <cellStyle name="Normal 4 3 4 2 3 3 2 2" xfId="9502" xr:uid="{00000000-0005-0000-0000-0000907E0000}"/>
    <cellStyle name="Normal 4 3 4 2 3 3 2 2 2" xfId="19498" xr:uid="{00000000-0005-0000-0000-0000917E0000}"/>
    <cellStyle name="Normal 4 3 4 2 3 3 2 2 2 2" xfId="38898" xr:uid="{00000000-0005-0000-0000-0000927E0000}"/>
    <cellStyle name="Normal 4 3 4 2 3 3 2 2 3" xfId="29200" xr:uid="{00000000-0005-0000-0000-0000937E0000}"/>
    <cellStyle name="Normal 4 3 4 2 3 3 2 3" xfId="15043" xr:uid="{00000000-0005-0000-0000-0000947E0000}"/>
    <cellStyle name="Normal 4 3 4 2 3 3 2 3 2" xfId="34443" xr:uid="{00000000-0005-0000-0000-0000957E0000}"/>
    <cellStyle name="Normal 4 3 4 2 3 3 2 4" xfId="24745" xr:uid="{00000000-0005-0000-0000-0000967E0000}"/>
    <cellStyle name="Normal 4 3 4 2 3 3 3" xfId="8387" xr:uid="{00000000-0005-0000-0000-0000977E0000}"/>
    <cellStyle name="Normal 4 3 4 2 3 3 3 2" xfId="18383" xr:uid="{00000000-0005-0000-0000-0000987E0000}"/>
    <cellStyle name="Normal 4 3 4 2 3 3 3 2 2" xfId="37783" xr:uid="{00000000-0005-0000-0000-0000997E0000}"/>
    <cellStyle name="Normal 4 3 4 2 3 3 3 3" xfId="28085" xr:uid="{00000000-0005-0000-0000-00009A7E0000}"/>
    <cellStyle name="Normal 4 3 4 2 3 3 4" xfId="13928" xr:uid="{00000000-0005-0000-0000-00009B7E0000}"/>
    <cellStyle name="Normal 4 3 4 2 3 3 4 2" xfId="33328" xr:uid="{00000000-0005-0000-0000-00009C7E0000}"/>
    <cellStyle name="Normal 4 3 4 2 3 3 5" xfId="23630" xr:uid="{00000000-0005-0000-0000-00009D7E0000}"/>
    <cellStyle name="Normal 4 3 4 2 3 4" xfId="4481" xr:uid="{00000000-0005-0000-0000-00009E7E0000}"/>
    <cellStyle name="Normal 4 3 4 2 3 4 2" xfId="8945" xr:uid="{00000000-0005-0000-0000-00009F7E0000}"/>
    <cellStyle name="Normal 4 3 4 2 3 4 2 2" xfId="18941" xr:uid="{00000000-0005-0000-0000-0000A07E0000}"/>
    <cellStyle name="Normal 4 3 4 2 3 4 2 2 2" xfId="38341" xr:uid="{00000000-0005-0000-0000-0000A17E0000}"/>
    <cellStyle name="Normal 4 3 4 2 3 4 2 3" xfId="28643" xr:uid="{00000000-0005-0000-0000-0000A27E0000}"/>
    <cellStyle name="Normal 4 3 4 2 3 4 3" xfId="14486" xr:uid="{00000000-0005-0000-0000-0000A37E0000}"/>
    <cellStyle name="Normal 4 3 4 2 3 4 3 2" xfId="33886" xr:uid="{00000000-0005-0000-0000-0000A47E0000}"/>
    <cellStyle name="Normal 4 3 4 2 3 4 4" xfId="24188" xr:uid="{00000000-0005-0000-0000-0000A57E0000}"/>
    <cellStyle name="Normal 4 3 4 2 3 5" xfId="6151" xr:uid="{00000000-0005-0000-0000-0000A67E0000}"/>
    <cellStyle name="Normal 4 3 4 2 3 5 2" xfId="10615" xr:uid="{00000000-0005-0000-0000-0000A77E0000}"/>
    <cellStyle name="Normal 4 3 4 2 3 5 2 2" xfId="20611" xr:uid="{00000000-0005-0000-0000-0000A87E0000}"/>
    <cellStyle name="Normal 4 3 4 2 3 5 2 2 2" xfId="40011" xr:uid="{00000000-0005-0000-0000-0000A97E0000}"/>
    <cellStyle name="Normal 4 3 4 2 3 5 2 3" xfId="30313" xr:uid="{00000000-0005-0000-0000-0000AA7E0000}"/>
    <cellStyle name="Normal 4 3 4 2 3 5 3" xfId="16156" xr:uid="{00000000-0005-0000-0000-0000AB7E0000}"/>
    <cellStyle name="Normal 4 3 4 2 3 5 3 2" xfId="35556" xr:uid="{00000000-0005-0000-0000-0000AC7E0000}"/>
    <cellStyle name="Normal 4 3 4 2 3 5 4" xfId="25858" xr:uid="{00000000-0005-0000-0000-0000AD7E0000}"/>
    <cellStyle name="Normal 4 3 4 2 3 6" xfId="6717" xr:uid="{00000000-0005-0000-0000-0000AE7E0000}"/>
    <cellStyle name="Normal 4 3 4 2 3 6 2" xfId="11172" xr:uid="{00000000-0005-0000-0000-0000AF7E0000}"/>
    <cellStyle name="Normal 4 3 4 2 3 6 2 2" xfId="21168" xr:uid="{00000000-0005-0000-0000-0000B07E0000}"/>
    <cellStyle name="Normal 4 3 4 2 3 6 2 2 2" xfId="40568" xr:uid="{00000000-0005-0000-0000-0000B17E0000}"/>
    <cellStyle name="Normal 4 3 4 2 3 6 2 3" xfId="30870" xr:uid="{00000000-0005-0000-0000-0000B27E0000}"/>
    <cellStyle name="Normal 4 3 4 2 3 6 3" xfId="16713" xr:uid="{00000000-0005-0000-0000-0000B37E0000}"/>
    <cellStyle name="Normal 4 3 4 2 3 6 3 2" xfId="36113" xr:uid="{00000000-0005-0000-0000-0000B47E0000}"/>
    <cellStyle name="Normal 4 3 4 2 3 6 4" xfId="26415" xr:uid="{00000000-0005-0000-0000-0000B57E0000}"/>
    <cellStyle name="Normal 4 3 4 2 3 7" xfId="7274" xr:uid="{00000000-0005-0000-0000-0000B67E0000}"/>
    <cellStyle name="Normal 4 3 4 2 3 7 2" xfId="17270" xr:uid="{00000000-0005-0000-0000-0000B77E0000}"/>
    <cellStyle name="Normal 4 3 4 2 3 7 2 2" xfId="36670" xr:uid="{00000000-0005-0000-0000-0000B87E0000}"/>
    <cellStyle name="Normal 4 3 4 2 3 7 3" xfId="26972" xr:uid="{00000000-0005-0000-0000-0000B97E0000}"/>
    <cellStyle name="Normal 4 3 4 2 3 8" xfId="12814" xr:uid="{00000000-0005-0000-0000-0000BA7E0000}"/>
    <cellStyle name="Normal 4 3 4 2 3 8 2" xfId="32215" xr:uid="{00000000-0005-0000-0000-0000BB7E0000}"/>
    <cellStyle name="Normal 4 3 4 2 3 9" xfId="22517" xr:uid="{00000000-0005-0000-0000-0000BC7E0000}"/>
    <cellStyle name="Normal 4 3 4 2 4" xfId="3323" xr:uid="{00000000-0005-0000-0000-0000BD7E0000}"/>
    <cellStyle name="Normal 4 3 4 2 4 2" xfId="5592" xr:uid="{00000000-0005-0000-0000-0000BE7E0000}"/>
    <cellStyle name="Normal 4 3 4 2 4 2 2" xfId="10056" xr:uid="{00000000-0005-0000-0000-0000BF7E0000}"/>
    <cellStyle name="Normal 4 3 4 2 4 2 2 2" xfId="20052" xr:uid="{00000000-0005-0000-0000-0000C07E0000}"/>
    <cellStyle name="Normal 4 3 4 2 4 2 2 2 2" xfId="39452" xr:uid="{00000000-0005-0000-0000-0000C17E0000}"/>
    <cellStyle name="Normal 4 3 4 2 4 2 2 3" xfId="29754" xr:uid="{00000000-0005-0000-0000-0000C27E0000}"/>
    <cellStyle name="Normal 4 3 4 2 4 2 3" xfId="15597" xr:uid="{00000000-0005-0000-0000-0000C37E0000}"/>
    <cellStyle name="Normal 4 3 4 2 4 2 3 2" xfId="34997" xr:uid="{00000000-0005-0000-0000-0000C47E0000}"/>
    <cellStyle name="Normal 4 3 4 2 4 2 4" xfId="25299" xr:uid="{00000000-0005-0000-0000-0000C57E0000}"/>
    <cellStyle name="Normal 4 3 4 2 4 3" xfId="7828" xr:uid="{00000000-0005-0000-0000-0000C67E0000}"/>
    <cellStyle name="Normal 4 3 4 2 4 3 2" xfId="17824" xr:uid="{00000000-0005-0000-0000-0000C77E0000}"/>
    <cellStyle name="Normal 4 3 4 2 4 3 2 2" xfId="37224" xr:uid="{00000000-0005-0000-0000-0000C87E0000}"/>
    <cellStyle name="Normal 4 3 4 2 4 3 3" xfId="27526" xr:uid="{00000000-0005-0000-0000-0000C97E0000}"/>
    <cellStyle name="Normal 4 3 4 2 4 4" xfId="13369" xr:uid="{00000000-0005-0000-0000-0000CA7E0000}"/>
    <cellStyle name="Normal 4 3 4 2 4 4 2" xfId="32769" xr:uid="{00000000-0005-0000-0000-0000CB7E0000}"/>
    <cellStyle name="Normal 4 3 4 2 4 5" xfId="23071" xr:uid="{00000000-0005-0000-0000-0000CC7E0000}"/>
    <cellStyle name="Normal 4 3 4 2 5" xfId="3906" xr:uid="{00000000-0005-0000-0000-0000CD7E0000}"/>
    <cellStyle name="Normal 4 3 4 2 5 2" xfId="5036" xr:uid="{00000000-0005-0000-0000-0000CE7E0000}"/>
    <cellStyle name="Normal 4 3 4 2 5 2 2" xfId="9500" xr:uid="{00000000-0005-0000-0000-0000CF7E0000}"/>
    <cellStyle name="Normal 4 3 4 2 5 2 2 2" xfId="19496" xr:uid="{00000000-0005-0000-0000-0000D07E0000}"/>
    <cellStyle name="Normal 4 3 4 2 5 2 2 2 2" xfId="38896" xr:uid="{00000000-0005-0000-0000-0000D17E0000}"/>
    <cellStyle name="Normal 4 3 4 2 5 2 2 3" xfId="29198" xr:uid="{00000000-0005-0000-0000-0000D27E0000}"/>
    <cellStyle name="Normal 4 3 4 2 5 2 3" xfId="15041" xr:uid="{00000000-0005-0000-0000-0000D37E0000}"/>
    <cellStyle name="Normal 4 3 4 2 5 2 3 2" xfId="34441" xr:uid="{00000000-0005-0000-0000-0000D47E0000}"/>
    <cellStyle name="Normal 4 3 4 2 5 2 4" xfId="24743" xr:uid="{00000000-0005-0000-0000-0000D57E0000}"/>
    <cellStyle name="Normal 4 3 4 2 5 3" xfId="8385" xr:uid="{00000000-0005-0000-0000-0000D67E0000}"/>
    <cellStyle name="Normal 4 3 4 2 5 3 2" xfId="18381" xr:uid="{00000000-0005-0000-0000-0000D77E0000}"/>
    <cellStyle name="Normal 4 3 4 2 5 3 2 2" xfId="37781" xr:uid="{00000000-0005-0000-0000-0000D87E0000}"/>
    <cellStyle name="Normal 4 3 4 2 5 3 3" xfId="28083" xr:uid="{00000000-0005-0000-0000-0000D97E0000}"/>
    <cellStyle name="Normal 4 3 4 2 5 4" xfId="13926" xr:uid="{00000000-0005-0000-0000-0000DA7E0000}"/>
    <cellStyle name="Normal 4 3 4 2 5 4 2" xfId="33326" xr:uid="{00000000-0005-0000-0000-0000DB7E0000}"/>
    <cellStyle name="Normal 4 3 4 2 5 5" xfId="23628" xr:uid="{00000000-0005-0000-0000-0000DC7E0000}"/>
    <cellStyle name="Normal 4 3 4 2 6" xfId="4479" xr:uid="{00000000-0005-0000-0000-0000DD7E0000}"/>
    <cellStyle name="Normal 4 3 4 2 6 2" xfId="8943" xr:uid="{00000000-0005-0000-0000-0000DE7E0000}"/>
    <cellStyle name="Normal 4 3 4 2 6 2 2" xfId="18939" xr:uid="{00000000-0005-0000-0000-0000DF7E0000}"/>
    <cellStyle name="Normal 4 3 4 2 6 2 2 2" xfId="38339" xr:uid="{00000000-0005-0000-0000-0000E07E0000}"/>
    <cellStyle name="Normal 4 3 4 2 6 2 3" xfId="28641" xr:uid="{00000000-0005-0000-0000-0000E17E0000}"/>
    <cellStyle name="Normal 4 3 4 2 6 3" xfId="14484" xr:uid="{00000000-0005-0000-0000-0000E27E0000}"/>
    <cellStyle name="Normal 4 3 4 2 6 3 2" xfId="33884" xr:uid="{00000000-0005-0000-0000-0000E37E0000}"/>
    <cellStyle name="Normal 4 3 4 2 6 4" xfId="24186" xr:uid="{00000000-0005-0000-0000-0000E47E0000}"/>
    <cellStyle name="Normal 4 3 4 2 7" xfId="6149" xr:uid="{00000000-0005-0000-0000-0000E57E0000}"/>
    <cellStyle name="Normal 4 3 4 2 7 2" xfId="10613" xr:uid="{00000000-0005-0000-0000-0000E67E0000}"/>
    <cellStyle name="Normal 4 3 4 2 7 2 2" xfId="20609" xr:uid="{00000000-0005-0000-0000-0000E77E0000}"/>
    <cellStyle name="Normal 4 3 4 2 7 2 2 2" xfId="40009" xr:uid="{00000000-0005-0000-0000-0000E87E0000}"/>
    <cellStyle name="Normal 4 3 4 2 7 2 3" xfId="30311" xr:uid="{00000000-0005-0000-0000-0000E97E0000}"/>
    <cellStyle name="Normal 4 3 4 2 7 3" xfId="16154" xr:uid="{00000000-0005-0000-0000-0000EA7E0000}"/>
    <cellStyle name="Normal 4 3 4 2 7 3 2" xfId="35554" xr:uid="{00000000-0005-0000-0000-0000EB7E0000}"/>
    <cellStyle name="Normal 4 3 4 2 7 4" xfId="25856" xr:uid="{00000000-0005-0000-0000-0000EC7E0000}"/>
    <cellStyle name="Normal 4 3 4 2 8" xfId="6715" xr:uid="{00000000-0005-0000-0000-0000ED7E0000}"/>
    <cellStyle name="Normal 4 3 4 2 8 2" xfId="11170" xr:uid="{00000000-0005-0000-0000-0000EE7E0000}"/>
    <cellStyle name="Normal 4 3 4 2 8 2 2" xfId="21166" xr:uid="{00000000-0005-0000-0000-0000EF7E0000}"/>
    <cellStyle name="Normal 4 3 4 2 8 2 2 2" xfId="40566" xr:uid="{00000000-0005-0000-0000-0000F07E0000}"/>
    <cellStyle name="Normal 4 3 4 2 8 2 3" xfId="30868" xr:uid="{00000000-0005-0000-0000-0000F17E0000}"/>
    <cellStyle name="Normal 4 3 4 2 8 3" xfId="16711" xr:uid="{00000000-0005-0000-0000-0000F27E0000}"/>
    <cellStyle name="Normal 4 3 4 2 8 3 2" xfId="36111" xr:uid="{00000000-0005-0000-0000-0000F37E0000}"/>
    <cellStyle name="Normal 4 3 4 2 8 4" xfId="26413" xr:uid="{00000000-0005-0000-0000-0000F47E0000}"/>
    <cellStyle name="Normal 4 3 4 2 9" xfId="7272" xr:uid="{00000000-0005-0000-0000-0000F57E0000}"/>
    <cellStyle name="Normal 4 3 4 2 9 2" xfId="17268" xr:uid="{00000000-0005-0000-0000-0000F67E0000}"/>
    <cellStyle name="Normal 4 3 4 2 9 2 2" xfId="36668" xr:uid="{00000000-0005-0000-0000-0000F77E0000}"/>
    <cellStyle name="Normal 4 3 4 2 9 3" xfId="26970" xr:uid="{00000000-0005-0000-0000-0000F87E0000}"/>
    <cellStyle name="Normal 4 3 4 3" xfId="2380" xr:uid="{00000000-0005-0000-0000-0000F97E0000}"/>
    <cellStyle name="Normal 4 3 4 3 2" xfId="3326" xr:uid="{00000000-0005-0000-0000-0000FA7E0000}"/>
    <cellStyle name="Normal 4 3 4 3 2 2" xfId="5595" xr:uid="{00000000-0005-0000-0000-0000FB7E0000}"/>
    <cellStyle name="Normal 4 3 4 3 2 2 2" xfId="10059" xr:uid="{00000000-0005-0000-0000-0000FC7E0000}"/>
    <cellStyle name="Normal 4 3 4 3 2 2 2 2" xfId="20055" xr:uid="{00000000-0005-0000-0000-0000FD7E0000}"/>
    <cellStyle name="Normal 4 3 4 3 2 2 2 2 2" xfId="39455" xr:uid="{00000000-0005-0000-0000-0000FE7E0000}"/>
    <cellStyle name="Normal 4 3 4 3 2 2 2 3" xfId="29757" xr:uid="{00000000-0005-0000-0000-0000FF7E0000}"/>
    <cellStyle name="Normal 4 3 4 3 2 2 3" xfId="15600" xr:uid="{00000000-0005-0000-0000-0000007F0000}"/>
    <cellStyle name="Normal 4 3 4 3 2 2 3 2" xfId="35000" xr:uid="{00000000-0005-0000-0000-0000017F0000}"/>
    <cellStyle name="Normal 4 3 4 3 2 2 4" xfId="25302" xr:uid="{00000000-0005-0000-0000-0000027F0000}"/>
    <cellStyle name="Normal 4 3 4 3 2 3" xfId="7831" xr:uid="{00000000-0005-0000-0000-0000037F0000}"/>
    <cellStyle name="Normal 4 3 4 3 2 3 2" xfId="17827" xr:uid="{00000000-0005-0000-0000-0000047F0000}"/>
    <cellStyle name="Normal 4 3 4 3 2 3 2 2" xfId="37227" xr:uid="{00000000-0005-0000-0000-0000057F0000}"/>
    <cellStyle name="Normal 4 3 4 3 2 3 3" xfId="27529" xr:uid="{00000000-0005-0000-0000-0000067F0000}"/>
    <cellStyle name="Normal 4 3 4 3 2 4" xfId="13372" xr:uid="{00000000-0005-0000-0000-0000077F0000}"/>
    <cellStyle name="Normal 4 3 4 3 2 4 2" xfId="32772" xr:uid="{00000000-0005-0000-0000-0000087F0000}"/>
    <cellStyle name="Normal 4 3 4 3 2 5" xfId="23074" xr:uid="{00000000-0005-0000-0000-0000097F0000}"/>
    <cellStyle name="Normal 4 3 4 3 3" xfId="3909" xr:uid="{00000000-0005-0000-0000-00000A7F0000}"/>
    <cellStyle name="Normal 4 3 4 3 3 2" xfId="5039" xr:uid="{00000000-0005-0000-0000-00000B7F0000}"/>
    <cellStyle name="Normal 4 3 4 3 3 2 2" xfId="9503" xr:uid="{00000000-0005-0000-0000-00000C7F0000}"/>
    <cellStyle name="Normal 4 3 4 3 3 2 2 2" xfId="19499" xr:uid="{00000000-0005-0000-0000-00000D7F0000}"/>
    <cellStyle name="Normal 4 3 4 3 3 2 2 2 2" xfId="38899" xr:uid="{00000000-0005-0000-0000-00000E7F0000}"/>
    <cellStyle name="Normal 4 3 4 3 3 2 2 3" xfId="29201" xr:uid="{00000000-0005-0000-0000-00000F7F0000}"/>
    <cellStyle name="Normal 4 3 4 3 3 2 3" xfId="15044" xr:uid="{00000000-0005-0000-0000-0000107F0000}"/>
    <cellStyle name="Normal 4 3 4 3 3 2 3 2" xfId="34444" xr:uid="{00000000-0005-0000-0000-0000117F0000}"/>
    <cellStyle name="Normal 4 3 4 3 3 2 4" xfId="24746" xr:uid="{00000000-0005-0000-0000-0000127F0000}"/>
    <cellStyle name="Normal 4 3 4 3 3 3" xfId="8388" xr:uid="{00000000-0005-0000-0000-0000137F0000}"/>
    <cellStyle name="Normal 4 3 4 3 3 3 2" xfId="18384" xr:uid="{00000000-0005-0000-0000-0000147F0000}"/>
    <cellStyle name="Normal 4 3 4 3 3 3 2 2" xfId="37784" xr:uid="{00000000-0005-0000-0000-0000157F0000}"/>
    <cellStyle name="Normal 4 3 4 3 3 3 3" xfId="28086" xr:uid="{00000000-0005-0000-0000-0000167F0000}"/>
    <cellStyle name="Normal 4 3 4 3 3 4" xfId="13929" xr:uid="{00000000-0005-0000-0000-0000177F0000}"/>
    <cellStyle name="Normal 4 3 4 3 3 4 2" xfId="33329" xr:uid="{00000000-0005-0000-0000-0000187F0000}"/>
    <cellStyle name="Normal 4 3 4 3 3 5" xfId="23631" xr:uid="{00000000-0005-0000-0000-0000197F0000}"/>
    <cellStyle name="Normal 4 3 4 3 4" xfId="4482" xr:uid="{00000000-0005-0000-0000-00001A7F0000}"/>
    <cellStyle name="Normal 4 3 4 3 4 2" xfId="8946" xr:uid="{00000000-0005-0000-0000-00001B7F0000}"/>
    <cellStyle name="Normal 4 3 4 3 4 2 2" xfId="18942" xr:uid="{00000000-0005-0000-0000-00001C7F0000}"/>
    <cellStyle name="Normal 4 3 4 3 4 2 2 2" xfId="38342" xr:uid="{00000000-0005-0000-0000-00001D7F0000}"/>
    <cellStyle name="Normal 4 3 4 3 4 2 3" xfId="28644" xr:uid="{00000000-0005-0000-0000-00001E7F0000}"/>
    <cellStyle name="Normal 4 3 4 3 4 3" xfId="14487" xr:uid="{00000000-0005-0000-0000-00001F7F0000}"/>
    <cellStyle name="Normal 4 3 4 3 4 3 2" xfId="33887" xr:uid="{00000000-0005-0000-0000-0000207F0000}"/>
    <cellStyle name="Normal 4 3 4 3 4 4" xfId="24189" xr:uid="{00000000-0005-0000-0000-0000217F0000}"/>
    <cellStyle name="Normal 4 3 4 3 5" xfId="6152" xr:uid="{00000000-0005-0000-0000-0000227F0000}"/>
    <cellStyle name="Normal 4 3 4 3 5 2" xfId="10616" xr:uid="{00000000-0005-0000-0000-0000237F0000}"/>
    <cellStyle name="Normal 4 3 4 3 5 2 2" xfId="20612" xr:uid="{00000000-0005-0000-0000-0000247F0000}"/>
    <cellStyle name="Normal 4 3 4 3 5 2 2 2" xfId="40012" xr:uid="{00000000-0005-0000-0000-0000257F0000}"/>
    <cellStyle name="Normal 4 3 4 3 5 2 3" xfId="30314" xr:uid="{00000000-0005-0000-0000-0000267F0000}"/>
    <cellStyle name="Normal 4 3 4 3 5 3" xfId="16157" xr:uid="{00000000-0005-0000-0000-0000277F0000}"/>
    <cellStyle name="Normal 4 3 4 3 5 3 2" xfId="35557" xr:uid="{00000000-0005-0000-0000-0000287F0000}"/>
    <cellStyle name="Normal 4 3 4 3 5 4" xfId="25859" xr:uid="{00000000-0005-0000-0000-0000297F0000}"/>
    <cellStyle name="Normal 4 3 4 3 6" xfId="6718" xr:uid="{00000000-0005-0000-0000-00002A7F0000}"/>
    <cellStyle name="Normal 4 3 4 3 6 2" xfId="11173" xr:uid="{00000000-0005-0000-0000-00002B7F0000}"/>
    <cellStyle name="Normal 4 3 4 3 6 2 2" xfId="21169" xr:uid="{00000000-0005-0000-0000-00002C7F0000}"/>
    <cellStyle name="Normal 4 3 4 3 6 2 2 2" xfId="40569" xr:uid="{00000000-0005-0000-0000-00002D7F0000}"/>
    <cellStyle name="Normal 4 3 4 3 6 2 3" xfId="30871" xr:uid="{00000000-0005-0000-0000-00002E7F0000}"/>
    <cellStyle name="Normal 4 3 4 3 6 3" xfId="16714" xr:uid="{00000000-0005-0000-0000-00002F7F0000}"/>
    <cellStyle name="Normal 4 3 4 3 6 3 2" xfId="36114" xr:uid="{00000000-0005-0000-0000-0000307F0000}"/>
    <cellStyle name="Normal 4 3 4 3 6 4" xfId="26416" xr:uid="{00000000-0005-0000-0000-0000317F0000}"/>
    <cellStyle name="Normal 4 3 4 3 7" xfId="7275" xr:uid="{00000000-0005-0000-0000-0000327F0000}"/>
    <cellStyle name="Normal 4 3 4 3 7 2" xfId="17271" xr:uid="{00000000-0005-0000-0000-0000337F0000}"/>
    <cellStyle name="Normal 4 3 4 3 7 2 2" xfId="36671" xr:uid="{00000000-0005-0000-0000-0000347F0000}"/>
    <cellStyle name="Normal 4 3 4 3 7 3" xfId="26973" xr:uid="{00000000-0005-0000-0000-0000357F0000}"/>
    <cellStyle name="Normal 4 3 4 3 8" xfId="12815" xr:uid="{00000000-0005-0000-0000-0000367F0000}"/>
    <cellStyle name="Normal 4 3 4 3 8 2" xfId="32216" xr:uid="{00000000-0005-0000-0000-0000377F0000}"/>
    <cellStyle name="Normal 4 3 4 3 9" xfId="22518" xr:uid="{00000000-0005-0000-0000-0000387F0000}"/>
    <cellStyle name="Normal 4 3 4 4" xfId="2381" xr:uid="{00000000-0005-0000-0000-0000397F0000}"/>
    <cellStyle name="Normal 4 3 4 4 2" xfId="3327" xr:uid="{00000000-0005-0000-0000-00003A7F0000}"/>
    <cellStyle name="Normal 4 3 4 4 2 2" xfId="5596" xr:uid="{00000000-0005-0000-0000-00003B7F0000}"/>
    <cellStyle name="Normal 4 3 4 4 2 2 2" xfId="10060" xr:uid="{00000000-0005-0000-0000-00003C7F0000}"/>
    <cellStyle name="Normal 4 3 4 4 2 2 2 2" xfId="20056" xr:uid="{00000000-0005-0000-0000-00003D7F0000}"/>
    <cellStyle name="Normal 4 3 4 4 2 2 2 2 2" xfId="39456" xr:uid="{00000000-0005-0000-0000-00003E7F0000}"/>
    <cellStyle name="Normal 4 3 4 4 2 2 2 3" xfId="29758" xr:uid="{00000000-0005-0000-0000-00003F7F0000}"/>
    <cellStyle name="Normal 4 3 4 4 2 2 3" xfId="15601" xr:uid="{00000000-0005-0000-0000-0000407F0000}"/>
    <cellStyle name="Normal 4 3 4 4 2 2 3 2" xfId="35001" xr:uid="{00000000-0005-0000-0000-0000417F0000}"/>
    <cellStyle name="Normal 4 3 4 4 2 2 4" xfId="25303" xr:uid="{00000000-0005-0000-0000-0000427F0000}"/>
    <cellStyle name="Normal 4 3 4 4 2 3" xfId="7832" xr:uid="{00000000-0005-0000-0000-0000437F0000}"/>
    <cellStyle name="Normal 4 3 4 4 2 3 2" xfId="17828" xr:uid="{00000000-0005-0000-0000-0000447F0000}"/>
    <cellStyle name="Normal 4 3 4 4 2 3 2 2" xfId="37228" xr:uid="{00000000-0005-0000-0000-0000457F0000}"/>
    <cellStyle name="Normal 4 3 4 4 2 3 3" xfId="27530" xr:uid="{00000000-0005-0000-0000-0000467F0000}"/>
    <cellStyle name="Normal 4 3 4 4 2 4" xfId="13373" xr:uid="{00000000-0005-0000-0000-0000477F0000}"/>
    <cellStyle name="Normal 4 3 4 4 2 4 2" xfId="32773" xr:uid="{00000000-0005-0000-0000-0000487F0000}"/>
    <cellStyle name="Normal 4 3 4 4 2 5" xfId="23075" xr:uid="{00000000-0005-0000-0000-0000497F0000}"/>
    <cellStyle name="Normal 4 3 4 4 3" xfId="3910" xr:uid="{00000000-0005-0000-0000-00004A7F0000}"/>
    <cellStyle name="Normal 4 3 4 4 3 2" xfId="5040" xr:uid="{00000000-0005-0000-0000-00004B7F0000}"/>
    <cellStyle name="Normal 4 3 4 4 3 2 2" xfId="9504" xr:uid="{00000000-0005-0000-0000-00004C7F0000}"/>
    <cellStyle name="Normal 4 3 4 4 3 2 2 2" xfId="19500" xr:uid="{00000000-0005-0000-0000-00004D7F0000}"/>
    <cellStyle name="Normal 4 3 4 4 3 2 2 2 2" xfId="38900" xr:uid="{00000000-0005-0000-0000-00004E7F0000}"/>
    <cellStyle name="Normal 4 3 4 4 3 2 2 3" xfId="29202" xr:uid="{00000000-0005-0000-0000-00004F7F0000}"/>
    <cellStyle name="Normal 4 3 4 4 3 2 3" xfId="15045" xr:uid="{00000000-0005-0000-0000-0000507F0000}"/>
    <cellStyle name="Normal 4 3 4 4 3 2 3 2" xfId="34445" xr:uid="{00000000-0005-0000-0000-0000517F0000}"/>
    <cellStyle name="Normal 4 3 4 4 3 2 4" xfId="24747" xr:uid="{00000000-0005-0000-0000-0000527F0000}"/>
    <cellStyle name="Normal 4 3 4 4 3 3" xfId="8389" xr:uid="{00000000-0005-0000-0000-0000537F0000}"/>
    <cellStyle name="Normal 4 3 4 4 3 3 2" xfId="18385" xr:uid="{00000000-0005-0000-0000-0000547F0000}"/>
    <cellStyle name="Normal 4 3 4 4 3 3 2 2" xfId="37785" xr:uid="{00000000-0005-0000-0000-0000557F0000}"/>
    <cellStyle name="Normal 4 3 4 4 3 3 3" xfId="28087" xr:uid="{00000000-0005-0000-0000-0000567F0000}"/>
    <cellStyle name="Normal 4 3 4 4 3 4" xfId="13930" xr:uid="{00000000-0005-0000-0000-0000577F0000}"/>
    <cellStyle name="Normal 4 3 4 4 3 4 2" xfId="33330" xr:uid="{00000000-0005-0000-0000-0000587F0000}"/>
    <cellStyle name="Normal 4 3 4 4 3 5" xfId="23632" xr:uid="{00000000-0005-0000-0000-0000597F0000}"/>
    <cellStyle name="Normal 4 3 4 4 4" xfId="4483" xr:uid="{00000000-0005-0000-0000-00005A7F0000}"/>
    <cellStyle name="Normal 4 3 4 4 4 2" xfId="8947" xr:uid="{00000000-0005-0000-0000-00005B7F0000}"/>
    <cellStyle name="Normal 4 3 4 4 4 2 2" xfId="18943" xr:uid="{00000000-0005-0000-0000-00005C7F0000}"/>
    <cellStyle name="Normal 4 3 4 4 4 2 2 2" xfId="38343" xr:uid="{00000000-0005-0000-0000-00005D7F0000}"/>
    <cellStyle name="Normal 4 3 4 4 4 2 3" xfId="28645" xr:uid="{00000000-0005-0000-0000-00005E7F0000}"/>
    <cellStyle name="Normal 4 3 4 4 4 3" xfId="14488" xr:uid="{00000000-0005-0000-0000-00005F7F0000}"/>
    <cellStyle name="Normal 4 3 4 4 4 3 2" xfId="33888" xr:uid="{00000000-0005-0000-0000-0000607F0000}"/>
    <cellStyle name="Normal 4 3 4 4 4 4" xfId="24190" xr:uid="{00000000-0005-0000-0000-0000617F0000}"/>
    <cellStyle name="Normal 4 3 4 4 5" xfId="6153" xr:uid="{00000000-0005-0000-0000-0000627F0000}"/>
    <cellStyle name="Normal 4 3 4 4 5 2" xfId="10617" xr:uid="{00000000-0005-0000-0000-0000637F0000}"/>
    <cellStyle name="Normal 4 3 4 4 5 2 2" xfId="20613" xr:uid="{00000000-0005-0000-0000-0000647F0000}"/>
    <cellStyle name="Normal 4 3 4 4 5 2 2 2" xfId="40013" xr:uid="{00000000-0005-0000-0000-0000657F0000}"/>
    <cellStyle name="Normal 4 3 4 4 5 2 3" xfId="30315" xr:uid="{00000000-0005-0000-0000-0000667F0000}"/>
    <cellStyle name="Normal 4 3 4 4 5 3" xfId="16158" xr:uid="{00000000-0005-0000-0000-0000677F0000}"/>
    <cellStyle name="Normal 4 3 4 4 5 3 2" xfId="35558" xr:uid="{00000000-0005-0000-0000-0000687F0000}"/>
    <cellStyle name="Normal 4 3 4 4 5 4" xfId="25860" xr:uid="{00000000-0005-0000-0000-0000697F0000}"/>
    <cellStyle name="Normal 4 3 4 4 6" xfId="6719" xr:uid="{00000000-0005-0000-0000-00006A7F0000}"/>
    <cellStyle name="Normal 4 3 4 4 6 2" xfId="11174" xr:uid="{00000000-0005-0000-0000-00006B7F0000}"/>
    <cellStyle name="Normal 4 3 4 4 6 2 2" xfId="21170" xr:uid="{00000000-0005-0000-0000-00006C7F0000}"/>
    <cellStyle name="Normal 4 3 4 4 6 2 2 2" xfId="40570" xr:uid="{00000000-0005-0000-0000-00006D7F0000}"/>
    <cellStyle name="Normal 4 3 4 4 6 2 3" xfId="30872" xr:uid="{00000000-0005-0000-0000-00006E7F0000}"/>
    <cellStyle name="Normal 4 3 4 4 6 3" xfId="16715" xr:uid="{00000000-0005-0000-0000-00006F7F0000}"/>
    <cellStyle name="Normal 4 3 4 4 6 3 2" xfId="36115" xr:uid="{00000000-0005-0000-0000-0000707F0000}"/>
    <cellStyle name="Normal 4 3 4 4 6 4" xfId="26417" xr:uid="{00000000-0005-0000-0000-0000717F0000}"/>
    <cellStyle name="Normal 4 3 4 4 7" xfId="7276" xr:uid="{00000000-0005-0000-0000-0000727F0000}"/>
    <cellStyle name="Normal 4 3 4 4 7 2" xfId="17272" xr:uid="{00000000-0005-0000-0000-0000737F0000}"/>
    <cellStyle name="Normal 4 3 4 4 7 2 2" xfId="36672" xr:uid="{00000000-0005-0000-0000-0000747F0000}"/>
    <cellStyle name="Normal 4 3 4 4 7 3" xfId="26974" xr:uid="{00000000-0005-0000-0000-0000757F0000}"/>
    <cellStyle name="Normal 4 3 4 4 8" xfId="12816" xr:uid="{00000000-0005-0000-0000-0000767F0000}"/>
    <cellStyle name="Normal 4 3 4 4 8 2" xfId="32217" xr:uid="{00000000-0005-0000-0000-0000777F0000}"/>
    <cellStyle name="Normal 4 3 4 4 9" xfId="22519" xr:uid="{00000000-0005-0000-0000-0000787F0000}"/>
    <cellStyle name="Normal 4 3 4 5" xfId="2906" xr:uid="{00000000-0005-0000-0000-0000797F0000}"/>
    <cellStyle name="Normal 4 3 4 5 2" xfId="5175" xr:uid="{00000000-0005-0000-0000-00007A7F0000}"/>
    <cellStyle name="Normal 4 3 4 5 2 2" xfId="9639" xr:uid="{00000000-0005-0000-0000-00007B7F0000}"/>
    <cellStyle name="Normal 4 3 4 5 2 2 2" xfId="19635" xr:uid="{00000000-0005-0000-0000-00007C7F0000}"/>
    <cellStyle name="Normal 4 3 4 5 2 2 2 2" xfId="39035" xr:uid="{00000000-0005-0000-0000-00007D7F0000}"/>
    <cellStyle name="Normal 4 3 4 5 2 2 3" xfId="29337" xr:uid="{00000000-0005-0000-0000-00007E7F0000}"/>
    <cellStyle name="Normal 4 3 4 5 2 3" xfId="15180" xr:uid="{00000000-0005-0000-0000-00007F7F0000}"/>
    <cellStyle name="Normal 4 3 4 5 2 3 2" xfId="34580" xr:uid="{00000000-0005-0000-0000-0000807F0000}"/>
    <cellStyle name="Normal 4 3 4 5 2 4" xfId="24882" xr:uid="{00000000-0005-0000-0000-0000817F0000}"/>
    <cellStyle name="Normal 4 3 4 5 3" xfId="7411" xr:uid="{00000000-0005-0000-0000-0000827F0000}"/>
    <cellStyle name="Normal 4 3 4 5 3 2" xfId="17407" xr:uid="{00000000-0005-0000-0000-0000837F0000}"/>
    <cellStyle name="Normal 4 3 4 5 3 2 2" xfId="36807" xr:uid="{00000000-0005-0000-0000-0000847F0000}"/>
    <cellStyle name="Normal 4 3 4 5 3 3" xfId="27109" xr:uid="{00000000-0005-0000-0000-0000857F0000}"/>
    <cellStyle name="Normal 4 3 4 5 4" xfId="12952" xr:uid="{00000000-0005-0000-0000-0000867F0000}"/>
    <cellStyle name="Normal 4 3 4 5 4 2" xfId="32352" xr:uid="{00000000-0005-0000-0000-0000877F0000}"/>
    <cellStyle name="Normal 4 3 4 5 5" xfId="22654" xr:uid="{00000000-0005-0000-0000-0000887F0000}"/>
    <cellStyle name="Normal 4 3 4 6" xfId="3489" xr:uid="{00000000-0005-0000-0000-0000897F0000}"/>
    <cellStyle name="Normal 4 3 4 6 2" xfId="4619" xr:uid="{00000000-0005-0000-0000-00008A7F0000}"/>
    <cellStyle name="Normal 4 3 4 6 2 2" xfId="9083" xr:uid="{00000000-0005-0000-0000-00008B7F0000}"/>
    <cellStyle name="Normal 4 3 4 6 2 2 2" xfId="19079" xr:uid="{00000000-0005-0000-0000-00008C7F0000}"/>
    <cellStyle name="Normal 4 3 4 6 2 2 2 2" xfId="38479" xr:uid="{00000000-0005-0000-0000-00008D7F0000}"/>
    <cellStyle name="Normal 4 3 4 6 2 2 3" xfId="28781" xr:uid="{00000000-0005-0000-0000-00008E7F0000}"/>
    <cellStyle name="Normal 4 3 4 6 2 3" xfId="14624" xr:uid="{00000000-0005-0000-0000-00008F7F0000}"/>
    <cellStyle name="Normal 4 3 4 6 2 3 2" xfId="34024" xr:uid="{00000000-0005-0000-0000-0000907F0000}"/>
    <cellStyle name="Normal 4 3 4 6 2 4" xfId="24326" xr:uid="{00000000-0005-0000-0000-0000917F0000}"/>
    <cellStyle name="Normal 4 3 4 6 3" xfId="7968" xr:uid="{00000000-0005-0000-0000-0000927F0000}"/>
    <cellStyle name="Normal 4 3 4 6 3 2" xfId="17964" xr:uid="{00000000-0005-0000-0000-0000937F0000}"/>
    <cellStyle name="Normal 4 3 4 6 3 2 2" xfId="37364" xr:uid="{00000000-0005-0000-0000-0000947F0000}"/>
    <cellStyle name="Normal 4 3 4 6 3 3" xfId="27666" xr:uid="{00000000-0005-0000-0000-0000957F0000}"/>
    <cellStyle name="Normal 4 3 4 6 4" xfId="13509" xr:uid="{00000000-0005-0000-0000-0000967F0000}"/>
    <cellStyle name="Normal 4 3 4 6 4 2" xfId="32909" xr:uid="{00000000-0005-0000-0000-0000977F0000}"/>
    <cellStyle name="Normal 4 3 4 6 5" xfId="23211" xr:uid="{00000000-0005-0000-0000-0000987F0000}"/>
    <cellStyle name="Normal 4 3 4 7" xfId="4062" xr:uid="{00000000-0005-0000-0000-0000997F0000}"/>
    <cellStyle name="Normal 4 3 4 7 2" xfId="8526" xr:uid="{00000000-0005-0000-0000-00009A7F0000}"/>
    <cellStyle name="Normal 4 3 4 7 2 2" xfId="18522" xr:uid="{00000000-0005-0000-0000-00009B7F0000}"/>
    <cellStyle name="Normal 4 3 4 7 2 2 2" xfId="37922" xr:uid="{00000000-0005-0000-0000-00009C7F0000}"/>
    <cellStyle name="Normal 4 3 4 7 2 3" xfId="28224" xr:uid="{00000000-0005-0000-0000-00009D7F0000}"/>
    <cellStyle name="Normal 4 3 4 7 3" xfId="14067" xr:uid="{00000000-0005-0000-0000-00009E7F0000}"/>
    <cellStyle name="Normal 4 3 4 7 3 2" xfId="33467" xr:uid="{00000000-0005-0000-0000-00009F7F0000}"/>
    <cellStyle name="Normal 4 3 4 7 4" xfId="23769" xr:uid="{00000000-0005-0000-0000-0000A07F0000}"/>
    <cellStyle name="Normal 4 3 4 8" xfId="5732" xr:uid="{00000000-0005-0000-0000-0000A17F0000}"/>
    <cellStyle name="Normal 4 3 4 8 2" xfId="10196" xr:uid="{00000000-0005-0000-0000-0000A27F0000}"/>
    <cellStyle name="Normal 4 3 4 8 2 2" xfId="20192" xr:uid="{00000000-0005-0000-0000-0000A37F0000}"/>
    <cellStyle name="Normal 4 3 4 8 2 2 2" xfId="39592" xr:uid="{00000000-0005-0000-0000-0000A47F0000}"/>
    <cellStyle name="Normal 4 3 4 8 2 3" xfId="29894" xr:uid="{00000000-0005-0000-0000-0000A57F0000}"/>
    <cellStyle name="Normal 4 3 4 8 3" xfId="15737" xr:uid="{00000000-0005-0000-0000-0000A67F0000}"/>
    <cellStyle name="Normal 4 3 4 8 3 2" xfId="35137" xr:uid="{00000000-0005-0000-0000-0000A77F0000}"/>
    <cellStyle name="Normal 4 3 4 8 4" xfId="25439" xr:uid="{00000000-0005-0000-0000-0000A87F0000}"/>
    <cellStyle name="Normal 4 3 4 9" xfId="6298" xr:uid="{00000000-0005-0000-0000-0000A97F0000}"/>
    <cellStyle name="Normal 4 3 4 9 2" xfId="10753" xr:uid="{00000000-0005-0000-0000-0000AA7F0000}"/>
    <cellStyle name="Normal 4 3 4 9 2 2" xfId="20749" xr:uid="{00000000-0005-0000-0000-0000AB7F0000}"/>
    <cellStyle name="Normal 4 3 4 9 2 2 2" xfId="40149" xr:uid="{00000000-0005-0000-0000-0000AC7F0000}"/>
    <cellStyle name="Normal 4 3 4 9 2 3" xfId="30451" xr:uid="{00000000-0005-0000-0000-0000AD7F0000}"/>
    <cellStyle name="Normal 4 3 4 9 3" xfId="16294" xr:uid="{00000000-0005-0000-0000-0000AE7F0000}"/>
    <cellStyle name="Normal 4 3 4 9 3 2" xfId="35694" xr:uid="{00000000-0005-0000-0000-0000AF7F0000}"/>
    <cellStyle name="Normal 4 3 4 9 4" xfId="25996" xr:uid="{00000000-0005-0000-0000-0000B07F0000}"/>
    <cellStyle name="Normal 4 3 5" xfId="2382" xr:uid="{00000000-0005-0000-0000-0000B17F0000}"/>
    <cellStyle name="Normal 4 3 5 10" xfId="12817" xr:uid="{00000000-0005-0000-0000-0000B27F0000}"/>
    <cellStyle name="Normal 4 3 5 10 2" xfId="32218" xr:uid="{00000000-0005-0000-0000-0000B37F0000}"/>
    <cellStyle name="Normal 4 3 5 11" xfId="22520" xr:uid="{00000000-0005-0000-0000-0000B47F0000}"/>
    <cellStyle name="Normal 4 3 5 2" xfId="2383" xr:uid="{00000000-0005-0000-0000-0000B57F0000}"/>
    <cellStyle name="Normal 4 3 5 2 2" xfId="3329" xr:uid="{00000000-0005-0000-0000-0000B67F0000}"/>
    <cellStyle name="Normal 4 3 5 2 2 2" xfId="5598" xr:uid="{00000000-0005-0000-0000-0000B77F0000}"/>
    <cellStyle name="Normal 4 3 5 2 2 2 2" xfId="10062" xr:uid="{00000000-0005-0000-0000-0000B87F0000}"/>
    <cellStyle name="Normal 4 3 5 2 2 2 2 2" xfId="20058" xr:uid="{00000000-0005-0000-0000-0000B97F0000}"/>
    <cellStyle name="Normal 4 3 5 2 2 2 2 2 2" xfId="39458" xr:uid="{00000000-0005-0000-0000-0000BA7F0000}"/>
    <cellStyle name="Normal 4 3 5 2 2 2 2 3" xfId="29760" xr:uid="{00000000-0005-0000-0000-0000BB7F0000}"/>
    <cellStyle name="Normal 4 3 5 2 2 2 3" xfId="15603" xr:uid="{00000000-0005-0000-0000-0000BC7F0000}"/>
    <cellStyle name="Normal 4 3 5 2 2 2 3 2" xfId="35003" xr:uid="{00000000-0005-0000-0000-0000BD7F0000}"/>
    <cellStyle name="Normal 4 3 5 2 2 2 4" xfId="25305" xr:uid="{00000000-0005-0000-0000-0000BE7F0000}"/>
    <cellStyle name="Normal 4 3 5 2 2 3" xfId="7834" xr:uid="{00000000-0005-0000-0000-0000BF7F0000}"/>
    <cellStyle name="Normal 4 3 5 2 2 3 2" xfId="17830" xr:uid="{00000000-0005-0000-0000-0000C07F0000}"/>
    <cellStyle name="Normal 4 3 5 2 2 3 2 2" xfId="37230" xr:uid="{00000000-0005-0000-0000-0000C17F0000}"/>
    <cellStyle name="Normal 4 3 5 2 2 3 3" xfId="27532" xr:uid="{00000000-0005-0000-0000-0000C27F0000}"/>
    <cellStyle name="Normal 4 3 5 2 2 4" xfId="13375" xr:uid="{00000000-0005-0000-0000-0000C37F0000}"/>
    <cellStyle name="Normal 4 3 5 2 2 4 2" xfId="32775" xr:uid="{00000000-0005-0000-0000-0000C47F0000}"/>
    <cellStyle name="Normal 4 3 5 2 2 5" xfId="23077" xr:uid="{00000000-0005-0000-0000-0000C57F0000}"/>
    <cellStyle name="Normal 4 3 5 2 3" xfId="3912" xr:uid="{00000000-0005-0000-0000-0000C67F0000}"/>
    <cellStyle name="Normal 4 3 5 2 3 2" xfId="5042" xr:uid="{00000000-0005-0000-0000-0000C77F0000}"/>
    <cellStyle name="Normal 4 3 5 2 3 2 2" xfId="9506" xr:uid="{00000000-0005-0000-0000-0000C87F0000}"/>
    <cellStyle name="Normal 4 3 5 2 3 2 2 2" xfId="19502" xr:uid="{00000000-0005-0000-0000-0000C97F0000}"/>
    <cellStyle name="Normal 4 3 5 2 3 2 2 2 2" xfId="38902" xr:uid="{00000000-0005-0000-0000-0000CA7F0000}"/>
    <cellStyle name="Normal 4 3 5 2 3 2 2 3" xfId="29204" xr:uid="{00000000-0005-0000-0000-0000CB7F0000}"/>
    <cellStyle name="Normal 4 3 5 2 3 2 3" xfId="15047" xr:uid="{00000000-0005-0000-0000-0000CC7F0000}"/>
    <cellStyle name="Normal 4 3 5 2 3 2 3 2" xfId="34447" xr:uid="{00000000-0005-0000-0000-0000CD7F0000}"/>
    <cellStyle name="Normal 4 3 5 2 3 2 4" xfId="24749" xr:uid="{00000000-0005-0000-0000-0000CE7F0000}"/>
    <cellStyle name="Normal 4 3 5 2 3 3" xfId="8391" xr:uid="{00000000-0005-0000-0000-0000CF7F0000}"/>
    <cellStyle name="Normal 4 3 5 2 3 3 2" xfId="18387" xr:uid="{00000000-0005-0000-0000-0000D07F0000}"/>
    <cellStyle name="Normal 4 3 5 2 3 3 2 2" xfId="37787" xr:uid="{00000000-0005-0000-0000-0000D17F0000}"/>
    <cellStyle name="Normal 4 3 5 2 3 3 3" xfId="28089" xr:uid="{00000000-0005-0000-0000-0000D27F0000}"/>
    <cellStyle name="Normal 4 3 5 2 3 4" xfId="13932" xr:uid="{00000000-0005-0000-0000-0000D37F0000}"/>
    <cellStyle name="Normal 4 3 5 2 3 4 2" xfId="33332" xr:uid="{00000000-0005-0000-0000-0000D47F0000}"/>
    <cellStyle name="Normal 4 3 5 2 3 5" xfId="23634" xr:uid="{00000000-0005-0000-0000-0000D57F0000}"/>
    <cellStyle name="Normal 4 3 5 2 4" xfId="4485" xr:uid="{00000000-0005-0000-0000-0000D67F0000}"/>
    <cellStyle name="Normal 4 3 5 2 4 2" xfId="8949" xr:uid="{00000000-0005-0000-0000-0000D77F0000}"/>
    <cellStyle name="Normal 4 3 5 2 4 2 2" xfId="18945" xr:uid="{00000000-0005-0000-0000-0000D87F0000}"/>
    <cellStyle name="Normal 4 3 5 2 4 2 2 2" xfId="38345" xr:uid="{00000000-0005-0000-0000-0000D97F0000}"/>
    <cellStyle name="Normal 4 3 5 2 4 2 3" xfId="28647" xr:uid="{00000000-0005-0000-0000-0000DA7F0000}"/>
    <cellStyle name="Normal 4 3 5 2 4 3" xfId="14490" xr:uid="{00000000-0005-0000-0000-0000DB7F0000}"/>
    <cellStyle name="Normal 4 3 5 2 4 3 2" xfId="33890" xr:uid="{00000000-0005-0000-0000-0000DC7F0000}"/>
    <cellStyle name="Normal 4 3 5 2 4 4" xfId="24192" xr:uid="{00000000-0005-0000-0000-0000DD7F0000}"/>
    <cellStyle name="Normal 4 3 5 2 5" xfId="6155" xr:uid="{00000000-0005-0000-0000-0000DE7F0000}"/>
    <cellStyle name="Normal 4 3 5 2 5 2" xfId="10619" xr:uid="{00000000-0005-0000-0000-0000DF7F0000}"/>
    <cellStyle name="Normal 4 3 5 2 5 2 2" xfId="20615" xr:uid="{00000000-0005-0000-0000-0000E07F0000}"/>
    <cellStyle name="Normal 4 3 5 2 5 2 2 2" xfId="40015" xr:uid="{00000000-0005-0000-0000-0000E17F0000}"/>
    <cellStyle name="Normal 4 3 5 2 5 2 3" xfId="30317" xr:uid="{00000000-0005-0000-0000-0000E27F0000}"/>
    <cellStyle name="Normal 4 3 5 2 5 3" xfId="16160" xr:uid="{00000000-0005-0000-0000-0000E37F0000}"/>
    <cellStyle name="Normal 4 3 5 2 5 3 2" xfId="35560" xr:uid="{00000000-0005-0000-0000-0000E47F0000}"/>
    <cellStyle name="Normal 4 3 5 2 5 4" xfId="25862" xr:uid="{00000000-0005-0000-0000-0000E57F0000}"/>
    <cellStyle name="Normal 4 3 5 2 6" xfId="6721" xr:uid="{00000000-0005-0000-0000-0000E67F0000}"/>
    <cellStyle name="Normal 4 3 5 2 6 2" xfId="11176" xr:uid="{00000000-0005-0000-0000-0000E77F0000}"/>
    <cellStyle name="Normal 4 3 5 2 6 2 2" xfId="21172" xr:uid="{00000000-0005-0000-0000-0000E87F0000}"/>
    <cellStyle name="Normal 4 3 5 2 6 2 2 2" xfId="40572" xr:uid="{00000000-0005-0000-0000-0000E97F0000}"/>
    <cellStyle name="Normal 4 3 5 2 6 2 3" xfId="30874" xr:uid="{00000000-0005-0000-0000-0000EA7F0000}"/>
    <cellStyle name="Normal 4 3 5 2 6 3" xfId="16717" xr:uid="{00000000-0005-0000-0000-0000EB7F0000}"/>
    <cellStyle name="Normal 4 3 5 2 6 3 2" xfId="36117" xr:uid="{00000000-0005-0000-0000-0000EC7F0000}"/>
    <cellStyle name="Normal 4 3 5 2 6 4" xfId="26419" xr:uid="{00000000-0005-0000-0000-0000ED7F0000}"/>
    <cellStyle name="Normal 4 3 5 2 7" xfId="7278" xr:uid="{00000000-0005-0000-0000-0000EE7F0000}"/>
    <cellStyle name="Normal 4 3 5 2 7 2" xfId="17274" xr:uid="{00000000-0005-0000-0000-0000EF7F0000}"/>
    <cellStyle name="Normal 4 3 5 2 7 2 2" xfId="36674" xr:uid="{00000000-0005-0000-0000-0000F07F0000}"/>
    <cellStyle name="Normal 4 3 5 2 7 3" xfId="26976" xr:uid="{00000000-0005-0000-0000-0000F17F0000}"/>
    <cellStyle name="Normal 4 3 5 2 8" xfId="12818" xr:uid="{00000000-0005-0000-0000-0000F27F0000}"/>
    <cellStyle name="Normal 4 3 5 2 8 2" xfId="32219" xr:uid="{00000000-0005-0000-0000-0000F37F0000}"/>
    <cellStyle name="Normal 4 3 5 2 9" xfId="22521" xr:uid="{00000000-0005-0000-0000-0000F47F0000}"/>
    <cellStyle name="Normal 4 3 5 3" xfId="2384" xr:uid="{00000000-0005-0000-0000-0000F57F0000}"/>
    <cellStyle name="Normal 4 3 5 3 2" xfId="3330" xr:uid="{00000000-0005-0000-0000-0000F67F0000}"/>
    <cellStyle name="Normal 4 3 5 3 2 2" xfId="5599" xr:uid="{00000000-0005-0000-0000-0000F77F0000}"/>
    <cellStyle name="Normal 4 3 5 3 2 2 2" xfId="10063" xr:uid="{00000000-0005-0000-0000-0000F87F0000}"/>
    <cellStyle name="Normal 4 3 5 3 2 2 2 2" xfId="20059" xr:uid="{00000000-0005-0000-0000-0000F97F0000}"/>
    <cellStyle name="Normal 4 3 5 3 2 2 2 2 2" xfId="39459" xr:uid="{00000000-0005-0000-0000-0000FA7F0000}"/>
    <cellStyle name="Normal 4 3 5 3 2 2 2 3" xfId="29761" xr:uid="{00000000-0005-0000-0000-0000FB7F0000}"/>
    <cellStyle name="Normal 4 3 5 3 2 2 3" xfId="15604" xr:uid="{00000000-0005-0000-0000-0000FC7F0000}"/>
    <cellStyle name="Normal 4 3 5 3 2 2 3 2" xfId="35004" xr:uid="{00000000-0005-0000-0000-0000FD7F0000}"/>
    <cellStyle name="Normal 4 3 5 3 2 2 4" xfId="25306" xr:uid="{00000000-0005-0000-0000-0000FE7F0000}"/>
    <cellStyle name="Normal 4 3 5 3 2 3" xfId="7835" xr:uid="{00000000-0005-0000-0000-0000FF7F0000}"/>
    <cellStyle name="Normal 4 3 5 3 2 3 2" xfId="17831" xr:uid="{00000000-0005-0000-0000-000000800000}"/>
    <cellStyle name="Normal 4 3 5 3 2 3 2 2" xfId="37231" xr:uid="{00000000-0005-0000-0000-000001800000}"/>
    <cellStyle name="Normal 4 3 5 3 2 3 3" xfId="27533" xr:uid="{00000000-0005-0000-0000-000002800000}"/>
    <cellStyle name="Normal 4 3 5 3 2 4" xfId="13376" xr:uid="{00000000-0005-0000-0000-000003800000}"/>
    <cellStyle name="Normal 4 3 5 3 2 4 2" xfId="32776" xr:uid="{00000000-0005-0000-0000-000004800000}"/>
    <cellStyle name="Normal 4 3 5 3 2 5" xfId="23078" xr:uid="{00000000-0005-0000-0000-000005800000}"/>
    <cellStyle name="Normal 4 3 5 3 3" xfId="3913" xr:uid="{00000000-0005-0000-0000-000006800000}"/>
    <cellStyle name="Normal 4 3 5 3 3 2" xfId="5043" xr:uid="{00000000-0005-0000-0000-000007800000}"/>
    <cellStyle name="Normal 4 3 5 3 3 2 2" xfId="9507" xr:uid="{00000000-0005-0000-0000-000008800000}"/>
    <cellStyle name="Normal 4 3 5 3 3 2 2 2" xfId="19503" xr:uid="{00000000-0005-0000-0000-000009800000}"/>
    <cellStyle name="Normal 4 3 5 3 3 2 2 2 2" xfId="38903" xr:uid="{00000000-0005-0000-0000-00000A800000}"/>
    <cellStyle name="Normal 4 3 5 3 3 2 2 3" xfId="29205" xr:uid="{00000000-0005-0000-0000-00000B800000}"/>
    <cellStyle name="Normal 4 3 5 3 3 2 3" xfId="15048" xr:uid="{00000000-0005-0000-0000-00000C800000}"/>
    <cellStyle name="Normal 4 3 5 3 3 2 3 2" xfId="34448" xr:uid="{00000000-0005-0000-0000-00000D800000}"/>
    <cellStyle name="Normal 4 3 5 3 3 2 4" xfId="24750" xr:uid="{00000000-0005-0000-0000-00000E800000}"/>
    <cellStyle name="Normal 4 3 5 3 3 3" xfId="8392" xr:uid="{00000000-0005-0000-0000-00000F800000}"/>
    <cellStyle name="Normal 4 3 5 3 3 3 2" xfId="18388" xr:uid="{00000000-0005-0000-0000-000010800000}"/>
    <cellStyle name="Normal 4 3 5 3 3 3 2 2" xfId="37788" xr:uid="{00000000-0005-0000-0000-000011800000}"/>
    <cellStyle name="Normal 4 3 5 3 3 3 3" xfId="28090" xr:uid="{00000000-0005-0000-0000-000012800000}"/>
    <cellStyle name="Normal 4 3 5 3 3 4" xfId="13933" xr:uid="{00000000-0005-0000-0000-000013800000}"/>
    <cellStyle name="Normal 4 3 5 3 3 4 2" xfId="33333" xr:uid="{00000000-0005-0000-0000-000014800000}"/>
    <cellStyle name="Normal 4 3 5 3 3 5" xfId="23635" xr:uid="{00000000-0005-0000-0000-000015800000}"/>
    <cellStyle name="Normal 4 3 5 3 4" xfId="4486" xr:uid="{00000000-0005-0000-0000-000016800000}"/>
    <cellStyle name="Normal 4 3 5 3 4 2" xfId="8950" xr:uid="{00000000-0005-0000-0000-000017800000}"/>
    <cellStyle name="Normal 4 3 5 3 4 2 2" xfId="18946" xr:uid="{00000000-0005-0000-0000-000018800000}"/>
    <cellStyle name="Normal 4 3 5 3 4 2 2 2" xfId="38346" xr:uid="{00000000-0005-0000-0000-000019800000}"/>
    <cellStyle name="Normal 4 3 5 3 4 2 3" xfId="28648" xr:uid="{00000000-0005-0000-0000-00001A800000}"/>
    <cellStyle name="Normal 4 3 5 3 4 3" xfId="14491" xr:uid="{00000000-0005-0000-0000-00001B800000}"/>
    <cellStyle name="Normal 4 3 5 3 4 3 2" xfId="33891" xr:uid="{00000000-0005-0000-0000-00001C800000}"/>
    <cellStyle name="Normal 4 3 5 3 4 4" xfId="24193" xr:uid="{00000000-0005-0000-0000-00001D800000}"/>
    <cellStyle name="Normal 4 3 5 3 5" xfId="6156" xr:uid="{00000000-0005-0000-0000-00001E800000}"/>
    <cellStyle name="Normal 4 3 5 3 5 2" xfId="10620" xr:uid="{00000000-0005-0000-0000-00001F800000}"/>
    <cellStyle name="Normal 4 3 5 3 5 2 2" xfId="20616" xr:uid="{00000000-0005-0000-0000-000020800000}"/>
    <cellStyle name="Normal 4 3 5 3 5 2 2 2" xfId="40016" xr:uid="{00000000-0005-0000-0000-000021800000}"/>
    <cellStyle name="Normal 4 3 5 3 5 2 3" xfId="30318" xr:uid="{00000000-0005-0000-0000-000022800000}"/>
    <cellStyle name="Normal 4 3 5 3 5 3" xfId="16161" xr:uid="{00000000-0005-0000-0000-000023800000}"/>
    <cellStyle name="Normal 4 3 5 3 5 3 2" xfId="35561" xr:uid="{00000000-0005-0000-0000-000024800000}"/>
    <cellStyle name="Normal 4 3 5 3 5 4" xfId="25863" xr:uid="{00000000-0005-0000-0000-000025800000}"/>
    <cellStyle name="Normal 4 3 5 3 6" xfId="6722" xr:uid="{00000000-0005-0000-0000-000026800000}"/>
    <cellStyle name="Normal 4 3 5 3 6 2" xfId="11177" xr:uid="{00000000-0005-0000-0000-000027800000}"/>
    <cellStyle name="Normal 4 3 5 3 6 2 2" xfId="21173" xr:uid="{00000000-0005-0000-0000-000028800000}"/>
    <cellStyle name="Normal 4 3 5 3 6 2 2 2" xfId="40573" xr:uid="{00000000-0005-0000-0000-000029800000}"/>
    <cellStyle name="Normal 4 3 5 3 6 2 3" xfId="30875" xr:uid="{00000000-0005-0000-0000-00002A800000}"/>
    <cellStyle name="Normal 4 3 5 3 6 3" xfId="16718" xr:uid="{00000000-0005-0000-0000-00002B800000}"/>
    <cellStyle name="Normal 4 3 5 3 6 3 2" xfId="36118" xr:uid="{00000000-0005-0000-0000-00002C800000}"/>
    <cellStyle name="Normal 4 3 5 3 6 4" xfId="26420" xr:uid="{00000000-0005-0000-0000-00002D800000}"/>
    <cellStyle name="Normal 4 3 5 3 7" xfId="7279" xr:uid="{00000000-0005-0000-0000-00002E800000}"/>
    <cellStyle name="Normal 4 3 5 3 7 2" xfId="17275" xr:uid="{00000000-0005-0000-0000-00002F800000}"/>
    <cellStyle name="Normal 4 3 5 3 7 2 2" xfId="36675" xr:uid="{00000000-0005-0000-0000-000030800000}"/>
    <cellStyle name="Normal 4 3 5 3 7 3" xfId="26977" xr:uid="{00000000-0005-0000-0000-000031800000}"/>
    <cellStyle name="Normal 4 3 5 3 8" xfId="12819" xr:uid="{00000000-0005-0000-0000-000032800000}"/>
    <cellStyle name="Normal 4 3 5 3 8 2" xfId="32220" xr:uid="{00000000-0005-0000-0000-000033800000}"/>
    <cellStyle name="Normal 4 3 5 3 9" xfId="22522" xr:uid="{00000000-0005-0000-0000-000034800000}"/>
    <cellStyle name="Normal 4 3 5 4" xfId="3328" xr:uid="{00000000-0005-0000-0000-000035800000}"/>
    <cellStyle name="Normal 4 3 5 4 2" xfId="5597" xr:uid="{00000000-0005-0000-0000-000036800000}"/>
    <cellStyle name="Normal 4 3 5 4 2 2" xfId="10061" xr:uid="{00000000-0005-0000-0000-000037800000}"/>
    <cellStyle name="Normal 4 3 5 4 2 2 2" xfId="20057" xr:uid="{00000000-0005-0000-0000-000038800000}"/>
    <cellStyle name="Normal 4 3 5 4 2 2 2 2" xfId="39457" xr:uid="{00000000-0005-0000-0000-000039800000}"/>
    <cellStyle name="Normal 4 3 5 4 2 2 3" xfId="29759" xr:uid="{00000000-0005-0000-0000-00003A800000}"/>
    <cellStyle name="Normal 4 3 5 4 2 3" xfId="15602" xr:uid="{00000000-0005-0000-0000-00003B800000}"/>
    <cellStyle name="Normal 4 3 5 4 2 3 2" xfId="35002" xr:uid="{00000000-0005-0000-0000-00003C800000}"/>
    <cellStyle name="Normal 4 3 5 4 2 4" xfId="25304" xr:uid="{00000000-0005-0000-0000-00003D800000}"/>
    <cellStyle name="Normal 4 3 5 4 3" xfId="7833" xr:uid="{00000000-0005-0000-0000-00003E800000}"/>
    <cellStyle name="Normal 4 3 5 4 3 2" xfId="17829" xr:uid="{00000000-0005-0000-0000-00003F800000}"/>
    <cellStyle name="Normal 4 3 5 4 3 2 2" xfId="37229" xr:uid="{00000000-0005-0000-0000-000040800000}"/>
    <cellStyle name="Normal 4 3 5 4 3 3" xfId="27531" xr:uid="{00000000-0005-0000-0000-000041800000}"/>
    <cellStyle name="Normal 4 3 5 4 4" xfId="13374" xr:uid="{00000000-0005-0000-0000-000042800000}"/>
    <cellStyle name="Normal 4 3 5 4 4 2" xfId="32774" xr:uid="{00000000-0005-0000-0000-000043800000}"/>
    <cellStyle name="Normal 4 3 5 4 5" xfId="23076" xr:uid="{00000000-0005-0000-0000-000044800000}"/>
    <cellStyle name="Normal 4 3 5 5" xfId="3911" xr:uid="{00000000-0005-0000-0000-000045800000}"/>
    <cellStyle name="Normal 4 3 5 5 2" xfId="5041" xr:uid="{00000000-0005-0000-0000-000046800000}"/>
    <cellStyle name="Normal 4 3 5 5 2 2" xfId="9505" xr:uid="{00000000-0005-0000-0000-000047800000}"/>
    <cellStyle name="Normal 4 3 5 5 2 2 2" xfId="19501" xr:uid="{00000000-0005-0000-0000-000048800000}"/>
    <cellStyle name="Normal 4 3 5 5 2 2 2 2" xfId="38901" xr:uid="{00000000-0005-0000-0000-000049800000}"/>
    <cellStyle name="Normal 4 3 5 5 2 2 3" xfId="29203" xr:uid="{00000000-0005-0000-0000-00004A800000}"/>
    <cellStyle name="Normal 4 3 5 5 2 3" xfId="15046" xr:uid="{00000000-0005-0000-0000-00004B800000}"/>
    <cellStyle name="Normal 4 3 5 5 2 3 2" xfId="34446" xr:uid="{00000000-0005-0000-0000-00004C800000}"/>
    <cellStyle name="Normal 4 3 5 5 2 4" xfId="24748" xr:uid="{00000000-0005-0000-0000-00004D800000}"/>
    <cellStyle name="Normal 4 3 5 5 3" xfId="8390" xr:uid="{00000000-0005-0000-0000-00004E800000}"/>
    <cellStyle name="Normal 4 3 5 5 3 2" xfId="18386" xr:uid="{00000000-0005-0000-0000-00004F800000}"/>
    <cellStyle name="Normal 4 3 5 5 3 2 2" xfId="37786" xr:uid="{00000000-0005-0000-0000-000050800000}"/>
    <cellStyle name="Normal 4 3 5 5 3 3" xfId="28088" xr:uid="{00000000-0005-0000-0000-000051800000}"/>
    <cellStyle name="Normal 4 3 5 5 4" xfId="13931" xr:uid="{00000000-0005-0000-0000-000052800000}"/>
    <cellStyle name="Normal 4 3 5 5 4 2" xfId="33331" xr:uid="{00000000-0005-0000-0000-000053800000}"/>
    <cellStyle name="Normal 4 3 5 5 5" xfId="23633" xr:uid="{00000000-0005-0000-0000-000054800000}"/>
    <cellStyle name="Normal 4 3 5 6" xfId="4484" xr:uid="{00000000-0005-0000-0000-000055800000}"/>
    <cellStyle name="Normal 4 3 5 6 2" xfId="8948" xr:uid="{00000000-0005-0000-0000-000056800000}"/>
    <cellStyle name="Normal 4 3 5 6 2 2" xfId="18944" xr:uid="{00000000-0005-0000-0000-000057800000}"/>
    <cellStyle name="Normal 4 3 5 6 2 2 2" xfId="38344" xr:uid="{00000000-0005-0000-0000-000058800000}"/>
    <cellStyle name="Normal 4 3 5 6 2 3" xfId="28646" xr:uid="{00000000-0005-0000-0000-000059800000}"/>
    <cellStyle name="Normal 4 3 5 6 3" xfId="14489" xr:uid="{00000000-0005-0000-0000-00005A800000}"/>
    <cellStyle name="Normal 4 3 5 6 3 2" xfId="33889" xr:uid="{00000000-0005-0000-0000-00005B800000}"/>
    <cellStyle name="Normal 4 3 5 6 4" xfId="24191" xr:uid="{00000000-0005-0000-0000-00005C800000}"/>
    <cellStyle name="Normal 4 3 5 7" xfId="6154" xr:uid="{00000000-0005-0000-0000-00005D800000}"/>
    <cellStyle name="Normal 4 3 5 7 2" xfId="10618" xr:uid="{00000000-0005-0000-0000-00005E800000}"/>
    <cellStyle name="Normal 4 3 5 7 2 2" xfId="20614" xr:uid="{00000000-0005-0000-0000-00005F800000}"/>
    <cellStyle name="Normal 4 3 5 7 2 2 2" xfId="40014" xr:uid="{00000000-0005-0000-0000-000060800000}"/>
    <cellStyle name="Normal 4 3 5 7 2 3" xfId="30316" xr:uid="{00000000-0005-0000-0000-000061800000}"/>
    <cellStyle name="Normal 4 3 5 7 3" xfId="16159" xr:uid="{00000000-0005-0000-0000-000062800000}"/>
    <cellStyle name="Normal 4 3 5 7 3 2" xfId="35559" xr:uid="{00000000-0005-0000-0000-000063800000}"/>
    <cellStyle name="Normal 4 3 5 7 4" xfId="25861" xr:uid="{00000000-0005-0000-0000-000064800000}"/>
    <cellStyle name="Normal 4 3 5 8" xfId="6720" xr:uid="{00000000-0005-0000-0000-000065800000}"/>
    <cellStyle name="Normal 4 3 5 8 2" xfId="11175" xr:uid="{00000000-0005-0000-0000-000066800000}"/>
    <cellStyle name="Normal 4 3 5 8 2 2" xfId="21171" xr:uid="{00000000-0005-0000-0000-000067800000}"/>
    <cellStyle name="Normal 4 3 5 8 2 2 2" xfId="40571" xr:uid="{00000000-0005-0000-0000-000068800000}"/>
    <cellStyle name="Normal 4 3 5 8 2 3" xfId="30873" xr:uid="{00000000-0005-0000-0000-000069800000}"/>
    <cellStyle name="Normal 4 3 5 8 3" xfId="16716" xr:uid="{00000000-0005-0000-0000-00006A800000}"/>
    <cellStyle name="Normal 4 3 5 8 3 2" xfId="36116" xr:uid="{00000000-0005-0000-0000-00006B800000}"/>
    <cellStyle name="Normal 4 3 5 8 4" xfId="26418" xr:uid="{00000000-0005-0000-0000-00006C800000}"/>
    <cellStyle name="Normal 4 3 5 9" xfId="7277" xr:uid="{00000000-0005-0000-0000-00006D800000}"/>
    <cellStyle name="Normal 4 3 5 9 2" xfId="17273" xr:uid="{00000000-0005-0000-0000-00006E800000}"/>
    <cellStyle name="Normal 4 3 5 9 2 2" xfId="36673" xr:uid="{00000000-0005-0000-0000-00006F800000}"/>
    <cellStyle name="Normal 4 3 5 9 3" xfId="26975" xr:uid="{00000000-0005-0000-0000-000070800000}"/>
    <cellStyle name="Normal 4 3 6" xfId="2385" xr:uid="{00000000-0005-0000-0000-000071800000}"/>
    <cellStyle name="Normal 4 3 6 2" xfId="3331" xr:uid="{00000000-0005-0000-0000-000072800000}"/>
    <cellStyle name="Normal 4 3 6 2 2" xfId="5600" xr:uid="{00000000-0005-0000-0000-000073800000}"/>
    <cellStyle name="Normal 4 3 6 2 2 2" xfId="10064" xr:uid="{00000000-0005-0000-0000-000074800000}"/>
    <cellStyle name="Normal 4 3 6 2 2 2 2" xfId="20060" xr:uid="{00000000-0005-0000-0000-000075800000}"/>
    <cellStyle name="Normal 4 3 6 2 2 2 2 2" xfId="39460" xr:uid="{00000000-0005-0000-0000-000076800000}"/>
    <cellStyle name="Normal 4 3 6 2 2 2 3" xfId="29762" xr:uid="{00000000-0005-0000-0000-000077800000}"/>
    <cellStyle name="Normal 4 3 6 2 2 3" xfId="15605" xr:uid="{00000000-0005-0000-0000-000078800000}"/>
    <cellStyle name="Normal 4 3 6 2 2 3 2" xfId="35005" xr:uid="{00000000-0005-0000-0000-000079800000}"/>
    <cellStyle name="Normal 4 3 6 2 2 4" xfId="25307" xr:uid="{00000000-0005-0000-0000-00007A800000}"/>
    <cellStyle name="Normal 4 3 6 2 3" xfId="7836" xr:uid="{00000000-0005-0000-0000-00007B800000}"/>
    <cellStyle name="Normal 4 3 6 2 3 2" xfId="17832" xr:uid="{00000000-0005-0000-0000-00007C800000}"/>
    <cellStyle name="Normal 4 3 6 2 3 2 2" xfId="37232" xr:uid="{00000000-0005-0000-0000-00007D800000}"/>
    <cellStyle name="Normal 4 3 6 2 3 3" xfId="27534" xr:uid="{00000000-0005-0000-0000-00007E800000}"/>
    <cellStyle name="Normal 4 3 6 2 4" xfId="13377" xr:uid="{00000000-0005-0000-0000-00007F800000}"/>
    <cellStyle name="Normal 4 3 6 2 4 2" xfId="32777" xr:uid="{00000000-0005-0000-0000-000080800000}"/>
    <cellStyle name="Normal 4 3 6 2 5" xfId="23079" xr:uid="{00000000-0005-0000-0000-000081800000}"/>
    <cellStyle name="Normal 4 3 6 3" xfId="3914" xr:uid="{00000000-0005-0000-0000-000082800000}"/>
    <cellStyle name="Normal 4 3 6 3 2" xfId="5044" xr:uid="{00000000-0005-0000-0000-000083800000}"/>
    <cellStyle name="Normal 4 3 6 3 2 2" xfId="9508" xr:uid="{00000000-0005-0000-0000-000084800000}"/>
    <cellStyle name="Normal 4 3 6 3 2 2 2" xfId="19504" xr:uid="{00000000-0005-0000-0000-000085800000}"/>
    <cellStyle name="Normal 4 3 6 3 2 2 2 2" xfId="38904" xr:uid="{00000000-0005-0000-0000-000086800000}"/>
    <cellStyle name="Normal 4 3 6 3 2 2 3" xfId="29206" xr:uid="{00000000-0005-0000-0000-000087800000}"/>
    <cellStyle name="Normal 4 3 6 3 2 3" xfId="15049" xr:uid="{00000000-0005-0000-0000-000088800000}"/>
    <cellStyle name="Normal 4 3 6 3 2 3 2" xfId="34449" xr:uid="{00000000-0005-0000-0000-000089800000}"/>
    <cellStyle name="Normal 4 3 6 3 2 4" xfId="24751" xr:uid="{00000000-0005-0000-0000-00008A800000}"/>
    <cellStyle name="Normal 4 3 6 3 3" xfId="8393" xr:uid="{00000000-0005-0000-0000-00008B800000}"/>
    <cellStyle name="Normal 4 3 6 3 3 2" xfId="18389" xr:uid="{00000000-0005-0000-0000-00008C800000}"/>
    <cellStyle name="Normal 4 3 6 3 3 2 2" xfId="37789" xr:uid="{00000000-0005-0000-0000-00008D800000}"/>
    <cellStyle name="Normal 4 3 6 3 3 3" xfId="28091" xr:uid="{00000000-0005-0000-0000-00008E800000}"/>
    <cellStyle name="Normal 4 3 6 3 4" xfId="13934" xr:uid="{00000000-0005-0000-0000-00008F800000}"/>
    <cellStyle name="Normal 4 3 6 3 4 2" xfId="33334" xr:uid="{00000000-0005-0000-0000-000090800000}"/>
    <cellStyle name="Normal 4 3 6 3 5" xfId="23636" xr:uid="{00000000-0005-0000-0000-000091800000}"/>
    <cellStyle name="Normal 4 3 6 4" xfId="4487" xr:uid="{00000000-0005-0000-0000-000092800000}"/>
    <cellStyle name="Normal 4 3 6 4 2" xfId="8951" xr:uid="{00000000-0005-0000-0000-000093800000}"/>
    <cellStyle name="Normal 4 3 6 4 2 2" xfId="18947" xr:uid="{00000000-0005-0000-0000-000094800000}"/>
    <cellStyle name="Normal 4 3 6 4 2 2 2" xfId="38347" xr:uid="{00000000-0005-0000-0000-000095800000}"/>
    <cellStyle name="Normal 4 3 6 4 2 3" xfId="28649" xr:uid="{00000000-0005-0000-0000-000096800000}"/>
    <cellStyle name="Normal 4 3 6 4 3" xfId="14492" xr:uid="{00000000-0005-0000-0000-000097800000}"/>
    <cellStyle name="Normal 4 3 6 4 3 2" xfId="33892" xr:uid="{00000000-0005-0000-0000-000098800000}"/>
    <cellStyle name="Normal 4 3 6 4 4" xfId="24194" xr:uid="{00000000-0005-0000-0000-000099800000}"/>
    <cellStyle name="Normal 4 3 6 5" xfId="6157" xr:uid="{00000000-0005-0000-0000-00009A800000}"/>
    <cellStyle name="Normal 4 3 6 5 2" xfId="10621" xr:uid="{00000000-0005-0000-0000-00009B800000}"/>
    <cellStyle name="Normal 4 3 6 5 2 2" xfId="20617" xr:uid="{00000000-0005-0000-0000-00009C800000}"/>
    <cellStyle name="Normal 4 3 6 5 2 2 2" xfId="40017" xr:uid="{00000000-0005-0000-0000-00009D800000}"/>
    <cellStyle name="Normal 4 3 6 5 2 3" xfId="30319" xr:uid="{00000000-0005-0000-0000-00009E800000}"/>
    <cellStyle name="Normal 4 3 6 5 3" xfId="16162" xr:uid="{00000000-0005-0000-0000-00009F800000}"/>
    <cellStyle name="Normal 4 3 6 5 3 2" xfId="35562" xr:uid="{00000000-0005-0000-0000-0000A0800000}"/>
    <cellStyle name="Normal 4 3 6 5 4" xfId="25864" xr:uid="{00000000-0005-0000-0000-0000A1800000}"/>
    <cellStyle name="Normal 4 3 6 6" xfId="6723" xr:uid="{00000000-0005-0000-0000-0000A2800000}"/>
    <cellStyle name="Normal 4 3 6 6 2" xfId="11178" xr:uid="{00000000-0005-0000-0000-0000A3800000}"/>
    <cellStyle name="Normal 4 3 6 6 2 2" xfId="21174" xr:uid="{00000000-0005-0000-0000-0000A4800000}"/>
    <cellStyle name="Normal 4 3 6 6 2 2 2" xfId="40574" xr:uid="{00000000-0005-0000-0000-0000A5800000}"/>
    <cellStyle name="Normal 4 3 6 6 2 3" xfId="30876" xr:uid="{00000000-0005-0000-0000-0000A6800000}"/>
    <cellStyle name="Normal 4 3 6 6 3" xfId="16719" xr:uid="{00000000-0005-0000-0000-0000A7800000}"/>
    <cellStyle name="Normal 4 3 6 6 3 2" xfId="36119" xr:uid="{00000000-0005-0000-0000-0000A8800000}"/>
    <cellStyle name="Normal 4 3 6 6 4" xfId="26421" xr:uid="{00000000-0005-0000-0000-0000A9800000}"/>
    <cellStyle name="Normal 4 3 6 7" xfId="7280" xr:uid="{00000000-0005-0000-0000-0000AA800000}"/>
    <cellStyle name="Normal 4 3 6 7 2" xfId="17276" xr:uid="{00000000-0005-0000-0000-0000AB800000}"/>
    <cellStyle name="Normal 4 3 6 7 2 2" xfId="36676" xr:uid="{00000000-0005-0000-0000-0000AC800000}"/>
    <cellStyle name="Normal 4 3 6 7 3" xfId="26978" xr:uid="{00000000-0005-0000-0000-0000AD800000}"/>
    <cellStyle name="Normal 4 3 6 8" xfId="12820" xr:uid="{00000000-0005-0000-0000-0000AE800000}"/>
    <cellStyle name="Normal 4 3 6 8 2" xfId="32221" xr:uid="{00000000-0005-0000-0000-0000AF800000}"/>
    <cellStyle name="Normal 4 3 6 9" xfId="22523" xr:uid="{00000000-0005-0000-0000-0000B0800000}"/>
    <cellStyle name="Normal 4 3 7" xfId="2386" xr:uid="{00000000-0005-0000-0000-0000B1800000}"/>
    <cellStyle name="Normal 4 3 7 2" xfId="3332" xr:uid="{00000000-0005-0000-0000-0000B2800000}"/>
    <cellStyle name="Normal 4 3 7 2 2" xfId="5601" xr:uid="{00000000-0005-0000-0000-0000B3800000}"/>
    <cellStyle name="Normal 4 3 7 2 2 2" xfId="10065" xr:uid="{00000000-0005-0000-0000-0000B4800000}"/>
    <cellStyle name="Normal 4 3 7 2 2 2 2" xfId="20061" xr:uid="{00000000-0005-0000-0000-0000B5800000}"/>
    <cellStyle name="Normal 4 3 7 2 2 2 2 2" xfId="39461" xr:uid="{00000000-0005-0000-0000-0000B6800000}"/>
    <cellStyle name="Normal 4 3 7 2 2 2 3" xfId="29763" xr:uid="{00000000-0005-0000-0000-0000B7800000}"/>
    <cellStyle name="Normal 4 3 7 2 2 3" xfId="15606" xr:uid="{00000000-0005-0000-0000-0000B8800000}"/>
    <cellStyle name="Normal 4 3 7 2 2 3 2" xfId="35006" xr:uid="{00000000-0005-0000-0000-0000B9800000}"/>
    <cellStyle name="Normal 4 3 7 2 2 4" xfId="25308" xr:uid="{00000000-0005-0000-0000-0000BA800000}"/>
    <cellStyle name="Normal 4 3 7 2 3" xfId="7837" xr:uid="{00000000-0005-0000-0000-0000BB800000}"/>
    <cellStyle name="Normal 4 3 7 2 3 2" xfId="17833" xr:uid="{00000000-0005-0000-0000-0000BC800000}"/>
    <cellStyle name="Normal 4 3 7 2 3 2 2" xfId="37233" xr:uid="{00000000-0005-0000-0000-0000BD800000}"/>
    <cellStyle name="Normal 4 3 7 2 3 3" xfId="27535" xr:uid="{00000000-0005-0000-0000-0000BE800000}"/>
    <cellStyle name="Normal 4 3 7 2 4" xfId="13378" xr:uid="{00000000-0005-0000-0000-0000BF800000}"/>
    <cellStyle name="Normal 4 3 7 2 4 2" xfId="32778" xr:uid="{00000000-0005-0000-0000-0000C0800000}"/>
    <cellStyle name="Normal 4 3 7 2 5" xfId="23080" xr:uid="{00000000-0005-0000-0000-0000C1800000}"/>
    <cellStyle name="Normal 4 3 7 3" xfId="3915" xr:uid="{00000000-0005-0000-0000-0000C2800000}"/>
    <cellStyle name="Normal 4 3 7 3 2" xfId="5045" xr:uid="{00000000-0005-0000-0000-0000C3800000}"/>
    <cellStyle name="Normal 4 3 7 3 2 2" xfId="9509" xr:uid="{00000000-0005-0000-0000-0000C4800000}"/>
    <cellStyle name="Normal 4 3 7 3 2 2 2" xfId="19505" xr:uid="{00000000-0005-0000-0000-0000C5800000}"/>
    <cellStyle name="Normal 4 3 7 3 2 2 2 2" xfId="38905" xr:uid="{00000000-0005-0000-0000-0000C6800000}"/>
    <cellStyle name="Normal 4 3 7 3 2 2 3" xfId="29207" xr:uid="{00000000-0005-0000-0000-0000C7800000}"/>
    <cellStyle name="Normal 4 3 7 3 2 3" xfId="15050" xr:uid="{00000000-0005-0000-0000-0000C8800000}"/>
    <cellStyle name="Normal 4 3 7 3 2 3 2" xfId="34450" xr:uid="{00000000-0005-0000-0000-0000C9800000}"/>
    <cellStyle name="Normal 4 3 7 3 2 4" xfId="24752" xr:uid="{00000000-0005-0000-0000-0000CA800000}"/>
    <cellStyle name="Normal 4 3 7 3 3" xfId="8394" xr:uid="{00000000-0005-0000-0000-0000CB800000}"/>
    <cellStyle name="Normal 4 3 7 3 3 2" xfId="18390" xr:uid="{00000000-0005-0000-0000-0000CC800000}"/>
    <cellStyle name="Normal 4 3 7 3 3 2 2" xfId="37790" xr:uid="{00000000-0005-0000-0000-0000CD800000}"/>
    <cellStyle name="Normal 4 3 7 3 3 3" xfId="28092" xr:uid="{00000000-0005-0000-0000-0000CE800000}"/>
    <cellStyle name="Normal 4 3 7 3 4" xfId="13935" xr:uid="{00000000-0005-0000-0000-0000CF800000}"/>
    <cellStyle name="Normal 4 3 7 3 4 2" xfId="33335" xr:uid="{00000000-0005-0000-0000-0000D0800000}"/>
    <cellStyle name="Normal 4 3 7 3 5" xfId="23637" xr:uid="{00000000-0005-0000-0000-0000D1800000}"/>
    <cellStyle name="Normal 4 3 7 4" xfId="4488" xr:uid="{00000000-0005-0000-0000-0000D2800000}"/>
    <cellStyle name="Normal 4 3 7 4 2" xfId="8952" xr:uid="{00000000-0005-0000-0000-0000D3800000}"/>
    <cellStyle name="Normal 4 3 7 4 2 2" xfId="18948" xr:uid="{00000000-0005-0000-0000-0000D4800000}"/>
    <cellStyle name="Normal 4 3 7 4 2 2 2" xfId="38348" xr:uid="{00000000-0005-0000-0000-0000D5800000}"/>
    <cellStyle name="Normal 4 3 7 4 2 3" xfId="28650" xr:uid="{00000000-0005-0000-0000-0000D6800000}"/>
    <cellStyle name="Normal 4 3 7 4 3" xfId="14493" xr:uid="{00000000-0005-0000-0000-0000D7800000}"/>
    <cellStyle name="Normal 4 3 7 4 3 2" xfId="33893" xr:uid="{00000000-0005-0000-0000-0000D8800000}"/>
    <cellStyle name="Normal 4 3 7 4 4" xfId="24195" xr:uid="{00000000-0005-0000-0000-0000D9800000}"/>
    <cellStyle name="Normal 4 3 7 5" xfId="6158" xr:uid="{00000000-0005-0000-0000-0000DA800000}"/>
    <cellStyle name="Normal 4 3 7 5 2" xfId="10622" xr:uid="{00000000-0005-0000-0000-0000DB800000}"/>
    <cellStyle name="Normal 4 3 7 5 2 2" xfId="20618" xr:uid="{00000000-0005-0000-0000-0000DC800000}"/>
    <cellStyle name="Normal 4 3 7 5 2 2 2" xfId="40018" xr:uid="{00000000-0005-0000-0000-0000DD800000}"/>
    <cellStyle name="Normal 4 3 7 5 2 3" xfId="30320" xr:uid="{00000000-0005-0000-0000-0000DE800000}"/>
    <cellStyle name="Normal 4 3 7 5 3" xfId="16163" xr:uid="{00000000-0005-0000-0000-0000DF800000}"/>
    <cellStyle name="Normal 4 3 7 5 3 2" xfId="35563" xr:uid="{00000000-0005-0000-0000-0000E0800000}"/>
    <cellStyle name="Normal 4 3 7 5 4" xfId="25865" xr:uid="{00000000-0005-0000-0000-0000E1800000}"/>
    <cellStyle name="Normal 4 3 7 6" xfId="6724" xr:uid="{00000000-0005-0000-0000-0000E2800000}"/>
    <cellStyle name="Normal 4 3 7 6 2" xfId="11179" xr:uid="{00000000-0005-0000-0000-0000E3800000}"/>
    <cellStyle name="Normal 4 3 7 6 2 2" xfId="21175" xr:uid="{00000000-0005-0000-0000-0000E4800000}"/>
    <cellStyle name="Normal 4 3 7 6 2 2 2" xfId="40575" xr:uid="{00000000-0005-0000-0000-0000E5800000}"/>
    <cellStyle name="Normal 4 3 7 6 2 3" xfId="30877" xr:uid="{00000000-0005-0000-0000-0000E6800000}"/>
    <cellStyle name="Normal 4 3 7 6 3" xfId="16720" xr:uid="{00000000-0005-0000-0000-0000E7800000}"/>
    <cellStyle name="Normal 4 3 7 6 3 2" xfId="36120" xr:uid="{00000000-0005-0000-0000-0000E8800000}"/>
    <cellStyle name="Normal 4 3 7 6 4" xfId="26422" xr:uid="{00000000-0005-0000-0000-0000E9800000}"/>
    <cellStyle name="Normal 4 3 7 7" xfId="7281" xr:uid="{00000000-0005-0000-0000-0000EA800000}"/>
    <cellStyle name="Normal 4 3 7 7 2" xfId="17277" xr:uid="{00000000-0005-0000-0000-0000EB800000}"/>
    <cellStyle name="Normal 4 3 7 7 2 2" xfId="36677" xr:uid="{00000000-0005-0000-0000-0000EC800000}"/>
    <cellStyle name="Normal 4 3 7 7 3" xfId="26979" xr:uid="{00000000-0005-0000-0000-0000ED800000}"/>
    <cellStyle name="Normal 4 3 7 8" xfId="12821" xr:uid="{00000000-0005-0000-0000-0000EE800000}"/>
    <cellStyle name="Normal 4 3 7 8 2" xfId="32222" xr:uid="{00000000-0005-0000-0000-0000EF800000}"/>
    <cellStyle name="Normal 4 3 7 9" xfId="22524" xr:uid="{00000000-0005-0000-0000-0000F0800000}"/>
    <cellStyle name="Normal 4 3 8" xfId="2387" xr:uid="{00000000-0005-0000-0000-0000F1800000}"/>
    <cellStyle name="Normal 4 3 8 2" xfId="3333" xr:uid="{00000000-0005-0000-0000-0000F2800000}"/>
    <cellStyle name="Normal 4 3 8 2 2" xfId="5602" xr:uid="{00000000-0005-0000-0000-0000F3800000}"/>
    <cellStyle name="Normal 4 3 8 2 2 2" xfId="10066" xr:uid="{00000000-0005-0000-0000-0000F4800000}"/>
    <cellStyle name="Normal 4 3 8 2 2 2 2" xfId="20062" xr:uid="{00000000-0005-0000-0000-0000F5800000}"/>
    <cellStyle name="Normal 4 3 8 2 2 2 2 2" xfId="39462" xr:uid="{00000000-0005-0000-0000-0000F6800000}"/>
    <cellStyle name="Normal 4 3 8 2 2 2 3" xfId="29764" xr:uid="{00000000-0005-0000-0000-0000F7800000}"/>
    <cellStyle name="Normal 4 3 8 2 2 3" xfId="15607" xr:uid="{00000000-0005-0000-0000-0000F8800000}"/>
    <cellStyle name="Normal 4 3 8 2 2 3 2" xfId="35007" xr:uid="{00000000-0005-0000-0000-0000F9800000}"/>
    <cellStyle name="Normal 4 3 8 2 2 4" xfId="25309" xr:uid="{00000000-0005-0000-0000-0000FA800000}"/>
    <cellStyle name="Normal 4 3 8 2 3" xfId="7838" xr:uid="{00000000-0005-0000-0000-0000FB800000}"/>
    <cellStyle name="Normal 4 3 8 2 3 2" xfId="17834" xr:uid="{00000000-0005-0000-0000-0000FC800000}"/>
    <cellStyle name="Normal 4 3 8 2 3 2 2" xfId="37234" xr:uid="{00000000-0005-0000-0000-0000FD800000}"/>
    <cellStyle name="Normal 4 3 8 2 3 3" xfId="27536" xr:uid="{00000000-0005-0000-0000-0000FE800000}"/>
    <cellStyle name="Normal 4 3 8 2 4" xfId="13379" xr:uid="{00000000-0005-0000-0000-0000FF800000}"/>
    <cellStyle name="Normal 4 3 8 2 4 2" xfId="32779" xr:uid="{00000000-0005-0000-0000-000000810000}"/>
    <cellStyle name="Normal 4 3 8 2 5" xfId="23081" xr:uid="{00000000-0005-0000-0000-000001810000}"/>
    <cellStyle name="Normal 4 3 8 3" xfId="3916" xr:uid="{00000000-0005-0000-0000-000002810000}"/>
    <cellStyle name="Normal 4 3 8 3 2" xfId="5046" xr:uid="{00000000-0005-0000-0000-000003810000}"/>
    <cellStyle name="Normal 4 3 8 3 2 2" xfId="9510" xr:uid="{00000000-0005-0000-0000-000004810000}"/>
    <cellStyle name="Normal 4 3 8 3 2 2 2" xfId="19506" xr:uid="{00000000-0005-0000-0000-000005810000}"/>
    <cellStyle name="Normal 4 3 8 3 2 2 2 2" xfId="38906" xr:uid="{00000000-0005-0000-0000-000006810000}"/>
    <cellStyle name="Normal 4 3 8 3 2 2 3" xfId="29208" xr:uid="{00000000-0005-0000-0000-000007810000}"/>
    <cellStyle name="Normal 4 3 8 3 2 3" xfId="15051" xr:uid="{00000000-0005-0000-0000-000008810000}"/>
    <cellStyle name="Normal 4 3 8 3 2 3 2" xfId="34451" xr:uid="{00000000-0005-0000-0000-000009810000}"/>
    <cellStyle name="Normal 4 3 8 3 2 4" xfId="24753" xr:uid="{00000000-0005-0000-0000-00000A810000}"/>
    <cellStyle name="Normal 4 3 8 3 3" xfId="8395" xr:uid="{00000000-0005-0000-0000-00000B810000}"/>
    <cellStyle name="Normal 4 3 8 3 3 2" xfId="18391" xr:uid="{00000000-0005-0000-0000-00000C810000}"/>
    <cellStyle name="Normal 4 3 8 3 3 2 2" xfId="37791" xr:uid="{00000000-0005-0000-0000-00000D810000}"/>
    <cellStyle name="Normal 4 3 8 3 3 3" xfId="28093" xr:uid="{00000000-0005-0000-0000-00000E810000}"/>
    <cellStyle name="Normal 4 3 8 3 4" xfId="13936" xr:uid="{00000000-0005-0000-0000-00000F810000}"/>
    <cellStyle name="Normal 4 3 8 3 4 2" xfId="33336" xr:uid="{00000000-0005-0000-0000-000010810000}"/>
    <cellStyle name="Normal 4 3 8 3 5" xfId="23638" xr:uid="{00000000-0005-0000-0000-000011810000}"/>
    <cellStyle name="Normal 4 3 8 4" xfId="4489" xr:uid="{00000000-0005-0000-0000-000012810000}"/>
    <cellStyle name="Normal 4 3 8 4 2" xfId="8953" xr:uid="{00000000-0005-0000-0000-000013810000}"/>
    <cellStyle name="Normal 4 3 8 4 2 2" xfId="18949" xr:uid="{00000000-0005-0000-0000-000014810000}"/>
    <cellStyle name="Normal 4 3 8 4 2 2 2" xfId="38349" xr:uid="{00000000-0005-0000-0000-000015810000}"/>
    <cellStyle name="Normal 4 3 8 4 2 3" xfId="28651" xr:uid="{00000000-0005-0000-0000-000016810000}"/>
    <cellStyle name="Normal 4 3 8 4 3" xfId="14494" xr:uid="{00000000-0005-0000-0000-000017810000}"/>
    <cellStyle name="Normal 4 3 8 4 3 2" xfId="33894" xr:uid="{00000000-0005-0000-0000-000018810000}"/>
    <cellStyle name="Normal 4 3 8 4 4" xfId="24196" xr:uid="{00000000-0005-0000-0000-000019810000}"/>
    <cellStyle name="Normal 4 3 8 5" xfId="6159" xr:uid="{00000000-0005-0000-0000-00001A810000}"/>
    <cellStyle name="Normal 4 3 8 5 2" xfId="10623" xr:uid="{00000000-0005-0000-0000-00001B810000}"/>
    <cellStyle name="Normal 4 3 8 5 2 2" xfId="20619" xr:uid="{00000000-0005-0000-0000-00001C810000}"/>
    <cellStyle name="Normal 4 3 8 5 2 2 2" xfId="40019" xr:uid="{00000000-0005-0000-0000-00001D810000}"/>
    <cellStyle name="Normal 4 3 8 5 2 3" xfId="30321" xr:uid="{00000000-0005-0000-0000-00001E810000}"/>
    <cellStyle name="Normal 4 3 8 5 3" xfId="16164" xr:uid="{00000000-0005-0000-0000-00001F810000}"/>
    <cellStyle name="Normal 4 3 8 5 3 2" xfId="35564" xr:uid="{00000000-0005-0000-0000-000020810000}"/>
    <cellStyle name="Normal 4 3 8 5 4" xfId="25866" xr:uid="{00000000-0005-0000-0000-000021810000}"/>
    <cellStyle name="Normal 4 3 8 6" xfId="6725" xr:uid="{00000000-0005-0000-0000-000022810000}"/>
    <cellStyle name="Normal 4 3 8 6 2" xfId="11180" xr:uid="{00000000-0005-0000-0000-000023810000}"/>
    <cellStyle name="Normal 4 3 8 6 2 2" xfId="21176" xr:uid="{00000000-0005-0000-0000-000024810000}"/>
    <cellStyle name="Normal 4 3 8 6 2 2 2" xfId="40576" xr:uid="{00000000-0005-0000-0000-000025810000}"/>
    <cellStyle name="Normal 4 3 8 6 2 3" xfId="30878" xr:uid="{00000000-0005-0000-0000-000026810000}"/>
    <cellStyle name="Normal 4 3 8 6 3" xfId="16721" xr:uid="{00000000-0005-0000-0000-000027810000}"/>
    <cellStyle name="Normal 4 3 8 6 3 2" xfId="36121" xr:uid="{00000000-0005-0000-0000-000028810000}"/>
    <cellStyle name="Normal 4 3 8 6 4" xfId="26423" xr:uid="{00000000-0005-0000-0000-000029810000}"/>
    <cellStyle name="Normal 4 3 8 7" xfId="7282" xr:uid="{00000000-0005-0000-0000-00002A810000}"/>
    <cellStyle name="Normal 4 3 8 7 2" xfId="17278" xr:uid="{00000000-0005-0000-0000-00002B810000}"/>
    <cellStyle name="Normal 4 3 8 7 2 2" xfId="36678" xr:uid="{00000000-0005-0000-0000-00002C810000}"/>
    <cellStyle name="Normal 4 3 8 7 3" xfId="26980" xr:uid="{00000000-0005-0000-0000-00002D810000}"/>
    <cellStyle name="Normal 4 3 8 8" xfId="12822" xr:uid="{00000000-0005-0000-0000-00002E810000}"/>
    <cellStyle name="Normal 4 3 8 8 2" xfId="32223" xr:uid="{00000000-0005-0000-0000-00002F810000}"/>
    <cellStyle name="Normal 4 3 8 9" xfId="22525" xr:uid="{00000000-0005-0000-0000-000030810000}"/>
    <cellStyle name="Normal 4 3 9" xfId="11697" xr:uid="{00000000-0005-0000-0000-000031810000}"/>
    <cellStyle name="Normal 4 3 9 2" xfId="21410" xr:uid="{00000000-0005-0000-0000-000032810000}"/>
    <cellStyle name="Normal 4 3 9 2 2" xfId="40810" xr:uid="{00000000-0005-0000-0000-000033810000}"/>
    <cellStyle name="Normal 4 3 9 3" xfId="31112" xr:uid="{00000000-0005-0000-0000-000034810000}"/>
    <cellStyle name="Normal 4 4" xfId="1111" xr:uid="{00000000-0005-0000-0000-000035810000}"/>
    <cellStyle name="Normal 4 4 2" xfId="2388" xr:uid="{00000000-0005-0000-0000-000036810000}"/>
    <cellStyle name="Normal 4 4 2 10" xfId="7283" xr:uid="{00000000-0005-0000-0000-000037810000}"/>
    <cellStyle name="Normal 4 4 2 10 2" xfId="17279" xr:uid="{00000000-0005-0000-0000-000038810000}"/>
    <cellStyle name="Normal 4 4 2 10 2 2" xfId="36679" xr:uid="{00000000-0005-0000-0000-000039810000}"/>
    <cellStyle name="Normal 4 4 2 10 3" xfId="26981" xr:uid="{00000000-0005-0000-0000-00003A810000}"/>
    <cellStyle name="Normal 4 4 2 11" xfId="12823" xr:uid="{00000000-0005-0000-0000-00003B810000}"/>
    <cellStyle name="Normal 4 4 2 11 2" xfId="32224" xr:uid="{00000000-0005-0000-0000-00003C810000}"/>
    <cellStyle name="Normal 4 4 2 12" xfId="22526" xr:uid="{00000000-0005-0000-0000-00003D810000}"/>
    <cellStyle name="Normal 4 4 2 2" xfId="2389" xr:uid="{00000000-0005-0000-0000-00003E810000}"/>
    <cellStyle name="Normal 4 4 2 2 10" xfId="12824" xr:uid="{00000000-0005-0000-0000-00003F810000}"/>
    <cellStyle name="Normal 4 4 2 2 10 2" xfId="32225" xr:uid="{00000000-0005-0000-0000-000040810000}"/>
    <cellStyle name="Normal 4 4 2 2 11" xfId="22527" xr:uid="{00000000-0005-0000-0000-000041810000}"/>
    <cellStyle name="Normal 4 4 2 2 2" xfId="2390" xr:uid="{00000000-0005-0000-0000-000042810000}"/>
    <cellStyle name="Normal 4 4 2 2 2 2" xfId="3336" xr:uid="{00000000-0005-0000-0000-000043810000}"/>
    <cellStyle name="Normal 4 4 2 2 2 2 2" xfId="5605" xr:uid="{00000000-0005-0000-0000-000044810000}"/>
    <cellStyle name="Normal 4 4 2 2 2 2 2 2" xfId="10069" xr:uid="{00000000-0005-0000-0000-000045810000}"/>
    <cellStyle name="Normal 4 4 2 2 2 2 2 2 2" xfId="20065" xr:uid="{00000000-0005-0000-0000-000046810000}"/>
    <cellStyle name="Normal 4 4 2 2 2 2 2 2 2 2" xfId="39465" xr:uid="{00000000-0005-0000-0000-000047810000}"/>
    <cellStyle name="Normal 4 4 2 2 2 2 2 2 3" xfId="29767" xr:uid="{00000000-0005-0000-0000-000048810000}"/>
    <cellStyle name="Normal 4 4 2 2 2 2 2 3" xfId="15610" xr:uid="{00000000-0005-0000-0000-000049810000}"/>
    <cellStyle name="Normal 4 4 2 2 2 2 2 3 2" xfId="35010" xr:uid="{00000000-0005-0000-0000-00004A810000}"/>
    <cellStyle name="Normal 4 4 2 2 2 2 2 4" xfId="25312" xr:uid="{00000000-0005-0000-0000-00004B810000}"/>
    <cellStyle name="Normal 4 4 2 2 2 2 3" xfId="7841" xr:uid="{00000000-0005-0000-0000-00004C810000}"/>
    <cellStyle name="Normal 4 4 2 2 2 2 3 2" xfId="17837" xr:uid="{00000000-0005-0000-0000-00004D810000}"/>
    <cellStyle name="Normal 4 4 2 2 2 2 3 2 2" xfId="37237" xr:uid="{00000000-0005-0000-0000-00004E810000}"/>
    <cellStyle name="Normal 4 4 2 2 2 2 3 3" xfId="27539" xr:uid="{00000000-0005-0000-0000-00004F810000}"/>
    <cellStyle name="Normal 4 4 2 2 2 2 4" xfId="13382" xr:uid="{00000000-0005-0000-0000-000050810000}"/>
    <cellStyle name="Normal 4 4 2 2 2 2 4 2" xfId="32782" xr:uid="{00000000-0005-0000-0000-000051810000}"/>
    <cellStyle name="Normal 4 4 2 2 2 2 5" xfId="23084" xr:uid="{00000000-0005-0000-0000-000052810000}"/>
    <cellStyle name="Normal 4 4 2 2 2 3" xfId="3919" xr:uid="{00000000-0005-0000-0000-000053810000}"/>
    <cellStyle name="Normal 4 4 2 2 2 3 2" xfId="5049" xr:uid="{00000000-0005-0000-0000-000054810000}"/>
    <cellStyle name="Normal 4 4 2 2 2 3 2 2" xfId="9513" xr:uid="{00000000-0005-0000-0000-000055810000}"/>
    <cellStyle name="Normal 4 4 2 2 2 3 2 2 2" xfId="19509" xr:uid="{00000000-0005-0000-0000-000056810000}"/>
    <cellStyle name="Normal 4 4 2 2 2 3 2 2 2 2" xfId="38909" xr:uid="{00000000-0005-0000-0000-000057810000}"/>
    <cellStyle name="Normal 4 4 2 2 2 3 2 2 3" xfId="29211" xr:uid="{00000000-0005-0000-0000-000058810000}"/>
    <cellStyle name="Normal 4 4 2 2 2 3 2 3" xfId="15054" xr:uid="{00000000-0005-0000-0000-000059810000}"/>
    <cellStyle name="Normal 4 4 2 2 2 3 2 3 2" xfId="34454" xr:uid="{00000000-0005-0000-0000-00005A810000}"/>
    <cellStyle name="Normal 4 4 2 2 2 3 2 4" xfId="24756" xr:uid="{00000000-0005-0000-0000-00005B810000}"/>
    <cellStyle name="Normal 4 4 2 2 2 3 3" xfId="8398" xr:uid="{00000000-0005-0000-0000-00005C810000}"/>
    <cellStyle name="Normal 4 4 2 2 2 3 3 2" xfId="18394" xr:uid="{00000000-0005-0000-0000-00005D810000}"/>
    <cellStyle name="Normal 4 4 2 2 2 3 3 2 2" xfId="37794" xr:uid="{00000000-0005-0000-0000-00005E810000}"/>
    <cellStyle name="Normal 4 4 2 2 2 3 3 3" xfId="28096" xr:uid="{00000000-0005-0000-0000-00005F810000}"/>
    <cellStyle name="Normal 4 4 2 2 2 3 4" xfId="13939" xr:uid="{00000000-0005-0000-0000-000060810000}"/>
    <cellStyle name="Normal 4 4 2 2 2 3 4 2" xfId="33339" xr:uid="{00000000-0005-0000-0000-000061810000}"/>
    <cellStyle name="Normal 4 4 2 2 2 3 5" xfId="23641" xr:uid="{00000000-0005-0000-0000-000062810000}"/>
    <cellStyle name="Normal 4 4 2 2 2 4" xfId="4492" xr:uid="{00000000-0005-0000-0000-000063810000}"/>
    <cellStyle name="Normal 4 4 2 2 2 4 2" xfId="8956" xr:uid="{00000000-0005-0000-0000-000064810000}"/>
    <cellStyle name="Normal 4 4 2 2 2 4 2 2" xfId="18952" xr:uid="{00000000-0005-0000-0000-000065810000}"/>
    <cellStyle name="Normal 4 4 2 2 2 4 2 2 2" xfId="38352" xr:uid="{00000000-0005-0000-0000-000066810000}"/>
    <cellStyle name="Normal 4 4 2 2 2 4 2 3" xfId="28654" xr:uid="{00000000-0005-0000-0000-000067810000}"/>
    <cellStyle name="Normal 4 4 2 2 2 4 3" xfId="14497" xr:uid="{00000000-0005-0000-0000-000068810000}"/>
    <cellStyle name="Normal 4 4 2 2 2 4 3 2" xfId="33897" xr:uid="{00000000-0005-0000-0000-000069810000}"/>
    <cellStyle name="Normal 4 4 2 2 2 4 4" xfId="24199" xr:uid="{00000000-0005-0000-0000-00006A810000}"/>
    <cellStyle name="Normal 4 4 2 2 2 5" xfId="6162" xr:uid="{00000000-0005-0000-0000-00006B810000}"/>
    <cellStyle name="Normal 4 4 2 2 2 5 2" xfId="10626" xr:uid="{00000000-0005-0000-0000-00006C810000}"/>
    <cellStyle name="Normal 4 4 2 2 2 5 2 2" xfId="20622" xr:uid="{00000000-0005-0000-0000-00006D810000}"/>
    <cellStyle name="Normal 4 4 2 2 2 5 2 2 2" xfId="40022" xr:uid="{00000000-0005-0000-0000-00006E810000}"/>
    <cellStyle name="Normal 4 4 2 2 2 5 2 3" xfId="30324" xr:uid="{00000000-0005-0000-0000-00006F810000}"/>
    <cellStyle name="Normal 4 4 2 2 2 5 3" xfId="16167" xr:uid="{00000000-0005-0000-0000-000070810000}"/>
    <cellStyle name="Normal 4 4 2 2 2 5 3 2" xfId="35567" xr:uid="{00000000-0005-0000-0000-000071810000}"/>
    <cellStyle name="Normal 4 4 2 2 2 5 4" xfId="25869" xr:uid="{00000000-0005-0000-0000-000072810000}"/>
    <cellStyle name="Normal 4 4 2 2 2 6" xfId="6728" xr:uid="{00000000-0005-0000-0000-000073810000}"/>
    <cellStyle name="Normal 4 4 2 2 2 6 2" xfId="11183" xr:uid="{00000000-0005-0000-0000-000074810000}"/>
    <cellStyle name="Normal 4 4 2 2 2 6 2 2" xfId="21179" xr:uid="{00000000-0005-0000-0000-000075810000}"/>
    <cellStyle name="Normal 4 4 2 2 2 6 2 2 2" xfId="40579" xr:uid="{00000000-0005-0000-0000-000076810000}"/>
    <cellStyle name="Normal 4 4 2 2 2 6 2 3" xfId="30881" xr:uid="{00000000-0005-0000-0000-000077810000}"/>
    <cellStyle name="Normal 4 4 2 2 2 6 3" xfId="16724" xr:uid="{00000000-0005-0000-0000-000078810000}"/>
    <cellStyle name="Normal 4 4 2 2 2 6 3 2" xfId="36124" xr:uid="{00000000-0005-0000-0000-000079810000}"/>
    <cellStyle name="Normal 4 4 2 2 2 6 4" xfId="26426" xr:uid="{00000000-0005-0000-0000-00007A810000}"/>
    <cellStyle name="Normal 4 4 2 2 2 7" xfId="7285" xr:uid="{00000000-0005-0000-0000-00007B810000}"/>
    <cellStyle name="Normal 4 4 2 2 2 7 2" xfId="17281" xr:uid="{00000000-0005-0000-0000-00007C810000}"/>
    <cellStyle name="Normal 4 4 2 2 2 7 2 2" xfId="36681" xr:uid="{00000000-0005-0000-0000-00007D810000}"/>
    <cellStyle name="Normal 4 4 2 2 2 7 3" xfId="26983" xr:uid="{00000000-0005-0000-0000-00007E810000}"/>
    <cellStyle name="Normal 4 4 2 2 2 8" xfId="12825" xr:uid="{00000000-0005-0000-0000-00007F810000}"/>
    <cellStyle name="Normal 4 4 2 2 2 8 2" xfId="32226" xr:uid="{00000000-0005-0000-0000-000080810000}"/>
    <cellStyle name="Normal 4 4 2 2 2 9" xfId="22528" xr:uid="{00000000-0005-0000-0000-000081810000}"/>
    <cellStyle name="Normal 4 4 2 2 3" xfId="2391" xr:uid="{00000000-0005-0000-0000-000082810000}"/>
    <cellStyle name="Normal 4 4 2 2 3 2" xfId="3337" xr:uid="{00000000-0005-0000-0000-000083810000}"/>
    <cellStyle name="Normal 4 4 2 2 3 2 2" xfId="5606" xr:uid="{00000000-0005-0000-0000-000084810000}"/>
    <cellStyle name="Normal 4 4 2 2 3 2 2 2" xfId="10070" xr:uid="{00000000-0005-0000-0000-000085810000}"/>
    <cellStyle name="Normal 4 4 2 2 3 2 2 2 2" xfId="20066" xr:uid="{00000000-0005-0000-0000-000086810000}"/>
    <cellStyle name="Normal 4 4 2 2 3 2 2 2 2 2" xfId="39466" xr:uid="{00000000-0005-0000-0000-000087810000}"/>
    <cellStyle name="Normal 4 4 2 2 3 2 2 2 3" xfId="29768" xr:uid="{00000000-0005-0000-0000-000088810000}"/>
    <cellStyle name="Normal 4 4 2 2 3 2 2 3" xfId="15611" xr:uid="{00000000-0005-0000-0000-000089810000}"/>
    <cellStyle name="Normal 4 4 2 2 3 2 2 3 2" xfId="35011" xr:uid="{00000000-0005-0000-0000-00008A810000}"/>
    <cellStyle name="Normal 4 4 2 2 3 2 2 4" xfId="25313" xr:uid="{00000000-0005-0000-0000-00008B810000}"/>
    <cellStyle name="Normal 4 4 2 2 3 2 3" xfId="7842" xr:uid="{00000000-0005-0000-0000-00008C810000}"/>
    <cellStyle name="Normal 4 4 2 2 3 2 3 2" xfId="17838" xr:uid="{00000000-0005-0000-0000-00008D810000}"/>
    <cellStyle name="Normal 4 4 2 2 3 2 3 2 2" xfId="37238" xr:uid="{00000000-0005-0000-0000-00008E810000}"/>
    <cellStyle name="Normal 4 4 2 2 3 2 3 3" xfId="27540" xr:uid="{00000000-0005-0000-0000-00008F810000}"/>
    <cellStyle name="Normal 4 4 2 2 3 2 4" xfId="13383" xr:uid="{00000000-0005-0000-0000-000090810000}"/>
    <cellStyle name="Normal 4 4 2 2 3 2 4 2" xfId="32783" xr:uid="{00000000-0005-0000-0000-000091810000}"/>
    <cellStyle name="Normal 4 4 2 2 3 2 5" xfId="23085" xr:uid="{00000000-0005-0000-0000-000092810000}"/>
    <cellStyle name="Normal 4 4 2 2 3 3" xfId="3920" xr:uid="{00000000-0005-0000-0000-000093810000}"/>
    <cellStyle name="Normal 4 4 2 2 3 3 2" xfId="5050" xr:uid="{00000000-0005-0000-0000-000094810000}"/>
    <cellStyle name="Normal 4 4 2 2 3 3 2 2" xfId="9514" xr:uid="{00000000-0005-0000-0000-000095810000}"/>
    <cellStyle name="Normal 4 4 2 2 3 3 2 2 2" xfId="19510" xr:uid="{00000000-0005-0000-0000-000096810000}"/>
    <cellStyle name="Normal 4 4 2 2 3 3 2 2 2 2" xfId="38910" xr:uid="{00000000-0005-0000-0000-000097810000}"/>
    <cellStyle name="Normal 4 4 2 2 3 3 2 2 3" xfId="29212" xr:uid="{00000000-0005-0000-0000-000098810000}"/>
    <cellStyle name="Normal 4 4 2 2 3 3 2 3" xfId="15055" xr:uid="{00000000-0005-0000-0000-000099810000}"/>
    <cellStyle name="Normal 4 4 2 2 3 3 2 3 2" xfId="34455" xr:uid="{00000000-0005-0000-0000-00009A810000}"/>
    <cellStyle name="Normal 4 4 2 2 3 3 2 4" xfId="24757" xr:uid="{00000000-0005-0000-0000-00009B810000}"/>
    <cellStyle name="Normal 4 4 2 2 3 3 3" xfId="8399" xr:uid="{00000000-0005-0000-0000-00009C810000}"/>
    <cellStyle name="Normal 4 4 2 2 3 3 3 2" xfId="18395" xr:uid="{00000000-0005-0000-0000-00009D810000}"/>
    <cellStyle name="Normal 4 4 2 2 3 3 3 2 2" xfId="37795" xr:uid="{00000000-0005-0000-0000-00009E810000}"/>
    <cellStyle name="Normal 4 4 2 2 3 3 3 3" xfId="28097" xr:uid="{00000000-0005-0000-0000-00009F810000}"/>
    <cellStyle name="Normal 4 4 2 2 3 3 4" xfId="13940" xr:uid="{00000000-0005-0000-0000-0000A0810000}"/>
    <cellStyle name="Normal 4 4 2 2 3 3 4 2" xfId="33340" xr:uid="{00000000-0005-0000-0000-0000A1810000}"/>
    <cellStyle name="Normal 4 4 2 2 3 3 5" xfId="23642" xr:uid="{00000000-0005-0000-0000-0000A2810000}"/>
    <cellStyle name="Normal 4 4 2 2 3 4" xfId="4493" xr:uid="{00000000-0005-0000-0000-0000A3810000}"/>
    <cellStyle name="Normal 4 4 2 2 3 4 2" xfId="8957" xr:uid="{00000000-0005-0000-0000-0000A4810000}"/>
    <cellStyle name="Normal 4 4 2 2 3 4 2 2" xfId="18953" xr:uid="{00000000-0005-0000-0000-0000A5810000}"/>
    <cellStyle name="Normal 4 4 2 2 3 4 2 2 2" xfId="38353" xr:uid="{00000000-0005-0000-0000-0000A6810000}"/>
    <cellStyle name="Normal 4 4 2 2 3 4 2 3" xfId="28655" xr:uid="{00000000-0005-0000-0000-0000A7810000}"/>
    <cellStyle name="Normal 4 4 2 2 3 4 3" xfId="14498" xr:uid="{00000000-0005-0000-0000-0000A8810000}"/>
    <cellStyle name="Normal 4 4 2 2 3 4 3 2" xfId="33898" xr:uid="{00000000-0005-0000-0000-0000A9810000}"/>
    <cellStyle name="Normal 4 4 2 2 3 4 4" xfId="24200" xr:uid="{00000000-0005-0000-0000-0000AA810000}"/>
    <cellStyle name="Normal 4 4 2 2 3 5" xfId="6163" xr:uid="{00000000-0005-0000-0000-0000AB810000}"/>
    <cellStyle name="Normal 4 4 2 2 3 5 2" xfId="10627" xr:uid="{00000000-0005-0000-0000-0000AC810000}"/>
    <cellStyle name="Normal 4 4 2 2 3 5 2 2" xfId="20623" xr:uid="{00000000-0005-0000-0000-0000AD810000}"/>
    <cellStyle name="Normal 4 4 2 2 3 5 2 2 2" xfId="40023" xr:uid="{00000000-0005-0000-0000-0000AE810000}"/>
    <cellStyle name="Normal 4 4 2 2 3 5 2 3" xfId="30325" xr:uid="{00000000-0005-0000-0000-0000AF810000}"/>
    <cellStyle name="Normal 4 4 2 2 3 5 3" xfId="16168" xr:uid="{00000000-0005-0000-0000-0000B0810000}"/>
    <cellStyle name="Normal 4 4 2 2 3 5 3 2" xfId="35568" xr:uid="{00000000-0005-0000-0000-0000B1810000}"/>
    <cellStyle name="Normal 4 4 2 2 3 5 4" xfId="25870" xr:uid="{00000000-0005-0000-0000-0000B2810000}"/>
    <cellStyle name="Normal 4 4 2 2 3 6" xfId="6729" xr:uid="{00000000-0005-0000-0000-0000B3810000}"/>
    <cellStyle name="Normal 4 4 2 2 3 6 2" xfId="11184" xr:uid="{00000000-0005-0000-0000-0000B4810000}"/>
    <cellStyle name="Normal 4 4 2 2 3 6 2 2" xfId="21180" xr:uid="{00000000-0005-0000-0000-0000B5810000}"/>
    <cellStyle name="Normal 4 4 2 2 3 6 2 2 2" xfId="40580" xr:uid="{00000000-0005-0000-0000-0000B6810000}"/>
    <cellStyle name="Normal 4 4 2 2 3 6 2 3" xfId="30882" xr:uid="{00000000-0005-0000-0000-0000B7810000}"/>
    <cellStyle name="Normal 4 4 2 2 3 6 3" xfId="16725" xr:uid="{00000000-0005-0000-0000-0000B8810000}"/>
    <cellStyle name="Normal 4 4 2 2 3 6 3 2" xfId="36125" xr:uid="{00000000-0005-0000-0000-0000B9810000}"/>
    <cellStyle name="Normal 4 4 2 2 3 6 4" xfId="26427" xr:uid="{00000000-0005-0000-0000-0000BA810000}"/>
    <cellStyle name="Normal 4 4 2 2 3 7" xfId="7286" xr:uid="{00000000-0005-0000-0000-0000BB810000}"/>
    <cellStyle name="Normal 4 4 2 2 3 7 2" xfId="17282" xr:uid="{00000000-0005-0000-0000-0000BC810000}"/>
    <cellStyle name="Normal 4 4 2 2 3 7 2 2" xfId="36682" xr:uid="{00000000-0005-0000-0000-0000BD810000}"/>
    <cellStyle name="Normal 4 4 2 2 3 7 3" xfId="26984" xr:uid="{00000000-0005-0000-0000-0000BE810000}"/>
    <cellStyle name="Normal 4 4 2 2 3 8" xfId="12826" xr:uid="{00000000-0005-0000-0000-0000BF810000}"/>
    <cellStyle name="Normal 4 4 2 2 3 8 2" xfId="32227" xr:uid="{00000000-0005-0000-0000-0000C0810000}"/>
    <cellStyle name="Normal 4 4 2 2 3 9" xfId="22529" xr:uid="{00000000-0005-0000-0000-0000C1810000}"/>
    <cellStyle name="Normal 4 4 2 2 4" xfId="3335" xr:uid="{00000000-0005-0000-0000-0000C2810000}"/>
    <cellStyle name="Normal 4 4 2 2 4 2" xfId="5604" xr:uid="{00000000-0005-0000-0000-0000C3810000}"/>
    <cellStyle name="Normal 4 4 2 2 4 2 2" xfId="10068" xr:uid="{00000000-0005-0000-0000-0000C4810000}"/>
    <cellStyle name="Normal 4 4 2 2 4 2 2 2" xfId="20064" xr:uid="{00000000-0005-0000-0000-0000C5810000}"/>
    <cellStyle name="Normal 4 4 2 2 4 2 2 2 2" xfId="39464" xr:uid="{00000000-0005-0000-0000-0000C6810000}"/>
    <cellStyle name="Normal 4 4 2 2 4 2 2 3" xfId="29766" xr:uid="{00000000-0005-0000-0000-0000C7810000}"/>
    <cellStyle name="Normal 4 4 2 2 4 2 3" xfId="15609" xr:uid="{00000000-0005-0000-0000-0000C8810000}"/>
    <cellStyle name="Normal 4 4 2 2 4 2 3 2" xfId="35009" xr:uid="{00000000-0005-0000-0000-0000C9810000}"/>
    <cellStyle name="Normal 4 4 2 2 4 2 4" xfId="25311" xr:uid="{00000000-0005-0000-0000-0000CA810000}"/>
    <cellStyle name="Normal 4 4 2 2 4 3" xfId="7840" xr:uid="{00000000-0005-0000-0000-0000CB810000}"/>
    <cellStyle name="Normal 4 4 2 2 4 3 2" xfId="17836" xr:uid="{00000000-0005-0000-0000-0000CC810000}"/>
    <cellStyle name="Normal 4 4 2 2 4 3 2 2" xfId="37236" xr:uid="{00000000-0005-0000-0000-0000CD810000}"/>
    <cellStyle name="Normal 4 4 2 2 4 3 3" xfId="27538" xr:uid="{00000000-0005-0000-0000-0000CE810000}"/>
    <cellStyle name="Normal 4 4 2 2 4 4" xfId="13381" xr:uid="{00000000-0005-0000-0000-0000CF810000}"/>
    <cellStyle name="Normal 4 4 2 2 4 4 2" xfId="32781" xr:uid="{00000000-0005-0000-0000-0000D0810000}"/>
    <cellStyle name="Normal 4 4 2 2 4 5" xfId="23083" xr:uid="{00000000-0005-0000-0000-0000D1810000}"/>
    <cellStyle name="Normal 4 4 2 2 5" xfId="3918" xr:uid="{00000000-0005-0000-0000-0000D2810000}"/>
    <cellStyle name="Normal 4 4 2 2 5 2" xfId="5048" xr:uid="{00000000-0005-0000-0000-0000D3810000}"/>
    <cellStyle name="Normal 4 4 2 2 5 2 2" xfId="9512" xr:uid="{00000000-0005-0000-0000-0000D4810000}"/>
    <cellStyle name="Normal 4 4 2 2 5 2 2 2" xfId="19508" xr:uid="{00000000-0005-0000-0000-0000D5810000}"/>
    <cellStyle name="Normal 4 4 2 2 5 2 2 2 2" xfId="38908" xr:uid="{00000000-0005-0000-0000-0000D6810000}"/>
    <cellStyle name="Normal 4 4 2 2 5 2 2 3" xfId="29210" xr:uid="{00000000-0005-0000-0000-0000D7810000}"/>
    <cellStyle name="Normal 4 4 2 2 5 2 3" xfId="15053" xr:uid="{00000000-0005-0000-0000-0000D8810000}"/>
    <cellStyle name="Normal 4 4 2 2 5 2 3 2" xfId="34453" xr:uid="{00000000-0005-0000-0000-0000D9810000}"/>
    <cellStyle name="Normal 4 4 2 2 5 2 4" xfId="24755" xr:uid="{00000000-0005-0000-0000-0000DA810000}"/>
    <cellStyle name="Normal 4 4 2 2 5 3" xfId="8397" xr:uid="{00000000-0005-0000-0000-0000DB810000}"/>
    <cellStyle name="Normal 4 4 2 2 5 3 2" xfId="18393" xr:uid="{00000000-0005-0000-0000-0000DC810000}"/>
    <cellStyle name="Normal 4 4 2 2 5 3 2 2" xfId="37793" xr:uid="{00000000-0005-0000-0000-0000DD810000}"/>
    <cellStyle name="Normal 4 4 2 2 5 3 3" xfId="28095" xr:uid="{00000000-0005-0000-0000-0000DE810000}"/>
    <cellStyle name="Normal 4 4 2 2 5 4" xfId="13938" xr:uid="{00000000-0005-0000-0000-0000DF810000}"/>
    <cellStyle name="Normal 4 4 2 2 5 4 2" xfId="33338" xr:uid="{00000000-0005-0000-0000-0000E0810000}"/>
    <cellStyle name="Normal 4 4 2 2 5 5" xfId="23640" xr:uid="{00000000-0005-0000-0000-0000E1810000}"/>
    <cellStyle name="Normal 4 4 2 2 6" xfId="4491" xr:uid="{00000000-0005-0000-0000-0000E2810000}"/>
    <cellStyle name="Normal 4 4 2 2 6 2" xfId="8955" xr:uid="{00000000-0005-0000-0000-0000E3810000}"/>
    <cellStyle name="Normal 4 4 2 2 6 2 2" xfId="18951" xr:uid="{00000000-0005-0000-0000-0000E4810000}"/>
    <cellStyle name="Normal 4 4 2 2 6 2 2 2" xfId="38351" xr:uid="{00000000-0005-0000-0000-0000E5810000}"/>
    <cellStyle name="Normal 4 4 2 2 6 2 3" xfId="28653" xr:uid="{00000000-0005-0000-0000-0000E6810000}"/>
    <cellStyle name="Normal 4 4 2 2 6 3" xfId="14496" xr:uid="{00000000-0005-0000-0000-0000E7810000}"/>
    <cellStyle name="Normal 4 4 2 2 6 3 2" xfId="33896" xr:uid="{00000000-0005-0000-0000-0000E8810000}"/>
    <cellStyle name="Normal 4 4 2 2 6 4" xfId="24198" xr:uid="{00000000-0005-0000-0000-0000E9810000}"/>
    <cellStyle name="Normal 4 4 2 2 7" xfId="6161" xr:uid="{00000000-0005-0000-0000-0000EA810000}"/>
    <cellStyle name="Normal 4 4 2 2 7 2" xfId="10625" xr:uid="{00000000-0005-0000-0000-0000EB810000}"/>
    <cellStyle name="Normal 4 4 2 2 7 2 2" xfId="20621" xr:uid="{00000000-0005-0000-0000-0000EC810000}"/>
    <cellStyle name="Normal 4 4 2 2 7 2 2 2" xfId="40021" xr:uid="{00000000-0005-0000-0000-0000ED810000}"/>
    <cellStyle name="Normal 4 4 2 2 7 2 3" xfId="30323" xr:uid="{00000000-0005-0000-0000-0000EE810000}"/>
    <cellStyle name="Normal 4 4 2 2 7 3" xfId="16166" xr:uid="{00000000-0005-0000-0000-0000EF810000}"/>
    <cellStyle name="Normal 4 4 2 2 7 3 2" xfId="35566" xr:uid="{00000000-0005-0000-0000-0000F0810000}"/>
    <cellStyle name="Normal 4 4 2 2 7 4" xfId="25868" xr:uid="{00000000-0005-0000-0000-0000F1810000}"/>
    <cellStyle name="Normal 4 4 2 2 8" xfId="6727" xr:uid="{00000000-0005-0000-0000-0000F2810000}"/>
    <cellStyle name="Normal 4 4 2 2 8 2" xfId="11182" xr:uid="{00000000-0005-0000-0000-0000F3810000}"/>
    <cellStyle name="Normal 4 4 2 2 8 2 2" xfId="21178" xr:uid="{00000000-0005-0000-0000-0000F4810000}"/>
    <cellStyle name="Normal 4 4 2 2 8 2 2 2" xfId="40578" xr:uid="{00000000-0005-0000-0000-0000F5810000}"/>
    <cellStyle name="Normal 4 4 2 2 8 2 3" xfId="30880" xr:uid="{00000000-0005-0000-0000-0000F6810000}"/>
    <cellStyle name="Normal 4 4 2 2 8 3" xfId="16723" xr:uid="{00000000-0005-0000-0000-0000F7810000}"/>
    <cellStyle name="Normal 4 4 2 2 8 3 2" xfId="36123" xr:uid="{00000000-0005-0000-0000-0000F8810000}"/>
    <cellStyle name="Normal 4 4 2 2 8 4" xfId="26425" xr:uid="{00000000-0005-0000-0000-0000F9810000}"/>
    <cellStyle name="Normal 4 4 2 2 9" xfId="7284" xr:uid="{00000000-0005-0000-0000-0000FA810000}"/>
    <cellStyle name="Normal 4 4 2 2 9 2" xfId="17280" xr:uid="{00000000-0005-0000-0000-0000FB810000}"/>
    <cellStyle name="Normal 4 4 2 2 9 2 2" xfId="36680" xr:uid="{00000000-0005-0000-0000-0000FC810000}"/>
    <cellStyle name="Normal 4 4 2 2 9 3" xfId="26982" xr:uid="{00000000-0005-0000-0000-0000FD810000}"/>
    <cellStyle name="Normal 4 4 2 3" xfId="2392" xr:uid="{00000000-0005-0000-0000-0000FE810000}"/>
    <cellStyle name="Normal 4 4 2 3 2" xfId="3338" xr:uid="{00000000-0005-0000-0000-0000FF810000}"/>
    <cellStyle name="Normal 4 4 2 3 2 2" xfId="5607" xr:uid="{00000000-0005-0000-0000-000000820000}"/>
    <cellStyle name="Normal 4 4 2 3 2 2 2" xfId="10071" xr:uid="{00000000-0005-0000-0000-000001820000}"/>
    <cellStyle name="Normal 4 4 2 3 2 2 2 2" xfId="20067" xr:uid="{00000000-0005-0000-0000-000002820000}"/>
    <cellStyle name="Normal 4 4 2 3 2 2 2 2 2" xfId="39467" xr:uid="{00000000-0005-0000-0000-000003820000}"/>
    <cellStyle name="Normal 4 4 2 3 2 2 2 3" xfId="29769" xr:uid="{00000000-0005-0000-0000-000004820000}"/>
    <cellStyle name="Normal 4 4 2 3 2 2 3" xfId="15612" xr:uid="{00000000-0005-0000-0000-000005820000}"/>
    <cellStyle name="Normal 4 4 2 3 2 2 3 2" xfId="35012" xr:uid="{00000000-0005-0000-0000-000006820000}"/>
    <cellStyle name="Normal 4 4 2 3 2 2 4" xfId="25314" xr:uid="{00000000-0005-0000-0000-000007820000}"/>
    <cellStyle name="Normal 4 4 2 3 2 3" xfId="7843" xr:uid="{00000000-0005-0000-0000-000008820000}"/>
    <cellStyle name="Normal 4 4 2 3 2 3 2" xfId="17839" xr:uid="{00000000-0005-0000-0000-000009820000}"/>
    <cellStyle name="Normal 4 4 2 3 2 3 2 2" xfId="37239" xr:uid="{00000000-0005-0000-0000-00000A820000}"/>
    <cellStyle name="Normal 4 4 2 3 2 3 3" xfId="27541" xr:uid="{00000000-0005-0000-0000-00000B820000}"/>
    <cellStyle name="Normal 4 4 2 3 2 4" xfId="13384" xr:uid="{00000000-0005-0000-0000-00000C820000}"/>
    <cellStyle name="Normal 4 4 2 3 2 4 2" xfId="32784" xr:uid="{00000000-0005-0000-0000-00000D820000}"/>
    <cellStyle name="Normal 4 4 2 3 2 5" xfId="23086" xr:uid="{00000000-0005-0000-0000-00000E820000}"/>
    <cellStyle name="Normal 4 4 2 3 3" xfId="3921" xr:uid="{00000000-0005-0000-0000-00000F820000}"/>
    <cellStyle name="Normal 4 4 2 3 3 2" xfId="5051" xr:uid="{00000000-0005-0000-0000-000010820000}"/>
    <cellStyle name="Normal 4 4 2 3 3 2 2" xfId="9515" xr:uid="{00000000-0005-0000-0000-000011820000}"/>
    <cellStyle name="Normal 4 4 2 3 3 2 2 2" xfId="19511" xr:uid="{00000000-0005-0000-0000-000012820000}"/>
    <cellStyle name="Normal 4 4 2 3 3 2 2 2 2" xfId="38911" xr:uid="{00000000-0005-0000-0000-000013820000}"/>
    <cellStyle name="Normal 4 4 2 3 3 2 2 3" xfId="29213" xr:uid="{00000000-0005-0000-0000-000014820000}"/>
    <cellStyle name="Normal 4 4 2 3 3 2 3" xfId="15056" xr:uid="{00000000-0005-0000-0000-000015820000}"/>
    <cellStyle name="Normal 4 4 2 3 3 2 3 2" xfId="34456" xr:uid="{00000000-0005-0000-0000-000016820000}"/>
    <cellStyle name="Normal 4 4 2 3 3 2 4" xfId="24758" xr:uid="{00000000-0005-0000-0000-000017820000}"/>
    <cellStyle name="Normal 4 4 2 3 3 3" xfId="8400" xr:uid="{00000000-0005-0000-0000-000018820000}"/>
    <cellStyle name="Normal 4 4 2 3 3 3 2" xfId="18396" xr:uid="{00000000-0005-0000-0000-000019820000}"/>
    <cellStyle name="Normal 4 4 2 3 3 3 2 2" xfId="37796" xr:uid="{00000000-0005-0000-0000-00001A820000}"/>
    <cellStyle name="Normal 4 4 2 3 3 3 3" xfId="28098" xr:uid="{00000000-0005-0000-0000-00001B820000}"/>
    <cellStyle name="Normal 4 4 2 3 3 4" xfId="13941" xr:uid="{00000000-0005-0000-0000-00001C820000}"/>
    <cellStyle name="Normal 4 4 2 3 3 4 2" xfId="33341" xr:uid="{00000000-0005-0000-0000-00001D820000}"/>
    <cellStyle name="Normal 4 4 2 3 3 5" xfId="23643" xr:uid="{00000000-0005-0000-0000-00001E820000}"/>
    <cellStyle name="Normal 4 4 2 3 4" xfId="4494" xr:uid="{00000000-0005-0000-0000-00001F820000}"/>
    <cellStyle name="Normal 4 4 2 3 4 2" xfId="8958" xr:uid="{00000000-0005-0000-0000-000020820000}"/>
    <cellStyle name="Normal 4 4 2 3 4 2 2" xfId="18954" xr:uid="{00000000-0005-0000-0000-000021820000}"/>
    <cellStyle name="Normal 4 4 2 3 4 2 2 2" xfId="38354" xr:uid="{00000000-0005-0000-0000-000022820000}"/>
    <cellStyle name="Normal 4 4 2 3 4 2 3" xfId="28656" xr:uid="{00000000-0005-0000-0000-000023820000}"/>
    <cellStyle name="Normal 4 4 2 3 4 3" xfId="14499" xr:uid="{00000000-0005-0000-0000-000024820000}"/>
    <cellStyle name="Normal 4 4 2 3 4 3 2" xfId="33899" xr:uid="{00000000-0005-0000-0000-000025820000}"/>
    <cellStyle name="Normal 4 4 2 3 4 4" xfId="24201" xr:uid="{00000000-0005-0000-0000-000026820000}"/>
    <cellStyle name="Normal 4 4 2 3 5" xfId="6164" xr:uid="{00000000-0005-0000-0000-000027820000}"/>
    <cellStyle name="Normal 4 4 2 3 5 2" xfId="10628" xr:uid="{00000000-0005-0000-0000-000028820000}"/>
    <cellStyle name="Normal 4 4 2 3 5 2 2" xfId="20624" xr:uid="{00000000-0005-0000-0000-000029820000}"/>
    <cellStyle name="Normal 4 4 2 3 5 2 2 2" xfId="40024" xr:uid="{00000000-0005-0000-0000-00002A820000}"/>
    <cellStyle name="Normal 4 4 2 3 5 2 3" xfId="30326" xr:uid="{00000000-0005-0000-0000-00002B820000}"/>
    <cellStyle name="Normal 4 4 2 3 5 3" xfId="16169" xr:uid="{00000000-0005-0000-0000-00002C820000}"/>
    <cellStyle name="Normal 4 4 2 3 5 3 2" xfId="35569" xr:uid="{00000000-0005-0000-0000-00002D820000}"/>
    <cellStyle name="Normal 4 4 2 3 5 4" xfId="25871" xr:uid="{00000000-0005-0000-0000-00002E820000}"/>
    <cellStyle name="Normal 4 4 2 3 6" xfId="6730" xr:uid="{00000000-0005-0000-0000-00002F820000}"/>
    <cellStyle name="Normal 4 4 2 3 6 2" xfId="11185" xr:uid="{00000000-0005-0000-0000-000030820000}"/>
    <cellStyle name="Normal 4 4 2 3 6 2 2" xfId="21181" xr:uid="{00000000-0005-0000-0000-000031820000}"/>
    <cellStyle name="Normal 4 4 2 3 6 2 2 2" xfId="40581" xr:uid="{00000000-0005-0000-0000-000032820000}"/>
    <cellStyle name="Normal 4 4 2 3 6 2 3" xfId="30883" xr:uid="{00000000-0005-0000-0000-000033820000}"/>
    <cellStyle name="Normal 4 4 2 3 6 3" xfId="16726" xr:uid="{00000000-0005-0000-0000-000034820000}"/>
    <cellStyle name="Normal 4 4 2 3 6 3 2" xfId="36126" xr:uid="{00000000-0005-0000-0000-000035820000}"/>
    <cellStyle name="Normal 4 4 2 3 6 4" xfId="26428" xr:uid="{00000000-0005-0000-0000-000036820000}"/>
    <cellStyle name="Normal 4 4 2 3 7" xfId="7287" xr:uid="{00000000-0005-0000-0000-000037820000}"/>
    <cellStyle name="Normal 4 4 2 3 7 2" xfId="17283" xr:uid="{00000000-0005-0000-0000-000038820000}"/>
    <cellStyle name="Normal 4 4 2 3 7 2 2" xfId="36683" xr:uid="{00000000-0005-0000-0000-000039820000}"/>
    <cellStyle name="Normal 4 4 2 3 7 3" xfId="26985" xr:uid="{00000000-0005-0000-0000-00003A820000}"/>
    <cellStyle name="Normal 4 4 2 3 8" xfId="12827" xr:uid="{00000000-0005-0000-0000-00003B820000}"/>
    <cellStyle name="Normal 4 4 2 3 8 2" xfId="32228" xr:uid="{00000000-0005-0000-0000-00003C820000}"/>
    <cellStyle name="Normal 4 4 2 3 9" xfId="22530" xr:uid="{00000000-0005-0000-0000-00003D820000}"/>
    <cellStyle name="Normal 4 4 2 4" xfId="2393" xr:uid="{00000000-0005-0000-0000-00003E820000}"/>
    <cellStyle name="Normal 4 4 2 4 2" xfId="3339" xr:uid="{00000000-0005-0000-0000-00003F820000}"/>
    <cellStyle name="Normal 4 4 2 4 2 2" xfId="5608" xr:uid="{00000000-0005-0000-0000-000040820000}"/>
    <cellStyle name="Normal 4 4 2 4 2 2 2" xfId="10072" xr:uid="{00000000-0005-0000-0000-000041820000}"/>
    <cellStyle name="Normal 4 4 2 4 2 2 2 2" xfId="20068" xr:uid="{00000000-0005-0000-0000-000042820000}"/>
    <cellStyle name="Normal 4 4 2 4 2 2 2 2 2" xfId="39468" xr:uid="{00000000-0005-0000-0000-000043820000}"/>
    <cellStyle name="Normal 4 4 2 4 2 2 2 3" xfId="29770" xr:uid="{00000000-0005-0000-0000-000044820000}"/>
    <cellStyle name="Normal 4 4 2 4 2 2 3" xfId="15613" xr:uid="{00000000-0005-0000-0000-000045820000}"/>
    <cellStyle name="Normal 4 4 2 4 2 2 3 2" xfId="35013" xr:uid="{00000000-0005-0000-0000-000046820000}"/>
    <cellStyle name="Normal 4 4 2 4 2 2 4" xfId="25315" xr:uid="{00000000-0005-0000-0000-000047820000}"/>
    <cellStyle name="Normal 4 4 2 4 2 3" xfId="7844" xr:uid="{00000000-0005-0000-0000-000048820000}"/>
    <cellStyle name="Normal 4 4 2 4 2 3 2" xfId="17840" xr:uid="{00000000-0005-0000-0000-000049820000}"/>
    <cellStyle name="Normal 4 4 2 4 2 3 2 2" xfId="37240" xr:uid="{00000000-0005-0000-0000-00004A820000}"/>
    <cellStyle name="Normal 4 4 2 4 2 3 3" xfId="27542" xr:uid="{00000000-0005-0000-0000-00004B820000}"/>
    <cellStyle name="Normal 4 4 2 4 2 4" xfId="13385" xr:uid="{00000000-0005-0000-0000-00004C820000}"/>
    <cellStyle name="Normal 4 4 2 4 2 4 2" xfId="32785" xr:uid="{00000000-0005-0000-0000-00004D820000}"/>
    <cellStyle name="Normal 4 4 2 4 2 5" xfId="23087" xr:uid="{00000000-0005-0000-0000-00004E820000}"/>
    <cellStyle name="Normal 4 4 2 4 3" xfId="3922" xr:uid="{00000000-0005-0000-0000-00004F820000}"/>
    <cellStyle name="Normal 4 4 2 4 3 2" xfId="5052" xr:uid="{00000000-0005-0000-0000-000050820000}"/>
    <cellStyle name="Normal 4 4 2 4 3 2 2" xfId="9516" xr:uid="{00000000-0005-0000-0000-000051820000}"/>
    <cellStyle name="Normal 4 4 2 4 3 2 2 2" xfId="19512" xr:uid="{00000000-0005-0000-0000-000052820000}"/>
    <cellStyle name="Normal 4 4 2 4 3 2 2 2 2" xfId="38912" xr:uid="{00000000-0005-0000-0000-000053820000}"/>
    <cellStyle name="Normal 4 4 2 4 3 2 2 3" xfId="29214" xr:uid="{00000000-0005-0000-0000-000054820000}"/>
    <cellStyle name="Normal 4 4 2 4 3 2 3" xfId="15057" xr:uid="{00000000-0005-0000-0000-000055820000}"/>
    <cellStyle name="Normal 4 4 2 4 3 2 3 2" xfId="34457" xr:uid="{00000000-0005-0000-0000-000056820000}"/>
    <cellStyle name="Normal 4 4 2 4 3 2 4" xfId="24759" xr:uid="{00000000-0005-0000-0000-000057820000}"/>
    <cellStyle name="Normal 4 4 2 4 3 3" xfId="8401" xr:uid="{00000000-0005-0000-0000-000058820000}"/>
    <cellStyle name="Normal 4 4 2 4 3 3 2" xfId="18397" xr:uid="{00000000-0005-0000-0000-000059820000}"/>
    <cellStyle name="Normal 4 4 2 4 3 3 2 2" xfId="37797" xr:uid="{00000000-0005-0000-0000-00005A820000}"/>
    <cellStyle name="Normal 4 4 2 4 3 3 3" xfId="28099" xr:uid="{00000000-0005-0000-0000-00005B820000}"/>
    <cellStyle name="Normal 4 4 2 4 3 4" xfId="13942" xr:uid="{00000000-0005-0000-0000-00005C820000}"/>
    <cellStyle name="Normal 4 4 2 4 3 4 2" xfId="33342" xr:uid="{00000000-0005-0000-0000-00005D820000}"/>
    <cellStyle name="Normal 4 4 2 4 3 5" xfId="23644" xr:uid="{00000000-0005-0000-0000-00005E820000}"/>
    <cellStyle name="Normal 4 4 2 4 4" xfId="4495" xr:uid="{00000000-0005-0000-0000-00005F820000}"/>
    <cellStyle name="Normal 4 4 2 4 4 2" xfId="8959" xr:uid="{00000000-0005-0000-0000-000060820000}"/>
    <cellStyle name="Normal 4 4 2 4 4 2 2" xfId="18955" xr:uid="{00000000-0005-0000-0000-000061820000}"/>
    <cellStyle name="Normal 4 4 2 4 4 2 2 2" xfId="38355" xr:uid="{00000000-0005-0000-0000-000062820000}"/>
    <cellStyle name="Normal 4 4 2 4 4 2 3" xfId="28657" xr:uid="{00000000-0005-0000-0000-000063820000}"/>
    <cellStyle name="Normal 4 4 2 4 4 3" xfId="14500" xr:uid="{00000000-0005-0000-0000-000064820000}"/>
    <cellStyle name="Normal 4 4 2 4 4 3 2" xfId="33900" xr:uid="{00000000-0005-0000-0000-000065820000}"/>
    <cellStyle name="Normal 4 4 2 4 4 4" xfId="24202" xr:uid="{00000000-0005-0000-0000-000066820000}"/>
    <cellStyle name="Normal 4 4 2 4 5" xfId="6165" xr:uid="{00000000-0005-0000-0000-000067820000}"/>
    <cellStyle name="Normal 4 4 2 4 5 2" xfId="10629" xr:uid="{00000000-0005-0000-0000-000068820000}"/>
    <cellStyle name="Normal 4 4 2 4 5 2 2" xfId="20625" xr:uid="{00000000-0005-0000-0000-000069820000}"/>
    <cellStyle name="Normal 4 4 2 4 5 2 2 2" xfId="40025" xr:uid="{00000000-0005-0000-0000-00006A820000}"/>
    <cellStyle name="Normal 4 4 2 4 5 2 3" xfId="30327" xr:uid="{00000000-0005-0000-0000-00006B820000}"/>
    <cellStyle name="Normal 4 4 2 4 5 3" xfId="16170" xr:uid="{00000000-0005-0000-0000-00006C820000}"/>
    <cellStyle name="Normal 4 4 2 4 5 3 2" xfId="35570" xr:uid="{00000000-0005-0000-0000-00006D820000}"/>
    <cellStyle name="Normal 4 4 2 4 5 4" xfId="25872" xr:uid="{00000000-0005-0000-0000-00006E820000}"/>
    <cellStyle name="Normal 4 4 2 4 6" xfId="6731" xr:uid="{00000000-0005-0000-0000-00006F820000}"/>
    <cellStyle name="Normal 4 4 2 4 6 2" xfId="11186" xr:uid="{00000000-0005-0000-0000-000070820000}"/>
    <cellStyle name="Normal 4 4 2 4 6 2 2" xfId="21182" xr:uid="{00000000-0005-0000-0000-000071820000}"/>
    <cellStyle name="Normal 4 4 2 4 6 2 2 2" xfId="40582" xr:uid="{00000000-0005-0000-0000-000072820000}"/>
    <cellStyle name="Normal 4 4 2 4 6 2 3" xfId="30884" xr:uid="{00000000-0005-0000-0000-000073820000}"/>
    <cellStyle name="Normal 4 4 2 4 6 3" xfId="16727" xr:uid="{00000000-0005-0000-0000-000074820000}"/>
    <cellStyle name="Normal 4 4 2 4 6 3 2" xfId="36127" xr:uid="{00000000-0005-0000-0000-000075820000}"/>
    <cellStyle name="Normal 4 4 2 4 6 4" xfId="26429" xr:uid="{00000000-0005-0000-0000-000076820000}"/>
    <cellStyle name="Normal 4 4 2 4 7" xfId="7288" xr:uid="{00000000-0005-0000-0000-000077820000}"/>
    <cellStyle name="Normal 4 4 2 4 7 2" xfId="17284" xr:uid="{00000000-0005-0000-0000-000078820000}"/>
    <cellStyle name="Normal 4 4 2 4 7 2 2" xfId="36684" xr:uid="{00000000-0005-0000-0000-000079820000}"/>
    <cellStyle name="Normal 4 4 2 4 7 3" xfId="26986" xr:uid="{00000000-0005-0000-0000-00007A820000}"/>
    <cellStyle name="Normal 4 4 2 4 8" xfId="12828" xr:uid="{00000000-0005-0000-0000-00007B820000}"/>
    <cellStyle name="Normal 4 4 2 4 8 2" xfId="32229" xr:uid="{00000000-0005-0000-0000-00007C820000}"/>
    <cellStyle name="Normal 4 4 2 4 9" xfId="22531" xr:uid="{00000000-0005-0000-0000-00007D820000}"/>
    <cellStyle name="Normal 4 4 2 5" xfId="3334" xr:uid="{00000000-0005-0000-0000-00007E820000}"/>
    <cellStyle name="Normal 4 4 2 5 2" xfId="5603" xr:uid="{00000000-0005-0000-0000-00007F820000}"/>
    <cellStyle name="Normal 4 4 2 5 2 2" xfId="10067" xr:uid="{00000000-0005-0000-0000-000080820000}"/>
    <cellStyle name="Normal 4 4 2 5 2 2 2" xfId="20063" xr:uid="{00000000-0005-0000-0000-000081820000}"/>
    <cellStyle name="Normal 4 4 2 5 2 2 2 2" xfId="39463" xr:uid="{00000000-0005-0000-0000-000082820000}"/>
    <cellStyle name="Normal 4 4 2 5 2 2 3" xfId="29765" xr:uid="{00000000-0005-0000-0000-000083820000}"/>
    <cellStyle name="Normal 4 4 2 5 2 3" xfId="15608" xr:uid="{00000000-0005-0000-0000-000084820000}"/>
    <cellStyle name="Normal 4 4 2 5 2 3 2" xfId="35008" xr:uid="{00000000-0005-0000-0000-000085820000}"/>
    <cellStyle name="Normal 4 4 2 5 2 4" xfId="25310" xr:uid="{00000000-0005-0000-0000-000086820000}"/>
    <cellStyle name="Normal 4 4 2 5 3" xfId="7839" xr:uid="{00000000-0005-0000-0000-000087820000}"/>
    <cellStyle name="Normal 4 4 2 5 3 2" xfId="17835" xr:uid="{00000000-0005-0000-0000-000088820000}"/>
    <cellStyle name="Normal 4 4 2 5 3 2 2" xfId="37235" xr:uid="{00000000-0005-0000-0000-000089820000}"/>
    <cellStyle name="Normal 4 4 2 5 3 3" xfId="27537" xr:uid="{00000000-0005-0000-0000-00008A820000}"/>
    <cellStyle name="Normal 4 4 2 5 4" xfId="13380" xr:uid="{00000000-0005-0000-0000-00008B820000}"/>
    <cellStyle name="Normal 4 4 2 5 4 2" xfId="32780" xr:uid="{00000000-0005-0000-0000-00008C820000}"/>
    <cellStyle name="Normal 4 4 2 5 5" xfId="23082" xr:uid="{00000000-0005-0000-0000-00008D820000}"/>
    <cellStyle name="Normal 4 4 2 6" xfId="3917" xr:uid="{00000000-0005-0000-0000-00008E820000}"/>
    <cellStyle name="Normal 4 4 2 6 2" xfId="5047" xr:uid="{00000000-0005-0000-0000-00008F820000}"/>
    <cellStyle name="Normal 4 4 2 6 2 2" xfId="9511" xr:uid="{00000000-0005-0000-0000-000090820000}"/>
    <cellStyle name="Normal 4 4 2 6 2 2 2" xfId="19507" xr:uid="{00000000-0005-0000-0000-000091820000}"/>
    <cellStyle name="Normal 4 4 2 6 2 2 2 2" xfId="38907" xr:uid="{00000000-0005-0000-0000-000092820000}"/>
    <cellStyle name="Normal 4 4 2 6 2 2 3" xfId="29209" xr:uid="{00000000-0005-0000-0000-000093820000}"/>
    <cellStyle name="Normal 4 4 2 6 2 3" xfId="15052" xr:uid="{00000000-0005-0000-0000-000094820000}"/>
    <cellStyle name="Normal 4 4 2 6 2 3 2" xfId="34452" xr:uid="{00000000-0005-0000-0000-000095820000}"/>
    <cellStyle name="Normal 4 4 2 6 2 4" xfId="24754" xr:uid="{00000000-0005-0000-0000-000096820000}"/>
    <cellStyle name="Normal 4 4 2 6 3" xfId="8396" xr:uid="{00000000-0005-0000-0000-000097820000}"/>
    <cellStyle name="Normal 4 4 2 6 3 2" xfId="18392" xr:uid="{00000000-0005-0000-0000-000098820000}"/>
    <cellStyle name="Normal 4 4 2 6 3 2 2" xfId="37792" xr:uid="{00000000-0005-0000-0000-000099820000}"/>
    <cellStyle name="Normal 4 4 2 6 3 3" xfId="28094" xr:uid="{00000000-0005-0000-0000-00009A820000}"/>
    <cellStyle name="Normal 4 4 2 6 4" xfId="13937" xr:uid="{00000000-0005-0000-0000-00009B820000}"/>
    <cellStyle name="Normal 4 4 2 6 4 2" xfId="33337" xr:uid="{00000000-0005-0000-0000-00009C820000}"/>
    <cellStyle name="Normal 4 4 2 6 5" xfId="23639" xr:uid="{00000000-0005-0000-0000-00009D820000}"/>
    <cellStyle name="Normal 4 4 2 7" xfId="4490" xr:uid="{00000000-0005-0000-0000-00009E820000}"/>
    <cellStyle name="Normal 4 4 2 7 2" xfId="8954" xr:uid="{00000000-0005-0000-0000-00009F820000}"/>
    <cellStyle name="Normal 4 4 2 7 2 2" xfId="18950" xr:uid="{00000000-0005-0000-0000-0000A0820000}"/>
    <cellStyle name="Normal 4 4 2 7 2 2 2" xfId="38350" xr:uid="{00000000-0005-0000-0000-0000A1820000}"/>
    <cellStyle name="Normal 4 4 2 7 2 3" xfId="28652" xr:uid="{00000000-0005-0000-0000-0000A2820000}"/>
    <cellStyle name="Normal 4 4 2 7 3" xfId="14495" xr:uid="{00000000-0005-0000-0000-0000A3820000}"/>
    <cellStyle name="Normal 4 4 2 7 3 2" xfId="33895" xr:uid="{00000000-0005-0000-0000-0000A4820000}"/>
    <cellStyle name="Normal 4 4 2 7 4" xfId="24197" xr:uid="{00000000-0005-0000-0000-0000A5820000}"/>
    <cellStyle name="Normal 4 4 2 8" xfId="6160" xr:uid="{00000000-0005-0000-0000-0000A6820000}"/>
    <cellStyle name="Normal 4 4 2 8 2" xfId="10624" xr:uid="{00000000-0005-0000-0000-0000A7820000}"/>
    <cellStyle name="Normal 4 4 2 8 2 2" xfId="20620" xr:uid="{00000000-0005-0000-0000-0000A8820000}"/>
    <cellStyle name="Normal 4 4 2 8 2 2 2" xfId="40020" xr:uid="{00000000-0005-0000-0000-0000A9820000}"/>
    <cellStyle name="Normal 4 4 2 8 2 3" xfId="30322" xr:uid="{00000000-0005-0000-0000-0000AA820000}"/>
    <cellStyle name="Normal 4 4 2 8 3" xfId="16165" xr:uid="{00000000-0005-0000-0000-0000AB820000}"/>
    <cellStyle name="Normal 4 4 2 8 3 2" xfId="35565" xr:uid="{00000000-0005-0000-0000-0000AC820000}"/>
    <cellStyle name="Normal 4 4 2 8 4" xfId="25867" xr:uid="{00000000-0005-0000-0000-0000AD820000}"/>
    <cellStyle name="Normal 4 4 2 9" xfId="6726" xr:uid="{00000000-0005-0000-0000-0000AE820000}"/>
    <cellStyle name="Normal 4 4 2 9 2" xfId="11181" xr:uid="{00000000-0005-0000-0000-0000AF820000}"/>
    <cellStyle name="Normal 4 4 2 9 2 2" xfId="21177" xr:uid="{00000000-0005-0000-0000-0000B0820000}"/>
    <cellStyle name="Normal 4 4 2 9 2 2 2" xfId="40577" xr:uid="{00000000-0005-0000-0000-0000B1820000}"/>
    <cellStyle name="Normal 4 4 2 9 2 3" xfId="30879" xr:uid="{00000000-0005-0000-0000-0000B2820000}"/>
    <cellStyle name="Normal 4 4 2 9 3" xfId="16722" xr:uid="{00000000-0005-0000-0000-0000B3820000}"/>
    <cellStyle name="Normal 4 4 2 9 3 2" xfId="36122" xr:uid="{00000000-0005-0000-0000-0000B4820000}"/>
    <cellStyle name="Normal 4 4 2 9 4" xfId="26424" xr:uid="{00000000-0005-0000-0000-0000B5820000}"/>
    <cellStyle name="Normal 4 4 3" xfId="2394" xr:uid="{00000000-0005-0000-0000-0000B6820000}"/>
    <cellStyle name="Normal 4 4 3 10" xfId="12829" xr:uid="{00000000-0005-0000-0000-0000B7820000}"/>
    <cellStyle name="Normal 4 4 3 10 2" xfId="32230" xr:uid="{00000000-0005-0000-0000-0000B8820000}"/>
    <cellStyle name="Normal 4 4 3 11" xfId="22532" xr:uid="{00000000-0005-0000-0000-0000B9820000}"/>
    <cellStyle name="Normal 4 4 3 2" xfId="2395" xr:uid="{00000000-0005-0000-0000-0000BA820000}"/>
    <cellStyle name="Normal 4 4 3 2 2" xfId="3341" xr:uid="{00000000-0005-0000-0000-0000BB820000}"/>
    <cellStyle name="Normal 4 4 3 2 2 2" xfId="5610" xr:uid="{00000000-0005-0000-0000-0000BC820000}"/>
    <cellStyle name="Normal 4 4 3 2 2 2 2" xfId="10074" xr:uid="{00000000-0005-0000-0000-0000BD820000}"/>
    <cellStyle name="Normal 4 4 3 2 2 2 2 2" xfId="20070" xr:uid="{00000000-0005-0000-0000-0000BE820000}"/>
    <cellStyle name="Normal 4 4 3 2 2 2 2 2 2" xfId="39470" xr:uid="{00000000-0005-0000-0000-0000BF820000}"/>
    <cellStyle name="Normal 4 4 3 2 2 2 2 3" xfId="29772" xr:uid="{00000000-0005-0000-0000-0000C0820000}"/>
    <cellStyle name="Normal 4 4 3 2 2 2 3" xfId="15615" xr:uid="{00000000-0005-0000-0000-0000C1820000}"/>
    <cellStyle name="Normal 4 4 3 2 2 2 3 2" xfId="35015" xr:uid="{00000000-0005-0000-0000-0000C2820000}"/>
    <cellStyle name="Normal 4 4 3 2 2 2 4" xfId="25317" xr:uid="{00000000-0005-0000-0000-0000C3820000}"/>
    <cellStyle name="Normal 4 4 3 2 2 3" xfId="7846" xr:uid="{00000000-0005-0000-0000-0000C4820000}"/>
    <cellStyle name="Normal 4 4 3 2 2 3 2" xfId="17842" xr:uid="{00000000-0005-0000-0000-0000C5820000}"/>
    <cellStyle name="Normal 4 4 3 2 2 3 2 2" xfId="37242" xr:uid="{00000000-0005-0000-0000-0000C6820000}"/>
    <cellStyle name="Normal 4 4 3 2 2 3 3" xfId="27544" xr:uid="{00000000-0005-0000-0000-0000C7820000}"/>
    <cellStyle name="Normal 4 4 3 2 2 4" xfId="13387" xr:uid="{00000000-0005-0000-0000-0000C8820000}"/>
    <cellStyle name="Normal 4 4 3 2 2 4 2" xfId="32787" xr:uid="{00000000-0005-0000-0000-0000C9820000}"/>
    <cellStyle name="Normal 4 4 3 2 2 5" xfId="23089" xr:uid="{00000000-0005-0000-0000-0000CA820000}"/>
    <cellStyle name="Normal 4 4 3 2 3" xfId="3924" xr:uid="{00000000-0005-0000-0000-0000CB820000}"/>
    <cellStyle name="Normal 4 4 3 2 3 2" xfId="5054" xr:uid="{00000000-0005-0000-0000-0000CC820000}"/>
    <cellStyle name="Normal 4 4 3 2 3 2 2" xfId="9518" xr:uid="{00000000-0005-0000-0000-0000CD820000}"/>
    <cellStyle name="Normal 4 4 3 2 3 2 2 2" xfId="19514" xr:uid="{00000000-0005-0000-0000-0000CE820000}"/>
    <cellStyle name="Normal 4 4 3 2 3 2 2 2 2" xfId="38914" xr:uid="{00000000-0005-0000-0000-0000CF820000}"/>
    <cellStyle name="Normal 4 4 3 2 3 2 2 3" xfId="29216" xr:uid="{00000000-0005-0000-0000-0000D0820000}"/>
    <cellStyle name="Normal 4 4 3 2 3 2 3" xfId="15059" xr:uid="{00000000-0005-0000-0000-0000D1820000}"/>
    <cellStyle name="Normal 4 4 3 2 3 2 3 2" xfId="34459" xr:uid="{00000000-0005-0000-0000-0000D2820000}"/>
    <cellStyle name="Normal 4 4 3 2 3 2 4" xfId="24761" xr:uid="{00000000-0005-0000-0000-0000D3820000}"/>
    <cellStyle name="Normal 4 4 3 2 3 3" xfId="8403" xr:uid="{00000000-0005-0000-0000-0000D4820000}"/>
    <cellStyle name="Normal 4 4 3 2 3 3 2" xfId="18399" xr:uid="{00000000-0005-0000-0000-0000D5820000}"/>
    <cellStyle name="Normal 4 4 3 2 3 3 2 2" xfId="37799" xr:uid="{00000000-0005-0000-0000-0000D6820000}"/>
    <cellStyle name="Normal 4 4 3 2 3 3 3" xfId="28101" xr:uid="{00000000-0005-0000-0000-0000D7820000}"/>
    <cellStyle name="Normal 4 4 3 2 3 4" xfId="13944" xr:uid="{00000000-0005-0000-0000-0000D8820000}"/>
    <cellStyle name="Normal 4 4 3 2 3 4 2" xfId="33344" xr:uid="{00000000-0005-0000-0000-0000D9820000}"/>
    <cellStyle name="Normal 4 4 3 2 3 5" xfId="23646" xr:uid="{00000000-0005-0000-0000-0000DA820000}"/>
    <cellStyle name="Normal 4 4 3 2 4" xfId="4497" xr:uid="{00000000-0005-0000-0000-0000DB820000}"/>
    <cellStyle name="Normal 4 4 3 2 4 2" xfId="8961" xr:uid="{00000000-0005-0000-0000-0000DC820000}"/>
    <cellStyle name="Normal 4 4 3 2 4 2 2" xfId="18957" xr:uid="{00000000-0005-0000-0000-0000DD820000}"/>
    <cellStyle name="Normal 4 4 3 2 4 2 2 2" xfId="38357" xr:uid="{00000000-0005-0000-0000-0000DE820000}"/>
    <cellStyle name="Normal 4 4 3 2 4 2 3" xfId="28659" xr:uid="{00000000-0005-0000-0000-0000DF820000}"/>
    <cellStyle name="Normal 4 4 3 2 4 3" xfId="14502" xr:uid="{00000000-0005-0000-0000-0000E0820000}"/>
    <cellStyle name="Normal 4 4 3 2 4 3 2" xfId="33902" xr:uid="{00000000-0005-0000-0000-0000E1820000}"/>
    <cellStyle name="Normal 4 4 3 2 4 4" xfId="24204" xr:uid="{00000000-0005-0000-0000-0000E2820000}"/>
    <cellStyle name="Normal 4 4 3 2 5" xfId="6167" xr:uid="{00000000-0005-0000-0000-0000E3820000}"/>
    <cellStyle name="Normal 4 4 3 2 5 2" xfId="10631" xr:uid="{00000000-0005-0000-0000-0000E4820000}"/>
    <cellStyle name="Normal 4 4 3 2 5 2 2" xfId="20627" xr:uid="{00000000-0005-0000-0000-0000E5820000}"/>
    <cellStyle name="Normal 4 4 3 2 5 2 2 2" xfId="40027" xr:uid="{00000000-0005-0000-0000-0000E6820000}"/>
    <cellStyle name="Normal 4 4 3 2 5 2 3" xfId="30329" xr:uid="{00000000-0005-0000-0000-0000E7820000}"/>
    <cellStyle name="Normal 4 4 3 2 5 3" xfId="16172" xr:uid="{00000000-0005-0000-0000-0000E8820000}"/>
    <cellStyle name="Normal 4 4 3 2 5 3 2" xfId="35572" xr:uid="{00000000-0005-0000-0000-0000E9820000}"/>
    <cellStyle name="Normal 4 4 3 2 5 4" xfId="25874" xr:uid="{00000000-0005-0000-0000-0000EA820000}"/>
    <cellStyle name="Normal 4 4 3 2 6" xfId="6733" xr:uid="{00000000-0005-0000-0000-0000EB820000}"/>
    <cellStyle name="Normal 4 4 3 2 6 2" xfId="11188" xr:uid="{00000000-0005-0000-0000-0000EC820000}"/>
    <cellStyle name="Normal 4 4 3 2 6 2 2" xfId="21184" xr:uid="{00000000-0005-0000-0000-0000ED820000}"/>
    <cellStyle name="Normal 4 4 3 2 6 2 2 2" xfId="40584" xr:uid="{00000000-0005-0000-0000-0000EE820000}"/>
    <cellStyle name="Normal 4 4 3 2 6 2 3" xfId="30886" xr:uid="{00000000-0005-0000-0000-0000EF820000}"/>
    <cellStyle name="Normal 4 4 3 2 6 3" xfId="16729" xr:uid="{00000000-0005-0000-0000-0000F0820000}"/>
    <cellStyle name="Normal 4 4 3 2 6 3 2" xfId="36129" xr:uid="{00000000-0005-0000-0000-0000F1820000}"/>
    <cellStyle name="Normal 4 4 3 2 6 4" xfId="26431" xr:uid="{00000000-0005-0000-0000-0000F2820000}"/>
    <cellStyle name="Normal 4 4 3 2 7" xfId="7290" xr:uid="{00000000-0005-0000-0000-0000F3820000}"/>
    <cellStyle name="Normal 4 4 3 2 7 2" xfId="17286" xr:uid="{00000000-0005-0000-0000-0000F4820000}"/>
    <cellStyle name="Normal 4 4 3 2 7 2 2" xfId="36686" xr:uid="{00000000-0005-0000-0000-0000F5820000}"/>
    <cellStyle name="Normal 4 4 3 2 7 3" xfId="26988" xr:uid="{00000000-0005-0000-0000-0000F6820000}"/>
    <cellStyle name="Normal 4 4 3 2 8" xfId="12830" xr:uid="{00000000-0005-0000-0000-0000F7820000}"/>
    <cellStyle name="Normal 4 4 3 2 8 2" xfId="32231" xr:uid="{00000000-0005-0000-0000-0000F8820000}"/>
    <cellStyle name="Normal 4 4 3 2 9" xfId="22533" xr:uid="{00000000-0005-0000-0000-0000F9820000}"/>
    <cellStyle name="Normal 4 4 3 3" xfId="2396" xr:uid="{00000000-0005-0000-0000-0000FA820000}"/>
    <cellStyle name="Normal 4 4 3 3 2" xfId="3342" xr:uid="{00000000-0005-0000-0000-0000FB820000}"/>
    <cellStyle name="Normal 4 4 3 3 2 2" xfId="5611" xr:uid="{00000000-0005-0000-0000-0000FC820000}"/>
    <cellStyle name="Normal 4 4 3 3 2 2 2" xfId="10075" xr:uid="{00000000-0005-0000-0000-0000FD820000}"/>
    <cellStyle name="Normal 4 4 3 3 2 2 2 2" xfId="20071" xr:uid="{00000000-0005-0000-0000-0000FE820000}"/>
    <cellStyle name="Normal 4 4 3 3 2 2 2 2 2" xfId="39471" xr:uid="{00000000-0005-0000-0000-0000FF820000}"/>
    <cellStyle name="Normal 4 4 3 3 2 2 2 3" xfId="29773" xr:uid="{00000000-0005-0000-0000-000000830000}"/>
    <cellStyle name="Normal 4 4 3 3 2 2 3" xfId="15616" xr:uid="{00000000-0005-0000-0000-000001830000}"/>
    <cellStyle name="Normal 4 4 3 3 2 2 3 2" xfId="35016" xr:uid="{00000000-0005-0000-0000-000002830000}"/>
    <cellStyle name="Normal 4 4 3 3 2 2 4" xfId="25318" xr:uid="{00000000-0005-0000-0000-000003830000}"/>
    <cellStyle name="Normal 4 4 3 3 2 3" xfId="7847" xr:uid="{00000000-0005-0000-0000-000004830000}"/>
    <cellStyle name="Normal 4 4 3 3 2 3 2" xfId="17843" xr:uid="{00000000-0005-0000-0000-000005830000}"/>
    <cellStyle name="Normal 4 4 3 3 2 3 2 2" xfId="37243" xr:uid="{00000000-0005-0000-0000-000006830000}"/>
    <cellStyle name="Normal 4 4 3 3 2 3 3" xfId="27545" xr:uid="{00000000-0005-0000-0000-000007830000}"/>
    <cellStyle name="Normal 4 4 3 3 2 4" xfId="13388" xr:uid="{00000000-0005-0000-0000-000008830000}"/>
    <cellStyle name="Normal 4 4 3 3 2 4 2" xfId="32788" xr:uid="{00000000-0005-0000-0000-000009830000}"/>
    <cellStyle name="Normal 4 4 3 3 2 5" xfId="23090" xr:uid="{00000000-0005-0000-0000-00000A830000}"/>
    <cellStyle name="Normal 4 4 3 3 3" xfId="3925" xr:uid="{00000000-0005-0000-0000-00000B830000}"/>
    <cellStyle name="Normal 4 4 3 3 3 2" xfId="5055" xr:uid="{00000000-0005-0000-0000-00000C830000}"/>
    <cellStyle name="Normal 4 4 3 3 3 2 2" xfId="9519" xr:uid="{00000000-0005-0000-0000-00000D830000}"/>
    <cellStyle name="Normal 4 4 3 3 3 2 2 2" xfId="19515" xr:uid="{00000000-0005-0000-0000-00000E830000}"/>
    <cellStyle name="Normal 4 4 3 3 3 2 2 2 2" xfId="38915" xr:uid="{00000000-0005-0000-0000-00000F830000}"/>
    <cellStyle name="Normal 4 4 3 3 3 2 2 3" xfId="29217" xr:uid="{00000000-0005-0000-0000-000010830000}"/>
    <cellStyle name="Normal 4 4 3 3 3 2 3" xfId="15060" xr:uid="{00000000-0005-0000-0000-000011830000}"/>
    <cellStyle name="Normal 4 4 3 3 3 2 3 2" xfId="34460" xr:uid="{00000000-0005-0000-0000-000012830000}"/>
    <cellStyle name="Normal 4 4 3 3 3 2 4" xfId="24762" xr:uid="{00000000-0005-0000-0000-000013830000}"/>
    <cellStyle name="Normal 4 4 3 3 3 3" xfId="8404" xr:uid="{00000000-0005-0000-0000-000014830000}"/>
    <cellStyle name="Normal 4 4 3 3 3 3 2" xfId="18400" xr:uid="{00000000-0005-0000-0000-000015830000}"/>
    <cellStyle name="Normal 4 4 3 3 3 3 2 2" xfId="37800" xr:uid="{00000000-0005-0000-0000-000016830000}"/>
    <cellStyle name="Normal 4 4 3 3 3 3 3" xfId="28102" xr:uid="{00000000-0005-0000-0000-000017830000}"/>
    <cellStyle name="Normal 4 4 3 3 3 4" xfId="13945" xr:uid="{00000000-0005-0000-0000-000018830000}"/>
    <cellStyle name="Normal 4 4 3 3 3 4 2" xfId="33345" xr:uid="{00000000-0005-0000-0000-000019830000}"/>
    <cellStyle name="Normal 4 4 3 3 3 5" xfId="23647" xr:uid="{00000000-0005-0000-0000-00001A830000}"/>
    <cellStyle name="Normal 4 4 3 3 4" xfId="4498" xr:uid="{00000000-0005-0000-0000-00001B830000}"/>
    <cellStyle name="Normal 4 4 3 3 4 2" xfId="8962" xr:uid="{00000000-0005-0000-0000-00001C830000}"/>
    <cellStyle name="Normal 4 4 3 3 4 2 2" xfId="18958" xr:uid="{00000000-0005-0000-0000-00001D830000}"/>
    <cellStyle name="Normal 4 4 3 3 4 2 2 2" xfId="38358" xr:uid="{00000000-0005-0000-0000-00001E830000}"/>
    <cellStyle name="Normal 4 4 3 3 4 2 3" xfId="28660" xr:uid="{00000000-0005-0000-0000-00001F830000}"/>
    <cellStyle name="Normal 4 4 3 3 4 3" xfId="14503" xr:uid="{00000000-0005-0000-0000-000020830000}"/>
    <cellStyle name="Normal 4 4 3 3 4 3 2" xfId="33903" xr:uid="{00000000-0005-0000-0000-000021830000}"/>
    <cellStyle name="Normal 4 4 3 3 4 4" xfId="24205" xr:uid="{00000000-0005-0000-0000-000022830000}"/>
    <cellStyle name="Normal 4 4 3 3 5" xfId="6168" xr:uid="{00000000-0005-0000-0000-000023830000}"/>
    <cellStyle name="Normal 4 4 3 3 5 2" xfId="10632" xr:uid="{00000000-0005-0000-0000-000024830000}"/>
    <cellStyle name="Normal 4 4 3 3 5 2 2" xfId="20628" xr:uid="{00000000-0005-0000-0000-000025830000}"/>
    <cellStyle name="Normal 4 4 3 3 5 2 2 2" xfId="40028" xr:uid="{00000000-0005-0000-0000-000026830000}"/>
    <cellStyle name="Normal 4 4 3 3 5 2 3" xfId="30330" xr:uid="{00000000-0005-0000-0000-000027830000}"/>
    <cellStyle name="Normal 4 4 3 3 5 3" xfId="16173" xr:uid="{00000000-0005-0000-0000-000028830000}"/>
    <cellStyle name="Normal 4 4 3 3 5 3 2" xfId="35573" xr:uid="{00000000-0005-0000-0000-000029830000}"/>
    <cellStyle name="Normal 4 4 3 3 5 4" xfId="25875" xr:uid="{00000000-0005-0000-0000-00002A830000}"/>
    <cellStyle name="Normal 4 4 3 3 6" xfId="6734" xr:uid="{00000000-0005-0000-0000-00002B830000}"/>
    <cellStyle name="Normal 4 4 3 3 6 2" xfId="11189" xr:uid="{00000000-0005-0000-0000-00002C830000}"/>
    <cellStyle name="Normal 4 4 3 3 6 2 2" xfId="21185" xr:uid="{00000000-0005-0000-0000-00002D830000}"/>
    <cellStyle name="Normal 4 4 3 3 6 2 2 2" xfId="40585" xr:uid="{00000000-0005-0000-0000-00002E830000}"/>
    <cellStyle name="Normal 4 4 3 3 6 2 3" xfId="30887" xr:uid="{00000000-0005-0000-0000-00002F830000}"/>
    <cellStyle name="Normal 4 4 3 3 6 3" xfId="16730" xr:uid="{00000000-0005-0000-0000-000030830000}"/>
    <cellStyle name="Normal 4 4 3 3 6 3 2" xfId="36130" xr:uid="{00000000-0005-0000-0000-000031830000}"/>
    <cellStyle name="Normal 4 4 3 3 6 4" xfId="26432" xr:uid="{00000000-0005-0000-0000-000032830000}"/>
    <cellStyle name="Normal 4 4 3 3 7" xfId="7291" xr:uid="{00000000-0005-0000-0000-000033830000}"/>
    <cellStyle name="Normal 4 4 3 3 7 2" xfId="17287" xr:uid="{00000000-0005-0000-0000-000034830000}"/>
    <cellStyle name="Normal 4 4 3 3 7 2 2" xfId="36687" xr:uid="{00000000-0005-0000-0000-000035830000}"/>
    <cellStyle name="Normal 4 4 3 3 7 3" xfId="26989" xr:uid="{00000000-0005-0000-0000-000036830000}"/>
    <cellStyle name="Normal 4 4 3 3 8" xfId="12831" xr:uid="{00000000-0005-0000-0000-000037830000}"/>
    <cellStyle name="Normal 4 4 3 3 8 2" xfId="32232" xr:uid="{00000000-0005-0000-0000-000038830000}"/>
    <cellStyle name="Normal 4 4 3 3 9" xfId="22534" xr:uid="{00000000-0005-0000-0000-000039830000}"/>
    <cellStyle name="Normal 4 4 3 4" xfId="3340" xr:uid="{00000000-0005-0000-0000-00003A830000}"/>
    <cellStyle name="Normal 4 4 3 4 2" xfId="5609" xr:uid="{00000000-0005-0000-0000-00003B830000}"/>
    <cellStyle name="Normal 4 4 3 4 2 2" xfId="10073" xr:uid="{00000000-0005-0000-0000-00003C830000}"/>
    <cellStyle name="Normal 4 4 3 4 2 2 2" xfId="20069" xr:uid="{00000000-0005-0000-0000-00003D830000}"/>
    <cellStyle name="Normal 4 4 3 4 2 2 2 2" xfId="39469" xr:uid="{00000000-0005-0000-0000-00003E830000}"/>
    <cellStyle name="Normal 4 4 3 4 2 2 3" xfId="29771" xr:uid="{00000000-0005-0000-0000-00003F830000}"/>
    <cellStyle name="Normal 4 4 3 4 2 3" xfId="15614" xr:uid="{00000000-0005-0000-0000-000040830000}"/>
    <cellStyle name="Normal 4 4 3 4 2 3 2" xfId="35014" xr:uid="{00000000-0005-0000-0000-000041830000}"/>
    <cellStyle name="Normal 4 4 3 4 2 4" xfId="25316" xr:uid="{00000000-0005-0000-0000-000042830000}"/>
    <cellStyle name="Normal 4 4 3 4 3" xfId="7845" xr:uid="{00000000-0005-0000-0000-000043830000}"/>
    <cellStyle name="Normal 4 4 3 4 3 2" xfId="17841" xr:uid="{00000000-0005-0000-0000-000044830000}"/>
    <cellStyle name="Normal 4 4 3 4 3 2 2" xfId="37241" xr:uid="{00000000-0005-0000-0000-000045830000}"/>
    <cellStyle name="Normal 4 4 3 4 3 3" xfId="27543" xr:uid="{00000000-0005-0000-0000-000046830000}"/>
    <cellStyle name="Normal 4 4 3 4 4" xfId="13386" xr:uid="{00000000-0005-0000-0000-000047830000}"/>
    <cellStyle name="Normal 4 4 3 4 4 2" xfId="32786" xr:uid="{00000000-0005-0000-0000-000048830000}"/>
    <cellStyle name="Normal 4 4 3 4 5" xfId="23088" xr:uid="{00000000-0005-0000-0000-000049830000}"/>
    <cellStyle name="Normal 4 4 3 5" xfId="3923" xr:uid="{00000000-0005-0000-0000-00004A830000}"/>
    <cellStyle name="Normal 4 4 3 5 2" xfId="5053" xr:uid="{00000000-0005-0000-0000-00004B830000}"/>
    <cellStyle name="Normal 4 4 3 5 2 2" xfId="9517" xr:uid="{00000000-0005-0000-0000-00004C830000}"/>
    <cellStyle name="Normal 4 4 3 5 2 2 2" xfId="19513" xr:uid="{00000000-0005-0000-0000-00004D830000}"/>
    <cellStyle name="Normal 4 4 3 5 2 2 2 2" xfId="38913" xr:uid="{00000000-0005-0000-0000-00004E830000}"/>
    <cellStyle name="Normal 4 4 3 5 2 2 3" xfId="29215" xr:uid="{00000000-0005-0000-0000-00004F830000}"/>
    <cellStyle name="Normal 4 4 3 5 2 3" xfId="15058" xr:uid="{00000000-0005-0000-0000-000050830000}"/>
    <cellStyle name="Normal 4 4 3 5 2 3 2" xfId="34458" xr:uid="{00000000-0005-0000-0000-000051830000}"/>
    <cellStyle name="Normal 4 4 3 5 2 4" xfId="24760" xr:uid="{00000000-0005-0000-0000-000052830000}"/>
    <cellStyle name="Normal 4 4 3 5 3" xfId="8402" xr:uid="{00000000-0005-0000-0000-000053830000}"/>
    <cellStyle name="Normal 4 4 3 5 3 2" xfId="18398" xr:uid="{00000000-0005-0000-0000-000054830000}"/>
    <cellStyle name="Normal 4 4 3 5 3 2 2" xfId="37798" xr:uid="{00000000-0005-0000-0000-000055830000}"/>
    <cellStyle name="Normal 4 4 3 5 3 3" xfId="28100" xr:uid="{00000000-0005-0000-0000-000056830000}"/>
    <cellStyle name="Normal 4 4 3 5 4" xfId="13943" xr:uid="{00000000-0005-0000-0000-000057830000}"/>
    <cellStyle name="Normal 4 4 3 5 4 2" xfId="33343" xr:uid="{00000000-0005-0000-0000-000058830000}"/>
    <cellStyle name="Normal 4 4 3 5 5" xfId="23645" xr:uid="{00000000-0005-0000-0000-000059830000}"/>
    <cellStyle name="Normal 4 4 3 6" xfId="4496" xr:uid="{00000000-0005-0000-0000-00005A830000}"/>
    <cellStyle name="Normal 4 4 3 6 2" xfId="8960" xr:uid="{00000000-0005-0000-0000-00005B830000}"/>
    <cellStyle name="Normal 4 4 3 6 2 2" xfId="18956" xr:uid="{00000000-0005-0000-0000-00005C830000}"/>
    <cellStyle name="Normal 4 4 3 6 2 2 2" xfId="38356" xr:uid="{00000000-0005-0000-0000-00005D830000}"/>
    <cellStyle name="Normal 4 4 3 6 2 3" xfId="28658" xr:uid="{00000000-0005-0000-0000-00005E830000}"/>
    <cellStyle name="Normal 4 4 3 6 3" xfId="14501" xr:uid="{00000000-0005-0000-0000-00005F830000}"/>
    <cellStyle name="Normal 4 4 3 6 3 2" xfId="33901" xr:uid="{00000000-0005-0000-0000-000060830000}"/>
    <cellStyle name="Normal 4 4 3 6 4" xfId="24203" xr:uid="{00000000-0005-0000-0000-000061830000}"/>
    <cellStyle name="Normal 4 4 3 7" xfId="6166" xr:uid="{00000000-0005-0000-0000-000062830000}"/>
    <cellStyle name="Normal 4 4 3 7 2" xfId="10630" xr:uid="{00000000-0005-0000-0000-000063830000}"/>
    <cellStyle name="Normal 4 4 3 7 2 2" xfId="20626" xr:uid="{00000000-0005-0000-0000-000064830000}"/>
    <cellStyle name="Normal 4 4 3 7 2 2 2" xfId="40026" xr:uid="{00000000-0005-0000-0000-000065830000}"/>
    <cellStyle name="Normal 4 4 3 7 2 3" xfId="30328" xr:uid="{00000000-0005-0000-0000-000066830000}"/>
    <cellStyle name="Normal 4 4 3 7 3" xfId="16171" xr:uid="{00000000-0005-0000-0000-000067830000}"/>
    <cellStyle name="Normal 4 4 3 7 3 2" xfId="35571" xr:uid="{00000000-0005-0000-0000-000068830000}"/>
    <cellStyle name="Normal 4 4 3 7 4" xfId="25873" xr:uid="{00000000-0005-0000-0000-000069830000}"/>
    <cellStyle name="Normal 4 4 3 8" xfId="6732" xr:uid="{00000000-0005-0000-0000-00006A830000}"/>
    <cellStyle name="Normal 4 4 3 8 2" xfId="11187" xr:uid="{00000000-0005-0000-0000-00006B830000}"/>
    <cellStyle name="Normal 4 4 3 8 2 2" xfId="21183" xr:uid="{00000000-0005-0000-0000-00006C830000}"/>
    <cellStyle name="Normal 4 4 3 8 2 2 2" xfId="40583" xr:uid="{00000000-0005-0000-0000-00006D830000}"/>
    <cellStyle name="Normal 4 4 3 8 2 3" xfId="30885" xr:uid="{00000000-0005-0000-0000-00006E830000}"/>
    <cellStyle name="Normal 4 4 3 8 3" xfId="16728" xr:uid="{00000000-0005-0000-0000-00006F830000}"/>
    <cellStyle name="Normal 4 4 3 8 3 2" xfId="36128" xr:uid="{00000000-0005-0000-0000-000070830000}"/>
    <cellStyle name="Normal 4 4 3 8 4" xfId="26430" xr:uid="{00000000-0005-0000-0000-000071830000}"/>
    <cellStyle name="Normal 4 4 3 9" xfId="7289" xr:uid="{00000000-0005-0000-0000-000072830000}"/>
    <cellStyle name="Normal 4 4 3 9 2" xfId="17285" xr:uid="{00000000-0005-0000-0000-000073830000}"/>
    <cellStyle name="Normal 4 4 3 9 2 2" xfId="36685" xr:uid="{00000000-0005-0000-0000-000074830000}"/>
    <cellStyle name="Normal 4 4 3 9 3" xfId="26987" xr:uid="{00000000-0005-0000-0000-000075830000}"/>
    <cellStyle name="Normal 4 4 4" xfId="2397" xr:uid="{00000000-0005-0000-0000-000076830000}"/>
    <cellStyle name="Normal 4 4 4 2" xfId="3343" xr:uid="{00000000-0005-0000-0000-000077830000}"/>
    <cellStyle name="Normal 4 4 4 2 2" xfId="5612" xr:uid="{00000000-0005-0000-0000-000078830000}"/>
    <cellStyle name="Normal 4 4 4 2 2 2" xfId="10076" xr:uid="{00000000-0005-0000-0000-000079830000}"/>
    <cellStyle name="Normal 4 4 4 2 2 2 2" xfId="20072" xr:uid="{00000000-0005-0000-0000-00007A830000}"/>
    <cellStyle name="Normal 4 4 4 2 2 2 2 2" xfId="39472" xr:uid="{00000000-0005-0000-0000-00007B830000}"/>
    <cellStyle name="Normal 4 4 4 2 2 2 3" xfId="29774" xr:uid="{00000000-0005-0000-0000-00007C830000}"/>
    <cellStyle name="Normal 4 4 4 2 2 3" xfId="15617" xr:uid="{00000000-0005-0000-0000-00007D830000}"/>
    <cellStyle name="Normal 4 4 4 2 2 3 2" xfId="35017" xr:uid="{00000000-0005-0000-0000-00007E830000}"/>
    <cellStyle name="Normal 4 4 4 2 2 4" xfId="25319" xr:uid="{00000000-0005-0000-0000-00007F830000}"/>
    <cellStyle name="Normal 4 4 4 2 3" xfId="7848" xr:uid="{00000000-0005-0000-0000-000080830000}"/>
    <cellStyle name="Normal 4 4 4 2 3 2" xfId="17844" xr:uid="{00000000-0005-0000-0000-000081830000}"/>
    <cellStyle name="Normal 4 4 4 2 3 2 2" xfId="37244" xr:uid="{00000000-0005-0000-0000-000082830000}"/>
    <cellStyle name="Normal 4 4 4 2 3 3" xfId="27546" xr:uid="{00000000-0005-0000-0000-000083830000}"/>
    <cellStyle name="Normal 4 4 4 2 4" xfId="13389" xr:uid="{00000000-0005-0000-0000-000084830000}"/>
    <cellStyle name="Normal 4 4 4 2 4 2" xfId="32789" xr:uid="{00000000-0005-0000-0000-000085830000}"/>
    <cellStyle name="Normal 4 4 4 2 5" xfId="23091" xr:uid="{00000000-0005-0000-0000-000086830000}"/>
    <cellStyle name="Normal 4 4 4 3" xfId="3926" xr:uid="{00000000-0005-0000-0000-000087830000}"/>
    <cellStyle name="Normal 4 4 4 3 2" xfId="5056" xr:uid="{00000000-0005-0000-0000-000088830000}"/>
    <cellStyle name="Normal 4 4 4 3 2 2" xfId="9520" xr:uid="{00000000-0005-0000-0000-000089830000}"/>
    <cellStyle name="Normal 4 4 4 3 2 2 2" xfId="19516" xr:uid="{00000000-0005-0000-0000-00008A830000}"/>
    <cellStyle name="Normal 4 4 4 3 2 2 2 2" xfId="38916" xr:uid="{00000000-0005-0000-0000-00008B830000}"/>
    <cellStyle name="Normal 4 4 4 3 2 2 3" xfId="29218" xr:uid="{00000000-0005-0000-0000-00008C830000}"/>
    <cellStyle name="Normal 4 4 4 3 2 3" xfId="15061" xr:uid="{00000000-0005-0000-0000-00008D830000}"/>
    <cellStyle name="Normal 4 4 4 3 2 3 2" xfId="34461" xr:uid="{00000000-0005-0000-0000-00008E830000}"/>
    <cellStyle name="Normal 4 4 4 3 2 4" xfId="24763" xr:uid="{00000000-0005-0000-0000-00008F830000}"/>
    <cellStyle name="Normal 4 4 4 3 3" xfId="8405" xr:uid="{00000000-0005-0000-0000-000090830000}"/>
    <cellStyle name="Normal 4 4 4 3 3 2" xfId="18401" xr:uid="{00000000-0005-0000-0000-000091830000}"/>
    <cellStyle name="Normal 4 4 4 3 3 2 2" xfId="37801" xr:uid="{00000000-0005-0000-0000-000092830000}"/>
    <cellStyle name="Normal 4 4 4 3 3 3" xfId="28103" xr:uid="{00000000-0005-0000-0000-000093830000}"/>
    <cellStyle name="Normal 4 4 4 3 4" xfId="13946" xr:uid="{00000000-0005-0000-0000-000094830000}"/>
    <cellStyle name="Normal 4 4 4 3 4 2" xfId="33346" xr:uid="{00000000-0005-0000-0000-000095830000}"/>
    <cellStyle name="Normal 4 4 4 3 5" xfId="23648" xr:uid="{00000000-0005-0000-0000-000096830000}"/>
    <cellStyle name="Normal 4 4 4 4" xfId="4499" xr:uid="{00000000-0005-0000-0000-000097830000}"/>
    <cellStyle name="Normal 4 4 4 4 2" xfId="8963" xr:uid="{00000000-0005-0000-0000-000098830000}"/>
    <cellStyle name="Normal 4 4 4 4 2 2" xfId="18959" xr:uid="{00000000-0005-0000-0000-000099830000}"/>
    <cellStyle name="Normal 4 4 4 4 2 2 2" xfId="38359" xr:uid="{00000000-0005-0000-0000-00009A830000}"/>
    <cellStyle name="Normal 4 4 4 4 2 3" xfId="28661" xr:uid="{00000000-0005-0000-0000-00009B830000}"/>
    <cellStyle name="Normal 4 4 4 4 3" xfId="14504" xr:uid="{00000000-0005-0000-0000-00009C830000}"/>
    <cellStyle name="Normal 4 4 4 4 3 2" xfId="33904" xr:uid="{00000000-0005-0000-0000-00009D830000}"/>
    <cellStyle name="Normal 4 4 4 4 4" xfId="24206" xr:uid="{00000000-0005-0000-0000-00009E830000}"/>
    <cellStyle name="Normal 4 4 4 5" xfId="6169" xr:uid="{00000000-0005-0000-0000-00009F830000}"/>
    <cellStyle name="Normal 4 4 4 5 2" xfId="10633" xr:uid="{00000000-0005-0000-0000-0000A0830000}"/>
    <cellStyle name="Normal 4 4 4 5 2 2" xfId="20629" xr:uid="{00000000-0005-0000-0000-0000A1830000}"/>
    <cellStyle name="Normal 4 4 4 5 2 2 2" xfId="40029" xr:uid="{00000000-0005-0000-0000-0000A2830000}"/>
    <cellStyle name="Normal 4 4 4 5 2 3" xfId="30331" xr:uid="{00000000-0005-0000-0000-0000A3830000}"/>
    <cellStyle name="Normal 4 4 4 5 3" xfId="16174" xr:uid="{00000000-0005-0000-0000-0000A4830000}"/>
    <cellStyle name="Normal 4 4 4 5 3 2" xfId="35574" xr:uid="{00000000-0005-0000-0000-0000A5830000}"/>
    <cellStyle name="Normal 4 4 4 5 4" xfId="25876" xr:uid="{00000000-0005-0000-0000-0000A6830000}"/>
    <cellStyle name="Normal 4 4 4 6" xfId="6735" xr:uid="{00000000-0005-0000-0000-0000A7830000}"/>
    <cellStyle name="Normal 4 4 4 6 2" xfId="11190" xr:uid="{00000000-0005-0000-0000-0000A8830000}"/>
    <cellStyle name="Normal 4 4 4 6 2 2" xfId="21186" xr:uid="{00000000-0005-0000-0000-0000A9830000}"/>
    <cellStyle name="Normal 4 4 4 6 2 2 2" xfId="40586" xr:uid="{00000000-0005-0000-0000-0000AA830000}"/>
    <cellStyle name="Normal 4 4 4 6 2 3" xfId="30888" xr:uid="{00000000-0005-0000-0000-0000AB830000}"/>
    <cellStyle name="Normal 4 4 4 6 3" xfId="16731" xr:uid="{00000000-0005-0000-0000-0000AC830000}"/>
    <cellStyle name="Normal 4 4 4 6 3 2" xfId="36131" xr:uid="{00000000-0005-0000-0000-0000AD830000}"/>
    <cellStyle name="Normal 4 4 4 6 4" xfId="26433" xr:uid="{00000000-0005-0000-0000-0000AE830000}"/>
    <cellStyle name="Normal 4 4 4 7" xfId="7292" xr:uid="{00000000-0005-0000-0000-0000AF830000}"/>
    <cellStyle name="Normal 4 4 4 7 2" xfId="17288" xr:uid="{00000000-0005-0000-0000-0000B0830000}"/>
    <cellStyle name="Normal 4 4 4 7 2 2" xfId="36688" xr:uid="{00000000-0005-0000-0000-0000B1830000}"/>
    <cellStyle name="Normal 4 4 4 7 3" xfId="26990" xr:uid="{00000000-0005-0000-0000-0000B2830000}"/>
    <cellStyle name="Normal 4 4 4 8" xfId="12832" xr:uid="{00000000-0005-0000-0000-0000B3830000}"/>
    <cellStyle name="Normal 4 4 4 8 2" xfId="32233" xr:uid="{00000000-0005-0000-0000-0000B4830000}"/>
    <cellStyle name="Normal 4 4 4 9" xfId="22535" xr:uid="{00000000-0005-0000-0000-0000B5830000}"/>
    <cellStyle name="Normal 4 4 5" xfId="2398" xr:uid="{00000000-0005-0000-0000-0000B6830000}"/>
    <cellStyle name="Normal 4 4 5 2" xfId="3344" xr:uid="{00000000-0005-0000-0000-0000B7830000}"/>
    <cellStyle name="Normal 4 4 5 2 2" xfId="5613" xr:uid="{00000000-0005-0000-0000-0000B8830000}"/>
    <cellStyle name="Normal 4 4 5 2 2 2" xfId="10077" xr:uid="{00000000-0005-0000-0000-0000B9830000}"/>
    <cellStyle name="Normal 4 4 5 2 2 2 2" xfId="20073" xr:uid="{00000000-0005-0000-0000-0000BA830000}"/>
    <cellStyle name="Normal 4 4 5 2 2 2 2 2" xfId="39473" xr:uid="{00000000-0005-0000-0000-0000BB830000}"/>
    <cellStyle name="Normal 4 4 5 2 2 2 3" xfId="29775" xr:uid="{00000000-0005-0000-0000-0000BC830000}"/>
    <cellStyle name="Normal 4 4 5 2 2 3" xfId="15618" xr:uid="{00000000-0005-0000-0000-0000BD830000}"/>
    <cellStyle name="Normal 4 4 5 2 2 3 2" xfId="35018" xr:uid="{00000000-0005-0000-0000-0000BE830000}"/>
    <cellStyle name="Normal 4 4 5 2 2 4" xfId="25320" xr:uid="{00000000-0005-0000-0000-0000BF830000}"/>
    <cellStyle name="Normal 4 4 5 2 3" xfId="7849" xr:uid="{00000000-0005-0000-0000-0000C0830000}"/>
    <cellStyle name="Normal 4 4 5 2 3 2" xfId="17845" xr:uid="{00000000-0005-0000-0000-0000C1830000}"/>
    <cellStyle name="Normal 4 4 5 2 3 2 2" xfId="37245" xr:uid="{00000000-0005-0000-0000-0000C2830000}"/>
    <cellStyle name="Normal 4 4 5 2 3 3" xfId="27547" xr:uid="{00000000-0005-0000-0000-0000C3830000}"/>
    <cellStyle name="Normal 4 4 5 2 4" xfId="13390" xr:uid="{00000000-0005-0000-0000-0000C4830000}"/>
    <cellStyle name="Normal 4 4 5 2 4 2" xfId="32790" xr:uid="{00000000-0005-0000-0000-0000C5830000}"/>
    <cellStyle name="Normal 4 4 5 2 5" xfId="23092" xr:uid="{00000000-0005-0000-0000-0000C6830000}"/>
    <cellStyle name="Normal 4 4 5 3" xfId="3927" xr:uid="{00000000-0005-0000-0000-0000C7830000}"/>
    <cellStyle name="Normal 4 4 5 3 2" xfId="5057" xr:uid="{00000000-0005-0000-0000-0000C8830000}"/>
    <cellStyle name="Normal 4 4 5 3 2 2" xfId="9521" xr:uid="{00000000-0005-0000-0000-0000C9830000}"/>
    <cellStyle name="Normal 4 4 5 3 2 2 2" xfId="19517" xr:uid="{00000000-0005-0000-0000-0000CA830000}"/>
    <cellStyle name="Normal 4 4 5 3 2 2 2 2" xfId="38917" xr:uid="{00000000-0005-0000-0000-0000CB830000}"/>
    <cellStyle name="Normal 4 4 5 3 2 2 3" xfId="29219" xr:uid="{00000000-0005-0000-0000-0000CC830000}"/>
    <cellStyle name="Normal 4 4 5 3 2 3" xfId="15062" xr:uid="{00000000-0005-0000-0000-0000CD830000}"/>
    <cellStyle name="Normal 4 4 5 3 2 3 2" xfId="34462" xr:uid="{00000000-0005-0000-0000-0000CE830000}"/>
    <cellStyle name="Normal 4 4 5 3 2 4" xfId="24764" xr:uid="{00000000-0005-0000-0000-0000CF830000}"/>
    <cellStyle name="Normal 4 4 5 3 3" xfId="8406" xr:uid="{00000000-0005-0000-0000-0000D0830000}"/>
    <cellStyle name="Normal 4 4 5 3 3 2" xfId="18402" xr:uid="{00000000-0005-0000-0000-0000D1830000}"/>
    <cellStyle name="Normal 4 4 5 3 3 2 2" xfId="37802" xr:uid="{00000000-0005-0000-0000-0000D2830000}"/>
    <cellStyle name="Normal 4 4 5 3 3 3" xfId="28104" xr:uid="{00000000-0005-0000-0000-0000D3830000}"/>
    <cellStyle name="Normal 4 4 5 3 4" xfId="13947" xr:uid="{00000000-0005-0000-0000-0000D4830000}"/>
    <cellStyle name="Normal 4 4 5 3 4 2" xfId="33347" xr:uid="{00000000-0005-0000-0000-0000D5830000}"/>
    <cellStyle name="Normal 4 4 5 3 5" xfId="23649" xr:uid="{00000000-0005-0000-0000-0000D6830000}"/>
    <cellStyle name="Normal 4 4 5 4" xfId="4500" xr:uid="{00000000-0005-0000-0000-0000D7830000}"/>
    <cellStyle name="Normal 4 4 5 4 2" xfId="8964" xr:uid="{00000000-0005-0000-0000-0000D8830000}"/>
    <cellStyle name="Normal 4 4 5 4 2 2" xfId="18960" xr:uid="{00000000-0005-0000-0000-0000D9830000}"/>
    <cellStyle name="Normal 4 4 5 4 2 2 2" xfId="38360" xr:uid="{00000000-0005-0000-0000-0000DA830000}"/>
    <cellStyle name="Normal 4 4 5 4 2 3" xfId="28662" xr:uid="{00000000-0005-0000-0000-0000DB830000}"/>
    <cellStyle name="Normal 4 4 5 4 3" xfId="14505" xr:uid="{00000000-0005-0000-0000-0000DC830000}"/>
    <cellStyle name="Normal 4 4 5 4 3 2" xfId="33905" xr:uid="{00000000-0005-0000-0000-0000DD830000}"/>
    <cellStyle name="Normal 4 4 5 4 4" xfId="24207" xr:uid="{00000000-0005-0000-0000-0000DE830000}"/>
    <cellStyle name="Normal 4 4 5 5" xfId="6170" xr:uid="{00000000-0005-0000-0000-0000DF830000}"/>
    <cellStyle name="Normal 4 4 5 5 2" xfId="10634" xr:uid="{00000000-0005-0000-0000-0000E0830000}"/>
    <cellStyle name="Normal 4 4 5 5 2 2" xfId="20630" xr:uid="{00000000-0005-0000-0000-0000E1830000}"/>
    <cellStyle name="Normal 4 4 5 5 2 2 2" xfId="40030" xr:uid="{00000000-0005-0000-0000-0000E2830000}"/>
    <cellStyle name="Normal 4 4 5 5 2 3" xfId="30332" xr:uid="{00000000-0005-0000-0000-0000E3830000}"/>
    <cellStyle name="Normal 4 4 5 5 3" xfId="16175" xr:uid="{00000000-0005-0000-0000-0000E4830000}"/>
    <cellStyle name="Normal 4 4 5 5 3 2" xfId="35575" xr:uid="{00000000-0005-0000-0000-0000E5830000}"/>
    <cellStyle name="Normal 4 4 5 5 4" xfId="25877" xr:uid="{00000000-0005-0000-0000-0000E6830000}"/>
    <cellStyle name="Normal 4 4 5 6" xfId="6736" xr:uid="{00000000-0005-0000-0000-0000E7830000}"/>
    <cellStyle name="Normal 4 4 5 6 2" xfId="11191" xr:uid="{00000000-0005-0000-0000-0000E8830000}"/>
    <cellStyle name="Normal 4 4 5 6 2 2" xfId="21187" xr:uid="{00000000-0005-0000-0000-0000E9830000}"/>
    <cellStyle name="Normal 4 4 5 6 2 2 2" xfId="40587" xr:uid="{00000000-0005-0000-0000-0000EA830000}"/>
    <cellStyle name="Normal 4 4 5 6 2 3" xfId="30889" xr:uid="{00000000-0005-0000-0000-0000EB830000}"/>
    <cellStyle name="Normal 4 4 5 6 3" xfId="16732" xr:uid="{00000000-0005-0000-0000-0000EC830000}"/>
    <cellStyle name="Normal 4 4 5 6 3 2" xfId="36132" xr:uid="{00000000-0005-0000-0000-0000ED830000}"/>
    <cellStyle name="Normal 4 4 5 6 4" xfId="26434" xr:uid="{00000000-0005-0000-0000-0000EE830000}"/>
    <cellStyle name="Normal 4 4 5 7" xfId="7293" xr:uid="{00000000-0005-0000-0000-0000EF830000}"/>
    <cellStyle name="Normal 4 4 5 7 2" xfId="17289" xr:uid="{00000000-0005-0000-0000-0000F0830000}"/>
    <cellStyle name="Normal 4 4 5 7 2 2" xfId="36689" xr:uid="{00000000-0005-0000-0000-0000F1830000}"/>
    <cellStyle name="Normal 4 4 5 7 3" xfId="26991" xr:uid="{00000000-0005-0000-0000-0000F2830000}"/>
    <cellStyle name="Normal 4 4 5 8" xfId="12833" xr:uid="{00000000-0005-0000-0000-0000F3830000}"/>
    <cellStyle name="Normal 4 4 5 8 2" xfId="32234" xr:uid="{00000000-0005-0000-0000-0000F4830000}"/>
    <cellStyle name="Normal 4 4 5 9" xfId="22536" xr:uid="{00000000-0005-0000-0000-0000F5830000}"/>
    <cellStyle name="Normal 4 4 6" xfId="11976" xr:uid="{00000000-0005-0000-0000-0000F6830000}"/>
    <cellStyle name="Normal 4 4 6 2" xfId="21680" xr:uid="{00000000-0005-0000-0000-0000F7830000}"/>
    <cellStyle name="Normal 4 4 6 2 2" xfId="41080" xr:uid="{00000000-0005-0000-0000-0000F8830000}"/>
    <cellStyle name="Normal 4 4 6 3" xfId="31382" xr:uid="{00000000-0005-0000-0000-0000F9830000}"/>
    <cellStyle name="Normal 4 4 7" xfId="1545" xr:uid="{00000000-0005-0000-0000-0000FA830000}"/>
    <cellStyle name="Normal 4 4 8" xfId="12332" xr:uid="{00000000-0005-0000-0000-0000FB830000}"/>
    <cellStyle name="Normal 4 4 8 2" xfId="31735" xr:uid="{00000000-0005-0000-0000-0000FC830000}"/>
    <cellStyle name="Normal 4 4 9" xfId="22037" xr:uid="{00000000-0005-0000-0000-0000FD830000}"/>
    <cellStyle name="Normal 4 5" xfId="1546" xr:uid="{00000000-0005-0000-0000-0000FE830000}"/>
    <cellStyle name="Normal 4 5 2" xfId="2399" xr:uid="{00000000-0005-0000-0000-0000FF830000}"/>
    <cellStyle name="Normal 4 5 2 10" xfId="12834" xr:uid="{00000000-0005-0000-0000-000000840000}"/>
    <cellStyle name="Normal 4 5 2 10 2" xfId="32235" xr:uid="{00000000-0005-0000-0000-000001840000}"/>
    <cellStyle name="Normal 4 5 2 11" xfId="22537" xr:uid="{00000000-0005-0000-0000-000002840000}"/>
    <cellStyle name="Normal 4 5 2 2" xfId="2400" xr:uid="{00000000-0005-0000-0000-000003840000}"/>
    <cellStyle name="Normal 4 5 2 2 2" xfId="3346" xr:uid="{00000000-0005-0000-0000-000004840000}"/>
    <cellStyle name="Normal 4 5 2 2 2 2" xfId="5615" xr:uid="{00000000-0005-0000-0000-000005840000}"/>
    <cellStyle name="Normal 4 5 2 2 2 2 2" xfId="10079" xr:uid="{00000000-0005-0000-0000-000006840000}"/>
    <cellStyle name="Normal 4 5 2 2 2 2 2 2" xfId="20075" xr:uid="{00000000-0005-0000-0000-000007840000}"/>
    <cellStyle name="Normal 4 5 2 2 2 2 2 2 2" xfId="39475" xr:uid="{00000000-0005-0000-0000-000008840000}"/>
    <cellStyle name="Normal 4 5 2 2 2 2 2 3" xfId="29777" xr:uid="{00000000-0005-0000-0000-000009840000}"/>
    <cellStyle name="Normal 4 5 2 2 2 2 3" xfId="15620" xr:uid="{00000000-0005-0000-0000-00000A840000}"/>
    <cellStyle name="Normal 4 5 2 2 2 2 3 2" xfId="35020" xr:uid="{00000000-0005-0000-0000-00000B840000}"/>
    <cellStyle name="Normal 4 5 2 2 2 2 4" xfId="25322" xr:uid="{00000000-0005-0000-0000-00000C840000}"/>
    <cellStyle name="Normal 4 5 2 2 2 3" xfId="7851" xr:uid="{00000000-0005-0000-0000-00000D840000}"/>
    <cellStyle name="Normal 4 5 2 2 2 3 2" xfId="17847" xr:uid="{00000000-0005-0000-0000-00000E840000}"/>
    <cellStyle name="Normal 4 5 2 2 2 3 2 2" xfId="37247" xr:uid="{00000000-0005-0000-0000-00000F840000}"/>
    <cellStyle name="Normal 4 5 2 2 2 3 3" xfId="27549" xr:uid="{00000000-0005-0000-0000-000010840000}"/>
    <cellStyle name="Normal 4 5 2 2 2 4" xfId="13392" xr:uid="{00000000-0005-0000-0000-000011840000}"/>
    <cellStyle name="Normal 4 5 2 2 2 4 2" xfId="32792" xr:uid="{00000000-0005-0000-0000-000012840000}"/>
    <cellStyle name="Normal 4 5 2 2 2 5" xfId="23094" xr:uid="{00000000-0005-0000-0000-000013840000}"/>
    <cellStyle name="Normal 4 5 2 2 3" xfId="3929" xr:uid="{00000000-0005-0000-0000-000014840000}"/>
    <cellStyle name="Normal 4 5 2 2 3 2" xfId="5059" xr:uid="{00000000-0005-0000-0000-000015840000}"/>
    <cellStyle name="Normal 4 5 2 2 3 2 2" xfId="9523" xr:uid="{00000000-0005-0000-0000-000016840000}"/>
    <cellStyle name="Normal 4 5 2 2 3 2 2 2" xfId="19519" xr:uid="{00000000-0005-0000-0000-000017840000}"/>
    <cellStyle name="Normal 4 5 2 2 3 2 2 2 2" xfId="38919" xr:uid="{00000000-0005-0000-0000-000018840000}"/>
    <cellStyle name="Normal 4 5 2 2 3 2 2 3" xfId="29221" xr:uid="{00000000-0005-0000-0000-000019840000}"/>
    <cellStyle name="Normal 4 5 2 2 3 2 3" xfId="15064" xr:uid="{00000000-0005-0000-0000-00001A840000}"/>
    <cellStyle name="Normal 4 5 2 2 3 2 3 2" xfId="34464" xr:uid="{00000000-0005-0000-0000-00001B840000}"/>
    <cellStyle name="Normal 4 5 2 2 3 2 4" xfId="24766" xr:uid="{00000000-0005-0000-0000-00001C840000}"/>
    <cellStyle name="Normal 4 5 2 2 3 3" xfId="8408" xr:uid="{00000000-0005-0000-0000-00001D840000}"/>
    <cellStyle name="Normal 4 5 2 2 3 3 2" xfId="18404" xr:uid="{00000000-0005-0000-0000-00001E840000}"/>
    <cellStyle name="Normal 4 5 2 2 3 3 2 2" xfId="37804" xr:uid="{00000000-0005-0000-0000-00001F840000}"/>
    <cellStyle name="Normal 4 5 2 2 3 3 3" xfId="28106" xr:uid="{00000000-0005-0000-0000-000020840000}"/>
    <cellStyle name="Normal 4 5 2 2 3 4" xfId="13949" xr:uid="{00000000-0005-0000-0000-000021840000}"/>
    <cellStyle name="Normal 4 5 2 2 3 4 2" xfId="33349" xr:uid="{00000000-0005-0000-0000-000022840000}"/>
    <cellStyle name="Normal 4 5 2 2 3 5" xfId="23651" xr:uid="{00000000-0005-0000-0000-000023840000}"/>
    <cellStyle name="Normal 4 5 2 2 4" xfId="4502" xr:uid="{00000000-0005-0000-0000-000024840000}"/>
    <cellStyle name="Normal 4 5 2 2 4 2" xfId="8966" xr:uid="{00000000-0005-0000-0000-000025840000}"/>
    <cellStyle name="Normal 4 5 2 2 4 2 2" xfId="18962" xr:uid="{00000000-0005-0000-0000-000026840000}"/>
    <cellStyle name="Normal 4 5 2 2 4 2 2 2" xfId="38362" xr:uid="{00000000-0005-0000-0000-000027840000}"/>
    <cellStyle name="Normal 4 5 2 2 4 2 3" xfId="28664" xr:uid="{00000000-0005-0000-0000-000028840000}"/>
    <cellStyle name="Normal 4 5 2 2 4 3" xfId="14507" xr:uid="{00000000-0005-0000-0000-000029840000}"/>
    <cellStyle name="Normal 4 5 2 2 4 3 2" xfId="33907" xr:uid="{00000000-0005-0000-0000-00002A840000}"/>
    <cellStyle name="Normal 4 5 2 2 4 4" xfId="24209" xr:uid="{00000000-0005-0000-0000-00002B840000}"/>
    <cellStyle name="Normal 4 5 2 2 5" xfId="6172" xr:uid="{00000000-0005-0000-0000-00002C840000}"/>
    <cellStyle name="Normal 4 5 2 2 5 2" xfId="10636" xr:uid="{00000000-0005-0000-0000-00002D840000}"/>
    <cellStyle name="Normal 4 5 2 2 5 2 2" xfId="20632" xr:uid="{00000000-0005-0000-0000-00002E840000}"/>
    <cellStyle name="Normal 4 5 2 2 5 2 2 2" xfId="40032" xr:uid="{00000000-0005-0000-0000-00002F840000}"/>
    <cellStyle name="Normal 4 5 2 2 5 2 3" xfId="30334" xr:uid="{00000000-0005-0000-0000-000030840000}"/>
    <cellStyle name="Normal 4 5 2 2 5 3" xfId="16177" xr:uid="{00000000-0005-0000-0000-000031840000}"/>
    <cellStyle name="Normal 4 5 2 2 5 3 2" xfId="35577" xr:uid="{00000000-0005-0000-0000-000032840000}"/>
    <cellStyle name="Normal 4 5 2 2 5 4" xfId="25879" xr:uid="{00000000-0005-0000-0000-000033840000}"/>
    <cellStyle name="Normal 4 5 2 2 6" xfId="6738" xr:uid="{00000000-0005-0000-0000-000034840000}"/>
    <cellStyle name="Normal 4 5 2 2 6 2" xfId="11193" xr:uid="{00000000-0005-0000-0000-000035840000}"/>
    <cellStyle name="Normal 4 5 2 2 6 2 2" xfId="21189" xr:uid="{00000000-0005-0000-0000-000036840000}"/>
    <cellStyle name="Normal 4 5 2 2 6 2 2 2" xfId="40589" xr:uid="{00000000-0005-0000-0000-000037840000}"/>
    <cellStyle name="Normal 4 5 2 2 6 2 3" xfId="30891" xr:uid="{00000000-0005-0000-0000-000038840000}"/>
    <cellStyle name="Normal 4 5 2 2 6 3" xfId="16734" xr:uid="{00000000-0005-0000-0000-000039840000}"/>
    <cellStyle name="Normal 4 5 2 2 6 3 2" xfId="36134" xr:uid="{00000000-0005-0000-0000-00003A840000}"/>
    <cellStyle name="Normal 4 5 2 2 6 4" xfId="26436" xr:uid="{00000000-0005-0000-0000-00003B840000}"/>
    <cellStyle name="Normal 4 5 2 2 7" xfId="7295" xr:uid="{00000000-0005-0000-0000-00003C840000}"/>
    <cellStyle name="Normal 4 5 2 2 7 2" xfId="17291" xr:uid="{00000000-0005-0000-0000-00003D840000}"/>
    <cellStyle name="Normal 4 5 2 2 7 2 2" xfId="36691" xr:uid="{00000000-0005-0000-0000-00003E840000}"/>
    <cellStyle name="Normal 4 5 2 2 7 3" xfId="26993" xr:uid="{00000000-0005-0000-0000-00003F840000}"/>
    <cellStyle name="Normal 4 5 2 2 8" xfId="12835" xr:uid="{00000000-0005-0000-0000-000040840000}"/>
    <cellStyle name="Normal 4 5 2 2 8 2" xfId="32236" xr:uid="{00000000-0005-0000-0000-000041840000}"/>
    <cellStyle name="Normal 4 5 2 2 9" xfId="22538" xr:uid="{00000000-0005-0000-0000-000042840000}"/>
    <cellStyle name="Normal 4 5 2 3" xfId="2401" xr:uid="{00000000-0005-0000-0000-000043840000}"/>
    <cellStyle name="Normal 4 5 2 3 2" xfId="3347" xr:uid="{00000000-0005-0000-0000-000044840000}"/>
    <cellStyle name="Normal 4 5 2 3 2 2" xfId="5616" xr:uid="{00000000-0005-0000-0000-000045840000}"/>
    <cellStyle name="Normal 4 5 2 3 2 2 2" xfId="10080" xr:uid="{00000000-0005-0000-0000-000046840000}"/>
    <cellStyle name="Normal 4 5 2 3 2 2 2 2" xfId="20076" xr:uid="{00000000-0005-0000-0000-000047840000}"/>
    <cellStyle name="Normal 4 5 2 3 2 2 2 2 2" xfId="39476" xr:uid="{00000000-0005-0000-0000-000048840000}"/>
    <cellStyle name="Normal 4 5 2 3 2 2 2 3" xfId="29778" xr:uid="{00000000-0005-0000-0000-000049840000}"/>
    <cellStyle name="Normal 4 5 2 3 2 2 3" xfId="15621" xr:uid="{00000000-0005-0000-0000-00004A840000}"/>
    <cellStyle name="Normal 4 5 2 3 2 2 3 2" xfId="35021" xr:uid="{00000000-0005-0000-0000-00004B840000}"/>
    <cellStyle name="Normal 4 5 2 3 2 2 4" xfId="25323" xr:uid="{00000000-0005-0000-0000-00004C840000}"/>
    <cellStyle name="Normal 4 5 2 3 2 3" xfId="7852" xr:uid="{00000000-0005-0000-0000-00004D840000}"/>
    <cellStyle name="Normal 4 5 2 3 2 3 2" xfId="17848" xr:uid="{00000000-0005-0000-0000-00004E840000}"/>
    <cellStyle name="Normal 4 5 2 3 2 3 2 2" xfId="37248" xr:uid="{00000000-0005-0000-0000-00004F840000}"/>
    <cellStyle name="Normal 4 5 2 3 2 3 3" xfId="27550" xr:uid="{00000000-0005-0000-0000-000050840000}"/>
    <cellStyle name="Normal 4 5 2 3 2 4" xfId="13393" xr:uid="{00000000-0005-0000-0000-000051840000}"/>
    <cellStyle name="Normal 4 5 2 3 2 4 2" xfId="32793" xr:uid="{00000000-0005-0000-0000-000052840000}"/>
    <cellStyle name="Normal 4 5 2 3 2 5" xfId="23095" xr:uid="{00000000-0005-0000-0000-000053840000}"/>
    <cellStyle name="Normal 4 5 2 3 3" xfId="3930" xr:uid="{00000000-0005-0000-0000-000054840000}"/>
    <cellStyle name="Normal 4 5 2 3 3 2" xfId="5060" xr:uid="{00000000-0005-0000-0000-000055840000}"/>
    <cellStyle name="Normal 4 5 2 3 3 2 2" xfId="9524" xr:uid="{00000000-0005-0000-0000-000056840000}"/>
    <cellStyle name="Normal 4 5 2 3 3 2 2 2" xfId="19520" xr:uid="{00000000-0005-0000-0000-000057840000}"/>
    <cellStyle name="Normal 4 5 2 3 3 2 2 2 2" xfId="38920" xr:uid="{00000000-0005-0000-0000-000058840000}"/>
    <cellStyle name="Normal 4 5 2 3 3 2 2 3" xfId="29222" xr:uid="{00000000-0005-0000-0000-000059840000}"/>
    <cellStyle name="Normal 4 5 2 3 3 2 3" xfId="15065" xr:uid="{00000000-0005-0000-0000-00005A840000}"/>
    <cellStyle name="Normal 4 5 2 3 3 2 3 2" xfId="34465" xr:uid="{00000000-0005-0000-0000-00005B840000}"/>
    <cellStyle name="Normal 4 5 2 3 3 2 4" xfId="24767" xr:uid="{00000000-0005-0000-0000-00005C840000}"/>
    <cellStyle name="Normal 4 5 2 3 3 3" xfId="8409" xr:uid="{00000000-0005-0000-0000-00005D840000}"/>
    <cellStyle name="Normal 4 5 2 3 3 3 2" xfId="18405" xr:uid="{00000000-0005-0000-0000-00005E840000}"/>
    <cellStyle name="Normal 4 5 2 3 3 3 2 2" xfId="37805" xr:uid="{00000000-0005-0000-0000-00005F840000}"/>
    <cellStyle name="Normal 4 5 2 3 3 3 3" xfId="28107" xr:uid="{00000000-0005-0000-0000-000060840000}"/>
    <cellStyle name="Normal 4 5 2 3 3 4" xfId="13950" xr:uid="{00000000-0005-0000-0000-000061840000}"/>
    <cellStyle name="Normal 4 5 2 3 3 4 2" xfId="33350" xr:uid="{00000000-0005-0000-0000-000062840000}"/>
    <cellStyle name="Normal 4 5 2 3 3 5" xfId="23652" xr:uid="{00000000-0005-0000-0000-000063840000}"/>
    <cellStyle name="Normal 4 5 2 3 4" xfId="4503" xr:uid="{00000000-0005-0000-0000-000064840000}"/>
    <cellStyle name="Normal 4 5 2 3 4 2" xfId="8967" xr:uid="{00000000-0005-0000-0000-000065840000}"/>
    <cellStyle name="Normal 4 5 2 3 4 2 2" xfId="18963" xr:uid="{00000000-0005-0000-0000-000066840000}"/>
    <cellStyle name="Normal 4 5 2 3 4 2 2 2" xfId="38363" xr:uid="{00000000-0005-0000-0000-000067840000}"/>
    <cellStyle name="Normal 4 5 2 3 4 2 3" xfId="28665" xr:uid="{00000000-0005-0000-0000-000068840000}"/>
    <cellStyle name="Normal 4 5 2 3 4 3" xfId="14508" xr:uid="{00000000-0005-0000-0000-000069840000}"/>
    <cellStyle name="Normal 4 5 2 3 4 3 2" xfId="33908" xr:uid="{00000000-0005-0000-0000-00006A840000}"/>
    <cellStyle name="Normal 4 5 2 3 4 4" xfId="24210" xr:uid="{00000000-0005-0000-0000-00006B840000}"/>
    <cellStyle name="Normal 4 5 2 3 5" xfId="6173" xr:uid="{00000000-0005-0000-0000-00006C840000}"/>
    <cellStyle name="Normal 4 5 2 3 5 2" xfId="10637" xr:uid="{00000000-0005-0000-0000-00006D840000}"/>
    <cellStyle name="Normal 4 5 2 3 5 2 2" xfId="20633" xr:uid="{00000000-0005-0000-0000-00006E840000}"/>
    <cellStyle name="Normal 4 5 2 3 5 2 2 2" xfId="40033" xr:uid="{00000000-0005-0000-0000-00006F840000}"/>
    <cellStyle name="Normal 4 5 2 3 5 2 3" xfId="30335" xr:uid="{00000000-0005-0000-0000-000070840000}"/>
    <cellStyle name="Normal 4 5 2 3 5 3" xfId="16178" xr:uid="{00000000-0005-0000-0000-000071840000}"/>
    <cellStyle name="Normal 4 5 2 3 5 3 2" xfId="35578" xr:uid="{00000000-0005-0000-0000-000072840000}"/>
    <cellStyle name="Normal 4 5 2 3 5 4" xfId="25880" xr:uid="{00000000-0005-0000-0000-000073840000}"/>
    <cellStyle name="Normal 4 5 2 3 6" xfId="6739" xr:uid="{00000000-0005-0000-0000-000074840000}"/>
    <cellStyle name="Normal 4 5 2 3 6 2" xfId="11194" xr:uid="{00000000-0005-0000-0000-000075840000}"/>
    <cellStyle name="Normal 4 5 2 3 6 2 2" xfId="21190" xr:uid="{00000000-0005-0000-0000-000076840000}"/>
    <cellStyle name="Normal 4 5 2 3 6 2 2 2" xfId="40590" xr:uid="{00000000-0005-0000-0000-000077840000}"/>
    <cellStyle name="Normal 4 5 2 3 6 2 3" xfId="30892" xr:uid="{00000000-0005-0000-0000-000078840000}"/>
    <cellStyle name="Normal 4 5 2 3 6 3" xfId="16735" xr:uid="{00000000-0005-0000-0000-000079840000}"/>
    <cellStyle name="Normal 4 5 2 3 6 3 2" xfId="36135" xr:uid="{00000000-0005-0000-0000-00007A840000}"/>
    <cellStyle name="Normal 4 5 2 3 6 4" xfId="26437" xr:uid="{00000000-0005-0000-0000-00007B840000}"/>
    <cellStyle name="Normal 4 5 2 3 7" xfId="7296" xr:uid="{00000000-0005-0000-0000-00007C840000}"/>
    <cellStyle name="Normal 4 5 2 3 7 2" xfId="17292" xr:uid="{00000000-0005-0000-0000-00007D840000}"/>
    <cellStyle name="Normal 4 5 2 3 7 2 2" xfId="36692" xr:uid="{00000000-0005-0000-0000-00007E840000}"/>
    <cellStyle name="Normal 4 5 2 3 7 3" xfId="26994" xr:uid="{00000000-0005-0000-0000-00007F840000}"/>
    <cellStyle name="Normal 4 5 2 3 8" xfId="12836" xr:uid="{00000000-0005-0000-0000-000080840000}"/>
    <cellStyle name="Normal 4 5 2 3 8 2" xfId="32237" xr:uid="{00000000-0005-0000-0000-000081840000}"/>
    <cellStyle name="Normal 4 5 2 3 9" xfId="22539" xr:uid="{00000000-0005-0000-0000-000082840000}"/>
    <cellStyle name="Normal 4 5 2 4" xfId="3345" xr:uid="{00000000-0005-0000-0000-000083840000}"/>
    <cellStyle name="Normal 4 5 2 4 2" xfId="5614" xr:uid="{00000000-0005-0000-0000-000084840000}"/>
    <cellStyle name="Normal 4 5 2 4 2 2" xfId="10078" xr:uid="{00000000-0005-0000-0000-000085840000}"/>
    <cellStyle name="Normal 4 5 2 4 2 2 2" xfId="20074" xr:uid="{00000000-0005-0000-0000-000086840000}"/>
    <cellStyle name="Normal 4 5 2 4 2 2 2 2" xfId="39474" xr:uid="{00000000-0005-0000-0000-000087840000}"/>
    <cellStyle name="Normal 4 5 2 4 2 2 3" xfId="29776" xr:uid="{00000000-0005-0000-0000-000088840000}"/>
    <cellStyle name="Normal 4 5 2 4 2 3" xfId="15619" xr:uid="{00000000-0005-0000-0000-000089840000}"/>
    <cellStyle name="Normal 4 5 2 4 2 3 2" xfId="35019" xr:uid="{00000000-0005-0000-0000-00008A840000}"/>
    <cellStyle name="Normal 4 5 2 4 2 4" xfId="25321" xr:uid="{00000000-0005-0000-0000-00008B840000}"/>
    <cellStyle name="Normal 4 5 2 4 3" xfId="7850" xr:uid="{00000000-0005-0000-0000-00008C840000}"/>
    <cellStyle name="Normal 4 5 2 4 3 2" xfId="17846" xr:uid="{00000000-0005-0000-0000-00008D840000}"/>
    <cellStyle name="Normal 4 5 2 4 3 2 2" xfId="37246" xr:uid="{00000000-0005-0000-0000-00008E840000}"/>
    <cellStyle name="Normal 4 5 2 4 3 3" xfId="27548" xr:uid="{00000000-0005-0000-0000-00008F840000}"/>
    <cellStyle name="Normal 4 5 2 4 4" xfId="13391" xr:uid="{00000000-0005-0000-0000-000090840000}"/>
    <cellStyle name="Normal 4 5 2 4 4 2" xfId="32791" xr:uid="{00000000-0005-0000-0000-000091840000}"/>
    <cellStyle name="Normal 4 5 2 4 5" xfId="23093" xr:uid="{00000000-0005-0000-0000-000092840000}"/>
    <cellStyle name="Normal 4 5 2 5" xfId="3928" xr:uid="{00000000-0005-0000-0000-000093840000}"/>
    <cellStyle name="Normal 4 5 2 5 2" xfId="5058" xr:uid="{00000000-0005-0000-0000-000094840000}"/>
    <cellStyle name="Normal 4 5 2 5 2 2" xfId="9522" xr:uid="{00000000-0005-0000-0000-000095840000}"/>
    <cellStyle name="Normal 4 5 2 5 2 2 2" xfId="19518" xr:uid="{00000000-0005-0000-0000-000096840000}"/>
    <cellStyle name="Normal 4 5 2 5 2 2 2 2" xfId="38918" xr:uid="{00000000-0005-0000-0000-000097840000}"/>
    <cellStyle name="Normal 4 5 2 5 2 2 3" xfId="29220" xr:uid="{00000000-0005-0000-0000-000098840000}"/>
    <cellStyle name="Normal 4 5 2 5 2 3" xfId="15063" xr:uid="{00000000-0005-0000-0000-000099840000}"/>
    <cellStyle name="Normal 4 5 2 5 2 3 2" xfId="34463" xr:uid="{00000000-0005-0000-0000-00009A840000}"/>
    <cellStyle name="Normal 4 5 2 5 2 4" xfId="24765" xr:uid="{00000000-0005-0000-0000-00009B840000}"/>
    <cellStyle name="Normal 4 5 2 5 3" xfId="8407" xr:uid="{00000000-0005-0000-0000-00009C840000}"/>
    <cellStyle name="Normal 4 5 2 5 3 2" xfId="18403" xr:uid="{00000000-0005-0000-0000-00009D840000}"/>
    <cellStyle name="Normal 4 5 2 5 3 2 2" xfId="37803" xr:uid="{00000000-0005-0000-0000-00009E840000}"/>
    <cellStyle name="Normal 4 5 2 5 3 3" xfId="28105" xr:uid="{00000000-0005-0000-0000-00009F840000}"/>
    <cellStyle name="Normal 4 5 2 5 4" xfId="13948" xr:uid="{00000000-0005-0000-0000-0000A0840000}"/>
    <cellStyle name="Normal 4 5 2 5 4 2" xfId="33348" xr:uid="{00000000-0005-0000-0000-0000A1840000}"/>
    <cellStyle name="Normal 4 5 2 5 5" xfId="23650" xr:uid="{00000000-0005-0000-0000-0000A2840000}"/>
    <cellStyle name="Normal 4 5 2 6" xfId="4501" xr:uid="{00000000-0005-0000-0000-0000A3840000}"/>
    <cellStyle name="Normal 4 5 2 6 2" xfId="8965" xr:uid="{00000000-0005-0000-0000-0000A4840000}"/>
    <cellStyle name="Normal 4 5 2 6 2 2" xfId="18961" xr:uid="{00000000-0005-0000-0000-0000A5840000}"/>
    <cellStyle name="Normal 4 5 2 6 2 2 2" xfId="38361" xr:uid="{00000000-0005-0000-0000-0000A6840000}"/>
    <cellStyle name="Normal 4 5 2 6 2 3" xfId="28663" xr:uid="{00000000-0005-0000-0000-0000A7840000}"/>
    <cellStyle name="Normal 4 5 2 6 3" xfId="14506" xr:uid="{00000000-0005-0000-0000-0000A8840000}"/>
    <cellStyle name="Normal 4 5 2 6 3 2" xfId="33906" xr:uid="{00000000-0005-0000-0000-0000A9840000}"/>
    <cellStyle name="Normal 4 5 2 6 4" xfId="24208" xr:uid="{00000000-0005-0000-0000-0000AA840000}"/>
    <cellStyle name="Normal 4 5 2 7" xfId="6171" xr:uid="{00000000-0005-0000-0000-0000AB840000}"/>
    <cellStyle name="Normal 4 5 2 7 2" xfId="10635" xr:uid="{00000000-0005-0000-0000-0000AC840000}"/>
    <cellStyle name="Normal 4 5 2 7 2 2" xfId="20631" xr:uid="{00000000-0005-0000-0000-0000AD840000}"/>
    <cellStyle name="Normal 4 5 2 7 2 2 2" xfId="40031" xr:uid="{00000000-0005-0000-0000-0000AE840000}"/>
    <cellStyle name="Normal 4 5 2 7 2 3" xfId="30333" xr:uid="{00000000-0005-0000-0000-0000AF840000}"/>
    <cellStyle name="Normal 4 5 2 7 3" xfId="16176" xr:uid="{00000000-0005-0000-0000-0000B0840000}"/>
    <cellStyle name="Normal 4 5 2 7 3 2" xfId="35576" xr:uid="{00000000-0005-0000-0000-0000B1840000}"/>
    <cellStyle name="Normal 4 5 2 7 4" xfId="25878" xr:uid="{00000000-0005-0000-0000-0000B2840000}"/>
    <cellStyle name="Normal 4 5 2 8" xfId="6737" xr:uid="{00000000-0005-0000-0000-0000B3840000}"/>
    <cellStyle name="Normal 4 5 2 8 2" xfId="11192" xr:uid="{00000000-0005-0000-0000-0000B4840000}"/>
    <cellStyle name="Normal 4 5 2 8 2 2" xfId="21188" xr:uid="{00000000-0005-0000-0000-0000B5840000}"/>
    <cellStyle name="Normal 4 5 2 8 2 2 2" xfId="40588" xr:uid="{00000000-0005-0000-0000-0000B6840000}"/>
    <cellStyle name="Normal 4 5 2 8 2 3" xfId="30890" xr:uid="{00000000-0005-0000-0000-0000B7840000}"/>
    <cellStyle name="Normal 4 5 2 8 3" xfId="16733" xr:uid="{00000000-0005-0000-0000-0000B8840000}"/>
    <cellStyle name="Normal 4 5 2 8 3 2" xfId="36133" xr:uid="{00000000-0005-0000-0000-0000B9840000}"/>
    <cellStyle name="Normal 4 5 2 8 4" xfId="26435" xr:uid="{00000000-0005-0000-0000-0000BA840000}"/>
    <cellStyle name="Normal 4 5 2 9" xfId="7294" xr:uid="{00000000-0005-0000-0000-0000BB840000}"/>
    <cellStyle name="Normal 4 5 2 9 2" xfId="17290" xr:uid="{00000000-0005-0000-0000-0000BC840000}"/>
    <cellStyle name="Normal 4 5 2 9 2 2" xfId="36690" xr:uid="{00000000-0005-0000-0000-0000BD840000}"/>
    <cellStyle name="Normal 4 5 2 9 3" xfId="26992" xr:uid="{00000000-0005-0000-0000-0000BE840000}"/>
    <cellStyle name="Normal 4 5 3" xfId="2402" xr:uid="{00000000-0005-0000-0000-0000BF840000}"/>
    <cellStyle name="Normal 4 5 3 10" xfId="12837" xr:uid="{00000000-0005-0000-0000-0000C0840000}"/>
    <cellStyle name="Normal 4 5 3 10 2" xfId="32238" xr:uid="{00000000-0005-0000-0000-0000C1840000}"/>
    <cellStyle name="Normal 4 5 3 11" xfId="22540" xr:uid="{00000000-0005-0000-0000-0000C2840000}"/>
    <cellStyle name="Normal 4 5 3 2" xfId="2403" xr:uid="{00000000-0005-0000-0000-0000C3840000}"/>
    <cellStyle name="Normal 4 5 3 2 2" xfId="3349" xr:uid="{00000000-0005-0000-0000-0000C4840000}"/>
    <cellStyle name="Normal 4 5 3 2 2 2" xfId="5618" xr:uid="{00000000-0005-0000-0000-0000C5840000}"/>
    <cellStyle name="Normal 4 5 3 2 2 2 2" xfId="10082" xr:uid="{00000000-0005-0000-0000-0000C6840000}"/>
    <cellStyle name="Normal 4 5 3 2 2 2 2 2" xfId="20078" xr:uid="{00000000-0005-0000-0000-0000C7840000}"/>
    <cellStyle name="Normal 4 5 3 2 2 2 2 2 2" xfId="39478" xr:uid="{00000000-0005-0000-0000-0000C8840000}"/>
    <cellStyle name="Normal 4 5 3 2 2 2 2 3" xfId="29780" xr:uid="{00000000-0005-0000-0000-0000C9840000}"/>
    <cellStyle name="Normal 4 5 3 2 2 2 3" xfId="15623" xr:uid="{00000000-0005-0000-0000-0000CA840000}"/>
    <cellStyle name="Normal 4 5 3 2 2 2 3 2" xfId="35023" xr:uid="{00000000-0005-0000-0000-0000CB840000}"/>
    <cellStyle name="Normal 4 5 3 2 2 2 4" xfId="25325" xr:uid="{00000000-0005-0000-0000-0000CC840000}"/>
    <cellStyle name="Normal 4 5 3 2 2 3" xfId="7854" xr:uid="{00000000-0005-0000-0000-0000CD840000}"/>
    <cellStyle name="Normal 4 5 3 2 2 3 2" xfId="17850" xr:uid="{00000000-0005-0000-0000-0000CE840000}"/>
    <cellStyle name="Normal 4 5 3 2 2 3 2 2" xfId="37250" xr:uid="{00000000-0005-0000-0000-0000CF840000}"/>
    <cellStyle name="Normal 4 5 3 2 2 3 3" xfId="27552" xr:uid="{00000000-0005-0000-0000-0000D0840000}"/>
    <cellStyle name="Normal 4 5 3 2 2 4" xfId="13395" xr:uid="{00000000-0005-0000-0000-0000D1840000}"/>
    <cellStyle name="Normal 4 5 3 2 2 4 2" xfId="32795" xr:uid="{00000000-0005-0000-0000-0000D2840000}"/>
    <cellStyle name="Normal 4 5 3 2 2 5" xfId="23097" xr:uid="{00000000-0005-0000-0000-0000D3840000}"/>
    <cellStyle name="Normal 4 5 3 2 3" xfId="3932" xr:uid="{00000000-0005-0000-0000-0000D4840000}"/>
    <cellStyle name="Normal 4 5 3 2 3 2" xfId="5062" xr:uid="{00000000-0005-0000-0000-0000D5840000}"/>
    <cellStyle name="Normal 4 5 3 2 3 2 2" xfId="9526" xr:uid="{00000000-0005-0000-0000-0000D6840000}"/>
    <cellStyle name="Normal 4 5 3 2 3 2 2 2" xfId="19522" xr:uid="{00000000-0005-0000-0000-0000D7840000}"/>
    <cellStyle name="Normal 4 5 3 2 3 2 2 2 2" xfId="38922" xr:uid="{00000000-0005-0000-0000-0000D8840000}"/>
    <cellStyle name="Normal 4 5 3 2 3 2 2 3" xfId="29224" xr:uid="{00000000-0005-0000-0000-0000D9840000}"/>
    <cellStyle name="Normal 4 5 3 2 3 2 3" xfId="15067" xr:uid="{00000000-0005-0000-0000-0000DA840000}"/>
    <cellStyle name="Normal 4 5 3 2 3 2 3 2" xfId="34467" xr:uid="{00000000-0005-0000-0000-0000DB840000}"/>
    <cellStyle name="Normal 4 5 3 2 3 2 4" xfId="24769" xr:uid="{00000000-0005-0000-0000-0000DC840000}"/>
    <cellStyle name="Normal 4 5 3 2 3 3" xfId="8411" xr:uid="{00000000-0005-0000-0000-0000DD840000}"/>
    <cellStyle name="Normal 4 5 3 2 3 3 2" xfId="18407" xr:uid="{00000000-0005-0000-0000-0000DE840000}"/>
    <cellStyle name="Normal 4 5 3 2 3 3 2 2" xfId="37807" xr:uid="{00000000-0005-0000-0000-0000DF840000}"/>
    <cellStyle name="Normal 4 5 3 2 3 3 3" xfId="28109" xr:uid="{00000000-0005-0000-0000-0000E0840000}"/>
    <cellStyle name="Normal 4 5 3 2 3 4" xfId="13952" xr:uid="{00000000-0005-0000-0000-0000E1840000}"/>
    <cellStyle name="Normal 4 5 3 2 3 4 2" xfId="33352" xr:uid="{00000000-0005-0000-0000-0000E2840000}"/>
    <cellStyle name="Normal 4 5 3 2 3 5" xfId="23654" xr:uid="{00000000-0005-0000-0000-0000E3840000}"/>
    <cellStyle name="Normal 4 5 3 2 4" xfId="4505" xr:uid="{00000000-0005-0000-0000-0000E4840000}"/>
    <cellStyle name="Normal 4 5 3 2 4 2" xfId="8969" xr:uid="{00000000-0005-0000-0000-0000E5840000}"/>
    <cellStyle name="Normal 4 5 3 2 4 2 2" xfId="18965" xr:uid="{00000000-0005-0000-0000-0000E6840000}"/>
    <cellStyle name="Normal 4 5 3 2 4 2 2 2" xfId="38365" xr:uid="{00000000-0005-0000-0000-0000E7840000}"/>
    <cellStyle name="Normal 4 5 3 2 4 2 3" xfId="28667" xr:uid="{00000000-0005-0000-0000-0000E8840000}"/>
    <cellStyle name="Normal 4 5 3 2 4 3" xfId="14510" xr:uid="{00000000-0005-0000-0000-0000E9840000}"/>
    <cellStyle name="Normal 4 5 3 2 4 3 2" xfId="33910" xr:uid="{00000000-0005-0000-0000-0000EA840000}"/>
    <cellStyle name="Normal 4 5 3 2 4 4" xfId="24212" xr:uid="{00000000-0005-0000-0000-0000EB840000}"/>
    <cellStyle name="Normal 4 5 3 2 5" xfId="6175" xr:uid="{00000000-0005-0000-0000-0000EC840000}"/>
    <cellStyle name="Normal 4 5 3 2 5 2" xfId="10639" xr:uid="{00000000-0005-0000-0000-0000ED840000}"/>
    <cellStyle name="Normal 4 5 3 2 5 2 2" xfId="20635" xr:uid="{00000000-0005-0000-0000-0000EE840000}"/>
    <cellStyle name="Normal 4 5 3 2 5 2 2 2" xfId="40035" xr:uid="{00000000-0005-0000-0000-0000EF840000}"/>
    <cellStyle name="Normal 4 5 3 2 5 2 3" xfId="30337" xr:uid="{00000000-0005-0000-0000-0000F0840000}"/>
    <cellStyle name="Normal 4 5 3 2 5 3" xfId="16180" xr:uid="{00000000-0005-0000-0000-0000F1840000}"/>
    <cellStyle name="Normal 4 5 3 2 5 3 2" xfId="35580" xr:uid="{00000000-0005-0000-0000-0000F2840000}"/>
    <cellStyle name="Normal 4 5 3 2 5 4" xfId="25882" xr:uid="{00000000-0005-0000-0000-0000F3840000}"/>
    <cellStyle name="Normal 4 5 3 2 6" xfId="6741" xr:uid="{00000000-0005-0000-0000-0000F4840000}"/>
    <cellStyle name="Normal 4 5 3 2 6 2" xfId="11196" xr:uid="{00000000-0005-0000-0000-0000F5840000}"/>
    <cellStyle name="Normal 4 5 3 2 6 2 2" xfId="21192" xr:uid="{00000000-0005-0000-0000-0000F6840000}"/>
    <cellStyle name="Normal 4 5 3 2 6 2 2 2" xfId="40592" xr:uid="{00000000-0005-0000-0000-0000F7840000}"/>
    <cellStyle name="Normal 4 5 3 2 6 2 3" xfId="30894" xr:uid="{00000000-0005-0000-0000-0000F8840000}"/>
    <cellStyle name="Normal 4 5 3 2 6 3" xfId="16737" xr:uid="{00000000-0005-0000-0000-0000F9840000}"/>
    <cellStyle name="Normal 4 5 3 2 6 3 2" xfId="36137" xr:uid="{00000000-0005-0000-0000-0000FA840000}"/>
    <cellStyle name="Normal 4 5 3 2 6 4" xfId="26439" xr:uid="{00000000-0005-0000-0000-0000FB840000}"/>
    <cellStyle name="Normal 4 5 3 2 7" xfId="7298" xr:uid="{00000000-0005-0000-0000-0000FC840000}"/>
    <cellStyle name="Normal 4 5 3 2 7 2" xfId="17294" xr:uid="{00000000-0005-0000-0000-0000FD840000}"/>
    <cellStyle name="Normal 4 5 3 2 7 2 2" xfId="36694" xr:uid="{00000000-0005-0000-0000-0000FE840000}"/>
    <cellStyle name="Normal 4 5 3 2 7 3" xfId="26996" xr:uid="{00000000-0005-0000-0000-0000FF840000}"/>
    <cellStyle name="Normal 4 5 3 2 8" xfId="12838" xr:uid="{00000000-0005-0000-0000-000000850000}"/>
    <cellStyle name="Normal 4 5 3 2 8 2" xfId="32239" xr:uid="{00000000-0005-0000-0000-000001850000}"/>
    <cellStyle name="Normal 4 5 3 2 9" xfId="22541" xr:uid="{00000000-0005-0000-0000-000002850000}"/>
    <cellStyle name="Normal 4 5 3 3" xfId="2404" xr:uid="{00000000-0005-0000-0000-000003850000}"/>
    <cellStyle name="Normal 4 5 3 3 2" xfId="3350" xr:uid="{00000000-0005-0000-0000-000004850000}"/>
    <cellStyle name="Normal 4 5 3 3 2 2" xfId="5619" xr:uid="{00000000-0005-0000-0000-000005850000}"/>
    <cellStyle name="Normal 4 5 3 3 2 2 2" xfId="10083" xr:uid="{00000000-0005-0000-0000-000006850000}"/>
    <cellStyle name="Normal 4 5 3 3 2 2 2 2" xfId="20079" xr:uid="{00000000-0005-0000-0000-000007850000}"/>
    <cellStyle name="Normal 4 5 3 3 2 2 2 2 2" xfId="39479" xr:uid="{00000000-0005-0000-0000-000008850000}"/>
    <cellStyle name="Normal 4 5 3 3 2 2 2 3" xfId="29781" xr:uid="{00000000-0005-0000-0000-000009850000}"/>
    <cellStyle name="Normal 4 5 3 3 2 2 3" xfId="15624" xr:uid="{00000000-0005-0000-0000-00000A850000}"/>
    <cellStyle name="Normal 4 5 3 3 2 2 3 2" xfId="35024" xr:uid="{00000000-0005-0000-0000-00000B850000}"/>
    <cellStyle name="Normal 4 5 3 3 2 2 4" xfId="25326" xr:uid="{00000000-0005-0000-0000-00000C850000}"/>
    <cellStyle name="Normal 4 5 3 3 2 3" xfId="7855" xr:uid="{00000000-0005-0000-0000-00000D850000}"/>
    <cellStyle name="Normal 4 5 3 3 2 3 2" xfId="17851" xr:uid="{00000000-0005-0000-0000-00000E850000}"/>
    <cellStyle name="Normal 4 5 3 3 2 3 2 2" xfId="37251" xr:uid="{00000000-0005-0000-0000-00000F850000}"/>
    <cellStyle name="Normal 4 5 3 3 2 3 3" xfId="27553" xr:uid="{00000000-0005-0000-0000-000010850000}"/>
    <cellStyle name="Normal 4 5 3 3 2 4" xfId="13396" xr:uid="{00000000-0005-0000-0000-000011850000}"/>
    <cellStyle name="Normal 4 5 3 3 2 4 2" xfId="32796" xr:uid="{00000000-0005-0000-0000-000012850000}"/>
    <cellStyle name="Normal 4 5 3 3 2 5" xfId="23098" xr:uid="{00000000-0005-0000-0000-000013850000}"/>
    <cellStyle name="Normal 4 5 3 3 3" xfId="3933" xr:uid="{00000000-0005-0000-0000-000014850000}"/>
    <cellStyle name="Normal 4 5 3 3 3 2" xfId="5063" xr:uid="{00000000-0005-0000-0000-000015850000}"/>
    <cellStyle name="Normal 4 5 3 3 3 2 2" xfId="9527" xr:uid="{00000000-0005-0000-0000-000016850000}"/>
    <cellStyle name="Normal 4 5 3 3 3 2 2 2" xfId="19523" xr:uid="{00000000-0005-0000-0000-000017850000}"/>
    <cellStyle name="Normal 4 5 3 3 3 2 2 2 2" xfId="38923" xr:uid="{00000000-0005-0000-0000-000018850000}"/>
    <cellStyle name="Normal 4 5 3 3 3 2 2 3" xfId="29225" xr:uid="{00000000-0005-0000-0000-000019850000}"/>
    <cellStyle name="Normal 4 5 3 3 3 2 3" xfId="15068" xr:uid="{00000000-0005-0000-0000-00001A850000}"/>
    <cellStyle name="Normal 4 5 3 3 3 2 3 2" xfId="34468" xr:uid="{00000000-0005-0000-0000-00001B850000}"/>
    <cellStyle name="Normal 4 5 3 3 3 2 4" xfId="24770" xr:uid="{00000000-0005-0000-0000-00001C850000}"/>
    <cellStyle name="Normal 4 5 3 3 3 3" xfId="8412" xr:uid="{00000000-0005-0000-0000-00001D850000}"/>
    <cellStyle name="Normal 4 5 3 3 3 3 2" xfId="18408" xr:uid="{00000000-0005-0000-0000-00001E850000}"/>
    <cellStyle name="Normal 4 5 3 3 3 3 2 2" xfId="37808" xr:uid="{00000000-0005-0000-0000-00001F850000}"/>
    <cellStyle name="Normal 4 5 3 3 3 3 3" xfId="28110" xr:uid="{00000000-0005-0000-0000-000020850000}"/>
    <cellStyle name="Normal 4 5 3 3 3 4" xfId="13953" xr:uid="{00000000-0005-0000-0000-000021850000}"/>
    <cellStyle name="Normal 4 5 3 3 3 4 2" xfId="33353" xr:uid="{00000000-0005-0000-0000-000022850000}"/>
    <cellStyle name="Normal 4 5 3 3 3 5" xfId="23655" xr:uid="{00000000-0005-0000-0000-000023850000}"/>
    <cellStyle name="Normal 4 5 3 3 4" xfId="4506" xr:uid="{00000000-0005-0000-0000-000024850000}"/>
    <cellStyle name="Normal 4 5 3 3 4 2" xfId="8970" xr:uid="{00000000-0005-0000-0000-000025850000}"/>
    <cellStyle name="Normal 4 5 3 3 4 2 2" xfId="18966" xr:uid="{00000000-0005-0000-0000-000026850000}"/>
    <cellStyle name="Normal 4 5 3 3 4 2 2 2" xfId="38366" xr:uid="{00000000-0005-0000-0000-000027850000}"/>
    <cellStyle name="Normal 4 5 3 3 4 2 3" xfId="28668" xr:uid="{00000000-0005-0000-0000-000028850000}"/>
    <cellStyle name="Normal 4 5 3 3 4 3" xfId="14511" xr:uid="{00000000-0005-0000-0000-000029850000}"/>
    <cellStyle name="Normal 4 5 3 3 4 3 2" xfId="33911" xr:uid="{00000000-0005-0000-0000-00002A850000}"/>
    <cellStyle name="Normal 4 5 3 3 4 4" xfId="24213" xr:uid="{00000000-0005-0000-0000-00002B850000}"/>
    <cellStyle name="Normal 4 5 3 3 5" xfId="6176" xr:uid="{00000000-0005-0000-0000-00002C850000}"/>
    <cellStyle name="Normal 4 5 3 3 5 2" xfId="10640" xr:uid="{00000000-0005-0000-0000-00002D850000}"/>
    <cellStyle name="Normal 4 5 3 3 5 2 2" xfId="20636" xr:uid="{00000000-0005-0000-0000-00002E850000}"/>
    <cellStyle name="Normal 4 5 3 3 5 2 2 2" xfId="40036" xr:uid="{00000000-0005-0000-0000-00002F850000}"/>
    <cellStyle name="Normal 4 5 3 3 5 2 3" xfId="30338" xr:uid="{00000000-0005-0000-0000-000030850000}"/>
    <cellStyle name="Normal 4 5 3 3 5 3" xfId="16181" xr:uid="{00000000-0005-0000-0000-000031850000}"/>
    <cellStyle name="Normal 4 5 3 3 5 3 2" xfId="35581" xr:uid="{00000000-0005-0000-0000-000032850000}"/>
    <cellStyle name="Normal 4 5 3 3 5 4" xfId="25883" xr:uid="{00000000-0005-0000-0000-000033850000}"/>
    <cellStyle name="Normal 4 5 3 3 6" xfId="6742" xr:uid="{00000000-0005-0000-0000-000034850000}"/>
    <cellStyle name="Normal 4 5 3 3 6 2" xfId="11197" xr:uid="{00000000-0005-0000-0000-000035850000}"/>
    <cellStyle name="Normal 4 5 3 3 6 2 2" xfId="21193" xr:uid="{00000000-0005-0000-0000-000036850000}"/>
    <cellStyle name="Normal 4 5 3 3 6 2 2 2" xfId="40593" xr:uid="{00000000-0005-0000-0000-000037850000}"/>
    <cellStyle name="Normal 4 5 3 3 6 2 3" xfId="30895" xr:uid="{00000000-0005-0000-0000-000038850000}"/>
    <cellStyle name="Normal 4 5 3 3 6 3" xfId="16738" xr:uid="{00000000-0005-0000-0000-000039850000}"/>
    <cellStyle name="Normal 4 5 3 3 6 3 2" xfId="36138" xr:uid="{00000000-0005-0000-0000-00003A850000}"/>
    <cellStyle name="Normal 4 5 3 3 6 4" xfId="26440" xr:uid="{00000000-0005-0000-0000-00003B850000}"/>
    <cellStyle name="Normal 4 5 3 3 7" xfId="7299" xr:uid="{00000000-0005-0000-0000-00003C850000}"/>
    <cellStyle name="Normal 4 5 3 3 7 2" xfId="17295" xr:uid="{00000000-0005-0000-0000-00003D850000}"/>
    <cellStyle name="Normal 4 5 3 3 7 2 2" xfId="36695" xr:uid="{00000000-0005-0000-0000-00003E850000}"/>
    <cellStyle name="Normal 4 5 3 3 7 3" xfId="26997" xr:uid="{00000000-0005-0000-0000-00003F850000}"/>
    <cellStyle name="Normal 4 5 3 3 8" xfId="12839" xr:uid="{00000000-0005-0000-0000-000040850000}"/>
    <cellStyle name="Normal 4 5 3 3 8 2" xfId="32240" xr:uid="{00000000-0005-0000-0000-000041850000}"/>
    <cellStyle name="Normal 4 5 3 3 9" xfId="22542" xr:uid="{00000000-0005-0000-0000-000042850000}"/>
    <cellStyle name="Normal 4 5 3 4" xfId="3348" xr:uid="{00000000-0005-0000-0000-000043850000}"/>
    <cellStyle name="Normal 4 5 3 4 2" xfId="5617" xr:uid="{00000000-0005-0000-0000-000044850000}"/>
    <cellStyle name="Normal 4 5 3 4 2 2" xfId="10081" xr:uid="{00000000-0005-0000-0000-000045850000}"/>
    <cellStyle name="Normal 4 5 3 4 2 2 2" xfId="20077" xr:uid="{00000000-0005-0000-0000-000046850000}"/>
    <cellStyle name="Normal 4 5 3 4 2 2 2 2" xfId="39477" xr:uid="{00000000-0005-0000-0000-000047850000}"/>
    <cellStyle name="Normal 4 5 3 4 2 2 3" xfId="29779" xr:uid="{00000000-0005-0000-0000-000048850000}"/>
    <cellStyle name="Normal 4 5 3 4 2 3" xfId="15622" xr:uid="{00000000-0005-0000-0000-000049850000}"/>
    <cellStyle name="Normal 4 5 3 4 2 3 2" xfId="35022" xr:uid="{00000000-0005-0000-0000-00004A850000}"/>
    <cellStyle name="Normal 4 5 3 4 2 4" xfId="25324" xr:uid="{00000000-0005-0000-0000-00004B850000}"/>
    <cellStyle name="Normal 4 5 3 4 3" xfId="7853" xr:uid="{00000000-0005-0000-0000-00004C850000}"/>
    <cellStyle name="Normal 4 5 3 4 3 2" xfId="17849" xr:uid="{00000000-0005-0000-0000-00004D850000}"/>
    <cellStyle name="Normal 4 5 3 4 3 2 2" xfId="37249" xr:uid="{00000000-0005-0000-0000-00004E850000}"/>
    <cellStyle name="Normal 4 5 3 4 3 3" xfId="27551" xr:uid="{00000000-0005-0000-0000-00004F850000}"/>
    <cellStyle name="Normal 4 5 3 4 4" xfId="13394" xr:uid="{00000000-0005-0000-0000-000050850000}"/>
    <cellStyle name="Normal 4 5 3 4 4 2" xfId="32794" xr:uid="{00000000-0005-0000-0000-000051850000}"/>
    <cellStyle name="Normal 4 5 3 4 5" xfId="23096" xr:uid="{00000000-0005-0000-0000-000052850000}"/>
    <cellStyle name="Normal 4 5 3 5" xfId="3931" xr:uid="{00000000-0005-0000-0000-000053850000}"/>
    <cellStyle name="Normal 4 5 3 5 2" xfId="5061" xr:uid="{00000000-0005-0000-0000-000054850000}"/>
    <cellStyle name="Normal 4 5 3 5 2 2" xfId="9525" xr:uid="{00000000-0005-0000-0000-000055850000}"/>
    <cellStyle name="Normal 4 5 3 5 2 2 2" xfId="19521" xr:uid="{00000000-0005-0000-0000-000056850000}"/>
    <cellStyle name="Normal 4 5 3 5 2 2 2 2" xfId="38921" xr:uid="{00000000-0005-0000-0000-000057850000}"/>
    <cellStyle name="Normal 4 5 3 5 2 2 3" xfId="29223" xr:uid="{00000000-0005-0000-0000-000058850000}"/>
    <cellStyle name="Normal 4 5 3 5 2 3" xfId="15066" xr:uid="{00000000-0005-0000-0000-000059850000}"/>
    <cellStyle name="Normal 4 5 3 5 2 3 2" xfId="34466" xr:uid="{00000000-0005-0000-0000-00005A850000}"/>
    <cellStyle name="Normal 4 5 3 5 2 4" xfId="24768" xr:uid="{00000000-0005-0000-0000-00005B850000}"/>
    <cellStyle name="Normal 4 5 3 5 3" xfId="8410" xr:uid="{00000000-0005-0000-0000-00005C850000}"/>
    <cellStyle name="Normal 4 5 3 5 3 2" xfId="18406" xr:uid="{00000000-0005-0000-0000-00005D850000}"/>
    <cellStyle name="Normal 4 5 3 5 3 2 2" xfId="37806" xr:uid="{00000000-0005-0000-0000-00005E850000}"/>
    <cellStyle name="Normal 4 5 3 5 3 3" xfId="28108" xr:uid="{00000000-0005-0000-0000-00005F850000}"/>
    <cellStyle name="Normal 4 5 3 5 4" xfId="13951" xr:uid="{00000000-0005-0000-0000-000060850000}"/>
    <cellStyle name="Normal 4 5 3 5 4 2" xfId="33351" xr:uid="{00000000-0005-0000-0000-000061850000}"/>
    <cellStyle name="Normal 4 5 3 5 5" xfId="23653" xr:uid="{00000000-0005-0000-0000-000062850000}"/>
    <cellStyle name="Normal 4 5 3 6" xfId="4504" xr:uid="{00000000-0005-0000-0000-000063850000}"/>
    <cellStyle name="Normal 4 5 3 6 2" xfId="8968" xr:uid="{00000000-0005-0000-0000-000064850000}"/>
    <cellStyle name="Normal 4 5 3 6 2 2" xfId="18964" xr:uid="{00000000-0005-0000-0000-000065850000}"/>
    <cellStyle name="Normal 4 5 3 6 2 2 2" xfId="38364" xr:uid="{00000000-0005-0000-0000-000066850000}"/>
    <cellStyle name="Normal 4 5 3 6 2 3" xfId="28666" xr:uid="{00000000-0005-0000-0000-000067850000}"/>
    <cellStyle name="Normal 4 5 3 6 3" xfId="14509" xr:uid="{00000000-0005-0000-0000-000068850000}"/>
    <cellStyle name="Normal 4 5 3 6 3 2" xfId="33909" xr:uid="{00000000-0005-0000-0000-000069850000}"/>
    <cellStyle name="Normal 4 5 3 6 4" xfId="24211" xr:uid="{00000000-0005-0000-0000-00006A850000}"/>
    <cellStyle name="Normal 4 5 3 7" xfId="6174" xr:uid="{00000000-0005-0000-0000-00006B850000}"/>
    <cellStyle name="Normal 4 5 3 7 2" xfId="10638" xr:uid="{00000000-0005-0000-0000-00006C850000}"/>
    <cellStyle name="Normal 4 5 3 7 2 2" xfId="20634" xr:uid="{00000000-0005-0000-0000-00006D850000}"/>
    <cellStyle name="Normal 4 5 3 7 2 2 2" xfId="40034" xr:uid="{00000000-0005-0000-0000-00006E850000}"/>
    <cellStyle name="Normal 4 5 3 7 2 3" xfId="30336" xr:uid="{00000000-0005-0000-0000-00006F850000}"/>
    <cellStyle name="Normal 4 5 3 7 3" xfId="16179" xr:uid="{00000000-0005-0000-0000-000070850000}"/>
    <cellStyle name="Normal 4 5 3 7 3 2" xfId="35579" xr:uid="{00000000-0005-0000-0000-000071850000}"/>
    <cellStyle name="Normal 4 5 3 7 4" xfId="25881" xr:uid="{00000000-0005-0000-0000-000072850000}"/>
    <cellStyle name="Normal 4 5 3 8" xfId="6740" xr:uid="{00000000-0005-0000-0000-000073850000}"/>
    <cellStyle name="Normal 4 5 3 8 2" xfId="11195" xr:uid="{00000000-0005-0000-0000-000074850000}"/>
    <cellStyle name="Normal 4 5 3 8 2 2" xfId="21191" xr:uid="{00000000-0005-0000-0000-000075850000}"/>
    <cellStyle name="Normal 4 5 3 8 2 2 2" xfId="40591" xr:uid="{00000000-0005-0000-0000-000076850000}"/>
    <cellStyle name="Normal 4 5 3 8 2 3" xfId="30893" xr:uid="{00000000-0005-0000-0000-000077850000}"/>
    <cellStyle name="Normal 4 5 3 8 3" xfId="16736" xr:uid="{00000000-0005-0000-0000-000078850000}"/>
    <cellStyle name="Normal 4 5 3 8 3 2" xfId="36136" xr:uid="{00000000-0005-0000-0000-000079850000}"/>
    <cellStyle name="Normal 4 5 3 8 4" xfId="26438" xr:uid="{00000000-0005-0000-0000-00007A850000}"/>
    <cellStyle name="Normal 4 5 3 9" xfId="7297" xr:uid="{00000000-0005-0000-0000-00007B850000}"/>
    <cellStyle name="Normal 4 5 3 9 2" xfId="17293" xr:uid="{00000000-0005-0000-0000-00007C850000}"/>
    <cellStyle name="Normal 4 5 3 9 2 2" xfId="36693" xr:uid="{00000000-0005-0000-0000-00007D850000}"/>
    <cellStyle name="Normal 4 5 3 9 3" xfId="26995" xr:uid="{00000000-0005-0000-0000-00007E850000}"/>
    <cellStyle name="Normal 4 5 4" xfId="2405" xr:uid="{00000000-0005-0000-0000-00007F850000}"/>
    <cellStyle name="Normal 4 5 4 2" xfId="3351" xr:uid="{00000000-0005-0000-0000-000080850000}"/>
    <cellStyle name="Normal 4 5 4 2 2" xfId="5620" xr:uid="{00000000-0005-0000-0000-000081850000}"/>
    <cellStyle name="Normal 4 5 4 2 2 2" xfId="10084" xr:uid="{00000000-0005-0000-0000-000082850000}"/>
    <cellStyle name="Normal 4 5 4 2 2 2 2" xfId="20080" xr:uid="{00000000-0005-0000-0000-000083850000}"/>
    <cellStyle name="Normal 4 5 4 2 2 2 2 2" xfId="39480" xr:uid="{00000000-0005-0000-0000-000084850000}"/>
    <cellStyle name="Normal 4 5 4 2 2 2 3" xfId="29782" xr:uid="{00000000-0005-0000-0000-000085850000}"/>
    <cellStyle name="Normal 4 5 4 2 2 3" xfId="15625" xr:uid="{00000000-0005-0000-0000-000086850000}"/>
    <cellStyle name="Normal 4 5 4 2 2 3 2" xfId="35025" xr:uid="{00000000-0005-0000-0000-000087850000}"/>
    <cellStyle name="Normal 4 5 4 2 2 4" xfId="25327" xr:uid="{00000000-0005-0000-0000-000088850000}"/>
    <cellStyle name="Normal 4 5 4 2 3" xfId="7856" xr:uid="{00000000-0005-0000-0000-000089850000}"/>
    <cellStyle name="Normal 4 5 4 2 3 2" xfId="17852" xr:uid="{00000000-0005-0000-0000-00008A850000}"/>
    <cellStyle name="Normal 4 5 4 2 3 2 2" xfId="37252" xr:uid="{00000000-0005-0000-0000-00008B850000}"/>
    <cellStyle name="Normal 4 5 4 2 3 3" xfId="27554" xr:uid="{00000000-0005-0000-0000-00008C850000}"/>
    <cellStyle name="Normal 4 5 4 2 4" xfId="13397" xr:uid="{00000000-0005-0000-0000-00008D850000}"/>
    <cellStyle name="Normal 4 5 4 2 4 2" xfId="32797" xr:uid="{00000000-0005-0000-0000-00008E850000}"/>
    <cellStyle name="Normal 4 5 4 2 5" xfId="23099" xr:uid="{00000000-0005-0000-0000-00008F850000}"/>
    <cellStyle name="Normal 4 5 4 3" xfId="3934" xr:uid="{00000000-0005-0000-0000-000090850000}"/>
    <cellStyle name="Normal 4 5 4 3 2" xfId="5064" xr:uid="{00000000-0005-0000-0000-000091850000}"/>
    <cellStyle name="Normal 4 5 4 3 2 2" xfId="9528" xr:uid="{00000000-0005-0000-0000-000092850000}"/>
    <cellStyle name="Normal 4 5 4 3 2 2 2" xfId="19524" xr:uid="{00000000-0005-0000-0000-000093850000}"/>
    <cellStyle name="Normal 4 5 4 3 2 2 2 2" xfId="38924" xr:uid="{00000000-0005-0000-0000-000094850000}"/>
    <cellStyle name="Normal 4 5 4 3 2 2 3" xfId="29226" xr:uid="{00000000-0005-0000-0000-000095850000}"/>
    <cellStyle name="Normal 4 5 4 3 2 3" xfId="15069" xr:uid="{00000000-0005-0000-0000-000096850000}"/>
    <cellStyle name="Normal 4 5 4 3 2 3 2" xfId="34469" xr:uid="{00000000-0005-0000-0000-000097850000}"/>
    <cellStyle name="Normal 4 5 4 3 2 4" xfId="24771" xr:uid="{00000000-0005-0000-0000-000098850000}"/>
    <cellStyle name="Normal 4 5 4 3 3" xfId="8413" xr:uid="{00000000-0005-0000-0000-000099850000}"/>
    <cellStyle name="Normal 4 5 4 3 3 2" xfId="18409" xr:uid="{00000000-0005-0000-0000-00009A850000}"/>
    <cellStyle name="Normal 4 5 4 3 3 2 2" xfId="37809" xr:uid="{00000000-0005-0000-0000-00009B850000}"/>
    <cellStyle name="Normal 4 5 4 3 3 3" xfId="28111" xr:uid="{00000000-0005-0000-0000-00009C850000}"/>
    <cellStyle name="Normal 4 5 4 3 4" xfId="13954" xr:uid="{00000000-0005-0000-0000-00009D850000}"/>
    <cellStyle name="Normal 4 5 4 3 4 2" xfId="33354" xr:uid="{00000000-0005-0000-0000-00009E850000}"/>
    <cellStyle name="Normal 4 5 4 3 5" xfId="23656" xr:uid="{00000000-0005-0000-0000-00009F850000}"/>
    <cellStyle name="Normal 4 5 4 4" xfId="4507" xr:uid="{00000000-0005-0000-0000-0000A0850000}"/>
    <cellStyle name="Normal 4 5 4 4 2" xfId="8971" xr:uid="{00000000-0005-0000-0000-0000A1850000}"/>
    <cellStyle name="Normal 4 5 4 4 2 2" xfId="18967" xr:uid="{00000000-0005-0000-0000-0000A2850000}"/>
    <cellStyle name="Normal 4 5 4 4 2 2 2" xfId="38367" xr:uid="{00000000-0005-0000-0000-0000A3850000}"/>
    <cellStyle name="Normal 4 5 4 4 2 3" xfId="28669" xr:uid="{00000000-0005-0000-0000-0000A4850000}"/>
    <cellStyle name="Normal 4 5 4 4 3" xfId="14512" xr:uid="{00000000-0005-0000-0000-0000A5850000}"/>
    <cellStyle name="Normal 4 5 4 4 3 2" xfId="33912" xr:uid="{00000000-0005-0000-0000-0000A6850000}"/>
    <cellStyle name="Normal 4 5 4 4 4" xfId="24214" xr:uid="{00000000-0005-0000-0000-0000A7850000}"/>
    <cellStyle name="Normal 4 5 4 5" xfId="6177" xr:uid="{00000000-0005-0000-0000-0000A8850000}"/>
    <cellStyle name="Normal 4 5 4 5 2" xfId="10641" xr:uid="{00000000-0005-0000-0000-0000A9850000}"/>
    <cellStyle name="Normal 4 5 4 5 2 2" xfId="20637" xr:uid="{00000000-0005-0000-0000-0000AA850000}"/>
    <cellStyle name="Normal 4 5 4 5 2 2 2" xfId="40037" xr:uid="{00000000-0005-0000-0000-0000AB850000}"/>
    <cellStyle name="Normal 4 5 4 5 2 3" xfId="30339" xr:uid="{00000000-0005-0000-0000-0000AC850000}"/>
    <cellStyle name="Normal 4 5 4 5 3" xfId="16182" xr:uid="{00000000-0005-0000-0000-0000AD850000}"/>
    <cellStyle name="Normal 4 5 4 5 3 2" xfId="35582" xr:uid="{00000000-0005-0000-0000-0000AE850000}"/>
    <cellStyle name="Normal 4 5 4 5 4" xfId="25884" xr:uid="{00000000-0005-0000-0000-0000AF850000}"/>
    <cellStyle name="Normal 4 5 4 6" xfId="6743" xr:uid="{00000000-0005-0000-0000-0000B0850000}"/>
    <cellStyle name="Normal 4 5 4 6 2" xfId="11198" xr:uid="{00000000-0005-0000-0000-0000B1850000}"/>
    <cellStyle name="Normal 4 5 4 6 2 2" xfId="21194" xr:uid="{00000000-0005-0000-0000-0000B2850000}"/>
    <cellStyle name="Normal 4 5 4 6 2 2 2" xfId="40594" xr:uid="{00000000-0005-0000-0000-0000B3850000}"/>
    <cellStyle name="Normal 4 5 4 6 2 3" xfId="30896" xr:uid="{00000000-0005-0000-0000-0000B4850000}"/>
    <cellStyle name="Normal 4 5 4 6 3" xfId="16739" xr:uid="{00000000-0005-0000-0000-0000B5850000}"/>
    <cellStyle name="Normal 4 5 4 6 3 2" xfId="36139" xr:uid="{00000000-0005-0000-0000-0000B6850000}"/>
    <cellStyle name="Normal 4 5 4 6 4" xfId="26441" xr:uid="{00000000-0005-0000-0000-0000B7850000}"/>
    <cellStyle name="Normal 4 5 4 7" xfId="7300" xr:uid="{00000000-0005-0000-0000-0000B8850000}"/>
    <cellStyle name="Normal 4 5 4 7 2" xfId="17296" xr:uid="{00000000-0005-0000-0000-0000B9850000}"/>
    <cellStyle name="Normal 4 5 4 7 2 2" xfId="36696" xr:uid="{00000000-0005-0000-0000-0000BA850000}"/>
    <cellStyle name="Normal 4 5 4 7 3" xfId="26998" xr:uid="{00000000-0005-0000-0000-0000BB850000}"/>
    <cellStyle name="Normal 4 5 4 8" xfId="12840" xr:uid="{00000000-0005-0000-0000-0000BC850000}"/>
    <cellStyle name="Normal 4 5 4 8 2" xfId="32241" xr:uid="{00000000-0005-0000-0000-0000BD850000}"/>
    <cellStyle name="Normal 4 5 4 9" xfId="22543" xr:uid="{00000000-0005-0000-0000-0000BE850000}"/>
    <cellStyle name="Normal 4 5 5" xfId="2406" xr:uid="{00000000-0005-0000-0000-0000BF850000}"/>
    <cellStyle name="Normal 4 5 5 2" xfId="3352" xr:uid="{00000000-0005-0000-0000-0000C0850000}"/>
    <cellStyle name="Normal 4 5 5 2 2" xfId="5621" xr:uid="{00000000-0005-0000-0000-0000C1850000}"/>
    <cellStyle name="Normal 4 5 5 2 2 2" xfId="10085" xr:uid="{00000000-0005-0000-0000-0000C2850000}"/>
    <cellStyle name="Normal 4 5 5 2 2 2 2" xfId="20081" xr:uid="{00000000-0005-0000-0000-0000C3850000}"/>
    <cellStyle name="Normal 4 5 5 2 2 2 2 2" xfId="39481" xr:uid="{00000000-0005-0000-0000-0000C4850000}"/>
    <cellStyle name="Normal 4 5 5 2 2 2 3" xfId="29783" xr:uid="{00000000-0005-0000-0000-0000C5850000}"/>
    <cellStyle name="Normal 4 5 5 2 2 3" xfId="15626" xr:uid="{00000000-0005-0000-0000-0000C6850000}"/>
    <cellStyle name="Normal 4 5 5 2 2 3 2" xfId="35026" xr:uid="{00000000-0005-0000-0000-0000C7850000}"/>
    <cellStyle name="Normal 4 5 5 2 2 4" xfId="25328" xr:uid="{00000000-0005-0000-0000-0000C8850000}"/>
    <cellStyle name="Normal 4 5 5 2 3" xfId="7857" xr:uid="{00000000-0005-0000-0000-0000C9850000}"/>
    <cellStyle name="Normal 4 5 5 2 3 2" xfId="17853" xr:uid="{00000000-0005-0000-0000-0000CA850000}"/>
    <cellStyle name="Normal 4 5 5 2 3 2 2" xfId="37253" xr:uid="{00000000-0005-0000-0000-0000CB850000}"/>
    <cellStyle name="Normal 4 5 5 2 3 3" xfId="27555" xr:uid="{00000000-0005-0000-0000-0000CC850000}"/>
    <cellStyle name="Normal 4 5 5 2 4" xfId="13398" xr:uid="{00000000-0005-0000-0000-0000CD850000}"/>
    <cellStyle name="Normal 4 5 5 2 4 2" xfId="32798" xr:uid="{00000000-0005-0000-0000-0000CE850000}"/>
    <cellStyle name="Normal 4 5 5 2 5" xfId="23100" xr:uid="{00000000-0005-0000-0000-0000CF850000}"/>
    <cellStyle name="Normal 4 5 5 3" xfId="3935" xr:uid="{00000000-0005-0000-0000-0000D0850000}"/>
    <cellStyle name="Normal 4 5 5 3 2" xfId="5065" xr:uid="{00000000-0005-0000-0000-0000D1850000}"/>
    <cellStyle name="Normal 4 5 5 3 2 2" xfId="9529" xr:uid="{00000000-0005-0000-0000-0000D2850000}"/>
    <cellStyle name="Normal 4 5 5 3 2 2 2" xfId="19525" xr:uid="{00000000-0005-0000-0000-0000D3850000}"/>
    <cellStyle name="Normal 4 5 5 3 2 2 2 2" xfId="38925" xr:uid="{00000000-0005-0000-0000-0000D4850000}"/>
    <cellStyle name="Normal 4 5 5 3 2 2 3" xfId="29227" xr:uid="{00000000-0005-0000-0000-0000D5850000}"/>
    <cellStyle name="Normal 4 5 5 3 2 3" xfId="15070" xr:uid="{00000000-0005-0000-0000-0000D6850000}"/>
    <cellStyle name="Normal 4 5 5 3 2 3 2" xfId="34470" xr:uid="{00000000-0005-0000-0000-0000D7850000}"/>
    <cellStyle name="Normal 4 5 5 3 2 4" xfId="24772" xr:uid="{00000000-0005-0000-0000-0000D8850000}"/>
    <cellStyle name="Normal 4 5 5 3 3" xfId="8414" xr:uid="{00000000-0005-0000-0000-0000D9850000}"/>
    <cellStyle name="Normal 4 5 5 3 3 2" xfId="18410" xr:uid="{00000000-0005-0000-0000-0000DA850000}"/>
    <cellStyle name="Normal 4 5 5 3 3 2 2" xfId="37810" xr:uid="{00000000-0005-0000-0000-0000DB850000}"/>
    <cellStyle name="Normal 4 5 5 3 3 3" xfId="28112" xr:uid="{00000000-0005-0000-0000-0000DC850000}"/>
    <cellStyle name="Normal 4 5 5 3 4" xfId="13955" xr:uid="{00000000-0005-0000-0000-0000DD850000}"/>
    <cellStyle name="Normal 4 5 5 3 4 2" xfId="33355" xr:uid="{00000000-0005-0000-0000-0000DE850000}"/>
    <cellStyle name="Normal 4 5 5 3 5" xfId="23657" xr:uid="{00000000-0005-0000-0000-0000DF850000}"/>
    <cellStyle name="Normal 4 5 5 4" xfId="4508" xr:uid="{00000000-0005-0000-0000-0000E0850000}"/>
    <cellStyle name="Normal 4 5 5 4 2" xfId="8972" xr:uid="{00000000-0005-0000-0000-0000E1850000}"/>
    <cellStyle name="Normal 4 5 5 4 2 2" xfId="18968" xr:uid="{00000000-0005-0000-0000-0000E2850000}"/>
    <cellStyle name="Normal 4 5 5 4 2 2 2" xfId="38368" xr:uid="{00000000-0005-0000-0000-0000E3850000}"/>
    <cellStyle name="Normal 4 5 5 4 2 3" xfId="28670" xr:uid="{00000000-0005-0000-0000-0000E4850000}"/>
    <cellStyle name="Normal 4 5 5 4 3" xfId="14513" xr:uid="{00000000-0005-0000-0000-0000E5850000}"/>
    <cellStyle name="Normal 4 5 5 4 3 2" xfId="33913" xr:uid="{00000000-0005-0000-0000-0000E6850000}"/>
    <cellStyle name="Normal 4 5 5 4 4" xfId="24215" xr:uid="{00000000-0005-0000-0000-0000E7850000}"/>
    <cellStyle name="Normal 4 5 5 5" xfId="6178" xr:uid="{00000000-0005-0000-0000-0000E8850000}"/>
    <cellStyle name="Normal 4 5 5 5 2" xfId="10642" xr:uid="{00000000-0005-0000-0000-0000E9850000}"/>
    <cellStyle name="Normal 4 5 5 5 2 2" xfId="20638" xr:uid="{00000000-0005-0000-0000-0000EA850000}"/>
    <cellStyle name="Normal 4 5 5 5 2 2 2" xfId="40038" xr:uid="{00000000-0005-0000-0000-0000EB850000}"/>
    <cellStyle name="Normal 4 5 5 5 2 3" xfId="30340" xr:uid="{00000000-0005-0000-0000-0000EC850000}"/>
    <cellStyle name="Normal 4 5 5 5 3" xfId="16183" xr:uid="{00000000-0005-0000-0000-0000ED850000}"/>
    <cellStyle name="Normal 4 5 5 5 3 2" xfId="35583" xr:uid="{00000000-0005-0000-0000-0000EE850000}"/>
    <cellStyle name="Normal 4 5 5 5 4" xfId="25885" xr:uid="{00000000-0005-0000-0000-0000EF850000}"/>
    <cellStyle name="Normal 4 5 5 6" xfId="6744" xr:uid="{00000000-0005-0000-0000-0000F0850000}"/>
    <cellStyle name="Normal 4 5 5 6 2" xfId="11199" xr:uid="{00000000-0005-0000-0000-0000F1850000}"/>
    <cellStyle name="Normal 4 5 5 6 2 2" xfId="21195" xr:uid="{00000000-0005-0000-0000-0000F2850000}"/>
    <cellStyle name="Normal 4 5 5 6 2 2 2" xfId="40595" xr:uid="{00000000-0005-0000-0000-0000F3850000}"/>
    <cellStyle name="Normal 4 5 5 6 2 3" xfId="30897" xr:uid="{00000000-0005-0000-0000-0000F4850000}"/>
    <cellStyle name="Normal 4 5 5 6 3" xfId="16740" xr:uid="{00000000-0005-0000-0000-0000F5850000}"/>
    <cellStyle name="Normal 4 5 5 6 3 2" xfId="36140" xr:uid="{00000000-0005-0000-0000-0000F6850000}"/>
    <cellStyle name="Normal 4 5 5 6 4" xfId="26442" xr:uid="{00000000-0005-0000-0000-0000F7850000}"/>
    <cellStyle name="Normal 4 5 5 7" xfId="7301" xr:uid="{00000000-0005-0000-0000-0000F8850000}"/>
    <cellStyle name="Normal 4 5 5 7 2" xfId="17297" xr:uid="{00000000-0005-0000-0000-0000F9850000}"/>
    <cellStyle name="Normal 4 5 5 7 2 2" xfId="36697" xr:uid="{00000000-0005-0000-0000-0000FA850000}"/>
    <cellStyle name="Normal 4 5 5 7 3" xfId="26999" xr:uid="{00000000-0005-0000-0000-0000FB850000}"/>
    <cellStyle name="Normal 4 5 5 8" xfId="12841" xr:uid="{00000000-0005-0000-0000-0000FC850000}"/>
    <cellStyle name="Normal 4 5 5 8 2" xfId="32242" xr:uid="{00000000-0005-0000-0000-0000FD850000}"/>
    <cellStyle name="Normal 4 5 5 9" xfId="22544" xr:uid="{00000000-0005-0000-0000-0000FE850000}"/>
    <cellStyle name="Normal 4 6" xfId="1547" xr:uid="{00000000-0005-0000-0000-0000FF850000}"/>
    <cellStyle name="Normal 4 6 2" xfId="2407" xr:uid="{00000000-0005-0000-0000-000000860000}"/>
    <cellStyle name="Normal 4 6 2 10" xfId="12842" xr:uid="{00000000-0005-0000-0000-000001860000}"/>
    <cellStyle name="Normal 4 6 2 10 2" xfId="32243" xr:uid="{00000000-0005-0000-0000-000002860000}"/>
    <cellStyle name="Normal 4 6 2 11" xfId="22545" xr:uid="{00000000-0005-0000-0000-000003860000}"/>
    <cellStyle name="Normal 4 6 2 2" xfId="2408" xr:uid="{00000000-0005-0000-0000-000004860000}"/>
    <cellStyle name="Normal 4 6 2 2 2" xfId="3354" xr:uid="{00000000-0005-0000-0000-000005860000}"/>
    <cellStyle name="Normal 4 6 2 2 2 2" xfId="5623" xr:uid="{00000000-0005-0000-0000-000006860000}"/>
    <cellStyle name="Normal 4 6 2 2 2 2 2" xfId="10087" xr:uid="{00000000-0005-0000-0000-000007860000}"/>
    <cellStyle name="Normal 4 6 2 2 2 2 2 2" xfId="20083" xr:uid="{00000000-0005-0000-0000-000008860000}"/>
    <cellStyle name="Normal 4 6 2 2 2 2 2 2 2" xfId="39483" xr:uid="{00000000-0005-0000-0000-000009860000}"/>
    <cellStyle name="Normal 4 6 2 2 2 2 2 3" xfId="29785" xr:uid="{00000000-0005-0000-0000-00000A860000}"/>
    <cellStyle name="Normal 4 6 2 2 2 2 3" xfId="15628" xr:uid="{00000000-0005-0000-0000-00000B860000}"/>
    <cellStyle name="Normal 4 6 2 2 2 2 3 2" xfId="35028" xr:uid="{00000000-0005-0000-0000-00000C860000}"/>
    <cellStyle name="Normal 4 6 2 2 2 2 4" xfId="25330" xr:uid="{00000000-0005-0000-0000-00000D860000}"/>
    <cellStyle name="Normal 4 6 2 2 2 3" xfId="7859" xr:uid="{00000000-0005-0000-0000-00000E860000}"/>
    <cellStyle name="Normal 4 6 2 2 2 3 2" xfId="17855" xr:uid="{00000000-0005-0000-0000-00000F860000}"/>
    <cellStyle name="Normal 4 6 2 2 2 3 2 2" xfId="37255" xr:uid="{00000000-0005-0000-0000-000010860000}"/>
    <cellStyle name="Normal 4 6 2 2 2 3 3" xfId="27557" xr:uid="{00000000-0005-0000-0000-000011860000}"/>
    <cellStyle name="Normal 4 6 2 2 2 4" xfId="13400" xr:uid="{00000000-0005-0000-0000-000012860000}"/>
    <cellStyle name="Normal 4 6 2 2 2 4 2" xfId="32800" xr:uid="{00000000-0005-0000-0000-000013860000}"/>
    <cellStyle name="Normal 4 6 2 2 2 5" xfId="23102" xr:uid="{00000000-0005-0000-0000-000014860000}"/>
    <cellStyle name="Normal 4 6 2 2 3" xfId="3937" xr:uid="{00000000-0005-0000-0000-000015860000}"/>
    <cellStyle name="Normal 4 6 2 2 3 2" xfId="5067" xr:uid="{00000000-0005-0000-0000-000016860000}"/>
    <cellStyle name="Normal 4 6 2 2 3 2 2" xfId="9531" xr:uid="{00000000-0005-0000-0000-000017860000}"/>
    <cellStyle name="Normal 4 6 2 2 3 2 2 2" xfId="19527" xr:uid="{00000000-0005-0000-0000-000018860000}"/>
    <cellStyle name="Normal 4 6 2 2 3 2 2 2 2" xfId="38927" xr:uid="{00000000-0005-0000-0000-000019860000}"/>
    <cellStyle name="Normal 4 6 2 2 3 2 2 3" xfId="29229" xr:uid="{00000000-0005-0000-0000-00001A860000}"/>
    <cellStyle name="Normal 4 6 2 2 3 2 3" xfId="15072" xr:uid="{00000000-0005-0000-0000-00001B860000}"/>
    <cellStyle name="Normal 4 6 2 2 3 2 3 2" xfId="34472" xr:uid="{00000000-0005-0000-0000-00001C860000}"/>
    <cellStyle name="Normal 4 6 2 2 3 2 4" xfId="24774" xr:uid="{00000000-0005-0000-0000-00001D860000}"/>
    <cellStyle name="Normal 4 6 2 2 3 3" xfId="8416" xr:uid="{00000000-0005-0000-0000-00001E860000}"/>
    <cellStyle name="Normal 4 6 2 2 3 3 2" xfId="18412" xr:uid="{00000000-0005-0000-0000-00001F860000}"/>
    <cellStyle name="Normal 4 6 2 2 3 3 2 2" xfId="37812" xr:uid="{00000000-0005-0000-0000-000020860000}"/>
    <cellStyle name="Normal 4 6 2 2 3 3 3" xfId="28114" xr:uid="{00000000-0005-0000-0000-000021860000}"/>
    <cellStyle name="Normal 4 6 2 2 3 4" xfId="13957" xr:uid="{00000000-0005-0000-0000-000022860000}"/>
    <cellStyle name="Normal 4 6 2 2 3 4 2" xfId="33357" xr:uid="{00000000-0005-0000-0000-000023860000}"/>
    <cellStyle name="Normal 4 6 2 2 3 5" xfId="23659" xr:uid="{00000000-0005-0000-0000-000024860000}"/>
    <cellStyle name="Normal 4 6 2 2 4" xfId="4510" xr:uid="{00000000-0005-0000-0000-000025860000}"/>
    <cellStyle name="Normal 4 6 2 2 4 2" xfId="8974" xr:uid="{00000000-0005-0000-0000-000026860000}"/>
    <cellStyle name="Normal 4 6 2 2 4 2 2" xfId="18970" xr:uid="{00000000-0005-0000-0000-000027860000}"/>
    <cellStyle name="Normal 4 6 2 2 4 2 2 2" xfId="38370" xr:uid="{00000000-0005-0000-0000-000028860000}"/>
    <cellStyle name="Normal 4 6 2 2 4 2 3" xfId="28672" xr:uid="{00000000-0005-0000-0000-000029860000}"/>
    <cellStyle name="Normal 4 6 2 2 4 3" xfId="14515" xr:uid="{00000000-0005-0000-0000-00002A860000}"/>
    <cellStyle name="Normal 4 6 2 2 4 3 2" xfId="33915" xr:uid="{00000000-0005-0000-0000-00002B860000}"/>
    <cellStyle name="Normal 4 6 2 2 4 4" xfId="24217" xr:uid="{00000000-0005-0000-0000-00002C860000}"/>
    <cellStyle name="Normal 4 6 2 2 5" xfId="6180" xr:uid="{00000000-0005-0000-0000-00002D860000}"/>
    <cellStyle name="Normal 4 6 2 2 5 2" xfId="10644" xr:uid="{00000000-0005-0000-0000-00002E860000}"/>
    <cellStyle name="Normal 4 6 2 2 5 2 2" xfId="20640" xr:uid="{00000000-0005-0000-0000-00002F860000}"/>
    <cellStyle name="Normal 4 6 2 2 5 2 2 2" xfId="40040" xr:uid="{00000000-0005-0000-0000-000030860000}"/>
    <cellStyle name="Normal 4 6 2 2 5 2 3" xfId="30342" xr:uid="{00000000-0005-0000-0000-000031860000}"/>
    <cellStyle name="Normal 4 6 2 2 5 3" xfId="16185" xr:uid="{00000000-0005-0000-0000-000032860000}"/>
    <cellStyle name="Normal 4 6 2 2 5 3 2" xfId="35585" xr:uid="{00000000-0005-0000-0000-000033860000}"/>
    <cellStyle name="Normal 4 6 2 2 5 4" xfId="25887" xr:uid="{00000000-0005-0000-0000-000034860000}"/>
    <cellStyle name="Normal 4 6 2 2 6" xfId="6746" xr:uid="{00000000-0005-0000-0000-000035860000}"/>
    <cellStyle name="Normal 4 6 2 2 6 2" xfId="11201" xr:uid="{00000000-0005-0000-0000-000036860000}"/>
    <cellStyle name="Normal 4 6 2 2 6 2 2" xfId="21197" xr:uid="{00000000-0005-0000-0000-000037860000}"/>
    <cellStyle name="Normal 4 6 2 2 6 2 2 2" xfId="40597" xr:uid="{00000000-0005-0000-0000-000038860000}"/>
    <cellStyle name="Normal 4 6 2 2 6 2 3" xfId="30899" xr:uid="{00000000-0005-0000-0000-000039860000}"/>
    <cellStyle name="Normal 4 6 2 2 6 3" xfId="16742" xr:uid="{00000000-0005-0000-0000-00003A860000}"/>
    <cellStyle name="Normal 4 6 2 2 6 3 2" xfId="36142" xr:uid="{00000000-0005-0000-0000-00003B860000}"/>
    <cellStyle name="Normal 4 6 2 2 6 4" xfId="26444" xr:uid="{00000000-0005-0000-0000-00003C860000}"/>
    <cellStyle name="Normal 4 6 2 2 7" xfId="7303" xr:uid="{00000000-0005-0000-0000-00003D860000}"/>
    <cellStyle name="Normal 4 6 2 2 7 2" xfId="17299" xr:uid="{00000000-0005-0000-0000-00003E860000}"/>
    <cellStyle name="Normal 4 6 2 2 7 2 2" xfId="36699" xr:uid="{00000000-0005-0000-0000-00003F860000}"/>
    <cellStyle name="Normal 4 6 2 2 7 3" xfId="27001" xr:uid="{00000000-0005-0000-0000-000040860000}"/>
    <cellStyle name="Normal 4 6 2 2 8" xfId="12843" xr:uid="{00000000-0005-0000-0000-000041860000}"/>
    <cellStyle name="Normal 4 6 2 2 8 2" xfId="32244" xr:uid="{00000000-0005-0000-0000-000042860000}"/>
    <cellStyle name="Normal 4 6 2 2 9" xfId="22546" xr:uid="{00000000-0005-0000-0000-000043860000}"/>
    <cellStyle name="Normal 4 6 2 3" xfId="2409" xr:uid="{00000000-0005-0000-0000-000044860000}"/>
    <cellStyle name="Normal 4 6 2 3 2" xfId="3355" xr:uid="{00000000-0005-0000-0000-000045860000}"/>
    <cellStyle name="Normal 4 6 2 3 2 2" xfId="5624" xr:uid="{00000000-0005-0000-0000-000046860000}"/>
    <cellStyle name="Normal 4 6 2 3 2 2 2" xfId="10088" xr:uid="{00000000-0005-0000-0000-000047860000}"/>
    <cellStyle name="Normal 4 6 2 3 2 2 2 2" xfId="20084" xr:uid="{00000000-0005-0000-0000-000048860000}"/>
    <cellStyle name="Normal 4 6 2 3 2 2 2 2 2" xfId="39484" xr:uid="{00000000-0005-0000-0000-000049860000}"/>
    <cellStyle name="Normal 4 6 2 3 2 2 2 3" xfId="29786" xr:uid="{00000000-0005-0000-0000-00004A860000}"/>
    <cellStyle name="Normal 4 6 2 3 2 2 3" xfId="15629" xr:uid="{00000000-0005-0000-0000-00004B860000}"/>
    <cellStyle name="Normal 4 6 2 3 2 2 3 2" xfId="35029" xr:uid="{00000000-0005-0000-0000-00004C860000}"/>
    <cellStyle name="Normal 4 6 2 3 2 2 4" xfId="25331" xr:uid="{00000000-0005-0000-0000-00004D860000}"/>
    <cellStyle name="Normal 4 6 2 3 2 3" xfId="7860" xr:uid="{00000000-0005-0000-0000-00004E860000}"/>
    <cellStyle name="Normal 4 6 2 3 2 3 2" xfId="17856" xr:uid="{00000000-0005-0000-0000-00004F860000}"/>
    <cellStyle name="Normal 4 6 2 3 2 3 2 2" xfId="37256" xr:uid="{00000000-0005-0000-0000-000050860000}"/>
    <cellStyle name="Normal 4 6 2 3 2 3 3" xfId="27558" xr:uid="{00000000-0005-0000-0000-000051860000}"/>
    <cellStyle name="Normal 4 6 2 3 2 4" xfId="13401" xr:uid="{00000000-0005-0000-0000-000052860000}"/>
    <cellStyle name="Normal 4 6 2 3 2 4 2" xfId="32801" xr:uid="{00000000-0005-0000-0000-000053860000}"/>
    <cellStyle name="Normal 4 6 2 3 2 5" xfId="23103" xr:uid="{00000000-0005-0000-0000-000054860000}"/>
    <cellStyle name="Normal 4 6 2 3 3" xfId="3938" xr:uid="{00000000-0005-0000-0000-000055860000}"/>
    <cellStyle name="Normal 4 6 2 3 3 2" xfId="5068" xr:uid="{00000000-0005-0000-0000-000056860000}"/>
    <cellStyle name="Normal 4 6 2 3 3 2 2" xfId="9532" xr:uid="{00000000-0005-0000-0000-000057860000}"/>
    <cellStyle name="Normal 4 6 2 3 3 2 2 2" xfId="19528" xr:uid="{00000000-0005-0000-0000-000058860000}"/>
    <cellStyle name="Normal 4 6 2 3 3 2 2 2 2" xfId="38928" xr:uid="{00000000-0005-0000-0000-000059860000}"/>
    <cellStyle name="Normal 4 6 2 3 3 2 2 3" xfId="29230" xr:uid="{00000000-0005-0000-0000-00005A860000}"/>
    <cellStyle name="Normal 4 6 2 3 3 2 3" xfId="15073" xr:uid="{00000000-0005-0000-0000-00005B860000}"/>
    <cellStyle name="Normal 4 6 2 3 3 2 3 2" xfId="34473" xr:uid="{00000000-0005-0000-0000-00005C860000}"/>
    <cellStyle name="Normal 4 6 2 3 3 2 4" xfId="24775" xr:uid="{00000000-0005-0000-0000-00005D860000}"/>
    <cellStyle name="Normal 4 6 2 3 3 3" xfId="8417" xr:uid="{00000000-0005-0000-0000-00005E860000}"/>
    <cellStyle name="Normal 4 6 2 3 3 3 2" xfId="18413" xr:uid="{00000000-0005-0000-0000-00005F860000}"/>
    <cellStyle name="Normal 4 6 2 3 3 3 2 2" xfId="37813" xr:uid="{00000000-0005-0000-0000-000060860000}"/>
    <cellStyle name="Normal 4 6 2 3 3 3 3" xfId="28115" xr:uid="{00000000-0005-0000-0000-000061860000}"/>
    <cellStyle name="Normal 4 6 2 3 3 4" xfId="13958" xr:uid="{00000000-0005-0000-0000-000062860000}"/>
    <cellStyle name="Normal 4 6 2 3 3 4 2" xfId="33358" xr:uid="{00000000-0005-0000-0000-000063860000}"/>
    <cellStyle name="Normal 4 6 2 3 3 5" xfId="23660" xr:uid="{00000000-0005-0000-0000-000064860000}"/>
    <cellStyle name="Normal 4 6 2 3 4" xfId="4511" xr:uid="{00000000-0005-0000-0000-000065860000}"/>
    <cellStyle name="Normal 4 6 2 3 4 2" xfId="8975" xr:uid="{00000000-0005-0000-0000-000066860000}"/>
    <cellStyle name="Normal 4 6 2 3 4 2 2" xfId="18971" xr:uid="{00000000-0005-0000-0000-000067860000}"/>
    <cellStyle name="Normal 4 6 2 3 4 2 2 2" xfId="38371" xr:uid="{00000000-0005-0000-0000-000068860000}"/>
    <cellStyle name="Normal 4 6 2 3 4 2 3" xfId="28673" xr:uid="{00000000-0005-0000-0000-000069860000}"/>
    <cellStyle name="Normal 4 6 2 3 4 3" xfId="14516" xr:uid="{00000000-0005-0000-0000-00006A860000}"/>
    <cellStyle name="Normal 4 6 2 3 4 3 2" xfId="33916" xr:uid="{00000000-0005-0000-0000-00006B860000}"/>
    <cellStyle name="Normal 4 6 2 3 4 4" xfId="24218" xr:uid="{00000000-0005-0000-0000-00006C860000}"/>
    <cellStyle name="Normal 4 6 2 3 5" xfId="6181" xr:uid="{00000000-0005-0000-0000-00006D860000}"/>
    <cellStyle name="Normal 4 6 2 3 5 2" xfId="10645" xr:uid="{00000000-0005-0000-0000-00006E860000}"/>
    <cellStyle name="Normal 4 6 2 3 5 2 2" xfId="20641" xr:uid="{00000000-0005-0000-0000-00006F860000}"/>
    <cellStyle name="Normal 4 6 2 3 5 2 2 2" xfId="40041" xr:uid="{00000000-0005-0000-0000-000070860000}"/>
    <cellStyle name="Normal 4 6 2 3 5 2 3" xfId="30343" xr:uid="{00000000-0005-0000-0000-000071860000}"/>
    <cellStyle name="Normal 4 6 2 3 5 3" xfId="16186" xr:uid="{00000000-0005-0000-0000-000072860000}"/>
    <cellStyle name="Normal 4 6 2 3 5 3 2" xfId="35586" xr:uid="{00000000-0005-0000-0000-000073860000}"/>
    <cellStyle name="Normal 4 6 2 3 5 4" xfId="25888" xr:uid="{00000000-0005-0000-0000-000074860000}"/>
    <cellStyle name="Normal 4 6 2 3 6" xfId="6747" xr:uid="{00000000-0005-0000-0000-000075860000}"/>
    <cellStyle name="Normal 4 6 2 3 6 2" xfId="11202" xr:uid="{00000000-0005-0000-0000-000076860000}"/>
    <cellStyle name="Normal 4 6 2 3 6 2 2" xfId="21198" xr:uid="{00000000-0005-0000-0000-000077860000}"/>
    <cellStyle name="Normal 4 6 2 3 6 2 2 2" xfId="40598" xr:uid="{00000000-0005-0000-0000-000078860000}"/>
    <cellStyle name="Normal 4 6 2 3 6 2 3" xfId="30900" xr:uid="{00000000-0005-0000-0000-000079860000}"/>
    <cellStyle name="Normal 4 6 2 3 6 3" xfId="16743" xr:uid="{00000000-0005-0000-0000-00007A860000}"/>
    <cellStyle name="Normal 4 6 2 3 6 3 2" xfId="36143" xr:uid="{00000000-0005-0000-0000-00007B860000}"/>
    <cellStyle name="Normal 4 6 2 3 6 4" xfId="26445" xr:uid="{00000000-0005-0000-0000-00007C860000}"/>
    <cellStyle name="Normal 4 6 2 3 7" xfId="7304" xr:uid="{00000000-0005-0000-0000-00007D860000}"/>
    <cellStyle name="Normal 4 6 2 3 7 2" xfId="17300" xr:uid="{00000000-0005-0000-0000-00007E860000}"/>
    <cellStyle name="Normal 4 6 2 3 7 2 2" xfId="36700" xr:uid="{00000000-0005-0000-0000-00007F860000}"/>
    <cellStyle name="Normal 4 6 2 3 7 3" xfId="27002" xr:uid="{00000000-0005-0000-0000-000080860000}"/>
    <cellStyle name="Normal 4 6 2 3 8" xfId="12844" xr:uid="{00000000-0005-0000-0000-000081860000}"/>
    <cellStyle name="Normal 4 6 2 3 8 2" xfId="32245" xr:uid="{00000000-0005-0000-0000-000082860000}"/>
    <cellStyle name="Normal 4 6 2 3 9" xfId="22547" xr:uid="{00000000-0005-0000-0000-000083860000}"/>
    <cellStyle name="Normal 4 6 2 4" xfId="3353" xr:uid="{00000000-0005-0000-0000-000084860000}"/>
    <cellStyle name="Normal 4 6 2 4 2" xfId="5622" xr:uid="{00000000-0005-0000-0000-000085860000}"/>
    <cellStyle name="Normal 4 6 2 4 2 2" xfId="10086" xr:uid="{00000000-0005-0000-0000-000086860000}"/>
    <cellStyle name="Normal 4 6 2 4 2 2 2" xfId="20082" xr:uid="{00000000-0005-0000-0000-000087860000}"/>
    <cellStyle name="Normal 4 6 2 4 2 2 2 2" xfId="39482" xr:uid="{00000000-0005-0000-0000-000088860000}"/>
    <cellStyle name="Normal 4 6 2 4 2 2 3" xfId="29784" xr:uid="{00000000-0005-0000-0000-000089860000}"/>
    <cellStyle name="Normal 4 6 2 4 2 3" xfId="15627" xr:uid="{00000000-0005-0000-0000-00008A860000}"/>
    <cellStyle name="Normal 4 6 2 4 2 3 2" xfId="35027" xr:uid="{00000000-0005-0000-0000-00008B860000}"/>
    <cellStyle name="Normal 4 6 2 4 2 4" xfId="25329" xr:uid="{00000000-0005-0000-0000-00008C860000}"/>
    <cellStyle name="Normal 4 6 2 4 3" xfId="7858" xr:uid="{00000000-0005-0000-0000-00008D860000}"/>
    <cellStyle name="Normal 4 6 2 4 3 2" xfId="17854" xr:uid="{00000000-0005-0000-0000-00008E860000}"/>
    <cellStyle name="Normal 4 6 2 4 3 2 2" xfId="37254" xr:uid="{00000000-0005-0000-0000-00008F860000}"/>
    <cellStyle name="Normal 4 6 2 4 3 3" xfId="27556" xr:uid="{00000000-0005-0000-0000-000090860000}"/>
    <cellStyle name="Normal 4 6 2 4 4" xfId="13399" xr:uid="{00000000-0005-0000-0000-000091860000}"/>
    <cellStyle name="Normal 4 6 2 4 4 2" xfId="32799" xr:uid="{00000000-0005-0000-0000-000092860000}"/>
    <cellStyle name="Normal 4 6 2 4 5" xfId="23101" xr:uid="{00000000-0005-0000-0000-000093860000}"/>
    <cellStyle name="Normal 4 6 2 5" xfId="3936" xr:uid="{00000000-0005-0000-0000-000094860000}"/>
    <cellStyle name="Normal 4 6 2 5 2" xfId="5066" xr:uid="{00000000-0005-0000-0000-000095860000}"/>
    <cellStyle name="Normal 4 6 2 5 2 2" xfId="9530" xr:uid="{00000000-0005-0000-0000-000096860000}"/>
    <cellStyle name="Normal 4 6 2 5 2 2 2" xfId="19526" xr:uid="{00000000-0005-0000-0000-000097860000}"/>
    <cellStyle name="Normal 4 6 2 5 2 2 2 2" xfId="38926" xr:uid="{00000000-0005-0000-0000-000098860000}"/>
    <cellStyle name="Normal 4 6 2 5 2 2 3" xfId="29228" xr:uid="{00000000-0005-0000-0000-000099860000}"/>
    <cellStyle name="Normal 4 6 2 5 2 3" xfId="15071" xr:uid="{00000000-0005-0000-0000-00009A860000}"/>
    <cellStyle name="Normal 4 6 2 5 2 3 2" xfId="34471" xr:uid="{00000000-0005-0000-0000-00009B860000}"/>
    <cellStyle name="Normal 4 6 2 5 2 4" xfId="24773" xr:uid="{00000000-0005-0000-0000-00009C860000}"/>
    <cellStyle name="Normal 4 6 2 5 3" xfId="8415" xr:uid="{00000000-0005-0000-0000-00009D860000}"/>
    <cellStyle name="Normal 4 6 2 5 3 2" xfId="18411" xr:uid="{00000000-0005-0000-0000-00009E860000}"/>
    <cellStyle name="Normal 4 6 2 5 3 2 2" xfId="37811" xr:uid="{00000000-0005-0000-0000-00009F860000}"/>
    <cellStyle name="Normal 4 6 2 5 3 3" xfId="28113" xr:uid="{00000000-0005-0000-0000-0000A0860000}"/>
    <cellStyle name="Normal 4 6 2 5 4" xfId="13956" xr:uid="{00000000-0005-0000-0000-0000A1860000}"/>
    <cellStyle name="Normal 4 6 2 5 4 2" xfId="33356" xr:uid="{00000000-0005-0000-0000-0000A2860000}"/>
    <cellStyle name="Normal 4 6 2 5 5" xfId="23658" xr:uid="{00000000-0005-0000-0000-0000A3860000}"/>
    <cellStyle name="Normal 4 6 2 6" xfId="4509" xr:uid="{00000000-0005-0000-0000-0000A4860000}"/>
    <cellStyle name="Normal 4 6 2 6 2" xfId="8973" xr:uid="{00000000-0005-0000-0000-0000A5860000}"/>
    <cellStyle name="Normal 4 6 2 6 2 2" xfId="18969" xr:uid="{00000000-0005-0000-0000-0000A6860000}"/>
    <cellStyle name="Normal 4 6 2 6 2 2 2" xfId="38369" xr:uid="{00000000-0005-0000-0000-0000A7860000}"/>
    <cellStyle name="Normal 4 6 2 6 2 3" xfId="28671" xr:uid="{00000000-0005-0000-0000-0000A8860000}"/>
    <cellStyle name="Normal 4 6 2 6 3" xfId="14514" xr:uid="{00000000-0005-0000-0000-0000A9860000}"/>
    <cellStyle name="Normal 4 6 2 6 3 2" xfId="33914" xr:uid="{00000000-0005-0000-0000-0000AA860000}"/>
    <cellStyle name="Normal 4 6 2 6 4" xfId="24216" xr:uid="{00000000-0005-0000-0000-0000AB860000}"/>
    <cellStyle name="Normal 4 6 2 7" xfId="6179" xr:uid="{00000000-0005-0000-0000-0000AC860000}"/>
    <cellStyle name="Normal 4 6 2 7 2" xfId="10643" xr:uid="{00000000-0005-0000-0000-0000AD860000}"/>
    <cellStyle name="Normal 4 6 2 7 2 2" xfId="20639" xr:uid="{00000000-0005-0000-0000-0000AE860000}"/>
    <cellStyle name="Normal 4 6 2 7 2 2 2" xfId="40039" xr:uid="{00000000-0005-0000-0000-0000AF860000}"/>
    <cellStyle name="Normal 4 6 2 7 2 3" xfId="30341" xr:uid="{00000000-0005-0000-0000-0000B0860000}"/>
    <cellStyle name="Normal 4 6 2 7 3" xfId="16184" xr:uid="{00000000-0005-0000-0000-0000B1860000}"/>
    <cellStyle name="Normal 4 6 2 7 3 2" xfId="35584" xr:uid="{00000000-0005-0000-0000-0000B2860000}"/>
    <cellStyle name="Normal 4 6 2 7 4" xfId="25886" xr:uid="{00000000-0005-0000-0000-0000B3860000}"/>
    <cellStyle name="Normal 4 6 2 8" xfId="6745" xr:uid="{00000000-0005-0000-0000-0000B4860000}"/>
    <cellStyle name="Normal 4 6 2 8 2" xfId="11200" xr:uid="{00000000-0005-0000-0000-0000B5860000}"/>
    <cellStyle name="Normal 4 6 2 8 2 2" xfId="21196" xr:uid="{00000000-0005-0000-0000-0000B6860000}"/>
    <cellStyle name="Normal 4 6 2 8 2 2 2" xfId="40596" xr:uid="{00000000-0005-0000-0000-0000B7860000}"/>
    <cellStyle name="Normal 4 6 2 8 2 3" xfId="30898" xr:uid="{00000000-0005-0000-0000-0000B8860000}"/>
    <cellStyle name="Normal 4 6 2 8 3" xfId="16741" xr:uid="{00000000-0005-0000-0000-0000B9860000}"/>
    <cellStyle name="Normal 4 6 2 8 3 2" xfId="36141" xr:uid="{00000000-0005-0000-0000-0000BA860000}"/>
    <cellStyle name="Normal 4 6 2 8 4" xfId="26443" xr:uid="{00000000-0005-0000-0000-0000BB860000}"/>
    <cellStyle name="Normal 4 6 2 9" xfId="7302" xr:uid="{00000000-0005-0000-0000-0000BC860000}"/>
    <cellStyle name="Normal 4 6 2 9 2" xfId="17298" xr:uid="{00000000-0005-0000-0000-0000BD860000}"/>
    <cellStyle name="Normal 4 6 2 9 2 2" xfId="36698" xr:uid="{00000000-0005-0000-0000-0000BE860000}"/>
    <cellStyle name="Normal 4 6 2 9 3" xfId="27000" xr:uid="{00000000-0005-0000-0000-0000BF860000}"/>
    <cellStyle name="Normal 4 6 3" xfId="2410" xr:uid="{00000000-0005-0000-0000-0000C0860000}"/>
    <cellStyle name="Normal 4 6 3 2" xfId="3356" xr:uid="{00000000-0005-0000-0000-0000C1860000}"/>
    <cellStyle name="Normal 4 6 3 2 2" xfId="5625" xr:uid="{00000000-0005-0000-0000-0000C2860000}"/>
    <cellStyle name="Normal 4 6 3 2 2 2" xfId="10089" xr:uid="{00000000-0005-0000-0000-0000C3860000}"/>
    <cellStyle name="Normal 4 6 3 2 2 2 2" xfId="20085" xr:uid="{00000000-0005-0000-0000-0000C4860000}"/>
    <cellStyle name="Normal 4 6 3 2 2 2 2 2" xfId="39485" xr:uid="{00000000-0005-0000-0000-0000C5860000}"/>
    <cellStyle name="Normal 4 6 3 2 2 2 3" xfId="29787" xr:uid="{00000000-0005-0000-0000-0000C6860000}"/>
    <cellStyle name="Normal 4 6 3 2 2 3" xfId="15630" xr:uid="{00000000-0005-0000-0000-0000C7860000}"/>
    <cellStyle name="Normal 4 6 3 2 2 3 2" xfId="35030" xr:uid="{00000000-0005-0000-0000-0000C8860000}"/>
    <cellStyle name="Normal 4 6 3 2 2 4" xfId="25332" xr:uid="{00000000-0005-0000-0000-0000C9860000}"/>
    <cellStyle name="Normal 4 6 3 2 3" xfId="7861" xr:uid="{00000000-0005-0000-0000-0000CA860000}"/>
    <cellStyle name="Normal 4 6 3 2 3 2" xfId="17857" xr:uid="{00000000-0005-0000-0000-0000CB860000}"/>
    <cellStyle name="Normal 4 6 3 2 3 2 2" xfId="37257" xr:uid="{00000000-0005-0000-0000-0000CC860000}"/>
    <cellStyle name="Normal 4 6 3 2 3 3" xfId="27559" xr:uid="{00000000-0005-0000-0000-0000CD860000}"/>
    <cellStyle name="Normal 4 6 3 2 4" xfId="13402" xr:uid="{00000000-0005-0000-0000-0000CE860000}"/>
    <cellStyle name="Normal 4 6 3 2 4 2" xfId="32802" xr:uid="{00000000-0005-0000-0000-0000CF860000}"/>
    <cellStyle name="Normal 4 6 3 2 5" xfId="23104" xr:uid="{00000000-0005-0000-0000-0000D0860000}"/>
    <cellStyle name="Normal 4 6 3 3" xfId="3939" xr:uid="{00000000-0005-0000-0000-0000D1860000}"/>
    <cellStyle name="Normal 4 6 3 3 2" xfId="5069" xr:uid="{00000000-0005-0000-0000-0000D2860000}"/>
    <cellStyle name="Normal 4 6 3 3 2 2" xfId="9533" xr:uid="{00000000-0005-0000-0000-0000D3860000}"/>
    <cellStyle name="Normal 4 6 3 3 2 2 2" xfId="19529" xr:uid="{00000000-0005-0000-0000-0000D4860000}"/>
    <cellStyle name="Normal 4 6 3 3 2 2 2 2" xfId="38929" xr:uid="{00000000-0005-0000-0000-0000D5860000}"/>
    <cellStyle name="Normal 4 6 3 3 2 2 3" xfId="29231" xr:uid="{00000000-0005-0000-0000-0000D6860000}"/>
    <cellStyle name="Normal 4 6 3 3 2 3" xfId="15074" xr:uid="{00000000-0005-0000-0000-0000D7860000}"/>
    <cellStyle name="Normal 4 6 3 3 2 3 2" xfId="34474" xr:uid="{00000000-0005-0000-0000-0000D8860000}"/>
    <cellStyle name="Normal 4 6 3 3 2 4" xfId="24776" xr:uid="{00000000-0005-0000-0000-0000D9860000}"/>
    <cellStyle name="Normal 4 6 3 3 3" xfId="8418" xr:uid="{00000000-0005-0000-0000-0000DA860000}"/>
    <cellStyle name="Normal 4 6 3 3 3 2" xfId="18414" xr:uid="{00000000-0005-0000-0000-0000DB860000}"/>
    <cellStyle name="Normal 4 6 3 3 3 2 2" xfId="37814" xr:uid="{00000000-0005-0000-0000-0000DC860000}"/>
    <cellStyle name="Normal 4 6 3 3 3 3" xfId="28116" xr:uid="{00000000-0005-0000-0000-0000DD860000}"/>
    <cellStyle name="Normal 4 6 3 3 4" xfId="13959" xr:uid="{00000000-0005-0000-0000-0000DE860000}"/>
    <cellStyle name="Normal 4 6 3 3 4 2" xfId="33359" xr:uid="{00000000-0005-0000-0000-0000DF860000}"/>
    <cellStyle name="Normal 4 6 3 3 5" xfId="23661" xr:uid="{00000000-0005-0000-0000-0000E0860000}"/>
    <cellStyle name="Normal 4 6 3 4" xfId="4512" xr:uid="{00000000-0005-0000-0000-0000E1860000}"/>
    <cellStyle name="Normal 4 6 3 4 2" xfId="8976" xr:uid="{00000000-0005-0000-0000-0000E2860000}"/>
    <cellStyle name="Normal 4 6 3 4 2 2" xfId="18972" xr:uid="{00000000-0005-0000-0000-0000E3860000}"/>
    <cellStyle name="Normal 4 6 3 4 2 2 2" xfId="38372" xr:uid="{00000000-0005-0000-0000-0000E4860000}"/>
    <cellStyle name="Normal 4 6 3 4 2 3" xfId="28674" xr:uid="{00000000-0005-0000-0000-0000E5860000}"/>
    <cellStyle name="Normal 4 6 3 4 3" xfId="14517" xr:uid="{00000000-0005-0000-0000-0000E6860000}"/>
    <cellStyle name="Normal 4 6 3 4 3 2" xfId="33917" xr:uid="{00000000-0005-0000-0000-0000E7860000}"/>
    <cellStyle name="Normal 4 6 3 4 4" xfId="24219" xr:uid="{00000000-0005-0000-0000-0000E8860000}"/>
    <cellStyle name="Normal 4 6 3 5" xfId="6182" xr:uid="{00000000-0005-0000-0000-0000E9860000}"/>
    <cellStyle name="Normal 4 6 3 5 2" xfId="10646" xr:uid="{00000000-0005-0000-0000-0000EA860000}"/>
    <cellStyle name="Normal 4 6 3 5 2 2" xfId="20642" xr:uid="{00000000-0005-0000-0000-0000EB860000}"/>
    <cellStyle name="Normal 4 6 3 5 2 2 2" xfId="40042" xr:uid="{00000000-0005-0000-0000-0000EC860000}"/>
    <cellStyle name="Normal 4 6 3 5 2 3" xfId="30344" xr:uid="{00000000-0005-0000-0000-0000ED860000}"/>
    <cellStyle name="Normal 4 6 3 5 3" xfId="16187" xr:uid="{00000000-0005-0000-0000-0000EE860000}"/>
    <cellStyle name="Normal 4 6 3 5 3 2" xfId="35587" xr:uid="{00000000-0005-0000-0000-0000EF860000}"/>
    <cellStyle name="Normal 4 6 3 5 4" xfId="25889" xr:uid="{00000000-0005-0000-0000-0000F0860000}"/>
    <cellStyle name="Normal 4 6 3 6" xfId="6748" xr:uid="{00000000-0005-0000-0000-0000F1860000}"/>
    <cellStyle name="Normal 4 6 3 6 2" xfId="11203" xr:uid="{00000000-0005-0000-0000-0000F2860000}"/>
    <cellStyle name="Normal 4 6 3 6 2 2" xfId="21199" xr:uid="{00000000-0005-0000-0000-0000F3860000}"/>
    <cellStyle name="Normal 4 6 3 6 2 2 2" xfId="40599" xr:uid="{00000000-0005-0000-0000-0000F4860000}"/>
    <cellStyle name="Normal 4 6 3 6 2 3" xfId="30901" xr:uid="{00000000-0005-0000-0000-0000F5860000}"/>
    <cellStyle name="Normal 4 6 3 6 3" xfId="16744" xr:uid="{00000000-0005-0000-0000-0000F6860000}"/>
    <cellStyle name="Normal 4 6 3 6 3 2" xfId="36144" xr:uid="{00000000-0005-0000-0000-0000F7860000}"/>
    <cellStyle name="Normal 4 6 3 6 4" xfId="26446" xr:uid="{00000000-0005-0000-0000-0000F8860000}"/>
    <cellStyle name="Normal 4 6 3 7" xfId="7305" xr:uid="{00000000-0005-0000-0000-0000F9860000}"/>
    <cellStyle name="Normal 4 6 3 7 2" xfId="17301" xr:uid="{00000000-0005-0000-0000-0000FA860000}"/>
    <cellStyle name="Normal 4 6 3 7 2 2" xfId="36701" xr:uid="{00000000-0005-0000-0000-0000FB860000}"/>
    <cellStyle name="Normal 4 6 3 7 3" xfId="27003" xr:uid="{00000000-0005-0000-0000-0000FC860000}"/>
    <cellStyle name="Normal 4 6 3 8" xfId="12845" xr:uid="{00000000-0005-0000-0000-0000FD860000}"/>
    <cellStyle name="Normal 4 6 3 8 2" xfId="32246" xr:uid="{00000000-0005-0000-0000-0000FE860000}"/>
    <cellStyle name="Normal 4 6 3 9" xfId="22548" xr:uid="{00000000-0005-0000-0000-0000FF860000}"/>
    <cellStyle name="Normal 4 6 4" xfId="2411" xr:uid="{00000000-0005-0000-0000-000000870000}"/>
    <cellStyle name="Normal 4 6 4 2" xfId="3357" xr:uid="{00000000-0005-0000-0000-000001870000}"/>
    <cellStyle name="Normal 4 6 4 2 2" xfId="5626" xr:uid="{00000000-0005-0000-0000-000002870000}"/>
    <cellStyle name="Normal 4 6 4 2 2 2" xfId="10090" xr:uid="{00000000-0005-0000-0000-000003870000}"/>
    <cellStyle name="Normal 4 6 4 2 2 2 2" xfId="20086" xr:uid="{00000000-0005-0000-0000-000004870000}"/>
    <cellStyle name="Normal 4 6 4 2 2 2 2 2" xfId="39486" xr:uid="{00000000-0005-0000-0000-000005870000}"/>
    <cellStyle name="Normal 4 6 4 2 2 2 3" xfId="29788" xr:uid="{00000000-0005-0000-0000-000006870000}"/>
    <cellStyle name="Normal 4 6 4 2 2 3" xfId="15631" xr:uid="{00000000-0005-0000-0000-000007870000}"/>
    <cellStyle name="Normal 4 6 4 2 2 3 2" xfId="35031" xr:uid="{00000000-0005-0000-0000-000008870000}"/>
    <cellStyle name="Normal 4 6 4 2 2 4" xfId="25333" xr:uid="{00000000-0005-0000-0000-000009870000}"/>
    <cellStyle name="Normal 4 6 4 2 3" xfId="7862" xr:uid="{00000000-0005-0000-0000-00000A870000}"/>
    <cellStyle name="Normal 4 6 4 2 3 2" xfId="17858" xr:uid="{00000000-0005-0000-0000-00000B870000}"/>
    <cellStyle name="Normal 4 6 4 2 3 2 2" xfId="37258" xr:uid="{00000000-0005-0000-0000-00000C870000}"/>
    <cellStyle name="Normal 4 6 4 2 3 3" xfId="27560" xr:uid="{00000000-0005-0000-0000-00000D870000}"/>
    <cellStyle name="Normal 4 6 4 2 4" xfId="13403" xr:uid="{00000000-0005-0000-0000-00000E870000}"/>
    <cellStyle name="Normal 4 6 4 2 4 2" xfId="32803" xr:uid="{00000000-0005-0000-0000-00000F870000}"/>
    <cellStyle name="Normal 4 6 4 2 5" xfId="23105" xr:uid="{00000000-0005-0000-0000-000010870000}"/>
    <cellStyle name="Normal 4 6 4 3" xfId="3940" xr:uid="{00000000-0005-0000-0000-000011870000}"/>
    <cellStyle name="Normal 4 6 4 3 2" xfId="5070" xr:uid="{00000000-0005-0000-0000-000012870000}"/>
    <cellStyle name="Normal 4 6 4 3 2 2" xfId="9534" xr:uid="{00000000-0005-0000-0000-000013870000}"/>
    <cellStyle name="Normal 4 6 4 3 2 2 2" xfId="19530" xr:uid="{00000000-0005-0000-0000-000014870000}"/>
    <cellStyle name="Normal 4 6 4 3 2 2 2 2" xfId="38930" xr:uid="{00000000-0005-0000-0000-000015870000}"/>
    <cellStyle name="Normal 4 6 4 3 2 2 3" xfId="29232" xr:uid="{00000000-0005-0000-0000-000016870000}"/>
    <cellStyle name="Normal 4 6 4 3 2 3" xfId="15075" xr:uid="{00000000-0005-0000-0000-000017870000}"/>
    <cellStyle name="Normal 4 6 4 3 2 3 2" xfId="34475" xr:uid="{00000000-0005-0000-0000-000018870000}"/>
    <cellStyle name="Normal 4 6 4 3 2 4" xfId="24777" xr:uid="{00000000-0005-0000-0000-000019870000}"/>
    <cellStyle name="Normal 4 6 4 3 3" xfId="8419" xr:uid="{00000000-0005-0000-0000-00001A870000}"/>
    <cellStyle name="Normal 4 6 4 3 3 2" xfId="18415" xr:uid="{00000000-0005-0000-0000-00001B870000}"/>
    <cellStyle name="Normal 4 6 4 3 3 2 2" xfId="37815" xr:uid="{00000000-0005-0000-0000-00001C870000}"/>
    <cellStyle name="Normal 4 6 4 3 3 3" xfId="28117" xr:uid="{00000000-0005-0000-0000-00001D870000}"/>
    <cellStyle name="Normal 4 6 4 3 4" xfId="13960" xr:uid="{00000000-0005-0000-0000-00001E870000}"/>
    <cellStyle name="Normal 4 6 4 3 4 2" xfId="33360" xr:uid="{00000000-0005-0000-0000-00001F870000}"/>
    <cellStyle name="Normal 4 6 4 3 5" xfId="23662" xr:uid="{00000000-0005-0000-0000-000020870000}"/>
    <cellStyle name="Normal 4 6 4 4" xfId="4513" xr:uid="{00000000-0005-0000-0000-000021870000}"/>
    <cellStyle name="Normal 4 6 4 4 2" xfId="8977" xr:uid="{00000000-0005-0000-0000-000022870000}"/>
    <cellStyle name="Normal 4 6 4 4 2 2" xfId="18973" xr:uid="{00000000-0005-0000-0000-000023870000}"/>
    <cellStyle name="Normal 4 6 4 4 2 2 2" xfId="38373" xr:uid="{00000000-0005-0000-0000-000024870000}"/>
    <cellStyle name="Normal 4 6 4 4 2 3" xfId="28675" xr:uid="{00000000-0005-0000-0000-000025870000}"/>
    <cellStyle name="Normal 4 6 4 4 3" xfId="14518" xr:uid="{00000000-0005-0000-0000-000026870000}"/>
    <cellStyle name="Normal 4 6 4 4 3 2" xfId="33918" xr:uid="{00000000-0005-0000-0000-000027870000}"/>
    <cellStyle name="Normal 4 6 4 4 4" xfId="24220" xr:uid="{00000000-0005-0000-0000-000028870000}"/>
    <cellStyle name="Normal 4 6 4 5" xfId="6183" xr:uid="{00000000-0005-0000-0000-000029870000}"/>
    <cellStyle name="Normal 4 6 4 5 2" xfId="10647" xr:uid="{00000000-0005-0000-0000-00002A870000}"/>
    <cellStyle name="Normal 4 6 4 5 2 2" xfId="20643" xr:uid="{00000000-0005-0000-0000-00002B870000}"/>
    <cellStyle name="Normal 4 6 4 5 2 2 2" xfId="40043" xr:uid="{00000000-0005-0000-0000-00002C870000}"/>
    <cellStyle name="Normal 4 6 4 5 2 3" xfId="30345" xr:uid="{00000000-0005-0000-0000-00002D870000}"/>
    <cellStyle name="Normal 4 6 4 5 3" xfId="16188" xr:uid="{00000000-0005-0000-0000-00002E870000}"/>
    <cellStyle name="Normal 4 6 4 5 3 2" xfId="35588" xr:uid="{00000000-0005-0000-0000-00002F870000}"/>
    <cellStyle name="Normal 4 6 4 5 4" xfId="25890" xr:uid="{00000000-0005-0000-0000-000030870000}"/>
    <cellStyle name="Normal 4 6 4 6" xfId="6749" xr:uid="{00000000-0005-0000-0000-000031870000}"/>
    <cellStyle name="Normal 4 6 4 6 2" xfId="11204" xr:uid="{00000000-0005-0000-0000-000032870000}"/>
    <cellStyle name="Normal 4 6 4 6 2 2" xfId="21200" xr:uid="{00000000-0005-0000-0000-000033870000}"/>
    <cellStyle name="Normal 4 6 4 6 2 2 2" xfId="40600" xr:uid="{00000000-0005-0000-0000-000034870000}"/>
    <cellStyle name="Normal 4 6 4 6 2 3" xfId="30902" xr:uid="{00000000-0005-0000-0000-000035870000}"/>
    <cellStyle name="Normal 4 6 4 6 3" xfId="16745" xr:uid="{00000000-0005-0000-0000-000036870000}"/>
    <cellStyle name="Normal 4 6 4 6 3 2" xfId="36145" xr:uid="{00000000-0005-0000-0000-000037870000}"/>
    <cellStyle name="Normal 4 6 4 6 4" xfId="26447" xr:uid="{00000000-0005-0000-0000-000038870000}"/>
    <cellStyle name="Normal 4 6 4 7" xfId="7306" xr:uid="{00000000-0005-0000-0000-000039870000}"/>
    <cellStyle name="Normal 4 6 4 7 2" xfId="17302" xr:uid="{00000000-0005-0000-0000-00003A870000}"/>
    <cellStyle name="Normal 4 6 4 7 2 2" xfId="36702" xr:uid="{00000000-0005-0000-0000-00003B870000}"/>
    <cellStyle name="Normal 4 6 4 7 3" xfId="27004" xr:uid="{00000000-0005-0000-0000-00003C870000}"/>
    <cellStyle name="Normal 4 6 4 8" xfId="12846" xr:uid="{00000000-0005-0000-0000-00003D870000}"/>
    <cellStyle name="Normal 4 6 4 8 2" xfId="32247" xr:uid="{00000000-0005-0000-0000-00003E870000}"/>
    <cellStyle name="Normal 4 6 4 9" xfId="22549" xr:uid="{00000000-0005-0000-0000-00003F870000}"/>
    <cellStyle name="Normal 4 7" xfId="1548" xr:uid="{00000000-0005-0000-0000-000040870000}"/>
    <cellStyle name="Normal 4 7 2" xfId="2412" xr:uid="{00000000-0005-0000-0000-000041870000}"/>
    <cellStyle name="Normal 4 7 2 2" xfId="3358" xr:uid="{00000000-0005-0000-0000-000042870000}"/>
    <cellStyle name="Normal 4 7 2 2 2" xfId="5627" xr:uid="{00000000-0005-0000-0000-000043870000}"/>
    <cellStyle name="Normal 4 7 2 2 2 2" xfId="10091" xr:uid="{00000000-0005-0000-0000-000044870000}"/>
    <cellStyle name="Normal 4 7 2 2 2 2 2" xfId="20087" xr:uid="{00000000-0005-0000-0000-000045870000}"/>
    <cellStyle name="Normal 4 7 2 2 2 2 2 2" xfId="39487" xr:uid="{00000000-0005-0000-0000-000046870000}"/>
    <cellStyle name="Normal 4 7 2 2 2 2 3" xfId="29789" xr:uid="{00000000-0005-0000-0000-000047870000}"/>
    <cellStyle name="Normal 4 7 2 2 2 3" xfId="15632" xr:uid="{00000000-0005-0000-0000-000048870000}"/>
    <cellStyle name="Normal 4 7 2 2 2 3 2" xfId="35032" xr:uid="{00000000-0005-0000-0000-000049870000}"/>
    <cellStyle name="Normal 4 7 2 2 2 4" xfId="25334" xr:uid="{00000000-0005-0000-0000-00004A870000}"/>
    <cellStyle name="Normal 4 7 2 2 3" xfId="7863" xr:uid="{00000000-0005-0000-0000-00004B870000}"/>
    <cellStyle name="Normal 4 7 2 2 3 2" xfId="17859" xr:uid="{00000000-0005-0000-0000-00004C870000}"/>
    <cellStyle name="Normal 4 7 2 2 3 2 2" xfId="37259" xr:uid="{00000000-0005-0000-0000-00004D870000}"/>
    <cellStyle name="Normal 4 7 2 2 3 3" xfId="27561" xr:uid="{00000000-0005-0000-0000-00004E870000}"/>
    <cellStyle name="Normal 4 7 2 2 4" xfId="13404" xr:uid="{00000000-0005-0000-0000-00004F870000}"/>
    <cellStyle name="Normal 4 7 2 2 4 2" xfId="32804" xr:uid="{00000000-0005-0000-0000-000050870000}"/>
    <cellStyle name="Normal 4 7 2 2 5" xfId="23106" xr:uid="{00000000-0005-0000-0000-000051870000}"/>
    <cellStyle name="Normal 4 7 2 3" xfId="3941" xr:uid="{00000000-0005-0000-0000-000052870000}"/>
    <cellStyle name="Normal 4 7 2 3 2" xfId="5071" xr:uid="{00000000-0005-0000-0000-000053870000}"/>
    <cellStyle name="Normal 4 7 2 3 2 2" xfId="9535" xr:uid="{00000000-0005-0000-0000-000054870000}"/>
    <cellStyle name="Normal 4 7 2 3 2 2 2" xfId="19531" xr:uid="{00000000-0005-0000-0000-000055870000}"/>
    <cellStyle name="Normal 4 7 2 3 2 2 2 2" xfId="38931" xr:uid="{00000000-0005-0000-0000-000056870000}"/>
    <cellStyle name="Normal 4 7 2 3 2 2 3" xfId="29233" xr:uid="{00000000-0005-0000-0000-000057870000}"/>
    <cellStyle name="Normal 4 7 2 3 2 3" xfId="15076" xr:uid="{00000000-0005-0000-0000-000058870000}"/>
    <cellStyle name="Normal 4 7 2 3 2 3 2" xfId="34476" xr:uid="{00000000-0005-0000-0000-000059870000}"/>
    <cellStyle name="Normal 4 7 2 3 2 4" xfId="24778" xr:uid="{00000000-0005-0000-0000-00005A870000}"/>
    <cellStyle name="Normal 4 7 2 3 3" xfId="8420" xr:uid="{00000000-0005-0000-0000-00005B870000}"/>
    <cellStyle name="Normal 4 7 2 3 3 2" xfId="18416" xr:uid="{00000000-0005-0000-0000-00005C870000}"/>
    <cellStyle name="Normal 4 7 2 3 3 2 2" xfId="37816" xr:uid="{00000000-0005-0000-0000-00005D870000}"/>
    <cellStyle name="Normal 4 7 2 3 3 3" xfId="28118" xr:uid="{00000000-0005-0000-0000-00005E870000}"/>
    <cellStyle name="Normal 4 7 2 3 4" xfId="13961" xr:uid="{00000000-0005-0000-0000-00005F870000}"/>
    <cellStyle name="Normal 4 7 2 3 4 2" xfId="33361" xr:uid="{00000000-0005-0000-0000-000060870000}"/>
    <cellStyle name="Normal 4 7 2 3 5" xfId="23663" xr:uid="{00000000-0005-0000-0000-000061870000}"/>
    <cellStyle name="Normal 4 7 2 4" xfId="4514" xr:uid="{00000000-0005-0000-0000-000062870000}"/>
    <cellStyle name="Normal 4 7 2 4 2" xfId="8978" xr:uid="{00000000-0005-0000-0000-000063870000}"/>
    <cellStyle name="Normal 4 7 2 4 2 2" xfId="18974" xr:uid="{00000000-0005-0000-0000-000064870000}"/>
    <cellStyle name="Normal 4 7 2 4 2 2 2" xfId="38374" xr:uid="{00000000-0005-0000-0000-000065870000}"/>
    <cellStyle name="Normal 4 7 2 4 2 3" xfId="28676" xr:uid="{00000000-0005-0000-0000-000066870000}"/>
    <cellStyle name="Normal 4 7 2 4 3" xfId="14519" xr:uid="{00000000-0005-0000-0000-000067870000}"/>
    <cellStyle name="Normal 4 7 2 4 3 2" xfId="33919" xr:uid="{00000000-0005-0000-0000-000068870000}"/>
    <cellStyle name="Normal 4 7 2 4 4" xfId="24221" xr:uid="{00000000-0005-0000-0000-000069870000}"/>
    <cellStyle name="Normal 4 7 2 5" xfId="6184" xr:uid="{00000000-0005-0000-0000-00006A870000}"/>
    <cellStyle name="Normal 4 7 2 5 2" xfId="10648" xr:uid="{00000000-0005-0000-0000-00006B870000}"/>
    <cellStyle name="Normal 4 7 2 5 2 2" xfId="20644" xr:uid="{00000000-0005-0000-0000-00006C870000}"/>
    <cellStyle name="Normal 4 7 2 5 2 2 2" xfId="40044" xr:uid="{00000000-0005-0000-0000-00006D870000}"/>
    <cellStyle name="Normal 4 7 2 5 2 3" xfId="30346" xr:uid="{00000000-0005-0000-0000-00006E870000}"/>
    <cellStyle name="Normal 4 7 2 5 3" xfId="16189" xr:uid="{00000000-0005-0000-0000-00006F870000}"/>
    <cellStyle name="Normal 4 7 2 5 3 2" xfId="35589" xr:uid="{00000000-0005-0000-0000-000070870000}"/>
    <cellStyle name="Normal 4 7 2 5 4" xfId="25891" xr:uid="{00000000-0005-0000-0000-000071870000}"/>
    <cellStyle name="Normal 4 7 2 6" xfId="6750" xr:uid="{00000000-0005-0000-0000-000072870000}"/>
    <cellStyle name="Normal 4 7 2 6 2" xfId="11205" xr:uid="{00000000-0005-0000-0000-000073870000}"/>
    <cellStyle name="Normal 4 7 2 6 2 2" xfId="21201" xr:uid="{00000000-0005-0000-0000-000074870000}"/>
    <cellStyle name="Normal 4 7 2 6 2 2 2" xfId="40601" xr:uid="{00000000-0005-0000-0000-000075870000}"/>
    <cellStyle name="Normal 4 7 2 6 2 3" xfId="30903" xr:uid="{00000000-0005-0000-0000-000076870000}"/>
    <cellStyle name="Normal 4 7 2 6 3" xfId="16746" xr:uid="{00000000-0005-0000-0000-000077870000}"/>
    <cellStyle name="Normal 4 7 2 6 3 2" xfId="36146" xr:uid="{00000000-0005-0000-0000-000078870000}"/>
    <cellStyle name="Normal 4 7 2 6 4" xfId="26448" xr:uid="{00000000-0005-0000-0000-000079870000}"/>
    <cellStyle name="Normal 4 7 2 7" xfId="7307" xr:uid="{00000000-0005-0000-0000-00007A870000}"/>
    <cellStyle name="Normal 4 7 2 7 2" xfId="17303" xr:uid="{00000000-0005-0000-0000-00007B870000}"/>
    <cellStyle name="Normal 4 7 2 7 2 2" xfId="36703" xr:uid="{00000000-0005-0000-0000-00007C870000}"/>
    <cellStyle name="Normal 4 7 2 7 3" xfId="27005" xr:uid="{00000000-0005-0000-0000-00007D870000}"/>
    <cellStyle name="Normal 4 7 2 8" xfId="12847" xr:uid="{00000000-0005-0000-0000-00007E870000}"/>
    <cellStyle name="Normal 4 7 2 8 2" xfId="32248" xr:uid="{00000000-0005-0000-0000-00007F870000}"/>
    <cellStyle name="Normal 4 7 2 9" xfId="22550" xr:uid="{00000000-0005-0000-0000-000080870000}"/>
    <cellStyle name="Normal 4 7 3" xfId="2413" xr:uid="{00000000-0005-0000-0000-000081870000}"/>
    <cellStyle name="Normal 4 7 3 2" xfId="3359" xr:uid="{00000000-0005-0000-0000-000082870000}"/>
    <cellStyle name="Normal 4 7 3 2 2" xfId="5628" xr:uid="{00000000-0005-0000-0000-000083870000}"/>
    <cellStyle name="Normal 4 7 3 2 2 2" xfId="10092" xr:uid="{00000000-0005-0000-0000-000084870000}"/>
    <cellStyle name="Normal 4 7 3 2 2 2 2" xfId="20088" xr:uid="{00000000-0005-0000-0000-000085870000}"/>
    <cellStyle name="Normal 4 7 3 2 2 2 2 2" xfId="39488" xr:uid="{00000000-0005-0000-0000-000086870000}"/>
    <cellStyle name="Normal 4 7 3 2 2 2 3" xfId="29790" xr:uid="{00000000-0005-0000-0000-000087870000}"/>
    <cellStyle name="Normal 4 7 3 2 2 3" xfId="15633" xr:uid="{00000000-0005-0000-0000-000088870000}"/>
    <cellStyle name="Normal 4 7 3 2 2 3 2" xfId="35033" xr:uid="{00000000-0005-0000-0000-000089870000}"/>
    <cellStyle name="Normal 4 7 3 2 2 4" xfId="25335" xr:uid="{00000000-0005-0000-0000-00008A870000}"/>
    <cellStyle name="Normal 4 7 3 2 3" xfId="7864" xr:uid="{00000000-0005-0000-0000-00008B870000}"/>
    <cellStyle name="Normal 4 7 3 2 3 2" xfId="17860" xr:uid="{00000000-0005-0000-0000-00008C870000}"/>
    <cellStyle name="Normal 4 7 3 2 3 2 2" xfId="37260" xr:uid="{00000000-0005-0000-0000-00008D870000}"/>
    <cellStyle name="Normal 4 7 3 2 3 3" xfId="27562" xr:uid="{00000000-0005-0000-0000-00008E870000}"/>
    <cellStyle name="Normal 4 7 3 2 4" xfId="13405" xr:uid="{00000000-0005-0000-0000-00008F870000}"/>
    <cellStyle name="Normal 4 7 3 2 4 2" xfId="32805" xr:uid="{00000000-0005-0000-0000-000090870000}"/>
    <cellStyle name="Normal 4 7 3 2 5" xfId="23107" xr:uid="{00000000-0005-0000-0000-000091870000}"/>
    <cellStyle name="Normal 4 7 3 3" xfId="3942" xr:uid="{00000000-0005-0000-0000-000092870000}"/>
    <cellStyle name="Normal 4 7 3 3 2" xfId="5072" xr:uid="{00000000-0005-0000-0000-000093870000}"/>
    <cellStyle name="Normal 4 7 3 3 2 2" xfId="9536" xr:uid="{00000000-0005-0000-0000-000094870000}"/>
    <cellStyle name="Normal 4 7 3 3 2 2 2" xfId="19532" xr:uid="{00000000-0005-0000-0000-000095870000}"/>
    <cellStyle name="Normal 4 7 3 3 2 2 2 2" xfId="38932" xr:uid="{00000000-0005-0000-0000-000096870000}"/>
    <cellStyle name="Normal 4 7 3 3 2 2 3" xfId="29234" xr:uid="{00000000-0005-0000-0000-000097870000}"/>
    <cellStyle name="Normal 4 7 3 3 2 3" xfId="15077" xr:uid="{00000000-0005-0000-0000-000098870000}"/>
    <cellStyle name="Normal 4 7 3 3 2 3 2" xfId="34477" xr:uid="{00000000-0005-0000-0000-000099870000}"/>
    <cellStyle name="Normal 4 7 3 3 2 4" xfId="24779" xr:uid="{00000000-0005-0000-0000-00009A870000}"/>
    <cellStyle name="Normal 4 7 3 3 3" xfId="8421" xr:uid="{00000000-0005-0000-0000-00009B870000}"/>
    <cellStyle name="Normal 4 7 3 3 3 2" xfId="18417" xr:uid="{00000000-0005-0000-0000-00009C870000}"/>
    <cellStyle name="Normal 4 7 3 3 3 2 2" xfId="37817" xr:uid="{00000000-0005-0000-0000-00009D870000}"/>
    <cellStyle name="Normal 4 7 3 3 3 3" xfId="28119" xr:uid="{00000000-0005-0000-0000-00009E870000}"/>
    <cellStyle name="Normal 4 7 3 3 4" xfId="13962" xr:uid="{00000000-0005-0000-0000-00009F870000}"/>
    <cellStyle name="Normal 4 7 3 3 4 2" xfId="33362" xr:uid="{00000000-0005-0000-0000-0000A0870000}"/>
    <cellStyle name="Normal 4 7 3 3 5" xfId="23664" xr:uid="{00000000-0005-0000-0000-0000A1870000}"/>
    <cellStyle name="Normal 4 7 3 4" xfId="4515" xr:uid="{00000000-0005-0000-0000-0000A2870000}"/>
    <cellStyle name="Normal 4 7 3 4 2" xfId="8979" xr:uid="{00000000-0005-0000-0000-0000A3870000}"/>
    <cellStyle name="Normal 4 7 3 4 2 2" xfId="18975" xr:uid="{00000000-0005-0000-0000-0000A4870000}"/>
    <cellStyle name="Normal 4 7 3 4 2 2 2" xfId="38375" xr:uid="{00000000-0005-0000-0000-0000A5870000}"/>
    <cellStyle name="Normal 4 7 3 4 2 3" xfId="28677" xr:uid="{00000000-0005-0000-0000-0000A6870000}"/>
    <cellStyle name="Normal 4 7 3 4 3" xfId="14520" xr:uid="{00000000-0005-0000-0000-0000A7870000}"/>
    <cellStyle name="Normal 4 7 3 4 3 2" xfId="33920" xr:uid="{00000000-0005-0000-0000-0000A8870000}"/>
    <cellStyle name="Normal 4 7 3 4 4" xfId="24222" xr:uid="{00000000-0005-0000-0000-0000A9870000}"/>
    <cellStyle name="Normal 4 7 3 5" xfId="6185" xr:uid="{00000000-0005-0000-0000-0000AA870000}"/>
    <cellStyle name="Normal 4 7 3 5 2" xfId="10649" xr:uid="{00000000-0005-0000-0000-0000AB870000}"/>
    <cellStyle name="Normal 4 7 3 5 2 2" xfId="20645" xr:uid="{00000000-0005-0000-0000-0000AC870000}"/>
    <cellStyle name="Normal 4 7 3 5 2 2 2" xfId="40045" xr:uid="{00000000-0005-0000-0000-0000AD870000}"/>
    <cellStyle name="Normal 4 7 3 5 2 3" xfId="30347" xr:uid="{00000000-0005-0000-0000-0000AE870000}"/>
    <cellStyle name="Normal 4 7 3 5 3" xfId="16190" xr:uid="{00000000-0005-0000-0000-0000AF870000}"/>
    <cellStyle name="Normal 4 7 3 5 3 2" xfId="35590" xr:uid="{00000000-0005-0000-0000-0000B0870000}"/>
    <cellStyle name="Normal 4 7 3 5 4" xfId="25892" xr:uid="{00000000-0005-0000-0000-0000B1870000}"/>
    <cellStyle name="Normal 4 7 3 6" xfId="6751" xr:uid="{00000000-0005-0000-0000-0000B2870000}"/>
    <cellStyle name="Normal 4 7 3 6 2" xfId="11206" xr:uid="{00000000-0005-0000-0000-0000B3870000}"/>
    <cellStyle name="Normal 4 7 3 6 2 2" xfId="21202" xr:uid="{00000000-0005-0000-0000-0000B4870000}"/>
    <cellStyle name="Normal 4 7 3 6 2 2 2" xfId="40602" xr:uid="{00000000-0005-0000-0000-0000B5870000}"/>
    <cellStyle name="Normal 4 7 3 6 2 3" xfId="30904" xr:uid="{00000000-0005-0000-0000-0000B6870000}"/>
    <cellStyle name="Normal 4 7 3 6 3" xfId="16747" xr:uid="{00000000-0005-0000-0000-0000B7870000}"/>
    <cellStyle name="Normal 4 7 3 6 3 2" xfId="36147" xr:uid="{00000000-0005-0000-0000-0000B8870000}"/>
    <cellStyle name="Normal 4 7 3 6 4" xfId="26449" xr:uid="{00000000-0005-0000-0000-0000B9870000}"/>
    <cellStyle name="Normal 4 7 3 7" xfId="7308" xr:uid="{00000000-0005-0000-0000-0000BA870000}"/>
    <cellStyle name="Normal 4 7 3 7 2" xfId="17304" xr:uid="{00000000-0005-0000-0000-0000BB870000}"/>
    <cellStyle name="Normal 4 7 3 7 2 2" xfId="36704" xr:uid="{00000000-0005-0000-0000-0000BC870000}"/>
    <cellStyle name="Normal 4 7 3 7 3" xfId="27006" xr:uid="{00000000-0005-0000-0000-0000BD870000}"/>
    <cellStyle name="Normal 4 7 3 8" xfId="12848" xr:uid="{00000000-0005-0000-0000-0000BE870000}"/>
    <cellStyle name="Normal 4 7 3 8 2" xfId="32249" xr:uid="{00000000-0005-0000-0000-0000BF870000}"/>
    <cellStyle name="Normal 4 7 3 9" xfId="22551" xr:uid="{00000000-0005-0000-0000-0000C0870000}"/>
    <cellStyle name="Normal 4 8" xfId="1797" xr:uid="{00000000-0005-0000-0000-0000C1870000}"/>
    <cellStyle name="Normal 4 8 2" xfId="2905" xr:uid="{00000000-0005-0000-0000-0000C2870000}"/>
    <cellStyle name="Normal 4 8 2 2" xfId="5174" xr:uid="{00000000-0005-0000-0000-0000C3870000}"/>
    <cellStyle name="Normal 4 8 2 2 2" xfId="9638" xr:uid="{00000000-0005-0000-0000-0000C4870000}"/>
    <cellStyle name="Normal 4 8 2 2 2 2" xfId="19634" xr:uid="{00000000-0005-0000-0000-0000C5870000}"/>
    <cellStyle name="Normal 4 8 2 2 2 2 2" xfId="39034" xr:uid="{00000000-0005-0000-0000-0000C6870000}"/>
    <cellStyle name="Normal 4 8 2 2 2 3" xfId="29336" xr:uid="{00000000-0005-0000-0000-0000C7870000}"/>
    <cellStyle name="Normal 4 8 2 2 3" xfId="15179" xr:uid="{00000000-0005-0000-0000-0000C8870000}"/>
    <cellStyle name="Normal 4 8 2 2 3 2" xfId="34579" xr:uid="{00000000-0005-0000-0000-0000C9870000}"/>
    <cellStyle name="Normal 4 8 2 2 4" xfId="24881" xr:uid="{00000000-0005-0000-0000-0000CA870000}"/>
    <cellStyle name="Normal 4 8 2 3" xfId="7410" xr:uid="{00000000-0005-0000-0000-0000CB870000}"/>
    <cellStyle name="Normal 4 8 2 3 2" xfId="17406" xr:uid="{00000000-0005-0000-0000-0000CC870000}"/>
    <cellStyle name="Normal 4 8 2 3 2 2" xfId="36806" xr:uid="{00000000-0005-0000-0000-0000CD870000}"/>
    <cellStyle name="Normal 4 8 2 3 3" xfId="27108" xr:uid="{00000000-0005-0000-0000-0000CE870000}"/>
    <cellStyle name="Normal 4 8 2 4" xfId="12951" xr:uid="{00000000-0005-0000-0000-0000CF870000}"/>
    <cellStyle name="Normal 4 8 2 4 2" xfId="32351" xr:uid="{00000000-0005-0000-0000-0000D0870000}"/>
    <cellStyle name="Normal 4 8 2 5" xfId="22653" xr:uid="{00000000-0005-0000-0000-0000D1870000}"/>
    <cellStyle name="Normal 4 8 3" xfId="3488" xr:uid="{00000000-0005-0000-0000-0000D2870000}"/>
    <cellStyle name="Normal 4 8 3 2" xfId="4618" xr:uid="{00000000-0005-0000-0000-0000D3870000}"/>
    <cellStyle name="Normal 4 8 3 2 2" xfId="9082" xr:uid="{00000000-0005-0000-0000-0000D4870000}"/>
    <cellStyle name="Normal 4 8 3 2 2 2" xfId="19078" xr:uid="{00000000-0005-0000-0000-0000D5870000}"/>
    <cellStyle name="Normal 4 8 3 2 2 2 2" xfId="38478" xr:uid="{00000000-0005-0000-0000-0000D6870000}"/>
    <cellStyle name="Normal 4 8 3 2 2 3" xfId="28780" xr:uid="{00000000-0005-0000-0000-0000D7870000}"/>
    <cellStyle name="Normal 4 8 3 2 3" xfId="14623" xr:uid="{00000000-0005-0000-0000-0000D8870000}"/>
    <cellStyle name="Normal 4 8 3 2 3 2" xfId="34023" xr:uid="{00000000-0005-0000-0000-0000D9870000}"/>
    <cellStyle name="Normal 4 8 3 2 4" xfId="24325" xr:uid="{00000000-0005-0000-0000-0000DA870000}"/>
    <cellStyle name="Normal 4 8 3 3" xfId="7967" xr:uid="{00000000-0005-0000-0000-0000DB870000}"/>
    <cellStyle name="Normal 4 8 3 3 2" xfId="17963" xr:uid="{00000000-0005-0000-0000-0000DC870000}"/>
    <cellStyle name="Normal 4 8 3 3 2 2" xfId="37363" xr:uid="{00000000-0005-0000-0000-0000DD870000}"/>
    <cellStyle name="Normal 4 8 3 3 3" xfId="27665" xr:uid="{00000000-0005-0000-0000-0000DE870000}"/>
    <cellStyle name="Normal 4 8 3 4" xfId="13508" xr:uid="{00000000-0005-0000-0000-0000DF870000}"/>
    <cellStyle name="Normal 4 8 3 4 2" xfId="32908" xr:uid="{00000000-0005-0000-0000-0000E0870000}"/>
    <cellStyle name="Normal 4 8 3 5" xfId="23210" xr:uid="{00000000-0005-0000-0000-0000E1870000}"/>
    <cellStyle name="Normal 4 8 4" xfId="4061" xr:uid="{00000000-0005-0000-0000-0000E2870000}"/>
    <cellStyle name="Normal 4 8 4 2" xfId="8525" xr:uid="{00000000-0005-0000-0000-0000E3870000}"/>
    <cellStyle name="Normal 4 8 4 2 2" xfId="18521" xr:uid="{00000000-0005-0000-0000-0000E4870000}"/>
    <cellStyle name="Normal 4 8 4 2 2 2" xfId="37921" xr:uid="{00000000-0005-0000-0000-0000E5870000}"/>
    <cellStyle name="Normal 4 8 4 2 3" xfId="28223" xr:uid="{00000000-0005-0000-0000-0000E6870000}"/>
    <cellStyle name="Normal 4 8 4 3" xfId="14066" xr:uid="{00000000-0005-0000-0000-0000E7870000}"/>
    <cellStyle name="Normal 4 8 4 3 2" xfId="33466" xr:uid="{00000000-0005-0000-0000-0000E8870000}"/>
    <cellStyle name="Normal 4 8 4 4" xfId="23768" xr:uid="{00000000-0005-0000-0000-0000E9870000}"/>
    <cellStyle name="Normal 4 8 5" xfId="5731" xr:uid="{00000000-0005-0000-0000-0000EA870000}"/>
    <cellStyle name="Normal 4 8 5 2" xfId="10195" xr:uid="{00000000-0005-0000-0000-0000EB870000}"/>
    <cellStyle name="Normal 4 8 5 2 2" xfId="20191" xr:uid="{00000000-0005-0000-0000-0000EC870000}"/>
    <cellStyle name="Normal 4 8 5 2 2 2" xfId="39591" xr:uid="{00000000-0005-0000-0000-0000ED870000}"/>
    <cellStyle name="Normal 4 8 5 2 3" xfId="29893" xr:uid="{00000000-0005-0000-0000-0000EE870000}"/>
    <cellStyle name="Normal 4 8 5 3" xfId="15736" xr:uid="{00000000-0005-0000-0000-0000EF870000}"/>
    <cellStyle name="Normal 4 8 5 3 2" xfId="35136" xr:uid="{00000000-0005-0000-0000-0000F0870000}"/>
    <cellStyle name="Normal 4 8 5 4" xfId="25438" xr:uid="{00000000-0005-0000-0000-0000F1870000}"/>
    <cellStyle name="Normal 4 8 6" xfId="6297" xr:uid="{00000000-0005-0000-0000-0000F2870000}"/>
    <cellStyle name="Normal 4 8 6 2" xfId="10752" xr:uid="{00000000-0005-0000-0000-0000F3870000}"/>
    <cellStyle name="Normal 4 8 6 2 2" xfId="20748" xr:uid="{00000000-0005-0000-0000-0000F4870000}"/>
    <cellStyle name="Normal 4 8 6 2 2 2" xfId="40148" xr:uid="{00000000-0005-0000-0000-0000F5870000}"/>
    <cellStyle name="Normal 4 8 6 2 3" xfId="30450" xr:uid="{00000000-0005-0000-0000-0000F6870000}"/>
    <cellStyle name="Normal 4 8 6 3" xfId="16293" xr:uid="{00000000-0005-0000-0000-0000F7870000}"/>
    <cellStyle name="Normal 4 8 6 3 2" xfId="35693" xr:uid="{00000000-0005-0000-0000-0000F8870000}"/>
    <cellStyle name="Normal 4 8 6 4" xfId="25995" xr:uid="{00000000-0005-0000-0000-0000F9870000}"/>
    <cellStyle name="Normal 4 8 7" xfId="6854" xr:uid="{00000000-0005-0000-0000-0000FA870000}"/>
    <cellStyle name="Normal 4 8 7 2" xfId="16850" xr:uid="{00000000-0005-0000-0000-0000FB870000}"/>
    <cellStyle name="Normal 4 8 7 2 2" xfId="36250" xr:uid="{00000000-0005-0000-0000-0000FC870000}"/>
    <cellStyle name="Normal 4 8 7 3" xfId="26552" xr:uid="{00000000-0005-0000-0000-0000FD870000}"/>
    <cellStyle name="Normal 4 8 8" xfId="12394" xr:uid="{00000000-0005-0000-0000-0000FE870000}"/>
    <cellStyle name="Normal 4 8 8 2" xfId="31795" xr:uid="{00000000-0005-0000-0000-0000FF870000}"/>
    <cellStyle name="Normal 4 8 9" xfId="22097" xr:uid="{00000000-0005-0000-0000-000000880000}"/>
    <cellStyle name="Normal 4 9" xfId="1914" xr:uid="{00000000-0005-0000-0000-000001880000}"/>
    <cellStyle name="Normal 4 9 2" xfId="2927" xr:uid="{00000000-0005-0000-0000-000002880000}"/>
    <cellStyle name="Normal 4 9 2 2" xfId="5196" xr:uid="{00000000-0005-0000-0000-000003880000}"/>
    <cellStyle name="Normal 4 9 2 2 2" xfId="9660" xr:uid="{00000000-0005-0000-0000-000004880000}"/>
    <cellStyle name="Normal 4 9 2 2 2 2" xfId="19656" xr:uid="{00000000-0005-0000-0000-000005880000}"/>
    <cellStyle name="Normal 4 9 2 2 2 2 2" xfId="39056" xr:uid="{00000000-0005-0000-0000-000006880000}"/>
    <cellStyle name="Normal 4 9 2 2 2 3" xfId="29358" xr:uid="{00000000-0005-0000-0000-000007880000}"/>
    <cellStyle name="Normal 4 9 2 2 3" xfId="15201" xr:uid="{00000000-0005-0000-0000-000008880000}"/>
    <cellStyle name="Normal 4 9 2 2 3 2" xfId="34601" xr:uid="{00000000-0005-0000-0000-000009880000}"/>
    <cellStyle name="Normal 4 9 2 2 4" xfId="24903" xr:uid="{00000000-0005-0000-0000-00000A880000}"/>
    <cellStyle name="Normal 4 9 2 3" xfId="7432" xr:uid="{00000000-0005-0000-0000-00000B880000}"/>
    <cellStyle name="Normal 4 9 2 3 2" xfId="17428" xr:uid="{00000000-0005-0000-0000-00000C880000}"/>
    <cellStyle name="Normal 4 9 2 3 2 2" xfId="36828" xr:uid="{00000000-0005-0000-0000-00000D880000}"/>
    <cellStyle name="Normal 4 9 2 3 3" xfId="27130" xr:uid="{00000000-0005-0000-0000-00000E880000}"/>
    <cellStyle name="Normal 4 9 2 4" xfId="12973" xr:uid="{00000000-0005-0000-0000-00000F880000}"/>
    <cellStyle name="Normal 4 9 2 4 2" xfId="32373" xr:uid="{00000000-0005-0000-0000-000010880000}"/>
    <cellStyle name="Normal 4 9 2 5" xfId="22675" xr:uid="{00000000-0005-0000-0000-000011880000}"/>
    <cellStyle name="Normal 4 9 3" xfId="3510" xr:uid="{00000000-0005-0000-0000-000012880000}"/>
    <cellStyle name="Normal 4 9 3 2" xfId="4640" xr:uid="{00000000-0005-0000-0000-000013880000}"/>
    <cellStyle name="Normal 4 9 3 2 2" xfId="9104" xr:uid="{00000000-0005-0000-0000-000014880000}"/>
    <cellStyle name="Normal 4 9 3 2 2 2" xfId="19100" xr:uid="{00000000-0005-0000-0000-000015880000}"/>
    <cellStyle name="Normal 4 9 3 2 2 2 2" xfId="38500" xr:uid="{00000000-0005-0000-0000-000016880000}"/>
    <cellStyle name="Normal 4 9 3 2 2 3" xfId="28802" xr:uid="{00000000-0005-0000-0000-000017880000}"/>
    <cellStyle name="Normal 4 9 3 2 3" xfId="14645" xr:uid="{00000000-0005-0000-0000-000018880000}"/>
    <cellStyle name="Normal 4 9 3 2 3 2" xfId="34045" xr:uid="{00000000-0005-0000-0000-000019880000}"/>
    <cellStyle name="Normal 4 9 3 2 4" xfId="24347" xr:uid="{00000000-0005-0000-0000-00001A880000}"/>
    <cellStyle name="Normal 4 9 3 3" xfId="7989" xr:uid="{00000000-0005-0000-0000-00001B880000}"/>
    <cellStyle name="Normal 4 9 3 3 2" xfId="17985" xr:uid="{00000000-0005-0000-0000-00001C880000}"/>
    <cellStyle name="Normal 4 9 3 3 2 2" xfId="37385" xr:uid="{00000000-0005-0000-0000-00001D880000}"/>
    <cellStyle name="Normal 4 9 3 3 3" xfId="27687" xr:uid="{00000000-0005-0000-0000-00001E880000}"/>
    <cellStyle name="Normal 4 9 3 4" xfId="13530" xr:uid="{00000000-0005-0000-0000-00001F880000}"/>
    <cellStyle name="Normal 4 9 3 4 2" xfId="32930" xr:uid="{00000000-0005-0000-0000-000020880000}"/>
    <cellStyle name="Normal 4 9 3 5" xfId="23232" xr:uid="{00000000-0005-0000-0000-000021880000}"/>
    <cellStyle name="Normal 4 9 4" xfId="4083" xr:uid="{00000000-0005-0000-0000-000022880000}"/>
    <cellStyle name="Normal 4 9 4 2" xfId="8547" xr:uid="{00000000-0005-0000-0000-000023880000}"/>
    <cellStyle name="Normal 4 9 4 2 2" xfId="18543" xr:uid="{00000000-0005-0000-0000-000024880000}"/>
    <cellStyle name="Normal 4 9 4 2 2 2" xfId="37943" xr:uid="{00000000-0005-0000-0000-000025880000}"/>
    <cellStyle name="Normal 4 9 4 2 3" xfId="28245" xr:uid="{00000000-0005-0000-0000-000026880000}"/>
    <cellStyle name="Normal 4 9 4 3" xfId="14088" xr:uid="{00000000-0005-0000-0000-000027880000}"/>
    <cellStyle name="Normal 4 9 4 3 2" xfId="33488" xr:uid="{00000000-0005-0000-0000-000028880000}"/>
    <cellStyle name="Normal 4 9 4 4" xfId="23790" xr:uid="{00000000-0005-0000-0000-000029880000}"/>
    <cellStyle name="Normal 4 9 5" xfId="5753" xr:uid="{00000000-0005-0000-0000-00002A880000}"/>
    <cellStyle name="Normal 4 9 5 2" xfId="10217" xr:uid="{00000000-0005-0000-0000-00002B880000}"/>
    <cellStyle name="Normal 4 9 5 2 2" xfId="20213" xr:uid="{00000000-0005-0000-0000-00002C880000}"/>
    <cellStyle name="Normal 4 9 5 2 2 2" xfId="39613" xr:uid="{00000000-0005-0000-0000-00002D880000}"/>
    <cellStyle name="Normal 4 9 5 2 3" xfId="29915" xr:uid="{00000000-0005-0000-0000-00002E880000}"/>
    <cellStyle name="Normal 4 9 5 3" xfId="15758" xr:uid="{00000000-0005-0000-0000-00002F880000}"/>
    <cellStyle name="Normal 4 9 5 3 2" xfId="35158" xr:uid="{00000000-0005-0000-0000-000030880000}"/>
    <cellStyle name="Normal 4 9 5 4" xfId="25460" xr:uid="{00000000-0005-0000-0000-000031880000}"/>
    <cellStyle name="Normal 4 9 6" xfId="6319" xr:uid="{00000000-0005-0000-0000-000032880000}"/>
    <cellStyle name="Normal 4 9 6 2" xfId="10774" xr:uid="{00000000-0005-0000-0000-000033880000}"/>
    <cellStyle name="Normal 4 9 6 2 2" xfId="20770" xr:uid="{00000000-0005-0000-0000-000034880000}"/>
    <cellStyle name="Normal 4 9 6 2 2 2" xfId="40170" xr:uid="{00000000-0005-0000-0000-000035880000}"/>
    <cellStyle name="Normal 4 9 6 2 3" xfId="30472" xr:uid="{00000000-0005-0000-0000-000036880000}"/>
    <cellStyle name="Normal 4 9 6 3" xfId="16315" xr:uid="{00000000-0005-0000-0000-000037880000}"/>
    <cellStyle name="Normal 4 9 6 3 2" xfId="35715" xr:uid="{00000000-0005-0000-0000-000038880000}"/>
    <cellStyle name="Normal 4 9 6 4" xfId="26017" xr:uid="{00000000-0005-0000-0000-000039880000}"/>
    <cellStyle name="Normal 4 9 7" xfId="6876" xr:uid="{00000000-0005-0000-0000-00003A880000}"/>
    <cellStyle name="Normal 4 9 7 2" xfId="16872" xr:uid="{00000000-0005-0000-0000-00003B880000}"/>
    <cellStyle name="Normal 4 9 7 2 2" xfId="36272" xr:uid="{00000000-0005-0000-0000-00003C880000}"/>
    <cellStyle name="Normal 4 9 7 3" xfId="26574" xr:uid="{00000000-0005-0000-0000-00003D880000}"/>
    <cellStyle name="Normal 4 9 8" xfId="12416" xr:uid="{00000000-0005-0000-0000-00003E880000}"/>
    <cellStyle name="Normal 4 9 8 2" xfId="31817" xr:uid="{00000000-0005-0000-0000-00003F880000}"/>
    <cellStyle name="Normal 4 9 9" xfId="22119" xr:uid="{00000000-0005-0000-0000-000040880000}"/>
    <cellStyle name="Normal 40" xfId="984" xr:uid="{00000000-0005-0000-0000-000041880000}"/>
    <cellStyle name="Normal 41" xfId="986" xr:uid="{00000000-0005-0000-0000-000042880000}"/>
    <cellStyle name="Normal 41 2" xfId="11857" xr:uid="{00000000-0005-0000-0000-000043880000}"/>
    <cellStyle name="Normal 41 2 2" xfId="21561" xr:uid="{00000000-0005-0000-0000-000044880000}"/>
    <cellStyle name="Normal 41 2 2 2" xfId="40961" xr:uid="{00000000-0005-0000-0000-000045880000}"/>
    <cellStyle name="Normal 41 2 3" xfId="31263" xr:uid="{00000000-0005-0000-0000-000046880000}"/>
    <cellStyle name="Normal 41 3" xfId="2544" xr:uid="{00000000-0005-0000-0000-000047880000}"/>
    <cellStyle name="Normal 41 4" xfId="12213" xr:uid="{00000000-0005-0000-0000-000048880000}"/>
    <cellStyle name="Normal 41 4 2" xfId="31616" xr:uid="{00000000-0005-0000-0000-000049880000}"/>
    <cellStyle name="Normal 41 5" xfId="21918" xr:uid="{00000000-0005-0000-0000-00004A880000}"/>
    <cellStyle name="Normal 42" xfId="987" xr:uid="{00000000-0005-0000-0000-00004B880000}"/>
    <cellStyle name="Normal 42 2" xfId="11858" xr:uid="{00000000-0005-0000-0000-00004C880000}"/>
    <cellStyle name="Normal 42 2 2" xfId="21562" xr:uid="{00000000-0005-0000-0000-00004D880000}"/>
    <cellStyle name="Normal 42 2 2 2" xfId="40962" xr:uid="{00000000-0005-0000-0000-00004E880000}"/>
    <cellStyle name="Normal 42 2 3" xfId="31264" xr:uid="{00000000-0005-0000-0000-00004F880000}"/>
    <cellStyle name="Normal 42 3" xfId="2487" xr:uid="{00000000-0005-0000-0000-000050880000}"/>
    <cellStyle name="Normal 42 4" xfId="12214" xr:uid="{00000000-0005-0000-0000-000051880000}"/>
    <cellStyle name="Normal 42 4 2" xfId="31617" xr:uid="{00000000-0005-0000-0000-000052880000}"/>
    <cellStyle name="Normal 42 5" xfId="21919" xr:uid="{00000000-0005-0000-0000-000053880000}"/>
    <cellStyle name="Normal 43" xfId="1001" xr:uid="{00000000-0005-0000-0000-000054880000}"/>
    <cellStyle name="Normal 43 2" xfId="11872" xr:uid="{00000000-0005-0000-0000-000055880000}"/>
    <cellStyle name="Normal 43 2 2" xfId="21576" xr:uid="{00000000-0005-0000-0000-000056880000}"/>
    <cellStyle name="Normal 43 2 2 2" xfId="40976" xr:uid="{00000000-0005-0000-0000-000057880000}"/>
    <cellStyle name="Normal 43 2 3" xfId="31278" xr:uid="{00000000-0005-0000-0000-000058880000}"/>
    <cellStyle name="Normal 43 3" xfId="2546" xr:uid="{00000000-0005-0000-0000-000059880000}"/>
    <cellStyle name="Normal 43 4" xfId="12228" xr:uid="{00000000-0005-0000-0000-00005A880000}"/>
    <cellStyle name="Normal 43 4 2" xfId="31631" xr:uid="{00000000-0005-0000-0000-00005B880000}"/>
    <cellStyle name="Normal 43 5" xfId="21933" xr:uid="{00000000-0005-0000-0000-00005C880000}"/>
    <cellStyle name="Normal 44" xfId="1010" xr:uid="{00000000-0005-0000-0000-00005D880000}"/>
    <cellStyle name="Normal 44 2" xfId="11881" xr:uid="{00000000-0005-0000-0000-00005E880000}"/>
    <cellStyle name="Normal 44 2 2" xfId="21585" xr:uid="{00000000-0005-0000-0000-00005F880000}"/>
    <cellStyle name="Normal 44 2 2 2" xfId="40985" xr:uid="{00000000-0005-0000-0000-000060880000}"/>
    <cellStyle name="Normal 44 2 3" xfId="31287" xr:uid="{00000000-0005-0000-0000-000061880000}"/>
    <cellStyle name="Normal 44 3" xfId="2488" xr:uid="{00000000-0005-0000-0000-000062880000}"/>
    <cellStyle name="Normal 44 4" xfId="12237" xr:uid="{00000000-0005-0000-0000-000063880000}"/>
    <cellStyle name="Normal 44 4 2" xfId="31640" xr:uid="{00000000-0005-0000-0000-000064880000}"/>
    <cellStyle name="Normal 44 5" xfId="21942" xr:uid="{00000000-0005-0000-0000-000065880000}"/>
    <cellStyle name="Normal 45" xfId="1006" xr:uid="{00000000-0005-0000-0000-000066880000}"/>
    <cellStyle name="Normal 45 2" xfId="11877" xr:uid="{00000000-0005-0000-0000-000067880000}"/>
    <cellStyle name="Normal 45 2 2" xfId="21581" xr:uid="{00000000-0005-0000-0000-000068880000}"/>
    <cellStyle name="Normal 45 2 2 2" xfId="40981" xr:uid="{00000000-0005-0000-0000-000069880000}"/>
    <cellStyle name="Normal 45 2 3" xfId="31283" xr:uid="{00000000-0005-0000-0000-00006A880000}"/>
    <cellStyle name="Normal 45 3" xfId="2550" xr:uid="{00000000-0005-0000-0000-00006B880000}"/>
    <cellStyle name="Normal 45 4" xfId="12233" xr:uid="{00000000-0005-0000-0000-00006C880000}"/>
    <cellStyle name="Normal 45 4 2" xfId="31636" xr:uid="{00000000-0005-0000-0000-00006D880000}"/>
    <cellStyle name="Normal 45 5" xfId="21938" xr:uid="{00000000-0005-0000-0000-00006E880000}"/>
    <cellStyle name="Normal 46" xfId="1012" xr:uid="{00000000-0005-0000-0000-00006F880000}"/>
    <cellStyle name="Normal 46 2" xfId="11883" xr:uid="{00000000-0005-0000-0000-000070880000}"/>
    <cellStyle name="Normal 46 2 2" xfId="21587" xr:uid="{00000000-0005-0000-0000-000071880000}"/>
    <cellStyle name="Normal 46 2 2 2" xfId="40987" xr:uid="{00000000-0005-0000-0000-000072880000}"/>
    <cellStyle name="Normal 46 2 3" xfId="31289" xr:uid="{00000000-0005-0000-0000-000073880000}"/>
    <cellStyle name="Normal 46 3" xfId="2492" xr:uid="{00000000-0005-0000-0000-000074880000}"/>
    <cellStyle name="Normal 46 4" xfId="12239" xr:uid="{00000000-0005-0000-0000-000075880000}"/>
    <cellStyle name="Normal 46 4 2" xfId="31642" xr:uid="{00000000-0005-0000-0000-000076880000}"/>
    <cellStyle name="Normal 46 5" xfId="21944" xr:uid="{00000000-0005-0000-0000-000077880000}"/>
    <cellStyle name="Normal 47" xfId="1005" xr:uid="{00000000-0005-0000-0000-000078880000}"/>
    <cellStyle name="Normal 47 2" xfId="11876" xr:uid="{00000000-0005-0000-0000-000079880000}"/>
    <cellStyle name="Normal 47 2 2" xfId="21580" xr:uid="{00000000-0005-0000-0000-00007A880000}"/>
    <cellStyle name="Normal 47 2 2 2" xfId="40980" xr:uid="{00000000-0005-0000-0000-00007B880000}"/>
    <cellStyle name="Normal 47 2 3" xfId="31282" xr:uid="{00000000-0005-0000-0000-00007C880000}"/>
    <cellStyle name="Normal 47 3" xfId="2477" xr:uid="{00000000-0005-0000-0000-00007D880000}"/>
    <cellStyle name="Normal 47 4" xfId="12232" xr:uid="{00000000-0005-0000-0000-00007E880000}"/>
    <cellStyle name="Normal 47 4 2" xfId="31635" xr:uid="{00000000-0005-0000-0000-00007F880000}"/>
    <cellStyle name="Normal 47 5" xfId="21937" xr:uid="{00000000-0005-0000-0000-000080880000}"/>
    <cellStyle name="Normal 48" xfId="1003" xr:uid="{00000000-0005-0000-0000-000081880000}"/>
    <cellStyle name="Normal 48 2" xfId="11874" xr:uid="{00000000-0005-0000-0000-000082880000}"/>
    <cellStyle name="Normal 48 2 2" xfId="21578" xr:uid="{00000000-0005-0000-0000-000083880000}"/>
    <cellStyle name="Normal 48 2 2 2" xfId="40978" xr:uid="{00000000-0005-0000-0000-000084880000}"/>
    <cellStyle name="Normal 48 2 3" xfId="31280" xr:uid="{00000000-0005-0000-0000-000085880000}"/>
    <cellStyle name="Normal 48 3" xfId="2542" xr:uid="{00000000-0005-0000-0000-000086880000}"/>
    <cellStyle name="Normal 48 4" xfId="12230" xr:uid="{00000000-0005-0000-0000-000087880000}"/>
    <cellStyle name="Normal 48 4 2" xfId="31633" xr:uid="{00000000-0005-0000-0000-000088880000}"/>
    <cellStyle name="Normal 48 5" xfId="21935" xr:uid="{00000000-0005-0000-0000-000089880000}"/>
    <cellStyle name="Normal 49" xfId="1007" xr:uid="{00000000-0005-0000-0000-00008A880000}"/>
    <cellStyle name="Normal 49 2" xfId="11878" xr:uid="{00000000-0005-0000-0000-00008B880000}"/>
    <cellStyle name="Normal 49 2 2" xfId="21582" xr:uid="{00000000-0005-0000-0000-00008C880000}"/>
    <cellStyle name="Normal 49 2 2 2" xfId="40982" xr:uid="{00000000-0005-0000-0000-00008D880000}"/>
    <cellStyle name="Normal 49 2 3" xfId="31284" xr:uid="{00000000-0005-0000-0000-00008E880000}"/>
    <cellStyle name="Normal 49 3" xfId="2486" xr:uid="{00000000-0005-0000-0000-00008F880000}"/>
    <cellStyle name="Normal 49 4" xfId="12234" xr:uid="{00000000-0005-0000-0000-000090880000}"/>
    <cellStyle name="Normal 49 4 2" xfId="31637" xr:uid="{00000000-0005-0000-0000-000091880000}"/>
    <cellStyle name="Normal 49 5" xfId="21939" xr:uid="{00000000-0005-0000-0000-000092880000}"/>
    <cellStyle name="Normal 5" xfId="524" xr:uid="{00000000-0005-0000-0000-000093880000}"/>
    <cellStyle name="Normal 5 10" xfId="11318" xr:uid="{00000000-0005-0000-0000-000094880000}"/>
    <cellStyle name="Normal 5 10 2" xfId="21303" xr:uid="{00000000-0005-0000-0000-000095880000}"/>
    <cellStyle name="Normal 5 10 2 2" xfId="40703" xr:uid="{00000000-0005-0000-0000-000096880000}"/>
    <cellStyle name="Normal 5 10 3" xfId="31005" xr:uid="{00000000-0005-0000-0000-000097880000}"/>
    <cellStyle name="Normal 5 11" xfId="11348" xr:uid="{00000000-0005-0000-0000-000098880000}"/>
    <cellStyle name="Normal 5 11 2" xfId="21330" xr:uid="{00000000-0005-0000-0000-000099880000}"/>
    <cellStyle name="Normal 5 11 2 2" xfId="40730" xr:uid="{00000000-0005-0000-0000-00009A880000}"/>
    <cellStyle name="Normal 5 11 3" xfId="31032" xr:uid="{00000000-0005-0000-0000-00009B880000}"/>
    <cellStyle name="Normal 5 12" xfId="1549" xr:uid="{00000000-0005-0000-0000-00009C880000}"/>
    <cellStyle name="Normal 5 13" xfId="11561" xr:uid="{00000000-0005-0000-0000-00009D880000}"/>
    <cellStyle name="Normal 5 14" xfId="1144" xr:uid="{00000000-0005-0000-0000-00009E880000}"/>
    <cellStyle name="Normal 5 14 2" xfId="12363" xr:uid="{00000000-0005-0000-0000-00009F880000}"/>
    <cellStyle name="Normal 5 14 2 2" xfId="31765" xr:uid="{00000000-0005-0000-0000-0000A0880000}"/>
    <cellStyle name="Normal 5 14 3" xfId="22067" xr:uid="{00000000-0005-0000-0000-0000A1880000}"/>
    <cellStyle name="Normal 5 2" xfId="768" xr:uid="{00000000-0005-0000-0000-0000A2880000}"/>
    <cellStyle name="Normal 5 2 2" xfId="1121" xr:uid="{00000000-0005-0000-0000-0000A3880000}"/>
    <cellStyle name="Normal 5 2 2 10" xfId="12342" xr:uid="{00000000-0005-0000-0000-0000A4880000}"/>
    <cellStyle name="Normal 5 2 2 10 2" xfId="31745" xr:uid="{00000000-0005-0000-0000-0000A5880000}"/>
    <cellStyle name="Normal 5 2 2 11" xfId="22047" xr:uid="{00000000-0005-0000-0000-0000A6880000}"/>
    <cellStyle name="Normal 5 2 2 2" xfId="3396" xr:uid="{00000000-0005-0000-0000-0000A7880000}"/>
    <cellStyle name="Normal 5 2 2 2 2" xfId="5664" xr:uid="{00000000-0005-0000-0000-0000A8880000}"/>
    <cellStyle name="Normal 5 2 2 2 2 2" xfId="10128" xr:uid="{00000000-0005-0000-0000-0000A9880000}"/>
    <cellStyle name="Normal 5 2 2 2 2 2 2" xfId="20124" xr:uid="{00000000-0005-0000-0000-0000AA880000}"/>
    <cellStyle name="Normal 5 2 2 2 2 2 2 2" xfId="39524" xr:uid="{00000000-0005-0000-0000-0000AB880000}"/>
    <cellStyle name="Normal 5 2 2 2 2 2 3" xfId="29826" xr:uid="{00000000-0005-0000-0000-0000AC880000}"/>
    <cellStyle name="Normal 5 2 2 2 2 3" xfId="15669" xr:uid="{00000000-0005-0000-0000-0000AD880000}"/>
    <cellStyle name="Normal 5 2 2 2 2 3 2" xfId="35069" xr:uid="{00000000-0005-0000-0000-0000AE880000}"/>
    <cellStyle name="Normal 5 2 2 2 2 4" xfId="25371" xr:uid="{00000000-0005-0000-0000-0000AF880000}"/>
    <cellStyle name="Normal 5 2 2 2 3" xfId="7900" xr:uid="{00000000-0005-0000-0000-0000B0880000}"/>
    <cellStyle name="Normal 5 2 2 2 3 2" xfId="17896" xr:uid="{00000000-0005-0000-0000-0000B1880000}"/>
    <cellStyle name="Normal 5 2 2 2 3 2 2" xfId="37296" xr:uid="{00000000-0005-0000-0000-0000B2880000}"/>
    <cellStyle name="Normal 5 2 2 2 3 3" xfId="27598" xr:uid="{00000000-0005-0000-0000-0000B3880000}"/>
    <cellStyle name="Normal 5 2 2 2 4" xfId="13441" xr:uid="{00000000-0005-0000-0000-0000B4880000}"/>
    <cellStyle name="Normal 5 2 2 2 4 2" xfId="32841" xr:uid="{00000000-0005-0000-0000-0000B5880000}"/>
    <cellStyle name="Normal 5 2 2 2 5" xfId="23143" xr:uid="{00000000-0005-0000-0000-0000B6880000}"/>
    <cellStyle name="Normal 5 2 2 3" xfId="3979" xr:uid="{00000000-0005-0000-0000-0000B7880000}"/>
    <cellStyle name="Normal 5 2 2 3 2" xfId="5108" xr:uid="{00000000-0005-0000-0000-0000B8880000}"/>
    <cellStyle name="Normal 5 2 2 3 2 2" xfId="9572" xr:uid="{00000000-0005-0000-0000-0000B9880000}"/>
    <cellStyle name="Normal 5 2 2 3 2 2 2" xfId="19568" xr:uid="{00000000-0005-0000-0000-0000BA880000}"/>
    <cellStyle name="Normal 5 2 2 3 2 2 2 2" xfId="38968" xr:uid="{00000000-0005-0000-0000-0000BB880000}"/>
    <cellStyle name="Normal 5 2 2 3 2 2 3" xfId="29270" xr:uid="{00000000-0005-0000-0000-0000BC880000}"/>
    <cellStyle name="Normal 5 2 2 3 2 3" xfId="15113" xr:uid="{00000000-0005-0000-0000-0000BD880000}"/>
    <cellStyle name="Normal 5 2 2 3 2 3 2" xfId="34513" xr:uid="{00000000-0005-0000-0000-0000BE880000}"/>
    <cellStyle name="Normal 5 2 2 3 2 4" xfId="24815" xr:uid="{00000000-0005-0000-0000-0000BF880000}"/>
    <cellStyle name="Normal 5 2 2 3 3" xfId="8457" xr:uid="{00000000-0005-0000-0000-0000C0880000}"/>
    <cellStyle name="Normal 5 2 2 3 3 2" xfId="18453" xr:uid="{00000000-0005-0000-0000-0000C1880000}"/>
    <cellStyle name="Normal 5 2 2 3 3 2 2" xfId="37853" xr:uid="{00000000-0005-0000-0000-0000C2880000}"/>
    <cellStyle name="Normal 5 2 2 3 3 3" xfId="28155" xr:uid="{00000000-0005-0000-0000-0000C3880000}"/>
    <cellStyle name="Normal 5 2 2 3 4" xfId="13998" xr:uid="{00000000-0005-0000-0000-0000C4880000}"/>
    <cellStyle name="Normal 5 2 2 3 4 2" xfId="33398" xr:uid="{00000000-0005-0000-0000-0000C5880000}"/>
    <cellStyle name="Normal 5 2 2 3 5" xfId="23700" xr:uid="{00000000-0005-0000-0000-0000C6880000}"/>
    <cellStyle name="Normal 5 2 2 4" xfId="4551" xr:uid="{00000000-0005-0000-0000-0000C7880000}"/>
    <cellStyle name="Normal 5 2 2 4 2" xfId="9015" xr:uid="{00000000-0005-0000-0000-0000C8880000}"/>
    <cellStyle name="Normal 5 2 2 4 2 2" xfId="19011" xr:uid="{00000000-0005-0000-0000-0000C9880000}"/>
    <cellStyle name="Normal 5 2 2 4 2 2 2" xfId="38411" xr:uid="{00000000-0005-0000-0000-0000CA880000}"/>
    <cellStyle name="Normal 5 2 2 4 2 3" xfId="28713" xr:uid="{00000000-0005-0000-0000-0000CB880000}"/>
    <cellStyle name="Normal 5 2 2 4 3" xfId="14556" xr:uid="{00000000-0005-0000-0000-0000CC880000}"/>
    <cellStyle name="Normal 5 2 2 4 3 2" xfId="33956" xr:uid="{00000000-0005-0000-0000-0000CD880000}"/>
    <cellStyle name="Normal 5 2 2 4 4" xfId="24258" xr:uid="{00000000-0005-0000-0000-0000CE880000}"/>
    <cellStyle name="Normal 5 2 2 5" xfId="6221" xr:uid="{00000000-0005-0000-0000-0000CF880000}"/>
    <cellStyle name="Normal 5 2 2 5 2" xfId="10685" xr:uid="{00000000-0005-0000-0000-0000D0880000}"/>
    <cellStyle name="Normal 5 2 2 5 2 2" xfId="20681" xr:uid="{00000000-0005-0000-0000-0000D1880000}"/>
    <cellStyle name="Normal 5 2 2 5 2 2 2" xfId="40081" xr:uid="{00000000-0005-0000-0000-0000D2880000}"/>
    <cellStyle name="Normal 5 2 2 5 2 3" xfId="30383" xr:uid="{00000000-0005-0000-0000-0000D3880000}"/>
    <cellStyle name="Normal 5 2 2 5 3" xfId="16226" xr:uid="{00000000-0005-0000-0000-0000D4880000}"/>
    <cellStyle name="Normal 5 2 2 5 3 2" xfId="35626" xr:uid="{00000000-0005-0000-0000-0000D5880000}"/>
    <cellStyle name="Normal 5 2 2 5 4" xfId="25928" xr:uid="{00000000-0005-0000-0000-0000D6880000}"/>
    <cellStyle name="Normal 5 2 2 6" xfId="6787" xr:uid="{00000000-0005-0000-0000-0000D7880000}"/>
    <cellStyle name="Normal 5 2 2 6 2" xfId="11242" xr:uid="{00000000-0005-0000-0000-0000D8880000}"/>
    <cellStyle name="Normal 5 2 2 6 2 2" xfId="21238" xr:uid="{00000000-0005-0000-0000-0000D9880000}"/>
    <cellStyle name="Normal 5 2 2 6 2 2 2" xfId="40638" xr:uid="{00000000-0005-0000-0000-0000DA880000}"/>
    <cellStyle name="Normal 5 2 2 6 2 3" xfId="30940" xr:uid="{00000000-0005-0000-0000-0000DB880000}"/>
    <cellStyle name="Normal 5 2 2 6 3" xfId="16783" xr:uid="{00000000-0005-0000-0000-0000DC880000}"/>
    <cellStyle name="Normal 5 2 2 6 3 2" xfId="36183" xr:uid="{00000000-0005-0000-0000-0000DD880000}"/>
    <cellStyle name="Normal 5 2 2 6 4" xfId="26485" xr:uid="{00000000-0005-0000-0000-0000DE880000}"/>
    <cellStyle name="Normal 5 2 2 7" xfId="7344" xr:uid="{00000000-0005-0000-0000-0000DF880000}"/>
    <cellStyle name="Normal 5 2 2 7 2" xfId="17340" xr:uid="{00000000-0005-0000-0000-0000E0880000}"/>
    <cellStyle name="Normal 5 2 2 7 2 2" xfId="36740" xr:uid="{00000000-0005-0000-0000-0000E1880000}"/>
    <cellStyle name="Normal 5 2 2 7 3" xfId="27042" xr:uid="{00000000-0005-0000-0000-0000E2880000}"/>
    <cellStyle name="Normal 5 2 2 8" xfId="11986" xr:uid="{00000000-0005-0000-0000-0000E3880000}"/>
    <cellStyle name="Normal 5 2 2 8 2" xfId="21690" xr:uid="{00000000-0005-0000-0000-0000E4880000}"/>
    <cellStyle name="Normal 5 2 2 8 2 2" xfId="41090" xr:uid="{00000000-0005-0000-0000-0000E5880000}"/>
    <cellStyle name="Normal 5 2 2 8 3" xfId="31392" xr:uid="{00000000-0005-0000-0000-0000E6880000}"/>
    <cellStyle name="Normal 5 2 2 9" xfId="2507" xr:uid="{00000000-0005-0000-0000-0000E7880000}"/>
    <cellStyle name="Normal 5 2 2 9 2" xfId="12884" xr:uid="{00000000-0005-0000-0000-0000E8880000}"/>
    <cellStyle name="Normal 5 2 2 9 2 2" xfId="32285" xr:uid="{00000000-0005-0000-0000-0000E9880000}"/>
    <cellStyle name="Normal 5 2 2 9 3" xfId="22587" xr:uid="{00000000-0005-0000-0000-0000EA880000}"/>
    <cellStyle name="Normal 5 2 3" xfId="11325" xr:uid="{00000000-0005-0000-0000-0000EB880000}"/>
    <cellStyle name="Normal 5 2 3 2" xfId="21310" xr:uid="{00000000-0005-0000-0000-0000EC880000}"/>
    <cellStyle name="Normal 5 2 3 2 2" xfId="40710" xr:uid="{00000000-0005-0000-0000-0000ED880000}"/>
    <cellStyle name="Normal 5 2 3 3" xfId="31012" xr:uid="{00000000-0005-0000-0000-0000EE880000}"/>
    <cellStyle name="Normal 5 2 4" xfId="11356" xr:uid="{00000000-0005-0000-0000-0000EF880000}"/>
    <cellStyle name="Normal 5 2 4 2" xfId="21337" xr:uid="{00000000-0005-0000-0000-0000F0880000}"/>
    <cellStyle name="Normal 5 2 4 2 2" xfId="40737" xr:uid="{00000000-0005-0000-0000-0000F1880000}"/>
    <cellStyle name="Normal 5 2 4 3" xfId="31039" xr:uid="{00000000-0005-0000-0000-0000F2880000}"/>
    <cellStyle name="Normal 5 2 5" xfId="1550" xr:uid="{00000000-0005-0000-0000-0000F3880000}"/>
    <cellStyle name="Normal 5 2 6" xfId="11703" xr:uid="{00000000-0005-0000-0000-0000F4880000}"/>
    <cellStyle name="Normal 5 2 6 2" xfId="21416" xr:uid="{00000000-0005-0000-0000-0000F5880000}"/>
    <cellStyle name="Normal 5 2 6 2 2" xfId="40816" xr:uid="{00000000-0005-0000-0000-0000F6880000}"/>
    <cellStyle name="Normal 5 2 6 3" xfId="31118" xr:uid="{00000000-0005-0000-0000-0000F7880000}"/>
    <cellStyle name="Normal 5 2 7" xfId="1151" xr:uid="{00000000-0005-0000-0000-0000F8880000}"/>
    <cellStyle name="Normal 5 2 7 2" xfId="12370" xr:uid="{00000000-0005-0000-0000-0000F9880000}"/>
    <cellStyle name="Normal 5 2 7 2 2" xfId="31772" xr:uid="{00000000-0005-0000-0000-0000FA880000}"/>
    <cellStyle name="Normal 5 2 7 3" xfId="22074" xr:uid="{00000000-0005-0000-0000-0000FB880000}"/>
    <cellStyle name="Normal 5 2 8" xfId="12068" xr:uid="{00000000-0005-0000-0000-0000FC880000}"/>
    <cellStyle name="Normal 5 2 8 2" xfId="31471" xr:uid="{00000000-0005-0000-0000-0000FD880000}"/>
    <cellStyle name="Normal 5 2 9" xfId="21773" xr:uid="{00000000-0005-0000-0000-0000FE880000}"/>
    <cellStyle name="Normal 5 3" xfId="742" xr:uid="{00000000-0005-0000-0000-0000FF880000}"/>
    <cellStyle name="Normal 5 3 2" xfId="2706" xr:uid="{00000000-0005-0000-0000-000000890000}"/>
    <cellStyle name="Normal 5 3 2 2" xfId="3429" xr:uid="{00000000-0005-0000-0000-000001890000}"/>
    <cellStyle name="Normal 5 3 2 2 2" xfId="5697" xr:uid="{00000000-0005-0000-0000-000002890000}"/>
    <cellStyle name="Normal 5 3 2 2 2 2" xfId="10161" xr:uid="{00000000-0005-0000-0000-000003890000}"/>
    <cellStyle name="Normal 5 3 2 2 2 2 2" xfId="20157" xr:uid="{00000000-0005-0000-0000-000004890000}"/>
    <cellStyle name="Normal 5 3 2 2 2 2 2 2" xfId="39557" xr:uid="{00000000-0005-0000-0000-000005890000}"/>
    <cellStyle name="Normal 5 3 2 2 2 2 3" xfId="29859" xr:uid="{00000000-0005-0000-0000-000006890000}"/>
    <cellStyle name="Normal 5 3 2 2 2 3" xfId="15702" xr:uid="{00000000-0005-0000-0000-000007890000}"/>
    <cellStyle name="Normal 5 3 2 2 2 3 2" xfId="35102" xr:uid="{00000000-0005-0000-0000-000008890000}"/>
    <cellStyle name="Normal 5 3 2 2 2 4" xfId="25404" xr:uid="{00000000-0005-0000-0000-000009890000}"/>
    <cellStyle name="Normal 5 3 2 2 3" xfId="7933" xr:uid="{00000000-0005-0000-0000-00000A890000}"/>
    <cellStyle name="Normal 5 3 2 2 3 2" xfId="17929" xr:uid="{00000000-0005-0000-0000-00000B890000}"/>
    <cellStyle name="Normal 5 3 2 2 3 2 2" xfId="37329" xr:uid="{00000000-0005-0000-0000-00000C890000}"/>
    <cellStyle name="Normal 5 3 2 2 3 3" xfId="27631" xr:uid="{00000000-0005-0000-0000-00000D890000}"/>
    <cellStyle name="Normal 5 3 2 2 4" xfId="13474" xr:uid="{00000000-0005-0000-0000-00000E890000}"/>
    <cellStyle name="Normal 5 3 2 2 4 2" xfId="32874" xr:uid="{00000000-0005-0000-0000-00000F890000}"/>
    <cellStyle name="Normal 5 3 2 2 5" xfId="23176" xr:uid="{00000000-0005-0000-0000-000010890000}"/>
    <cellStyle name="Normal 5 3 2 3" xfId="4012" xr:uid="{00000000-0005-0000-0000-000011890000}"/>
    <cellStyle name="Normal 5 3 2 3 2" xfId="5141" xr:uid="{00000000-0005-0000-0000-000012890000}"/>
    <cellStyle name="Normal 5 3 2 3 2 2" xfId="9605" xr:uid="{00000000-0005-0000-0000-000013890000}"/>
    <cellStyle name="Normal 5 3 2 3 2 2 2" xfId="19601" xr:uid="{00000000-0005-0000-0000-000014890000}"/>
    <cellStyle name="Normal 5 3 2 3 2 2 2 2" xfId="39001" xr:uid="{00000000-0005-0000-0000-000015890000}"/>
    <cellStyle name="Normal 5 3 2 3 2 2 3" xfId="29303" xr:uid="{00000000-0005-0000-0000-000016890000}"/>
    <cellStyle name="Normal 5 3 2 3 2 3" xfId="15146" xr:uid="{00000000-0005-0000-0000-000017890000}"/>
    <cellStyle name="Normal 5 3 2 3 2 3 2" xfId="34546" xr:uid="{00000000-0005-0000-0000-000018890000}"/>
    <cellStyle name="Normal 5 3 2 3 2 4" xfId="24848" xr:uid="{00000000-0005-0000-0000-000019890000}"/>
    <cellStyle name="Normal 5 3 2 3 3" xfId="8490" xr:uid="{00000000-0005-0000-0000-00001A890000}"/>
    <cellStyle name="Normal 5 3 2 3 3 2" xfId="18486" xr:uid="{00000000-0005-0000-0000-00001B890000}"/>
    <cellStyle name="Normal 5 3 2 3 3 2 2" xfId="37886" xr:uid="{00000000-0005-0000-0000-00001C890000}"/>
    <cellStyle name="Normal 5 3 2 3 3 3" xfId="28188" xr:uid="{00000000-0005-0000-0000-00001D890000}"/>
    <cellStyle name="Normal 5 3 2 3 4" xfId="14031" xr:uid="{00000000-0005-0000-0000-00001E890000}"/>
    <cellStyle name="Normal 5 3 2 3 4 2" xfId="33431" xr:uid="{00000000-0005-0000-0000-00001F890000}"/>
    <cellStyle name="Normal 5 3 2 3 5" xfId="23733" xr:uid="{00000000-0005-0000-0000-000020890000}"/>
    <cellStyle name="Normal 5 3 2 4" xfId="4584" xr:uid="{00000000-0005-0000-0000-000021890000}"/>
    <cellStyle name="Normal 5 3 2 4 2" xfId="9048" xr:uid="{00000000-0005-0000-0000-000022890000}"/>
    <cellStyle name="Normal 5 3 2 4 2 2" xfId="19044" xr:uid="{00000000-0005-0000-0000-000023890000}"/>
    <cellStyle name="Normal 5 3 2 4 2 2 2" xfId="38444" xr:uid="{00000000-0005-0000-0000-000024890000}"/>
    <cellStyle name="Normal 5 3 2 4 2 3" xfId="28746" xr:uid="{00000000-0005-0000-0000-000025890000}"/>
    <cellStyle name="Normal 5 3 2 4 3" xfId="14589" xr:uid="{00000000-0005-0000-0000-000026890000}"/>
    <cellStyle name="Normal 5 3 2 4 3 2" xfId="33989" xr:uid="{00000000-0005-0000-0000-000027890000}"/>
    <cellStyle name="Normal 5 3 2 4 4" xfId="24291" xr:uid="{00000000-0005-0000-0000-000028890000}"/>
    <cellStyle name="Normal 5 3 2 5" xfId="6254" xr:uid="{00000000-0005-0000-0000-000029890000}"/>
    <cellStyle name="Normal 5 3 2 5 2" xfId="10718" xr:uid="{00000000-0005-0000-0000-00002A890000}"/>
    <cellStyle name="Normal 5 3 2 5 2 2" xfId="20714" xr:uid="{00000000-0005-0000-0000-00002B890000}"/>
    <cellStyle name="Normal 5 3 2 5 2 2 2" xfId="40114" xr:uid="{00000000-0005-0000-0000-00002C890000}"/>
    <cellStyle name="Normal 5 3 2 5 2 3" xfId="30416" xr:uid="{00000000-0005-0000-0000-00002D890000}"/>
    <cellStyle name="Normal 5 3 2 5 3" xfId="16259" xr:uid="{00000000-0005-0000-0000-00002E890000}"/>
    <cellStyle name="Normal 5 3 2 5 3 2" xfId="35659" xr:uid="{00000000-0005-0000-0000-00002F890000}"/>
    <cellStyle name="Normal 5 3 2 5 4" xfId="25961" xr:uid="{00000000-0005-0000-0000-000030890000}"/>
    <cellStyle name="Normal 5 3 2 6" xfId="6820" xr:uid="{00000000-0005-0000-0000-000031890000}"/>
    <cellStyle name="Normal 5 3 2 6 2" xfId="11275" xr:uid="{00000000-0005-0000-0000-000032890000}"/>
    <cellStyle name="Normal 5 3 2 6 2 2" xfId="21271" xr:uid="{00000000-0005-0000-0000-000033890000}"/>
    <cellStyle name="Normal 5 3 2 6 2 2 2" xfId="40671" xr:uid="{00000000-0005-0000-0000-000034890000}"/>
    <cellStyle name="Normal 5 3 2 6 2 3" xfId="30973" xr:uid="{00000000-0005-0000-0000-000035890000}"/>
    <cellStyle name="Normal 5 3 2 6 3" xfId="16816" xr:uid="{00000000-0005-0000-0000-000036890000}"/>
    <cellStyle name="Normal 5 3 2 6 3 2" xfId="36216" xr:uid="{00000000-0005-0000-0000-000037890000}"/>
    <cellStyle name="Normal 5 3 2 6 4" xfId="26518" xr:uid="{00000000-0005-0000-0000-000038890000}"/>
    <cellStyle name="Normal 5 3 2 7" xfId="7377" xr:uid="{00000000-0005-0000-0000-000039890000}"/>
    <cellStyle name="Normal 5 3 2 7 2" xfId="17373" xr:uid="{00000000-0005-0000-0000-00003A890000}"/>
    <cellStyle name="Normal 5 3 2 7 2 2" xfId="36773" xr:uid="{00000000-0005-0000-0000-00003B890000}"/>
    <cellStyle name="Normal 5 3 2 7 3" xfId="27075" xr:uid="{00000000-0005-0000-0000-00003C890000}"/>
    <cellStyle name="Normal 5 3 2 8" xfId="12918" xr:uid="{00000000-0005-0000-0000-00003D890000}"/>
    <cellStyle name="Normal 5 3 2 8 2" xfId="32318" xr:uid="{00000000-0005-0000-0000-00003E890000}"/>
    <cellStyle name="Normal 5 3 2 9" xfId="22620" xr:uid="{00000000-0005-0000-0000-00003F890000}"/>
    <cellStyle name="Normal 5 3 3" xfId="11699" xr:uid="{00000000-0005-0000-0000-000040890000}"/>
    <cellStyle name="Normal 5 3 3 2" xfId="21412" xr:uid="{00000000-0005-0000-0000-000041890000}"/>
    <cellStyle name="Normal 5 3 3 2 2" xfId="40812" xr:uid="{00000000-0005-0000-0000-000042890000}"/>
    <cellStyle name="Normal 5 3 3 3" xfId="31114" xr:uid="{00000000-0005-0000-0000-000043890000}"/>
    <cellStyle name="Normal 5 3 4" xfId="1551" xr:uid="{00000000-0005-0000-0000-000044890000}"/>
    <cellStyle name="Normal 5 3 5" xfId="12064" xr:uid="{00000000-0005-0000-0000-000045890000}"/>
    <cellStyle name="Normal 5 3 5 2" xfId="31467" xr:uid="{00000000-0005-0000-0000-000046890000}"/>
    <cellStyle name="Normal 5 3 6" xfId="21769" xr:uid="{00000000-0005-0000-0000-000047890000}"/>
    <cellStyle name="Normal 5 4" xfId="923" xr:uid="{00000000-0005-0000-0000-000048890000}"/>
    <cellStyle name="Normal 5 4 2" xfId="2754" xr:uid="{00000000-0005-0000-0000-000049890000}"/>
    <cellStyle name="Normal 5 4 2 2" xfId="3435" xr:uid="{00000000-0005-0000-0000-00004A890000}"/>
    <cellStyle name="Normal 5 4 2 2 2" xfId="5703" xr:uid="{00000000-0005-0000-0000-00004B890000}"/>
    <cellStyle name="Normal 5 4 2 2 2 2" xfId="10167" xr:uid="{00000000-0005-0000-0000-00004C890000}"/>
    <cellStyle name="Normal 5 4 2 2 2 2 2" xfId="20163" xr:uid="{00000000-0005-0000-0000-00004D890000}"/>
    <cellStyle name="Normal 5 4 2 2 2 2 2 2" xfId="39563" xr:uid="{00000000-0005-0000-0000-00004E890000}"/>
    <cellStyle name="Normal 5 4 2 2 2 2 3" xfId="29865" xr:uid="{00000000-0005-0000-0000-00004F890000}"/>
    <cellStyle name="Normal 5 4 2 2 2 3" xfId="15708" xr:uid="{00000000-0005-0000-0000-000050890000}"/>
    <cellStyle name="Normal 5 4 2 2 2 3 2" xfId="35108" xr:uid="{00000000-0005-0000-0000-000051890000}"/>
    <cellStyle name="Normal 5 4 2 2 2 4" xfId="25410" xr:uid="{00000000-0005-0000-0000-000052890000}"/>
    <cellStyle name="Normal 5 4 2 2 3" xfId="7939" xr:uid="{00000000-0005-0000-0000-000053890000}"/>
    <cellStyle name="Normal 5 4 2 2 3 2" xfId="17935" xr:uid="{00000000-0005-0000-0000-000054890000}"/>
    <cellStyle name="Normal 5 4 2 2 3 2 2" xfId="37335" xr:uid="{00000000-0005-0000-0000-000055890000}"/>
    <cellStyle name="Normal 5 4 2 2 3 3" xfId="27637" xr:uid="{00000000-0005-0000-0000-000056890000}"/>
    <cellStyle name="Normal 5 4 2 2 4" xfId="13480" xr:uid="{00000000-0005-0000-0000-000057890000}"/>
    <cellStyle name="Normal 5 4 2 2 4 2" xfId="32880" xr:uid="{00000000-0005-0000-0000-000058890000}"/>
    <cellStyle name="Normal 5 4 2 2 5" xfId="23182" xr:uid="{00000000-0005-0000-0000-000059890000}"/>
    <cellStyle name="Normal 5 4 2 3" xfId="4018" xr:uid="{00000000-0005-0000-0000-00005A890000}"/>
    <cellStyle name="Normal 5 4 2 3 2" xfId="5147" xr:uid="{00000000-0005-0000-0000-00005B890000}"/>
    <cellStyle name="Normal 5 4 2 3 2 2" xfId="9611" xr:uid="{00000000-0005-0000-0000-00005C890000}"/>
    <cellStyle name="Normal 5 4 2 3 2 2 2" xfId="19607" xr:uid="{00000000-0005-0000-0000-00005D890000}"/>
    <cellStyle name="Normal 5 4 2 3 2 2 2 2" xfId="39007" xr:uid="{00000000-0005-0000-0000-00005E890000}"/>
    <cellStyle name="Normal 5 4 2 3 2 2 3" xfId="29309" xr:uid="{00000000-0005-0000-0000-00005F890000}"/>
    <cellStyle name="Normal 5 4 2 3 2 3" xfId="15152" xr:uid="{00000000-0005-0000-0000-000060890000}"/>
    <cellStyle name="Normal 5 4 2 3 2 3 2" xfId="34552" xr:uid="{00000000-0005-0000-0000-000061890000}"/>
    <cellStyle name="Normal 5 4 2 3 2 4" xfId="24854" xr:uid="{00000000-0005-0000-0000-000062890000}"/>
    <cellStyle name="Normal 5 4 2 3 3" xfId="8496" xr:uid="{00000000-0005-0000-0000-000063890000}"/>
    <cellStyle name="Normal 5 4 2 3 3 2" xfId="18492" xr:uid="{00000000-0005-0000-0000-000064890000}"/>
    <cellStyle name="Normal 5 4 2 3 3 2 2" xfId="37892" xr:uid="{00000000-0005-0000-0000-000065890000}"/>
    <cellStyle name="Normal 5 4 2 3 3 3" xfId="28194" xr:uid="{00000000-0005-0000-0000-000066890000}"/>
    <cellStyle name="Normal 5 4 2 3 4" xfId="14037" xr:uid="{00000000-0005-0000-0000-000067890000}"/>
    <cellStyle name="Normal 5 4 2 3 4 2" xfId="33437" xr:uid="{00000000-0005-0000-0000-000068890000}"/>
    <cellStyle name="Normal 5 4 2 3 5" xfId="23739" xr:uid="{00000000-0005-0000-0000-000069890000}"/>
    <cellStyle name="Normal 5 4 2 4" xfId="4590" xr:uid="{00000000-0005-0000-0000-00006A890000}"/>
    <cellStyle name="Normal 5 4 2 4 2" xfId="9054" xr:uid="{00000000-0005-0000-0000-00006B890000}"/>
    <cellStyle name="Normal 5 4 2 4 2 2" xfId="19050" xr:uid="{00000000-0005-0000-0000-00006C890000}"/>
    <cellStyle name="Normal 5 4 2 4 2 2 2" xfId="38450" xr:uid="{00000000-0005-0000-0000-00006D890000}"/>
    <cellStyle name="Normal 5 4 2 4 2 3" xfId="28752" xr:uid="{00000000-0005-0000-0000-00006E890000}"/>
    <cellStyle name="Normal 5 4 2 4 3" xfId="14595" xr:uid="{00000000-0005-0000-0000-00006F890000}"/>
    <cellStyle name="Normal 5 4 2 4 3 2" xfId="33995" xr:uid="{00000000-0005-0000-0000-000070890000}"/>
    <cellStyle name="Normal 5 4 2 4 4" xfId="24297" xr:uid="{00000000-0005-0000-0000-000071890000}"/>
    <cellStyle name="Normal 5 4 2 5" xfId="6260" xr:uid="{00000000-0005-0000-0000-000072890000}"/>
    <cellStyle name="Normal 5 4 2 5 2" xfId="10724" xr:uid="{00000000-0005-0000-0000-000073890000}"/>
    <cellStyle name="Normal 5 4 2 5 2 2" xfId="20720" xr:uid="{00000000-0005-0000-0000-000074890000}"/>
    <cellStyle name="Normal 5 4 2 5 2 2 2" xfId="40120" xr:uid="{00000000-0005-0000-0000-000075890000}"/>
    <cellStyle name="Normal 5 4 2 5 2 3" xfId="30422" xr:uid="{00000000-0005-0000-0000-000076890000}"/>
    <cellStyle name="Normal 5 4 2 5 3" xfId="16265" xr:uid="{00000000-0005-0000-0000-000077890000}"/>
    <cellStyle name="Normal 5 4 2 5 3 2" xfId="35665" xr:uid="{00000000-0005-0000-0000-000078890000}"/>
    <cellStyle name="Normal 5 4 2 5 4" xfId="25967" xr:uid="{00000000-0005-0000-0000-000079890000}"/>
    <cellStyle name="Normal 5 4 2 6" xfId="6826" xr:uid="{00000000-0005-0000-0000-00007A890000}"/>
    <cellStyle name="Normal 5 4 2 6 2" xfId="11281" xr:uid="{00000000-0005-0000-0000-00007B890000}"/>
    <cellStyle name="Normal 5 4 2 6 2 2" xfId="21277" xr:uid="{00000000-0005-0000-0000-00007C890000}"/>
    <cellStyle name="Normal 5 4 2 6 2 2 2" xfId="40677" xr:uid="{00000000-0005-0000-0000-00007D890000}"/>
    <cellStyle name="Normal 5 4 2 6 2 3" xfId="30979" xr:uid="{00000000-0005-0000-0000-00007E890000}"/>
    <cellStyle name="Normal 5 4 2 6 3" xfId="16822" xr:uid="{00000000-0005-0000-0000-00007F890000}"/>
    <cellStyle name="Normal 5 4 2 6 3 2" xfId="36222" xr:uid="{00000000-0005-0000-0000-000080890000}"/>
    <cellStyle name="Normal 5 4 2 6 4" xfId="26524" xr:uid="{00000000-0005-0000-0000-000081890000}"/>
    <cellStyle name="Normal 5 4 2 7" xfId="7383" xr:uid="{00000000-0005-0000-0000-000082890000}"/>
    <cellStyle name="Normal 5 4 2 7 2" xfId="17379" xr:uid="{00000000-0005-0000-0000-000083890000}"/>
    <cellStyle name="Normal 5 4 2 7 2 2" xfId="36779" xr:uid="{00000000-0005-0000-0000-000084890000}"/>
    <cellStyle name="Normal 5 4 2 7 3" xfId="27081" xr:uid="{00000000-0005-0000-0000-000085890000}"/>
    <cellStyle name="Normal 5 4 2 8" xfId="12924" xr:uid="{00000000-0005-0000-0000-000086890000}"/>
    <cellStyle name="Normal 5 4 2 8 2" xfId="32324" xr:uid="{00000000-0005-0000-0000-000087890000}"/>
    <cellStyle name="Normal 5 4 2 9" xfId="22626" xr:uid="{00000000-0005-0000-0000-000088890000}"/>
    <cellStyle name="Normal 5 4 3" xfId="11830" xr:uid="{00000000-0005-0000-0000-000089890000}"/>
    <cellStyle name="Normal 5 4 4" xfId="1552" xr:uid="{00000000-0005-0000-0000-00008A890000}"/>
    <cellStyle name="Normal 5 5" xfId="1114" xr:uid="{00000000-0005-0000-0000-00008B890000}"/>
    <cellStyle name="Normal 5 5 2" xfId="2761" xr:uid="{00000000-0005-0000-0000-00008C890000}"/>
    <cellStyle name="Normal 5 5 2 2" xfId="3438" xr:uid="{00000000-0005-0000-0000-00008D890000}"/>
    <cellStyle name="Normal 5 5 2 2 2" xfId="5706" xr:uid="{00000000-0005-0000-0000-00008E890000}"/>
    <cellStyle name="Normal 5 5 2 2 2 2" xfId="10170" xr:uid="{00000000-0005-0000-0000-00008F890000}"/>
    <cellStyle name="Normal 5 5 2 2 2 2 2" xfId="20166" xr:uid="{00000000-0005-0000-0000-000090890000}"/>
    <cellStyle name="Normal 5 5 2 2 2 2 2 2" xfId="39566" xr:uid="{00000000-0005-0000-0000-000091890000}"/>
    <cellStyle name="Normal 5 5 2 2 2 2 3" xfId="29868" xr:uid="{00000000-0005-0000-0000-000092890000}"/>
    <cellStyle name="Normal 5 5 2 2 2 3" xfId="15711" xr:uid="{00000000-0005-0000-0000-000093890000}"/>
    <cellStyle name="Normal 5 5 2 2 2 3 2" xfId="35111" xr:uid="{00000000-0005-0000-0000-000094890000}"/>
    <cellStyle name="Normal 5 5 2 2 2 4" xfId="25413" xr:uid="{00000000-0005-0000-0000-000095890000}"/>
    <cellStyle name="Normal 5 5 2 2 3" xfId="7942" xr:uid="{00000000-0005-0000-0000-000096890000}"/>
    <cellStyle name="Normal 5 5 2 2 3 2" xfId="17938" xr:uid="{00000000-0005-0000-0000-000097890000}"/>
    <cellStyle name="Normal 5 5 2 2 3 2 2" xfId="37338" xr:uid="{00000000-0005-0000-0000-000098890000}"/>
    <cellStyle name="Normal 5 5 2 2 3 3" xfId="27640" xr:uid="{00000000-0005-0000-0000-000099890000}"/>
    <cellStyle name="Normal 5 5 2 2 4" xfId="13483" xr:uid="{00000000-0005-0000-0000-00009A890000}"/>
    <cellStyle name="Normal 5 5 2 2 4 2" xfId="32883" xr:uid="{00000000-0005-0000-0000-00009B890000}"/>
    <cellStyle name="Normal 5 5 2 2 5" xfId="23185" xr:uid="{00000000-0005-0000-0000-00009C890000}"/>
    <cellStyle name="Normal 5 5 2 3" xfId="4021" xr:uid="{00000000-0005-0000-0000-00009D890000}"/>
    <cellStyle name="Normal 5 5 2 3 2" xfId="5150" xr:uid="{00000000-0005-0000-0000-00009E890000}"/>
    <cellStyle name="Normal 5 5 2 3 2 2" xfId="9614" xr:uid="{00000000-0005-0000-0000-00009F890000}"/>
    <cellStyle name="Normal 5 5 2 3 2 2 2" xfId="19610" xr:uid="{00000000-0005-0000-0000-0000A0890000}"/>
    <cellStyle name="Normal 5 5 2 3 2 2 2 2" xfId="39010" xr:uid="{00000000-0005-0000-0000-0000A1890000}"/>
    <cellStyle name="Normal 5 5 2 3 2 2 3" xfId="29312" xr:uid="{00000000-0005-0000-0000-0000A2890000}"/>
    <cellStyle name="Normal 5 5 2 3 2 3" xfId="15155" xr:uid="{00000000-0005-0000-0000-0000A3890000}"/>
    <cellStyle name="Normal 5 5 2 3 2 3 2" xfId="34555" xr:uid="{00000000-0005-0000-0000-0000A4890000}"/>
    <cellStyle name="Normal 5 5 2 3 2 4" xfId="24857" xr:uid="{00000000-0005-0000-0000-0000A5890000}"/>
    <cellStyle name="Normal 5 5 2 3 3" xfId="8499" xr:uid="{00000000-0005-0000-0000-0000A6890000}"/>
    <cellStyle name="Normal 5 5 2 3 3 2" xfId="18495" xr:uid="{00000000-0005-0000-0000-0000A7890000}"/>
    <cellStyle name="Normal 5 5 2 3 3 2 2" xfId="37895" xr:uid="{00000000-0005-0000-0000-0000A8890000}"/>
    <cellStyle name="Normal 5 5 2 3 3 3" xfId="28197" xr:uid="{00000000-0005-0000-0000-0000A9890000}"/>
    <cellStyle name="Normal 5 5 2 3 4" xfId="14040" xr:uid="{00000000-0005-0000-0000-0000AA890000}"/>
    <cellStyle name="Normal 5 5 2 3 4 2" xfId="33440" xr:uid="{00000000-0005-0000-0000-0000AB890000}"/>
    <cellStyle name="Normal 5 5 2 3 5" xfId="23742" xr:uid="{00000000-0005-0000-0000-0000AC890000}"/>
    <cellStyle name="Normal 5 5 2 4" xfId="4593" xr:uid="{00000000-0005-0000-0000-0000AD890000}"/>
    <cellStyle name="Normal 5 5 2 4 2" xfId="9057" xr:uid="{00000000-0005-0000-0000-0000AE890000}"/>
    <cellStyle name="Normal 5 5 2 4 2 2" xfId="19053" xr:uid="{00000000-0005-0000-0000-0000AF890000}"/>
    <cellStyle name="Normal 5 5 2 4 2 2 2" xfId="38453" xr:uid="{00000000-0005-0000-0000-0000B0890000}"/>
    <cellStyle name="Normal 5 5 2 4 2 3" xfId="28755" xr:uid="{00000000-0005-0000-0000-0000B1890000}"/>
    <cellStyle name="Normal 5 5 2 4 3" xfId="14598" xr:uid="{00000000-0005-0000-0000-0000B2890000}"/>
    <cellStyle name="Normal 5 5 2 4 3 2" xfId="33998" xr:uid="{00000000-0005-0000-0000-0000B3890000}"/>
    <cellStyle name="Normal 5 5 2 4 4" xfId="24300" xr:uid="{00000000-0005-0000-0000-0000B4890000}"/>
    <cellStyle name="Normal 5 5 2 5" xfId="6263" xr:uid="{00000000-0005-0000-0000-0000B5890000}"/>
    <cellStyle name="Normal 5 5 2 5 2" xfId="10727" xr:uid="{00000000-0005-0000-0000-0000B6890000}"/>
    <cellStyle name="Normal 5 5 2 5 2 2" xfId="20723" xr:uid="{00000000-0005-0000-0000-0000B7890000}"/>
    <cellStyle name="Normal 5 5 2 5 2 2 2" xfId="40123" xr:uid="{00000000-0005-0000-0000-0000B8890000}"/>
    <cellStyle name="Normal 5 5 2 5 2 3" xfId="30425" xr:uid="{00000000-0005-0000-0000-0000B9890000}"/>
    <cellStyle name="Normal 5 5 2 5 3" xfId="16268" xr:uid="{00000000-0005-0000-0000-0000BA890000}"/>
    <cellStyle name="Normal 5 5 2 5 3 2" xfId="35668" xr:uid="{00000000-0005-0000-0000-0000BB890000}"/>
    <cellStyle name="Normal 5 5 2 5 4" xfId="25970" xr:uid="{00000000-0005-0000-0000-0000BC890000}"/>
    <cellStyle name="Normal 5 5 2 6" xfId="6829" xr:uid="{00000000-0005-0000-0000-0000BD890000}"/>
    <cellStyle name="Normal 5 5 2 6 2" xfId="11284" xr:uid="{00000000-0005-0000-0000-0000BE890000}"/>
    <cellStyle name="Normal 5 5 2 6 2 2" xfId="21280" xr:uid="{00000000-0005-0000-0000-0000BF890000}"/>
    <cellStyle name="Normal 5 5 2 6 2 2 2" xfId="40680" xr:uid="{00000000-0005-0000-0000-0000C0890000}"/>
    <cellStyle name="Normal 5 5 2 6 2 3" xfId="30982" xr:uid="{00000000-0005-0000-0000-0000C1890000}"/>
    <cellStyle name="Normal 5 5 2 6 3" xfId="16825" xr:uid="{00000000-0005-0000-0000-0000C2890000}"/>
    <cellStyle name="Normal 5 5 2 6 3 2" xfId="36225" xr:uid="{00000000-0005-0000-0000-0000C3890000}"/>
    <cellStyle name="Normal 5 5 2 6 4" xfId="26527" xr:uid="{00000000-0005-0000-0000-0000C4890000}"/>
    <cellStyle name="Normal 5 5 2 7" xfId="7386" xr:uid="{00000000-0005-0000-0000-0000C5890000}"/>
    <cellStyle name="Normal 5 5 2 7 2" xfId="17382" xr:uid="{00000000-0005-0000-0000-0000C6890000}"/>
    <cellStyle name="Normal 5 5 2 7 2 2" xfId="36782" xr:uid="{00000000-0005-0000-0000-0000C7890000}"/>
    <cellStyle name="Normal 5 5 2 7 3" xfId="27084" xr:uid="{00000000-0005-0000-0000-0000C8890000}"/>
    <cellStyle name="Normal 5 5 2 8" xfId="12927" xr:uid="{00000000-0005-0000-0000-0000C9890000}"/>
    <cellStyle name="Normal 5 5 2 8 2" xfId="32327" xr:uid="{00000000-0005-0000-0000-0000CA890000}"/>
    <cellStyle name="Normal 5 5 2 9" xfId="22629" xr:uid="{00000000-0005-0000-0000-0000CB890000}"/>
    <cellStyle name="Normal 5 5 3" xfId="11979" xr:uid="{00000000-0005-0000-0000-0000CC890000}"/>
    <cellStyle name="Normal 5 5 3 2" xfId="21683" xr:uid="{00000000-0005-0000-0000-0000CD890000}"/>
    <cellStyle name="Normal 5 5 3 2 2" xfId="41083" xr:uid="{00000000-0005-0000-0000-0000CE890000}"/>
    <cellStyle name="Normal 5 5 3 3" xfId="31385" xr:uid="{00000000-0005-0000-0000-0000CF890000}"/>
    <cellStyle name="Normal 5 5 4" xfId="1553" xr:uid="{00000000-0005-0000-0000-0000D0890000}"/>
    <cellStyle name="Normal 5 5 5" xfId="12335" xr:uid="{00000000-0005-0000-0000-0000D1890000}"/>
    <cellStyle name="Normal 5 5 5 2" xfId="31738" xr:uid="{00000000-0005-0000-0000-0000D2890000}"/>
    <cellStyle name="Normal 5 5 6" xfId="22040" xr:uid="{00000000-0005-0000-0000-0000D3890000}"/>
    <cellStyle name="Normal 5 6" xfId="1554" xr:uid="{00000000-0005-0000-0000-0000D4890000}"/>
    <cellStyle name="Normal 5 6 2" xfId="2806" xr:uid="{00000000-0005-0000-0000-0000D5890000}"/>
    <cellStyle name="Normal 5 7" xfId="1655" xr:uid="{00000000-0005-0000-0000-0000D6890000}"/>
    <cellStyle name="Normal 5 7 2" xfId="2889" xr:uid="{00000000-0005-0000-0000-0000D7890000}"/>
    <cellStyle name="Normal 5 7 2 2" xfId="5158" xr:uid="{00000000-0005-0000-0000-0000D8890000}"/>
    <cellStyle name="Normal 5 7 2 2 2" xfId="9622" xr:uid="{00000000-0005-0000-0000-0000D9890000}"/>
    <cellStyle name="Normal 5 7 2 2 2 2" xfId="19618" xr:uid="{00000000-0005-0000-0000-0000DA890000}"/>
    <cellStyle name="Normal 5 7 2 2 2 2 2" xfId="39018" xr:uid="{00000000-0005-0000-0000-0000DB890000}"/>
    <cellStyle name="Normal 5 7 2 2 2 3" xfId="29320" xr:uid="{00000000-0005-0000-0000-0000DC890000}"/>
    <cellStyle name="Normal 5 7 2 2 3" xfId="15163" xr:uid="{00000000-0005-0000-0000-0000DD890000}"/>
    <cellStyle name="Normal 5 7 2 2 3 2" xfId="34563" xr:uid="{00000000-0005-0000-0000-0000DE890000}"/>
    <cellStyle name="Normal 5 7 2 2 4" xfId="24865" xr:uid="{00000000-0005-0000-0000-0000DF890000}"/>
    <cellStyle name="Normal 5 7 2 3" xfId="7394" xr:uid="{00000000-0005-0000-0000-0000E0890000}"/>
    <cellStyle name="Normal 5 7 2 3 2" xfId="17390" xr:uid="{00000000-0005-0000-0000-0000E1890000}"/>
    <cellStyle name="Normal 5 7 2 3 2 2" xfId="36790" xr:uid="{00000000-0005-0000-0000-0000E2890000}"/>
    <cellStyle name="Normal 5 7 2 3 3" xfId="27092" xr:uid="{00000000-0005-0000-0000-0000E3890000}"/>
    <cellStyle name="Normal 5 7 2 4" xfId="12935" xr:uid="{00000000-0005-0000-0000-0000E4890000}"/>
    <cellStyle name="Normal 5 7 2 4 2" xfId="32335" xr:uid="{00000000-0005-0000-0000-0000E5890000}"/>
    <cellStyle name="Normal 5 7 2 5" xfId="22637" xr:uid="{00000000-0005-0000-0000-0000E6890000}"/>
    <cellStyle name="Normal 5 7 3" xfId="3472" xr:uid="{00000000-0005-0000-0000-0000E7890000}"/>
    <cellStyle name="Normal 5 7 3 2" xfId="4602" xr:uid="{00000000-0005-0000-0000-0000E8890000}"/>
    <cellStyle name="Normal 5 7 3 2 2" xfId="9066" xr:uid="{00000000-0005-0000-0000-0000E9890000}"/>
    <cellStyle name="Normal 5 7 3 2 2 2" xfId="19062" xr:uid="{00000000-0005-0000-0000-0000EA890000}"/>
    <cellStyle name="Normal 5 7 3 2 2 2 2" xfId="38462" xr:uid="{00000000-0005-0000-0000-0000EB890000}"/>
    <cellStyle name="Normal 5 7 3 2 2 3" xfId="28764" xr:uid="{00000000-0005-0000-0000-0000EC890000}"/>
    <cellStyle name="Normal 5 7 3 2 3" xfId="14607" xr:uid="{00000000-0005-0000-0000-0000ED890000}"/>
    <cellStyle name="Normal 5 7 3 2 3 2" xfId="34007" xr:uid="{00000000-0005-0000-0000-0000EE890000}"/>
    <cellStyle name="Normal 5 7 3 2 4" xfId="24309" xr:uid="{00000000-0005-0000-0000-0000EF890000}"/>
    <cellStyle name="Normal 5 7 3 3" xfId="7951" xr:uid="{00000000-0005-0000-0000-0000F0890000}"/>
    <cellStyle name="Normal 5 7 3 3 2" xfId="17947" xr:uid="{00000000-0005-0000-0000-0000F1890000}"/>
    <cellStyle name="Normal 5 7 3 3 2 2" xfId="37347" xr:uid="{00000000-0005-0000-0000-0000F2890000}"/>
    <cellStyle name="Normal 5 7 3 3 3" xfId="27649" xr:uid="{00000000-0005-0000-0000-0000F3890000}"/>
    <cellStyle name="Normal 5 7 3 4" xfId="13492" xr:uid="{00000000-0005-0000-0000-0000F4890000}"/>
    <cellStyle name="Normal 5 7 3 4 2" xfId="32892" xr:uid="{00000000-0005-0000-0000-0000F5890000}"/>
    <cellStyle name="Normal 5 7 3 5" xfId="23194" xr:uid="{00000000-0005-0000-0000-0000F6890000}"/>
    <cellStyle name="Normal 5 7 4" xfId="4045" xr:uid="{00000000-0005-0000-0000-0000F7890000}"/>
    <cellStyle name="Normal 5 7 4 2" xfId="8509" xr:uid="{00000000-0005-0000-0000-0000F8890000}"/>
    <cellStyle name="Normal 5 7 4 2 2" xfId="18505" xr:uid="{00000000-0005-0000-0000-0000F9890000}"/>
    <cellStyle name="Normal 5 7 4 2 2 2" xfId="37905" xr:uid="{00000000-0005-0000-0000-0000FA890000}"/>
    <cellStyle name="Normal 5 7 4 2 3" xfId="28207" xr:uid="{00000000-0005-0000-0000-0000FB890000}"/>
    <cellStyle name="Normal 5 7 4 3" xfId="14050" xr:uid="{00000000-0005-0000-0000-0000FC890000}"/>
    <cellStyle name="Normal 5 7 4 3 2" xfId="33450" xr:uid="{00000000-0005-0000-0000-0000FD890000}"/>
    <cellStyle name="Normal 5 7 4 4" xfId="23752" xr:uid="{00000000-0005-0000-0000-0000FE890000}"/>
    <cellStyle name="Normal 5 7 5" xfId="5715" xr:uid="{00000000-0005-0000-0000-0000FF890000}"/>
    <cellStyle name="Normal 5 7 5 2" xfId="10179" xr:uid="{00000000-0005-0000-0000-0000008A0000}"/>
    <cellStyle name="Normal 5 7 5 2 2" xfId="20175" xr:uid="{00000000-0005-0000-0000-0000018A0000}"/>
    <cellStyle name="Normal 5 7 5 2 2 2" xfId="39575" xr:uid="{00000000-0005-0000-0000-0000028A0000}"/>
    <cellStyle name="Normal 5 7 5 2 3" xfId="29877" xr:uid="{00000000-0005-0000-0000-0000038A0000}"/>
    <cellStyle name="Normal 5 7 5 3" xfId="15720" xr:uid="{00000000-0005-0000-0000-0000048A0000}"/>
    <cellStyle name="Normal 5 7 5 3 2" xfId="35120" xr:uid="{00000000-0005-0000-0000-0000058A0000}"/>
    <cellStyle name="Normal 5 7 5 4" xfId="25422" xr:uid="{00000000-0005-0000-0000-0000068A0000}"/>
    <cellStyle name="Normal 5 7 6" xfId="6281" xr:uid="{00000000-0005-0000-0000-0000078A0000}"/>
    <cellStyle name="Normal 5 7 6 2" xfId="10736" xr:uid="{00000000-0005-0000-0000-0000088A0000}"/>
    <cellStyle name="Normal 5 7 6 2 2" xfId="20732" xr:uid="{00000000-0005-0000-0000-0000098A0000}"/>
    <cellStyle name="Normal 5 7 6 2 2 2" xfId="40132" xr:uid="{00000000-0005-0000-0000-00000A8A0000}"/>
    <cellStyle name="Normal 5 7 6 2 3" xfId="30434" xr:uid="{00000000-0005-0000-0000-00000B8A0000}"/>
    <cellStyle name="Normal 5 7 6 3" xfId="16277" xr:uid="{00000000-0005-0000-0000-00000C8A0000}"/>
    <cellStyle name="Normal 5 7 6 3 2" xfId="35677" xr:uid="{00000000-0005-0000-0000-00000D8A0000}"/>
    <cellStyle name="Normal 5 7 6 4" xfId="25979" xr:uid="{00000000-0005-0000-0000-00000E8A0000}"/>
    <cellStyle name="Normal 5 7 7" xfId="6838" xr:uid="{00000000-0005-0000-0000-00000F8A0000}"/>
    <cellStyle name="Normal 5 7 7 2" xfId="16834" xr:uid="{00000000-0005-0000-0000-0000108A0000}"/>
    <cellStyle name="Normal 5 7 7 2 2" xfId="36234" xr:uid="{00000000-0005-0000-0000-0000118A0000}"/>
    <cellStyle name="Normal 5 7 7 3" xfId="26536" xr:uid="{00000000-0005-0000-0000-0000128A0000}"/>
    <cellStyle name="Normal 5 7 8" xfId="12378" xr:uid="{00000000-0005-0000-0000-0000138A0000}"/>
    <cellStyle name="Normal 5 7 8 2" xfId="31779" xr:uid="{00000000-0005-0000-0000-0000148A0000}"/>
    <cellStyle name="Normal 5 7 9" xfId="22081" xr:uid="{00000000-0005-0000-0000-0000158A0000}"/>
    <cellStyle name="Normal 5 8" xfId="1915" xr:uid="{00000000-0005-0000-0000-0000168A0000}"/>
    <cellStyle name="Normal 5 8 2" xfId="2928" xr:uid="{00000000-0005-0000-0000-0000178A0000}"/>
    <cellStyle name="Normal 5 8 2 2" xfId="5197" xr:uid="{00000000-0005-0000-0000-0000188A0000}"/>
    <cellStyle name="Normal 5 8 2 2 2" xfId="9661" xr:uid="{00000000-0005-0000-0000-0000198A0000}"/>
    <cellStyle name="Normal 5 8 2 2 2 2" xfId="19657" xr:uid="{00000000-0005-0000-0000-00001A8A0000}"/>
    <cellStyle name="Normal 5 8 2 2 2 2 2" xfId="39057" xr:uid="{00000000-0005-0000-0000-00001B8A0000}"/>
    <cellStyle name="Normal 5 8 2 2 2 3" xfId="29359" xr:uid="{00000000-0005-0000-0000-00001C8A0000}"/>
    <cellStyle name="Normal 5 8 2 2 3" xfId="15202" xr:uid="{00000000-0005-0000-0000-00001D8A0000}"/>
    <cellStyle name="Normal 5 8 2 2 3 2" xfId="34602" xr:uid="{00000000-0005-0000-0000-00001E8A0000}"/>
    <cellStyle name="Normal 5 8 2 2 4" xfId="24904" xr:uid="{00000000-0005-0000-0000-00001F8A0000}"/>
    <cellStyle name="Normal 5 8 2 3" xfId="7433" xr:uid="{00000000-0005-0000-0000-0000208A0000}"/>
    <cellStyle name="Normal 5 8 2 3 2" xfId="17429" xr:uid="{00000000-0005-0000-0000-0000218A0000}"/>
    <cellStyle name="Normal 5 8 2 3 2 2" xfId="36829" xr:uid="{00000000-0005-0000-0000-0000228A0000}"/>
    <cellStyle name="Normal 5 8 2 3 3" xfId="27131" xr:uid="{00000000-0005-0000-0000-0000238A0000}"/>
    <cellStyle name="Normal 5 8 2 4" xfId="12974" xr:uid="{00000000-0005-0000-0000-0000248A0000}"/>
    <cellStyle name="Normal 5 8 2 4 2" xfId="32374" xr:uid="{00000000-0005-0000-0000-0000258A0000}"/>
    <cellStyle name="Normal 5 8 2 5" xfId="22676" xr:uid="{00000000-0005-0000-0000-0000268A0000}"/>
    <cellStyle name="Normal 5 8 3" xfId="3511" xr:uid="{00000000-0005-0000-0000-0000278A0000}"/>
    <cellStyle name="Normal 5 8 3 2" xfId="4641" xr:uid="{00000000-0005-0000-0000-0000288A0000}"/>
    <cellStyle name="Normal 5 8 3 2 2" xfId="9105" xr:uid="{00000000-0005-0000-0000-0000298A0000}"/>
    <cellStyle name="Normal 5 8 3 2 2 2" xfId="19101" xr:uid="{00000000-0005-0000-0000-00002A8A0000}"/>
    <cellStyle name="Normal 5 8 3 2 2 2 2" xfId="38501" xr:uid="{00000000-0005-0000-0000-00002B8A0000}"/>
    <cellStyle name="Normal 5 8 3 2 2 3" xfId="28803" xr:uid="{00000000-0005-0000-0000-00002C8A0000}"/>
    <cellStyle name="Normal 5 8 3 2 3" xfId="14646" xr:uid="{00000000-0005-0000-0000-00002D8A0000}"/>
    <cellStyle name="Normal 5 8 3 2 3 2" xfId="34046" xr:uid="{00000000-0005-0000-0000-00002E8A0000}"/>
    <cellStyle name="Normal 5 8 3 2 4" xfId="24348" xr:uid="{00000000-0005-0000-0000-00002F8A0000}"/>
    <cellStyle name="Normal 5 8 3 3" xfId="7990" xr:uid="{00000000-0005-0000-0000-0000308A0000}"/>
    <cellStyle name="Normal 5 8 3 3 2" xfId="17986" xr:uid="{00000000-0005-0000-0000-0000318A0000}"/>
    <cellStyle name="Normal 5 8 3 3 2 2" xfId="37386" xr:uid="{00000000-0005-0000-0000-0000328A0000}"/>
    <cellStyle name="Normal 5 8 3 3 3" xfId="27688" xr:uid="{00000000-0005-0000-0000-0000338A0000}"/>
    <cellStyle name="Normal 5 8 3 4" xfId="13531" xr:uid="{00000000-0005-0000-0000-0000348A0000}"/>
    <cellStyle name="Normal 5 8 3 4 2" xfId="32931" xr:uid="{00000000-0005-0000-0000-0000358A0000}"/>
    <cellStyle name="Normal 5 8 3 5" xfId="23233" xr:uid="{00000000-0005-0000-0000-0000368A0000}"/>
    <cellStyle name="Normal 5 8 4" xfId="4084" xr:uid="{00000000-0005-0000-0000-0000378A0000}"/>
    <cellStyle name="Normal 5 8 4 2" xfId="8548" xr:uid="{00000000-0005-0000-0000-0000388A0000}"/>
    <cellStyle name="Normal 5 8 4 2 2" xfId="18544" xr:uid="{00000000-0005-0000-0000-0000398A0000}"/>
    <cellStyle name="Normal 5 8 4 2 2 2" xfId="37944" xr:uid="{00000000-0005-0000-0000-00003A8A0000}"/>
    <cellStyle name="Normal 5 8 4 2 3" xfId="28246" xr:uid="{00000000-0005-0000-0000-00003B8A0000}"/>
    <cellStyle name="Normal 5 8 4 3" xfId="14089" xr:uid="{00000000-0005-0000-0000-00003C8A0000}"/>
    <cellStyle name="Normal 5 8 4 3 2" xfId="33489" xr:uid="{00000000-0005-0000-0000-00003D8A0000}"/>
    <cellStyle name="Normal 5 8 4 4" xfId="23791" xr:uid="{00000000-0005-0000-0000-00003E8A0000}"/>
    <cellStyle name="Normal 5 8 5" xfId="5754" xr:uid="{00000000-0005-0000-0000-00003F8A0000}"/>
    <cellStyle name="Normal 5 8 5 2" xfId="10218" xr:uid="{00000000-0005-0000-0000-0000408A0000}"/>
    <cellStyle name="Normal 5 8 5 2 2" xfId="20214" xr:uid="{00000000-0005-0000-0000-0000418A0000}"/>
    <cellStyle name="Normal 5 8 5 2 2 2" xfId="39614" xr:uid="{00000000-0005-0000-0000-0000428A0000}"/>
    <cellStyle name="Normal 5 8 5 2 3" xfId="29916" xr:uid="{00000000-0005-0000-0000-0000438A0000}"/>
    <cellStyle name="Normal 5 8 5 3" xfId="15759" xr:uid="{00000000-0005-0000-0000-0000448A0000}"/>
    <cellStyle name="Normal 5 8 5 3 2" xfId="35159" xr:uid="{00000000-0005-0000-0000-0000458A0000}"/>
    <cellStyle name="Normal 5 8 5 4" xfId="25461" xr:uid="{00000000-0005-0000-0000-0000468A0000}"/>
    <cellStyle name="Normal 5 8 6" xfId="6320" xr:uid="{00000000-0005-0000-0000-0000478A0000}"/>
    <cellStyle name="Normal 5 8 6 2" xfId="10775" xr:uid="{00000000-0005-0000-0000-0000488A0000}"/>
    <cellStyle name="Normal 5 8 6 2 2" xfId="20771" xr:uid="{00000000-0005-0000-0000-0000498A0000}"/>
    <cellStyle name="Normal 5 8 6 2 2 2" xfId="40171" xr:uid="{00000000-0005-0000-0000-00004A8A0000}"/>
    <cellStyle name="Normal 5 8 6 2 3" xfId="30473" xr:uid="{00000000-0005-0000-0000-00004B8A0000}"/>
    <cellStyle name="Normal 5 8 6 3" xfId="16316" xr:uid="{00000000-0005-0000-0000-00004C8A0000}"/>
    <cellStyle name="Normal 5 8 6 3 2" xfId="35716" xr:uid="{00000000-0005-0000-0000-00004D8A0000}"/>
    <cellStyle name="Normal 5 8 6 4" xfId="26018" xr:uid="{00000000-0005-0000-0000-00004E8A0000}"/>
    <cellStyle name="Normal 5 8 7" xfId="6877" xr:uid="{00000000-0005-0000-0000-00004F8A0000}"/>
    <cellStyle name="Normal 5 8 7 2" xfId="16873" xr:uid="{00000000-0005-0000-0000-0000508A0000}"/>
    <cellStyle name="Normal 5 8 7 2 2" xfId="36273" xr:uid="{00000000-0005-0000-0000-0000518A0000}"/>
    <cellStyle name="Normal 5 8 7 3" xfId="26575" xr:uid="{00000000-0005-0000-0000-0000528A0000}"/>
    <cellStyle name="Normal 5 8 8" xfId="12417" xr:uid="{00000000-0005-0000-0000-0000538A0000}"/>
    <cellStyle name="Normal 5 8 8 2" xfId="31818" xr:uid="{00000000-0005-0000-0000-0000548A0000}"/>
    <cellStyle name="Normal 5 8 9" xfId="22120" xr:uid="{00000000-0005-0000-0000-0000558A0000}"/>
    <cellStyle name="Normal 5 9" xfId="2465" xr:uid="{00000000-0005-0000-0000-0000568A0000}"/>
    <cellStyle name="Normal 5 9 2" xfId="3388" xr:uid="{00000000-0005-0000-0000-0000578A0000}"/>
    <cellStyle name="Normal 5 9 2 2" xfId="5656" xr:uid="{00000000-0005-0000-0000-0000588A0000}"/>
    <cellStyle name="Normal 5 9 2 2 2" xfId="10120" xr:uid="{00000000-0005-0000-0000-0000598A0000}"/>
    <cellStyle name="Normal 5 9 2 2 2 2" xfId="20116" xr:uid="{00000000-0005-0000-0000-00005A8A0000}"/>
    <cellStyle name="Normal 5 9 2 2 2 2 2" xfId="39516" xr:uid="{00000000-0005-0000-0000-00005B8A0000}"/>
    <cellStyle name="Normal 5 9 2 2 2 3" xfId="29818" xr:uid="{00000000-0005-0000-0000-00005C8A0000}"/>
    <cellStyle name="Normal 5 9 2 2 3" xfId="15661" xr:uid="{00000000-0005-0000-0000-00005D8A0000}"/>
    <cellStyle name="Normal 5 9 2 2 3 2" xfId="35061" xr:uid="{00000000-0005-0000-0000-00005E8A0000}"/>
    <cellStyle name="Normal 5 9 2 2 4" xfId="25363" xr:uid="{00000000-0005-0000-0000-00005F8A0000}"/>
    <cellStyle name="Normal 5 9 2 3" xfId="7892" xr:uid="{00000000-0005-0000-0000-0000608A0000}"/>
    <cellStyle name="Normal 5 9 2 3 2" xfId="17888" xr:uid="{00000000-0005-0000-0000-0000618A0000}"/>
    <cellStyle name="Normal 5 9 2 3 2 2" xfId="37288" xr:uid="{00000000-0005-0000-0000-0000628A0000}"/>
    <cellStyle name="Normal 5 9 2 3 3" xfId="27590" xr:uid="{00000000-0005-0000-0000-0000638A0000}"/>
    <cellStyle name="Normal 5 9 2 4" xfId="13433" xr:uid="{00000000-0005-0000-0000-0000648A0000}"/>
    <cellStyle name="Normal 5 9 2 4 2" xfId="32833" xr:uid="{00000000-0005-0000-0000-0000658A0000}"/>
    <cellStyle name="Normal 5 9 2 5" xfId="23135" xr:uid="{00000000-0005-0000-0000-0000668A0000}"/>
    <cellStyle name="Normal 5 9 3" xfId="3971" xr:uid="{00000000-0005-0000-0000-0000678A0000}"/>
    <cellStyle name="Normal 5 9 3 2" xfId="5100" xr:uid="{00000000-0005-0000-0000-0000688A0000}"/>
    <cellStyle name="Normal 5 9 3 2 2" xfId="9564" xr:uid="{00000000-0005-0000-0000-0000698A0000}"/>
    <cellStyle name="Normal 5 9 3 2 2 2" xfId="19560" xr:uid="{00000000-0005-0000-0000-00006A8A0000}"/>
    <cellStyle name="Normal 5 9 3 2 2 2 2" xfId="38960" xr:uid="{00000000-0005-0000-0000-00006B8A0000}"/>
    <cellStyle name="Normal 5 9 3 2 2 3" xfId="29262" xr:uid="{00000000-0005-0000-0000-00006C8A0000}"/>
    <cellStyle name="Normal 5 9 3 2 3" xfId="15105" xr:uid="{00000000-0005-0000-0000-00006D8A0000}"/>
    <cellStyle name="Normal 5 9 3 2 3 2" xfId="34505" xr:uid="{00000000-0005-0000-0000-00006E8A0000}"/>
    <cellStyle name="Normal 5 9 3 2 4" xfId="24807" xr:uid="{00000000-0005-0000-0000-00006F8A0000}"/>
    <cellStyle name="Normal 5 9 3 3" xfId="8449" xr:uid="{00000000-0005-0000-0000-0000708A0000}"/>
    <cellStyle name="Normal 5 9 3 3 2" xfId="18445" xr:uid="{00000000-0005-0000-0000-0000718A0000}"/>
    <cellStyle name="Normal 5 9 3 3 2 2" xfId="37845" xr:uid="{00000000-0005-0000-0000-0000728A0000}"/>
    <cellStyle name="Normal 5 9 3 3 3" xfId="28147" xr:uid="{00000000-0005-0000-0000-0000738A0000}"/>
    <cellStyle name="Normal 5 9 3 4" xfId="13990" xr:uid="{00000000-0005-0000-0000-0000748A0000}"/>
    <cellStyle name="Normal 5 9 3 4 2" xfId="33390" xr:uid="{00000000-0005-0000-0000-0000758A0000}"/>
    <cellStyle name="Normal 5 9 3 5" xfId="23692" xr:uid="{00000000-0005-0000-0000-0000768A0000}"/>
    <cellStyle name="Normal 5 9 4" xfId="4543" xr:uid="{00000000-0005-0000-0000-0000778A0000}"/>
    <cellStyle name="Normal 5 9 4 2" xfId="9007" xr:uid="{00000000-0005-0000-0000-0000788A0000}"/>
    <cellStyle name="Normal 5 9 4 2 2" xfId="19003" xr:uid="{00000000-0005-0000-0000-0000798A0000}"/>
    <cellStyle name="Normal 5 9 4 2 2 2" xfId="38403" xr:uid="{00000000-0005-0000-0000-00007A8A0000}"/>
    <cellStyle name="Normal 5 9 4 2 3" xfId="28705" xr:uid="{00000000-0005-0000-0000-00007B8A0000}"/>
    <cellStyle name="Normal 5 9 4 3" xfId="14548" xr:uid="{00000000-0005-0000-0000-00007C8A0000}"/>
    <cellStyle name="Normal 5 9 4 3 2" xfId="33948" xr:uid="{00000000-0005-0000-0000-00007D8A0000}"/>
    <cellStyle name="Normal 5 9 4 4" xfId="24250" xr:uid="{00000000-0005-0000-0000-00007E8A0000}"/>
    <cellStyle name="Normal 5 9 5" xfId="6213" xr:uid="{00000000-0005-0000-0000-00007F8A0000}"/>
    <cellStyle name="Normal 5 9 5 2" xfId="10677" xr:uid="{00000000-0005-0000-0000-0000808A0000}"/>
    <cellStyle name="Normal 5 9 5 2 2" xfId="20673" xr:uid="{00000000-0005-0000-0000-0000818A0000}"/>
    <cellStyle name="Normal 5 9 5 2 2 2" xfId="40073" xr:uid="{00000000-0005-0000-0000-0000828A0000}"/>
    <cellStyle name="Normal 5 9 5 2 3" xfId="30375" xr:uid="{00000000-0005-0000-0000-0000838A0000}"/>
    <cellStyle name="Normal 5 9 5 3" xfId="16218" xr:uid="{00000000-0005-0000-0000-0000848A0000}"/>
    <cellStyle name="Normal 5 9 5 3 2" xfId="35618" xr:uid="{00000000-0005-0000-0000-0000858A0000}"/>
    <cellStyle name="Normal 5 9 5 4" xfId="25920" xr:uid="{00000000-0005-0000-0000-0000868A0000}"/>
    <cellStyle name="Normal 5 9 6" xfId="6779" xr:uid="{00000000-0005-0000-0000-0000878A0000}"/>
    <cellStyle name="Normal 5 9 6 2" xfId="11234" xr:uid="{00000000-0005-0000-0000-0000888A0000}"/>
    <cellStyle name="Normal 5 9 6 2 2" xfId="21230" xr:uid="{00000000-0005-0000-0000-0000898A0000}"/>
    <cellStyle name="Normal 5 9 6 2 2 2" xfId="40630" xr:uid="{00000000-0005-0000-0000-00008A8A0000}"/>
    <cellStyle name="Normal 5 9 6 2 3" xfId="30932" xr:uid="{00000000-0005-0000-0000-00008B8A0000}"/>
    <cellStyle name="Normal 5 9 6 3" xfId="16775" xr:uid="{00000000-0005-0000-0000-00008C8A0000}"/>
    <cellStyle name="Normal 5 9 6 3 2" xfId="36175" xr:uid="{00000000-0005-0000-0000-00008D8A0000}"/>
    <cellStyle name="Normal 5 9 6 4" xfId="26477" xr:uid="{00000000-0005-0000-0000-00008E8A0000}"/>
    <cellStyle name="Normal 5 9 7" xfId="7336" xr:uid="{00000000-0005-0000-0000-00008F8A0000}"/>
    <cellStyle name="Normal 5 9 7 2" xfId="17332" xr:uid="{00000000-0005-0000-0000-0000908A0000}"/>
    <cellStyle name="Normal 5 9 7 2 2" xfId="36732" xr:uid="{00000000-0005-0000-0000-0000918A0000}"/>
    <cellStyle name="Normal 5 9 7 3" xfId="27034" xr:uid="{00000000-0005-0000-0000-0000928A0000}"/>
    <cellStyle name="Normal 5 9 8" xfId="12876" xr:uid="{00000000-0005-0000-0000-0000938A0000}"/>
    <cellStyle name="Normal 5 9 8 2" xfId="32277" xr:uid="{00000000-0005-0000-0000-0000948A0000}"/>
    <cellStyle name="Normal 5 9 9" xfId="22579" xr:uid="{00000000-0005-0000-0000-0000958A0000}"/>
    <cellStyle name="Normal 50" xfId="1030" xr:uid="{00000000-0005-0000-0000-0000968A0000}"/>
    <cellStyle name="Normal 50 2" xfId="11901" xr:uid="{00000000-0005-0000-0000-0000978A0000}"/>
    <cellStyle name="Normal 50 2 2" xfId="21605" xr:uid="{00000000-0005-0000-0000-0000988A0000}"/>
    <cellStyle name="Normal 50 2 2 2" xfId="41005" xr:uid="{00000000-0005-0000-0000-0000998A0000}"/>
    <cellStyle name="Normal 50 2 3" xfId="31307" xr:uid="{00000000-0005-0000-0000-00009A8A0000}"/>
    <cellStyle name="Normal 50 3" xfId="2561" xr:uid="{00000000-0005-0000-0000-00009B8A0000}"/>
    <cellStyle name="Normal 50 4" xfId="12257" xr:uid="{00000000-0005-0000-0000-00009C8A0000}"/>
    <cellStyle name="Normal 50 4 2" xfId="31660" xr:uid="{00000000-0005-0000-0000-00009D8A0000}"/>
    <cellStyle name="Normal 50 5" xfId="21962" xr:uid="{00000000-0005-0000-0000-00009E8A0000}"/>
    <cellStyle name="Normal 51" xfId="1004" xr:uid="{00000000-0005-0000-0000-00009F8A0000}"/>
    <cellStyle name="Normal 51 2" xfId="11875" xr:uid="{00000000-0005-0000-0000-0000A08A0000}"/>
    <cellStyle name="Normal 51 2 2" xfId="21579" xr:uid="{00000000-0005-0000-0000-0000A18A0000}"/>
    <cellStyle name="Normal 51 2 2 2" xfId="40979" xr:uid="{00000000-0005-0000-0000-0000A28A0000}"/>
    <cellStyle name="Normal 51 2 3" xfId="31281" xr:uid="{00000000-0005-0000-0000-0000A38A0000}"/>
    <cellStyle name="Normal 51 3" xfId="2563" xr:uid="{00000000-0005-0000-0000-0000A48A0000}"/>
    <cellStyle name="Normal 51 4" xfId="12231" xr:uid="{00000000-0005-0000-0000-0000A58A0000}"/>
    <cellStyle name="Normal 51 4 2" xfId="31634" xr:uid="{00000000-0005-0000-0000-0000A68A0000}"/>
    <cellStyle name="Normal 51 5" xfId="21936" xr:uid="{00000000-0005-0000-0000-0000A78A0000}"/>
    <cellStyle name="Normal 52" xfId="1008" xr:uid="{00000000-0005-0000-0000-0000A88A0000}"/>
    <cellStyle name="Normal 52 2" xfId="11879" xr:uid="{00000000-0005-0000-0000-0000A98A0000}"/>
    <cellStyle name="Normal 52 2 2" xfId="21583" xr:uid="{00000000-0005-0000-0000-0000AA8A0000}"/>
    <cellStyle name="Normal 52 2 2 2" xfId="40983" xr:uid="{00000000-0005-0000-0000-0000AB8A0000}"/>
    <cellStyle name="Normal 52 2 3" xfId="31285" xr:uid="{00000000-0005-0000-0000-0000AC8A0000}"/>
    <cellStyle name="Normal 52 3" xfId="2568" xr:uid="{00000000-0005-0000-0000-0000AD8A0000}"/>
    <cellStyle name="Normal 52 4" xfId="12235" xr:uid="{00000000-0005-0000-0000-0000AE8A0000}"/>
    <cellStyle name="Normal 52 4 2" xfId="31638" xr:uid="{00000000-0005-0000-0000-0000AF8A0000}"/>
    <cellStyle name="Normal 52 5" xfId="21940" xr:uid="{00000000-0005-0000-0000-0000B08A0000}"/>
    <cellStyle name="Normal 53" xfId="1009" xr:uid="{00000000-0005-0000-0000-0000B18A0000}"/>
    <cellStyle name="Normal 53 2" xfId="11880" xr:uid="{00000000-0005-0000-0000-0000B28A0000}"/>
    <cellStyle name="Normal 53 2 2" xfId="21584" xr:uid="{00000000-0005-0000-0000-0000B38A0000}"/>
    <cellStyle name="Normal 53 2 2 2" xfId="40984" xr:uid="{00000000-0005-0000-0000-0000B48A0000}"/>
    <cellStyle name="Normal 53 2 3" xfId="31286" xr:uid="{00000000-0005-0000-0000-0000B58A0000}"/>
    <cellStyle name="Normal 53 3" xfId="2558" xr:uid="{00000000-0005-0000-0000-0000B68A0000}"/>
    <cellStyle name="Normal 53 4" xfId="12236" xr:uid="{00000000-0005-0000-0000-0000B78A0000}"/>
    <cellStyle name="Normal 53 4 2" xfId="31639" xr:uid="{00000000-0005-0000-0000-0000B88A0000}"/>
    <cellStyle name="Normal 53 5" xfId="21941" xr:uid="{00000000-0005-0000-0000-0000B98A0000}"/>
    <cellStyle name="Normal 54" xfId="1026" xr:uid="{00000000-0005-0000-0000-0000BA8A0000}"/>
    <cellStyle name="Normal 54 2" xfId="11897" xr:uid="{00000000-0005-0000-0000-0000BB8A0000}"/>
    <cellStyle name="Normal 54 2 2" xfId="21601" xr:uid="{00000000-0005-0000-0000-0000BC8A0000}"/>
    <cellStyle name="Normal 54 2 2 2" xfId="41001" xr:uid="{00000000-0005-0000-0000-0000BD8A0000}"/>
    <cellStyle name="Normal 54 2 3" xfId="31303" xr:uid="{00000000-0005-0000-0000-0000BE8A0000}"/>
    <cellStyle name="Normal 54 3" xfId="2569" xr:uid="{00000000-0005-0000-0000-0000BF8A0000}"/>
    <cellStyle name="Normal 54 4" xfId="12253" xr:uid="{00000000-0005-0000-0000-0000C08A0000}"/>
    <cellStyle name="Normal 54 4 2" xfId="31656" xr:uid="{00000000-0005-0000-0000-0000C18A0000}"/>
    <cellStyle name="Normal 54 5" xfId="21958" xr:uid="{00000000-0005-0000-0000-0000C28A0000}"/>
    <cellStyle name="Normal 55" xfId="1041" xr:uid="{00000000-0005-0000-0000-0000C38A0000}"/>
    <cellStyle name="Normal 55 2" xfId="11912" xr:uid="{00000000-0005-0000-0000-0000C48A0000}"/>
    <cellStyle name="Normal 55 2 2" xfId="21616" xr:uid="{00000000-0005-0000-0000-0000C58A0000}"/>
    <cellStyle name="Normal 55 2 2 2" xfId="41016" xr:uid="{00000000-0005-0000-0000-0000C68A0000}"/>
    <cellStyle name="Normal 55 2 3" xfId="31318" xr:uid="{00000000-0005-0000-0000-0000C78A0000}"/>
    <cellStyle name="Normal 55 3" xfId="2567" xr:uid="{00000000-0005-0000-0000-0000C88A0000}"/>
    <cellStyle name="Normal 55 4" xfId="12268" xr:uid="{00000000-0005-0000-0000-0000C98A0000}"/>
    <cellStyle name="Normal 55 4 2" xfId="31671" xr:uid="{00000000-0005-0000-0000-0000CA8A0000}"/>
    <cellStyle name="Normal 55 5" xfId="21973" xr:uid="{00000000-0005-0000-0000-0000CB8A0000}"/>
    <cellStyle name="Normal 56" xfId="1048" xr:uid="{00000000-0005-0000-0000-0000CC8A0000}"/>
    <cellStyle name="Normal 56 2" xfId="11919" xr:uid="{00000000-0005-0000-0000-0000CD8A0000}"/>
    <cellStyle name="Normal 56 2 2" xfId="21623" xr:uid="{00000000-0005-0000-0000-0000CE8A0000}"/>
    <cellStyle name="Normal 56 2 2 2" xfId="41023" xr:uid="{00000000-0005-0000-0000-0000CF8A0000}"/>
    <cellStyle name="Normal 56 2 3" xfId="31325" xr:uid="{00000000-0005-0000-0000-0000D08A0000}"/>
    <cellStyle name="Normal 56 3" xfId="2547" xr:uid="{00000000-0005-0000-0000-0000D18A0000}"/>
    <cellStyle name="Normal 56 4" xfId="12275" xr:uid="{00000000-0005-0000-0000-0000D28A0000}"/>
    <cellStyle name="Normal 56 4 2" xfId="31678" xr:uid="{00000000-0005-0000-0000-0000D38A0000}"/>
    <cellStyle name="Normal 56 5" xfId="21980" xr:uid="{00000000-0005-0000-0000-0000D48A0000}"/>
    <cellStyle name="Normal 57" xfId="1043" xr:uid="{00000000-0005-0000-0000-0000D58A0000}"/>
    <cellStyle name="Normal 57 2" xfId="11914" xr:uid="{00000000-0005-0000-0000-0000D68A0000}"/>
    <cellStyle name="Normal 57 2 2" xfId="21618" xr:uid="{00000000-0005-0000-0000-0000D78A0000}"/>
    <cellStyle name="Normal 57 2 2 2" xfId="41018" xr:uid="{00000000-0005-0000-0000-0000D88A0000}"/>
    <cellStyle name="Normal 57 2 3" xfId="31320" xr:uid="{00000000-0005-0000-0000-0000D98A0000}"/>
    <cellStyle name="Normal 57 3" xfId="2565" xr:uid="{00000000-0005-0000-0000-0000DA8A0000}"/>
    <cellStyle name="Normal 57 4" xfId="12270" xr:uid="{00000000-0005-0000-0000-0000DB8A0000}"/>
    <cellStyle name="Normal 57 4 2" xfId="31673" xr:uid="{00000000-0005-0000-0000-0000DC8A0000}"/>
    <cellStyle name="Normal 57 5" xfId="21975" xr:uid="{00000000-0005-0000-0000-0000DD8A0000}"/>
    <cellStyle name="Normal 58" xfId="1044" xr:uid="{00000000-0005-0000-0000-0000DE8A0000}"/>
    <cellStyle name="Normal 58 2" xfId="11915" xr:uid="{00000000-0005-0000-0000-0000DF8A0000}"/>
    <cellStyle name="Normal 58 2 2" xfId="21619" xr:uid="{00000000-0005-0000-0000-0000E08A0000}"/>
    <cellStyle name="Normal 58 2 2 2" xfId="41019" xr:uid="{00000000-0005-0000-0000-0000E18A0000}"/>
    <cellStyle name="Normal 58 2 3" xfId="31321" xr:uid="{00000000-0005-0000-0000-0000E28A0000}"/>
    <cellStyle name="Normal 58 3" xfId="2572" xr:uid="{00000000-0005-0000-0000-0000E38A0000}"/>
    <cellStyle name="Normal 58 4" xfId="12271" xr:uid="{00000000-0005-0000-0000-0000E48A0000}"/>
    <cellStyle name="Normal 58 4 2" xfId="31674" xr:uid="{00000000-0005-0000-0000-0000E58A0000}"/>
    <cellStyle name="Normal 58 5" xfId="21976" xr:uid="{00000000-0005-0000-0000-0000E68A0000}"/>
    <cellStyle name="Normal 59" xfId="1050" xr:uid="{00000000-0005-0000-0000-0000E78A0000}"/>
    <cellStyle name="Normal 59 2" xfId="11921" xr:uid="{00000000-0005-0000-0000-0000E88A0000}"/>
    <cellStyle name="Normal 59 2 2" xfId="21625" xr:uid="{00000000-0005-0000-0000-0000E98A0000}"/>
    <cellStyle name="Normal 59 2 2 2" xfId="41025" xr:uid="{00000000-0005-0000-0000-0000EA8A0000}"/>
    <cellStyle name="Normal 59 2 3" xfId="31327" xr:uid="{00000000-0005-0000-0000-0000EB8A0000}"/>
    <cellStyle name="Normal 59 3" xfId="2470" xr:uid="{00000000-0005-0000-0000-0000EC8A0000}"/>
    <cellStyle name="Normal 59 4" xfId="12277" xr:uid="{00000000-0005-0000-0000-0000ED8A0000}"/>
    <cellStyle name="Normal 59 4 2" xfId="31680" xr:uid="{00000000-0005-0000-0000-0000EE8A0000}"/>
    <cellStyle name="Normal 59 5" xfId="21982" xr:uid="{00000000-0005-0000-0000-0000EF8A0000}"/>
    <cellStyle name="Normal 6" xfId="525" xr:uid="{00000000-0005-0000-0000-0000F08A0000}"/>
    <cellStyle name="Normal 6 10" xfId="1147" xr:uid="{00000000-0005-0000-0000-0000F18A0000}"/>
    <cellStyle name="Normal 6 10 2" xfId="12366" xr:uid="{00000000-0005-0000-0000-0000F28A0000}"/>
    <cellStyle name="Normal 6 10 2 2" xfId="31768" xr:uid="{00000000-0005-0000-0000-0000F38A0000}"/>
    <cellStyle name="Normal 6 10 3" xfId="22070" xr:uid="{00000000-0005-0000-0000-0000F48A0000}"/>
    <cellStyle name="Normal 6 2" xfId="745" xr:uid="{00000000-0005-0000-0000-0000F58A0000}"/>
    <cellStyle name="Normal 6 2 2" xfId="2528" xr:uid="{00000000-0005-0000-0000-0000F68A0000}"/>
    <cellStyle name="Normal 6 2 2 2" xfId="3417" xr:uid="{00000000-0005-0000-0000-0000F78A0000}"/>
    <cellStyle name="Normal 6 2 2 2 2" xfId="5685" xr:uid="{00000000-0005-0000-0000-0000F88A0000}"/>
    <cellStyle name="Normal 6 2 2 2 2 2" xfId="10149" xr:uid="{00000000-0005-0000-0000-0000F98A0000}"/>
    <cellStyle name="Normal 6 2 2 2 2 2 2" xfId="20145" xr:uid="{00000000-0005-0000-0000-0000FA8A0000}"/>
    <cellStyle name="Normal 6 2 2 2 2 2 2 2" xfId="39545" xr:uid="{00000000-0005-0000-0000-0000FB8A0000}"/>
    <cellStyle name="Normal 6 2 2 2 2 2 3" xfId="29847" xr:uid="{00000000-0005-0000-0000-0000FC8A0000}"/>
    <cellStyle name="Normal 6 2 2 2 2 3" xfId="15690" xr:uid="{00000000-0005-0000-0000-0000FD8A0000}"/>
    <cellStyle name="Normal 6 2 2 2 2 3 2" xfId="35090" xr:uid="{00000000-0005-0000-0000-0000FE8A0000}"/>
    <cellStyle name="Normal 6 2 2 2 2 4" xfId="25392" xr:uid="{00000000-0005-0000-0000-0000FF8A0000}"/>
    <cellStyle name="Normal 6 2 2 2 3" xfId="7921" xr:uid="{00000000-0005-0000-0000-0000008B0000}"/>
    <cellStyle name="Normal 6 2 2 2 3 2" xfId="17917" xr:uid="{00000000-0005-0000-0000-0000018B0000}"/>
    <cellStyle name="Normal 6 2 2 2 3 2 2" xfId="37317" xr:uid="{00000000-0005-0000-0000-0000028B0000}"/>
    <cellStyle name="Normal 6 2 2 2 3 3" xfId="27619" xr:uid="{00000000-0005-0000-0000-0000038B0000}"/>
    <cellStyle name="Normal 6 2 2 2 4" xfId="13462" xr:uid="{00000000-0005-0000-0000-0000048B0000}"/>
    <cellStyle name="Normal 6 2 2 2 4 2" xfId="32862" xr:uid="{00000000-0005-0000-0000-0000058B0000}"/>
    <cellStyle name="Normal 6 2 2 2 5" xfId="23164" xr:uid="{00000000-0005-0000-0000-0000068B0000}"/>
    <cellStyle name="Normal 6 2 2 3" xfId="4000" xr:uid="{00000000-0005-0000-0000-0000078B0000}"/>
    <cellStyle name="Normal 6 2 2 3 2" xfId="5129" xr:uid="{00000000-0005-0000-0000-0000088B0000}"/>
    <cellStyle name="Normal 6 2 2 3 2 2" xfId="9593" xr:uid="{00000000-0005-0000-0000-0000098B0000}"/>
    <cellStyle name="Normal 6 2 2 3 2 2 2" xfId="19589" xr:uid="{00000000-0005-0000-0000-00000A8B0000}"/>
    <cellStyle name="Normal 6 2 2 3 2 2 2 2" xfId="38989" xr:uid="{00000000-0005-0000-0000-00000B8B0000}"/>
    <cellStyle name="Normal 6 2 2 3 2 2 3" xfId="29291" xr:uid="{00000000-0005-0000-0000-00000C8B0000}"/>
    <cellStyle name="Normal 6 2 2 3 2 3" xfId="15134" xr:uid="{00000000-0005-0000-0000-00000D8B0000}"/>
    <cellStyle name="Normal 6 2 2 3 2 3 2" xfId="34534" xr:uid="{00000000-0005-0000-0000-00000E8B0000}"/>
    <cellStyle name="Normal 6 2 2 3 2 4" xfId="24836" xr:uid="{00000000-0005-0000-0000-00000F8B0000}"/>
    <cellStyle name="Normal 6 2 2 3 3" xfId="8478" xr:uid="{00000000-0005-0000-0000-0000108B0000}"/>
    <cellStyle name="Normal 6 2 2 3 3 2" xfId="18474" xr:uid="{00000000-0005-0000-0000-0000118B0000}"/>
    <cellStyle name="Normal 6 2 2 3 3 2 2" xfId="37874" xr:uid="{00000000-0005-0000-0000-0000128B0000}"/>
    <cellStyle name="Normal 6 2 2 3 3 3" xfId="28176" xr:uid="{00000000-0005-0000-0000-0000138B0000}"/>
    <cellStyle name="Normal 6 2 2 3 4" xfId="14019" xr:uid="{00000000-0005-0000-0000-0000148B0000}"/>
    <cellStyle name="Normal 6 2 2 3 4 2" xfId="33419" xr:uid="{00000000-0005-0000-0000-0000158B0000}"/>
    <cellStyle name="Normal 6 2 2 3 5" xfId="23721" xr:uid="{00000000-0005-0000-0000-0000168B0000}"/>
    <cellStyle name="Normal 6 2 2 4" xfId="4572" xr:uid="{00000000-0005-0000-0000-0000178B0000}"/>
    <cellStyle name="Normal 6 2 2 4 2" xfId="9036" xr:uid="{00000000-0005-0000-0000-0000188B0000}"/>
    <cellStyle name="Normal 6 2 2 4 2 2" xfId="19032" xr:uid="{00000000-0005-0000-0000-0000198B0000}"/>
    <cellStyle name="Normal 6 2 2 4 2 2 2" xfId="38432" xr:uid="{00000000-0005-0000-0000-00001A8B0000}"/>
    <cellStyle name="Normal 6 2 2 4 2 3" xfId="28734" xr:uid="{00000000-0005-0000-0000-00001B8B0000}"/>
    <cellStyle name="Normal 6 2 2 4 3" xfId="14577" xr:uid="{00000000-0005-0000-0000-00001C8B0000}"/>
    <cellStyle name="Normal 6 2 2 4 3 2" xfId="33977" xr:uid="{00000000-0005-0000-0000-00001D8B0000}"/>
    <cellStyle name="Normal 6 2 2 4 4" xfId="24279" xr:uid="{00000000-0005-0000-0000-00001E8B0000}"/>
    <cellStyle name="Normal 6 2 2 5" xfId="6242" xr:uid="{00000000-0005-0000-0000-00001F8B0000}"/>
    <cellStyle name="Normal 6 2 2 5 2" xfId="10706" xr:uid="{00000000-0005-0000-0000-0000208B0000}"/>
    <cellStyle name="Normal 6 2 2 5 2 2" xfId="20702" xr:uid="{00000000-0005-0000-0000-0000218B0000}"/>
    <cellStyle name="Normal 6 2 2 5 2 2 2" xfId="40102" xr:uid="{00000000-0005-0000-0000-0000228B0000}"/>
    <cellStyle name="Normal 6 2 2 5 2 3" xfId="30404" xr:uid="{00000000-0005-0000-0000-0000238B0000}"/>
    <cellStyle name="Normal 6 2 2 5 3" xfId="16247" xr:uid="{00000000-0005-0000-0000-0000248B0000}"/>
    <cellStyle name="Normal 6 2 2 5 3 2" xfId="35647" xr:uid="{00000000-0005-0000-0000-0000258B0000}"/>
    <cellStyle name="Normal 6 2 2 5 4" xfId="25949" xr:uid="{00000000-0005-0000-0000-0000268B0000}"/>
    <cellStyle name="Normal 6 2 2 6" xfId="6808" xr:uid="{00000000-0005-0000-0000-0000278B0000}"/>
    <cellStyle name="Normal 6 2 2 6 2" xfId="11263" xr:uid="{00000000-0005-0000-0000-0000288B0000}"/>
    <cellStyle name="Normal 6 2 2 6 2 2" xfId="21259" xr:uid="{00000000-0005-0000-0000-0000298B0000}"/>
    <cellStyle name="Normal 6 2 2 6 2 2 2" xfId="40659" xr:uid="{00000000-0005-0000-0000-00002A8B0000}"/>
    <cellStyle name="Normal 6 2 2 6 2 3" xfId="30961" xr:uid="{00000000-0005-0000-0000-00002B8B0000}"/>
    <cellStyle name="Normal 6 2 2 6 3" xfId="16804" xr:uid="{00000000-0005-0000-0000-00002C8B0000}"/>
    <cellStyle name="Normal 6 2 2 6 3 2" xfId="36204" xr:uid="{00000000-0005-0000-0000-00002D8B0000}"/>
    <cellStyle name="Normal 6 2 2 6 4" xfId="26506" xr:uid="{00000000-0005-0000-0000-00002E8B0000}"/>
    <cellStyle name="Normal 6 2 2 7" xfId="7365" xr:uid="{00000000-0005-0000-0000-00002F8B0000}"/>
    <cellStyle name="Normal 6 2 2 7 2" xfId="17361" xr:uid="{00000000-0005-0000-0000-0000308B0000}"/>
    <cellStyle name="Normal 6 2 2 7 2 2" xfId="36761" xr:uid="{00000000-0005-0000-0000-0000318B0000}"/>
    <cellStyle name="Normal 6 2 2 7 3" xfId="27063" xr:uid="{00000000-0005-0000-0000-0000328B0000}"/>
    <cellStyle name="Normal 6 2 2 8" xfId="12905" xr:uid="{00000000-0005-0000-0000-0000338B0000}"/>
    <cellStyle name="Normal 6 2 2 8 2" xfId="32306" xr:uid="{00000000-0005-0000-0000-0000348B0000}"/>
    <cellStyle name="Normal 6 2 2 9" xfId="22608" xr:uid="{00000000-0005-0000-0000-0000358B0000}"/>
    <cellStyle name="Normal 6 2 3" xfId="11702" xr:uid="{00000000-0005-0000-0000-0000368B0000}"/>
    <cellStyle name="Normal 6 2 3 2" xfId="21415" xr:uid="{00000000-0005-0000-0000-0000378B0000}"/>
    <cellStyle name="Normal 6 2 3 2 2" xfId="40815" xr:uid="{00000000-0005-0000-0000-0000388B0000}"/>
    <cellStyle name="Normal 6 2 3 3" xfId="31117" xr:uid="{00000000-0005-0000-0000-0000398B0000}"/>
    <cellStyle name="Normal 6 2 4" xfId="1556" xr:uid="{00000000-0005-0000-0000-00003A8B0000}"/>
    <cellStyle name="Normal 6 2 5" xfId="12067" xr:uid="{00000000-0005-0000-0000-00003B8B0000}"/>
    <cellStyle name="Normal 6 2 5 2" xfId="31470" xr:uid="{00000000-0005-0000-0000-00003C8B0000}"/>
    <cellStyle name="Normal 6 2 6" xfId="21772" xr:uid="{00000000-0005-0000-0000-00003D8B0000}"/>
    <cellStyle name="Normal 6 3" xfId="1117" xr:uid="{00000000-0005-0000-0000-00003E8B0000}"/>
    <cellStyle name="Normal 6 3 2" xfId="2810" xr:uid="{00000000-0005-0000-0000-00003F8B0000}"/>
    <cellStyle name="Normal 6 3 3" xfId="11982" xr:uid="{00000000-0005-0000-0000-0000408B0000}"/>
    <cellStyle name="Normal 6 3 3 2" xfId="21686" xr:uid="{00000000-0005-0000-0000-0000418B0000}"/>
    <cellStyle name="Normal 6 3 3 2 2" xfId="41086" xr:uid="{00000000-0005-0000-0000-0000428B0000}"/>
    <cellStyle name="Normal 6 3 3 3" xfId="31388" xr:uid="{00000000-0005-0000-0000-0000438B0000}"/>
    <cellStyle name="Normal 6 3 4" xfId="1557" xr:uid="{00000000-0005-0000-0000-0000448B0000}"/>
    <cellStyle name="Normal 6 3 5" xfId="12338" xr:uid="{00000000-0005-0000-0000-0000458B0000}"/>
    <cellStyle name="Normal 6 3 5 2" xfId="31741" xr:uid="{00000000-0005-0000-0000-0000468B0000}"/>
    <cellStyle name="Normal 6 3 6" xfId="22043" xr:uid="{00000000-0005-0000-0000-0000478B0000}"/>
    <cellStyle name="Normal 6 4" xfId="1916" xr:uid="{00000000-0005-0000-0000-0000488B0000}"/>
    <cellStyle name="Normal 6 4 2" xfId="2929" xr:uid="{00000000-0005-0000-0000-0000498B0000}"/>
    <cellStyle name="Normal 6 4 2 2" xfId="5198" xr:uid="{00000000-0005-0000-0000-00004A8B0000}"/>
    <cellStyle name="Normal 6 4 2 2 2" xfId="9662" xr:uid="{00000000-0005-0000-0000-00004B8B0000}"/>
    <cellStyle name="Normal 6 4 2 2 2 2" xfId="19658" xr:uid="{00000000-0005-0000-0000-00004C8B0000}"/>
    <cellStyle name="Normal 6 4 2 2 2 2 2" xfId="39058" xr:uid="{00000000-0005-0000-0000-00004D8B0000}"/>
    <cellStyle name="Normal 6 4 2 2 2 3" xfId="29360" xr:uid="{00000000-0005-0000-0000-00004E8B0000}"/>
    <cellStyle name="Normal 6 4 2 2 3" xfId="15203" xr:uid="{00000000-0005-0000-0000-00004F8B0000}"/>
    <cellStyle name="Normal 6 4 2 2 3 2" xfId="34603" xr:uid="{00000000-0005-0000-0000-0000508B0000}"/>
    <cellStyle name="Normal 6 4 2 2 4" xfId="24905" xr:uid="{00000000-0005-0000-0000-0000518B0000}"/>
    <cellStyle name="Normal 6 4 2 3" xfId="7434" xr:uid="{00000000-0005-0000-0000-0000528B0000}"/>
    <cellStyle name="Normal 6 4 2 3 2" xfId="17430" xr:uid="{00000000-0005-0000-0000-0000538B0000}"/>
    <cellStyle name="Normal 6 4 2 3 2 2" xfId="36830" xr:uid="{00000000-0005-0000-0000-0000548B0000}"/>
    <cellStyle name="Normal 6 4 2 3 3" xfId="27132" xr:uid="{00000000-0005-0000-0000-0000558B0000}"/>
    <cellStyle name="Normal 6 4 2 4" xfId="12975" xr:uid="{00000000-0005-0000-0000-0000568B0000}"/>
    <cellStyle name="Normal 6 4 2 4 2" xfId="32375" xr:uid="{00000000-0005-0000-0000-0000578B0000}"/>
    <cellStyle name="Normal 6 4 2 5" xfId="22677" xr:uid="{00000000-0005-0000-0000-0000588B0000}"/>
    <cellStyle name="Normal 6 4 3" xfId="3512" xr:uid="{00000000-0005-0000-0000-0000598B0000}"/>
    <cellStyle name="Normal 6 4 3 2" xfId="4642" xr:uid="{00000000-0005-0000-0000-00005A8B0000}"/>
    <cellStyle name="Normal 6 4 3 2 2" xfId="9106" xr:uid="{00000000-0005-0000-0000-00005B8B0000}"/>
    <cellStyle name="Normal 6 4 3 2 2 2" xfId="19102" xr:uid="{00000000-0005-0000-0000-00005C8B0000}"/>
    <cellStyle name="Normal 6 4 3 2 2 2 2" xfId="38502" xr:uid="{00000000-0005-0000-0000-00005D8B0000}"/>
    <cellStyle name="Normal 6 4 3 2 2 3" xfId="28804" xr:uid="{00000000-0005-0000-0000-00005E8B0000}"/>
    <cellStyle name="Normal 6 4 3 2 3" xfId="14647" xr:uid="{00000000-0005-0000-0000-00005F8B0000}"/>
    <cellStyle name="Normal 6 4 3 2 3 2" xfId="34047" xr:uid="{00000000-0005-0000-0000-0000608B0000}"/>
    <cellStyle name="Normal 6 4 3 2 4" xfId="24349" xr:uid="{00000000-0005-0000-0000-0000618B0000}"/>
    <cellStyle name="Normal 6 4 3 3" xfId="7991" xr:uid="{00000000-0005-0000-0000-0000628B0000}"/>
    <cellStyle name="Normal 6 4 3 3 2" xfId="17987" xr:uid="{00000000-0005-0000-0000-0000638B0000}"/>
    <cellStyle name="Normal 6 4 3 3 2 2" xfId="37387" xr:uid="{00000000-0005-0000-0000-0000648B0000}"/>
    <cellStyle name="Normal 6 4 3 3 3" xfId="27689" xr:uid="{00000000-0005-0000-0000-0000658B0000}"/>
    <cellStyle name="Normal 6 4 3 4" xfId="13532" xr:uid="{00000000-0005-0000-0000-0000668B0000}"/>
    <cellStyle name="Normal 6 4 3 4 2" xfId="32932" xr:uid="{00000000-0005-0000-0000-0000678B0000}"/>
    <cellStyle name="Normal 6 4 3 5" xfId="23234" xr:uid="{00000000-0005-0000-0000-0000688B0000}"/>
    <cellStyle name="Normal 6 4 4" xfId="4085" xr:uid="{00000000-0005-0000-0000-0000698B0000}"/>
    <cellStyle name="Normal 6 4 4 2" xfId="8549" xr:uid="{00000000-0005-0000-0000-00006A8B0000}"/>
    <cellStyle name="Normal 6 4 4 2 2" xfId="18545" xr:uid="{00000000-0005-0000-0000-00006B8B0000}"/>
    <cellStyle name="Normal 6 4 4 2 2 2" xfId="37945" xr:uid="{00000000-0005-0000-0000-00006C8B0000}"/>
    <cellStyle name="Normal 6 4 4 2 3" xfId="28247" xr:uid="{00000000-0005-0000-0000-00006D8B0000}"/>
    <cellStyle name="Normal 6 4 4 3" xfId="14090" xr:uid="{00000000-0005-0000-0000-00006E8B0000}"/>
    <cellStyle name="Normal 6 4 4 3 2" xfId="33490" xr:uid="{00000000-0005-0000-0000-00006F8B0000}"/>
    <cellStyle name="Normal 6 4 4 4" xfId="23792" xr:uid="{00000000-0005-0000-0000-0000708B0000}"/>
    <cellStyle name="Normal 6 4 5" xfId="5755" xr:uid="{00000000-0005-0000-0000-0000718B0000}"/>
    <cellStyle name="Normal 6 4 5 2" xfId="10219" xr:uid="{00000000-0005-0000-0000-0000728B0000}"/>
    <cellStyle name="Normal 6 4 5 2 2" xfId="20215" xr:uid="{00000000-0005-0000-0000-0000738B0000}"/>
    <cellStyle name="Normal 6 4 5 2 2 2" xfId="39615" xr:uid="{00000000-0005-0000-0000-0000748B0000}"/>
    <cellStyle name="Normal 6 4 5 2 3" xfId="29917" xr:uid="{00000000-0005-0000-0000-0000758B0000}"/>
    <cellStyle name="Normal 6 4 5 3" xfId="15760" xr:uid="{00000000-0005-0000-0000-0000768B0000}"/>
    <cellStyle name="Normal 6 4 5 3 2" xfId="35160" xr:uid="{00000000-0005-0000-0000-0000778B0000}"/>
    <cellStyle name="Normal 6 4 5 4" xfId="25462" xr:uid="{00000000-0005-0000-0000-0000788B0000}"/>
    <cellStyle name="Normal 6 4 6" xfId="6321" xr:uid="{00000000-0005-0000-0000-0000798B0000}"/>
    <cellStyle name="Normal 6 4 6 2" xfId="10776" xr:uid="{00000000-0005-0000-0000-00007A8B0000}"/>
    <cellStyle name="Normal 6 4 6 2 2" xfId="20772" xr:uid="{00000000-0005-0000-0000-00007B8B0000}"/>
    <cellStyle name="Normal 6 4 6 2 2 2" xfId="40172" xr:uid="{00000000-0005-0000-0000-00007C8B0000}"/>
    <cellStyle name="Normal 6 4 6 2 3" xfId="30474" xr:uid="{00000000-0005-0000-0000-00007D8B0000}"/>
    <cellStyle name="Normal 6 4 6 3" xfId="16317" xr:uid="{00000000-0005-0000-0000-00007E8B0000}"/>
    <cellStyle name="Normal 6 4 6 3 2" xfId="35717" xr:uid="{00000000-0005-0000-0000-00007F8B0000}"/>
    <cellStyle name="Normal 6 4 6 4" xfId="26019" xr:uid="{00000000-0005-0000-0000-0000808B0000}"/>
    <cellStyle name="Normal 6 4 7" xfId="6878" xr:uid="{00000000-0005-0000-0000-0000818B0000}"/>
    <cellStyle name="Normal 6 4 7 2" xfId="16874" xr:uid="{00000000-0005-0000-0000-0000828B0000}"/>
    <cellStyle name="Normal 6 4 7 2 2" xfId="36274" xr:uid="{00000000-0005-0000-0000-0000838B0000}"/>
    <cellStyle name="Normal 6 4 7 3" xfId="26576" xr:uid="{00000000-0005-0000-0000-0000848B0000}"/>
    <cellStyle name="Normal 6 4 8" xfId="12418" xr:uid="{00000000-0005-0000-0000-0000858B0000}"/>
    <cellStyle name="Normal 6 4 8 2" xfId="31819" xr:uid="{00000000-0005-0000-0000-0000868B0000}"/>
    <cellStyle name="Normal 6 4 9" xfId="22121" xr:uid="{00000000-0005-0000-0000-0000878B0000}"/>
    <cellStyle name="Normal 6 5" xfId="2466" xr:uid="{00000000-0005-0000-0000-0000888B0000}"/>
    <cellStyle name="Normal 6 5 2" xfId="3389" xr:uid="{00000000-0005-0000-0000-0000898B0000}"/>
    <cellStyle name="Normal 6 5 2 2" xfId="5657" xr:uid="{00000000-0005-0000-0000-00008A8B0000}"/>
    <cellStyle name="Normal 6 5 2 2 2" xfId="10121" xr:uid="{00000000-0005-0000-0000-00008B8B0000}"/>
    <cellStyle name="Normal 6 5 2 2 2 2" xfId="20117" xr:uid="{00000000-0005-0000-0000-00008C8B0000}"/>
    <cellStyle name="Normal 6 5 2 2 2 2 2" xfId="39517" xr:uid="{00000000-0005-0000-0000-00008D8B0000}"/>
    <cellStyle name="Normal 6 5 2 2 2 3" xfId="29819" xr:uid="{00000000-0005-0000-0000-00008E8B0000}"/>
    <cellStyle name="Normal 6 5 2 2 3" xfId="15662" xr:uid="{00000000-0005-0000-0000-00008F8B0000}"/>
    <cellStyle name="Normal 6 5 2 2 3 2" xfId="35062" xr:uid="{00000000-0005-0000-0000-0000908B0000}"/>
    <cellStyle name="Normal 6 5 2 2 4" xfId="25364" xr:uid="{00000000-0005-0000-0000-0000918B0000}"/>
    <cellStyle name="Normal 6 5 2 3" xfId="7893" xr:uid="{00000000-0005-0000-0000-0000928B0000}"/>
    <cellStyle name="Normal 6 5 2 3 2" xfId="17889" xr:uid="{00000000-0005-0000-0000-0000938B0000}"/>
    <cellStyle name="Normal 6 5 2 3 2 2" xfId="37289" xr:uid="{00000000-0005-0000-0000-0000948B0000}"/>
    <cellStyle name="Normal 6 5 2 3 3" xfId="27591" xr:uid="{00000000-0005-0000-0000-0000958B0000}"/>
    <cellStyle name="Normal 6 5 2 4" xfId="13434" xr:uid="{00000000-0005-0000-0000-0000968B0000}"/>
    <cellStyle name="Normal 6 5 2 4 2" xfId="32834" xr:uid="{00000000-0005-0000-0000-0000978B0000}"/>
    <cellStyle name="Normal 6 5 2 5" xfId="23136" xr:uid="{00000000-0005-0000-0000-0000988B0000}"/>
    <cellStyle name="Normal 6 5 3" xfId="3972" xr:uid="{00000000-0005-0000-0000-0000998B0000}"/>
    <cellStyle name="Normal 6 5 3 2" xfId="5101" xr:uid="{00000000-0005-0000-0000-00009A8B0000}"/>
    <cellStyle name="Normal 6 5 3 2 2" xfId="9565" xr:uid="{00000000-0005-0000-0000-00009B8B0000}"/>
    <cellStyle name="Normal 6 5 3 2 2 2" xfId="19561" xr:uid="{00000000-0005-0000-0000-00009C8B0000}"/>
    <cellStyle name="Normal 6 5 3 2 2 2 2" xfId="38961" xr:uid="{00000000-0005-0000-0000-00009D8B0000}"/>
    <cellStyle name="Normal 6 5 3 2 2 3" xfId="29263" xr:uid="{00000000-0005-0000-0000-00009E8B0000}"/>
    <cellStyle name="Normal 6 5 3 2 3" xfId="15106" xr:uid="{00000000-0005-0000-0000-00009F8B0000}"/>
    <cellStyle name="Normal 6 5 3 2 3 2" xfId="34506" xr:uid="{00000000-0005-0000-0000-0000A08B0000}"/>
    <cellStyle name="Normal 6 5 3 2 4" xfId="24808" xr:uid="{00000000-0005-0000-0000-0000A18B0000}"/>
    <cellStyle name="Normal 6 5 3 3" xfId="8450" xr:uid="{00000000-0005-0000-0000-0000A28B0000}"/>
    <cellStyle name="Normal 6 5 3 3 2" xfId="18446" xr:uid="{00000000-0005-0000-0000-0000A38B0000}"/>
    <cellStyle name="Normal 6 5 3 3 2 2" xfId="37846" xr:uid="{00000000-0005-0000-0000-0000A48B0000}"/>
    <cellStyle name="Normal 6 5 3 3 3" xfId="28148" xr:uid="{00000000-0005-0000-0000-0000A58B0000}"/>
    <cellStyle name="Normal 6 5 3 4" xfId="13991" xr:uid="{00000000-0005-0000-0000-0000A68B0000}"/>
    <cellStyle name="Normal 6 5 3 4 2" xfId="33391" xr:uid="{00000000-0005-0000-0000-0000A78B0000}"/>
    <cellStyle name="Normal 6 5 3 5" xfId="23693" xr:uid="{00000000-0005-0000-0000-0000A88B0000}"/>
    <cellStyle name="Normal 6 5 4" xfId="4544" xr:uid="{00000000-0005-0000-0000-0000A98B0000}"/>
    <cellStyle name="Normal 6 5 4 2" xfId="9008" xr:uid="{00000000-0005-0000-0000-0000AA8B0000}"/>
    <cellStyle name="Normal 6 5 4 2 2" xfId="19004" xr:uid="{00000000-0005-0000-0000-0000AB8B0000}"/>
    <cellStyle name="Normal 6 5 4 2 2 2" xfId="38404" xr:uid="{00000000-0005-0000-0000-0000AC8B0000}"/>
    <cellStyle name="Normal 6 5 4 2 3" xfId="28706" xr:uid="{00000000-0005-0000-0000-0000AD8B0000}"/>
    <cellStyle name="Normal 6 5 4 3" xfId="14549" xr:uid="{00000000-0005-0000-0000-0000AE8B0000}"/>
    <cellStyle name="Normal 6 5 4 3 2" xfId="33949" xr:uid="{00000000-0005-0000-0000-0000AF8B0000}"/>
    <cellStyle name="Normal 6 5 4 4" xfId="24251" xr:uid="{00000000-0005-0000-0000-0000B08B0000}"/>
    <cellStyle name="Normal 6 5 5" xfId="6214" xr:uid="{00000000-0005-0000-0000-0000B18B0000}"/>
    <cellStyle name="Normal 6 5 5 2" xfId="10678" xr:uid="{00000000-0005-0000-0000-0000B28B0000}"/>
    <cellStyle name="Normal 6 5 5 2 2" xfId="20674" xr:uid="{00000000-0005-0000-0000-0000B38B0000}"/>
    <cellStyle name="Normal 6 5 5 2 2 2" xfId="40074" xr:uid="{00000000-0005-0000-0000-0000B48B0000}"/>
    <cellStyle name="Normal 6 5 5 2 3" xfId="30376" xr:uid="{00000000-0005-0000-0000-0000B58B0000}"/>
    <cellStyle name="Normal 6 5 5 3" xfId="16219" xr:uid="{00000000-0005-0000-0000-0000B68B0000}"/>
    <cellStyle name="Normal 6 5 5 3 2" xfId="35619" xr:uid="{00000000-0005-0000-0000-0000B78B0000}"/>
    <cellStyle name="Normal 6 5 5 4" xfId="25921" xr:uid="{00000000-0005-0000-0000-0000B88B0000}"/>
    <cellStyle name="Normal 6 5 6" xfId="6780" xr:uid="{00000000-0005-0000-0000-0000B98B0000}"/>
    <cellStyle name="Normal 6 5 6 2" xfId="11235" xr:uid="{00000000-0005-0000-0000-0000BA8B0000}"/>
    <cellStyle name="Normal 6 5 6 2 2" xfId="21231" xr:uid="{00000000-0005-0000-0000-0000BB8B0000}"/>
    <cellStyle name="Normal 6 5 6 2 2 2" xfId="40631" xr:uid="{00000000-0005-0000-0000-0000BC8B0000}"/>
    <cellStyle name="Normal 6 5 6 2 3" xfId="30933" xr:uid="{00000000-0005-0000-0000-0000BD8B0000}"/>
    <cellStyle name="Normal 6 5 6 3" xfId="16776" xr:uid="{00000000-0005-0000-0000-0000BE8B0000}"/>
    <cellStyle name="Normal 6 5 6 3 2" xfId="36176" xr:uid="{00000000-0005-0000-0000-0000BF8B0000}"/>
    <cellStyle name="Normal 6 5 6 4" xfId="26478" xr:uid="{00000000-0005-0000-0000-0000C08B0000}"/>
    <cellStyle name="Normal 6 5 7" xfId="7337" xr:uid="{00000000-0005-0000-0000-0000C18B0000}"/>
    <cellStyle name="Normal 6 5 7 2" xfId="17333" xr:uid="{00000000-0005-0000-0000-0000C28B0000}"/>
    <cellStyle name="Normal 6 5 7 2 2" xfId="36733" xr:uid="{00000000-0005-0000-0000-0000C38B0000}"/>
    <cellStyle name="Normal 6 5 7 3" xfId="27035" xr:uid="{00000000-0005-0000-0000-0000C48B0000}"/>
    <cellStyle name="Normal 6 5 8" xfId="12877" xr:uid="{00000000-0005-0000-0000-0000C58B0000}"/>
    <cellStyle name="Normal 6 5 8 2" xfId="32278" xr:uid="{00000000-0005-0000-0000-0000C68B0000}"/>
    <cellStyle name="Normal 6 5 9" xfId="22580" xr:uid="{00000000-0005-0000-0000-0000C78B0000}"/>
    <cellStyle name="Normal 6 6" xfId="11321" xr:uid="{00000000-0005-0000-0000-0000C88B0000}"/>
    <cellStyle name="Normal 6 6 2" xfId="21306" xr:uid="{00000000-0005-0000-0000-0000C98B0000}"/>
    <cellStyle name="Normal 6 6 2 2" xfId="40706" xr:uid="{00000000-0005-0000-0000-0000CA8B0000}"/>
    <cellStyle name="Normal 6 6 3" xfId="31008" xr:uid="{00000000-0005-0000-0000-0000CB8B0000}"/>
    <cellStyle name="Normal 6 7" xfId="11351" xr:uid="{00000000-0005-0000-0000-0000CC8B0000}"/>
    <cellStyle name="Normal 6 7 2" xfId="21333" xr:uid="{00000000-0005-0000-0000-0000CD8B0000}"/>
    <cellStyle name="Normal 6 7 2 2" xfId="40733" xr:uid="{00000000-0005-0000-0000-0000CE8B0000}"/>
    <cellStyle name="Normal 6 7 3" xfId="31035" xr:uid="{00000000-0005-0000-0000-0000CF8B0000}"/>
    <cellStyle name="Normal 6 8" xfId="1555" xr:uid="{00000000-0005-0000-0000-0000D08B0000}"/>
    <cellStyle name="Normal 6 9" xfId="11562" xr:uid="{00000000-0005-0000-0000-0000D18B0000}"/>
    <cellStyle name="Normal 60" xfId="1051" xr:uid="{00000000-0005-0000-0000-0000D28B0000}"/>
    <cellStyle name="Normal 60 2" xfId="11922" xr:uid="{00000000-0005-0000-0000-0000D38B0000}"/>
    <cellStyle name="Normal 60 2 2" xfId="21626" xr:uid="{00000000-0005-0000-0000-0000D48B0000}"/>
    <cellStyle name="Normal 60 2 2 2" xfId="41026" xr:uid="{00000000-0005-0000-0000-0000D58B0000}"/>
    <cellStyle name="Normal 60 2 3" xfId="31328" xr:uid="{00000000-0005-0000-0000-0000D68B0000}"/>
    <cellStyle name="Normal 60 3" xfId="2573" xr:uid="{00000000-0005-0000-0000-0000D78B0000}"/>
    <cellStyle name="Normal 60 4" xfId="12278" xr:uid="{00000000-0005-0000-0000-0000D88B0000}"/>
    <cellStyle name="Normal 60 4 2" xfId="31681" xr:uid="{00000000-0005-0000-0000-0000D98B0000}"/>
    <cellStyle name="Normal 60 5" xfId="21983" xr:uid="{00000000-0005-0000-0000-0000DA8B0000}"/>
    <cellStyle name="Normal 61" xfId="1039" xr:uid="{00000000-0005-0000-0000-0000DB8B0000}"/>
    <cellStyle name="Normal 61 2" xfId="3387" xr:uid="{00000000-0005-0000-0000-0000DC8B0000}"/>
    <cellStyle name="Normal 61 3" xfId="3970" xr:uid="{00000000-0005-0000-0000-0000DD8B0000}"/>
    <cellStyle name="Normal 61 4" xfId="11910" xr:uid="{00000000-0005-0000-0000-0000DE8B0000}"/>
    <cellStyle name="Normal 61 4 2" xfId="21614" xr:uid="{00000000-0005-0000-0000-0000DF8B0000}"/>
    <cellStyle name="Normal 61 4 2 2" xfId="41014" xr:uid="{00000000-0005-0000-0000-0000E08B0000}"/>
    <cellStyle name="Normal 61 4 3" xfId="31316" xr:uid="{00000000-0005-0000-0000-0000E18B0000}"/>
    <cellStyle name="Normal 61 5" xfId="2462" xr:uid="{00000000-0005-0000-0000-0000E28B0000}"/>
    <cellStyle name="Normal 61 6" xfId="12266" xr:uid="{00000000-0005-0000-0000-0000E38B0000}"/>
    <cellStyle name="Normal 61 6 2" xfId="31669" xr:uid="{00000000-0005-0000-0000-0000E48B0000}"/>
    <cellStyle name="Normal 61 7" xfId="21971" xr:uid="{00000000-0005-0000-0000-0000E58B0000}"/>
    <cellStyle name="Normal 62" xfId="1042" xr:uid="{00000000-0005-0000-0000-0000E68B0000}"/>
    <cellStyle name="Normal 62 2" xfId="3442" xr:uid="{00000000-0005-0000-0000-0000E78B0000}"/>
    <cellStyle name="Normal 62 3" xfId="4025" xr:uid="{00000000-0005-0000-0000-0000E88B0000}"/>
    <cellStyle name="Normal 62 4" xfId="11913" xr:uid="{00000000-0005-0000-0000-0000E98B0000}"/>
    <cellStyle name="Normal 62 4 2" xfId="21617" xr:uid="{00000000-0005-0000-0000-0000EA8B0000}"/>
    <cellStyle name="Normal 62 4 2 2" xfId="41017" xr:uid="{00000000-0005-0000-0000-0000EB8B0000}"/>
    <cellStyle name="Normal 62 4 3" xfId="31319" xr:uid="{00000000-0005-0000-0000-0000EC8B0000}"/>
    <cellStyle name="Normal 62 5" xfId="2837" xr:uid="{00000000-0005-0000-0000-0000ED8B0000}"/>
    <cellStyle name="Normal 62 6" xfId="12269" xr:uid="{00000000-0005-0000-0000-0000EE8B0000}"/>
    <cellStyle name="Normal 62 6 2" xfId="31672" xr:uid="{00000000-0005-0000-0000-0000EF8B0000}"/>
    <cellStyle name="Normal 62 7" xfId="21974" xr:uid="{00000000-0005-0000-0000-0000F08B0000}"/>
    <cellStyle name="Normal 63" xfId="1046" xr:uid="{00000000-0005-0000-0000-0000F18B0000}"/>
    <cellStyle name="Normal 63 2" xfId="3445" xr:uid="{00000000-0005-0000-0000-0000F28B0000}"/>
    <cellStyle name="Normal 63 3" xfId="4028" xr:uid="{00000000-0005-0000-0000-0000F38B0000}"/>
    <cellStyle name="Normal 63 4" xfId="11917" xr:uid="{00000000-0005-0000-0000-0000F48B0000}"/>
    <cellStyle name="Normal 63 4 2" xfId="21621" xr:uid="{00000000-0005-0000-0000-0000F58B0000}"/>
    <cellStyle name="Normal 63 4 2 2" xfId="41021" xr:uid="{00000000-0005-0000-0000-0000F68B0000}"/>
    <cellStyle name="Normal 63 4 3" xfId="31323" xr:uid="{00000000-0005-0000-0000-0000F78B0000}"/>
    <cellStyle name="Normal 63 5" xfId="2852" xr:uid="{00000000-0005-0000-0000-0000F88B0000}"/>
    <cellStyle name="Normal 63 6" xfId="12273" xr:uid="{00000000-0005-0000-0000-0000F98B0000}"/>
    <cellStyle name="Normal 63 6 2" xfId="31676" xr:uid="{00000000-0005-0000-0000-0000FA8B0000}"/>
    <cellStyle name="Normal 63 7" xfId="21978" xr:uid="{00000000-0005-0000-0000-0000FB8B0000}"/>
    <cellStyle name="Normal 64" xfId="1049" xr:uid="{00000000-0005-0000-0000-0000FC8B0000}"/>
    <cellStyle name="Normal 64 2" xfId="3443" xr:uid="{00000000-0005-0000-0000-0000FD8B0000}"/>
    <cellStyle name="Normal 64 3" xfId="4026" xr:uid="{00000000-0005-0000-0000-0000FE8B0000}"/>
    <cellStyle name="Normal 64 4" xfId="11920" xr:uid="{00000000-0005-0000-0000-0000FF8B0000}"/>
    <cellStyle name="Normal 64 4 2" xfId="21624" xr:uid="{00000000-0005-0000-0000-0000008C0000}"/>
    <cellStyle name="Normal 64 4 2 2" xfId="41024" xr:uid="{00000000-0005-0000-0000-0000018C0000}"/>
    <cellStyle name="Normal 64 4 3" xfId="31326" xr:uid="{00000000-0005-0000-0000-0000028C0000}"/>
    <cellStyle name="Normal 64 5" xfId="2846" xr:uid="{00000000-0005-0000-0000-0000038C0000}"/>
    <cellStyle name="Normal 64 6" xfId="12276" xr:uid="{00000000-0005-0000-0000-0000048C0000}"/>
    <cellStyle name="Normal 64 6 2" xfId="31679" xr:uid="{00000000-0005-0000-0000-0000058C0000}"/>
    <cellStyle name="Normal 64 7" xfId="21981" xr:uid="{00000000-0005-0000-0000-0000068C0000}"/>
    <cellStyle name="Normal 65" xfId="1045" xr:uid="{00000000-0005-0000-0000-0000078C0000}"/>
    <cellStyle name="Normal 65 2" xfId="3444" xr:uid="{00000000-0005-0000-0000-0000088C0000}"/>
    <cellStyle name="Normal 65 3" xfId="4027" xr:uid="{00000000-0005-0000-0000-0000098C0000}"/>
    <cellStyle name="Normal 65 4" xfId="11916" xr:uid="{00000000-0005-0000-0000-00000A8C0000}"/>
    <cellStyle name="Normal 65 4 2" xfId="21620" xr:uid="{00000000-0005-0000-0000-00000B8C0000}"/>
    <cellStyle name="Normal 65 4 2 2" xfId="41020" xr:uid="{00000000-0005-0000-0000-00000C8C0000}"/>
    <cellStyle name="Normal 65 4 3" xfId="31322" xr:uid="{00000000-0005-0000-0000-00000D8C0000}"/>
    <cellStyle name="Normal 65 5" xfId="2847" xr:uid="{00000000-0005-0000-0000-00000E8C0000}"/>
    <cellStyle name="Normal 65 6" xfId="12272" xr:uid="{00000000-0005-0000-0000-00000F8C0000}"/>
    <cellStyle name="Normal 65 6 2" xfId="31675" xr:uid="{00000000-0005-0000-0000-0000108C0000}"/>
    <cellStyle name="Normal 65 7" xfId="21977" xr:uid="{00000000-0005-0000-0000-0000118C0000}"/>
    <cellStyle name="Normal 66" xfId="1059" xr:uid="{00000000-0005-0000-0000-0000128C0000}"/>
    <cellStyle name="Normal 66 2" xfId="3446" xr:uid="{00000000-0005-0000-0000-0000138C0000}"/>
    <cellStyle name="Normal 66 3" xfId="4029" xr:uid="{00000000-0005-0000-0000-0000148C0000}"/>
    <cellStyle name="Normal 66 4" xfId="11930" xr:uid="{00000000-0005-0000-0000-0000158C0000}"/>
    <cellStyle name="Normal 66 4 2" xfId="21634" xr:uid="{00000000-0005-0000-0000-0000168C0000}"/>
    <cellStyle name="Normal 66 4 2 2" xfId="41034" xr:uid="{00000000-0005-0000-0000-0000178C0000}"/>
    <cellStyle name="Normal 66 4 3" xfId="31336" xr:uid="{00000000-0005-0000-0000-0000188C0000}"/>
    <cellStyle name="Normal 66 5" xfId="2855" xr:uid="{00000000-0005-0000-0000-0000198C0000}"/>
    <cellStyle name="Normal 66 6" xfId="12286" xr:uid="{00000000-0005-0000-0000-00001A8C0000}"/>
    <cellStyle name="Normal 66 6 2" xfId="31689" xr:uid="{00000000-0005-0000-0000-00001B8C0000}"/>
    <cellStyle name="Normal 66 7" xfId="21991" xr:uid="{00000000-0005-0000-0000-00001C8C0000}"/>
    <cellStyle name="Normal 67" xfId="1062" xr:uid="{00000000-0005-0000-0000-00001D8C0000}"/>
    <cellStyle name="Normal 67 2" xfId="4032" xr:uid="{00000000-0005-0000-0000-00001E8C0000}"/>
    <cellStyle name="Normal 67 3" xfId="6267" xr:uid="{00000000-0005-0000-0000-00001F8C0000}"/>
    <cellStyle name="Normal 67 4" xfId="11933" xr:uid="{00000000-0005-0000-0000-0000208C0000}"/>
    <cellStyle name="Normal 67 4 2" xfId="21637" xr:uid="{00000000-0005-0000-0000-0000218C0000}"/>
    <cellStyle name="Normal 67 4 2 2" xfId="41037" xr:uid="{00000000-0005-0000-0000-0000228C0000}"/>
    <cellStyle name="Normal 67 4 3" xfId="31339" xr:uid="{00000000-0005-0000-0000-0000238C0000}"/>
    <cellStyle name="Normal 67 5" xfId="3447" xr:uid="{00000000-0005-0000-0000-0000248C0000}"/>
    <cellStyle name="Normal 67 6" xfId="12289" xr:uid="{00000000-0005-0000-0000-0000258C0000}"/>
    <cellStyle name="Normal 67 6 2" xfId="31692" xr:uid="{00000000-0005-0000-0000-0000268C0000}"/>
    <cellStyle name="Normal 67 7" xfId="21994" xr:uid="{00000000-0005-0000-0000-0000278C0000}"/>
    <cellStyle name="Normal 68" xfId="1061" xr:uid="{00000000-0005-0000-0000-0000288C0000}"/>
    <cellStyle name="Normal 68 2" xfId="4040" xr:uid="{00000000-0005-0000-0000-0000298C0000}"/>
    <cellStyle name="Normal 68 3" xfId="6276" xr:uid="{00000000-0005-0000-0000-00002A8C0000}"/>
    <cellStyle name="Normal 68 4" xfId="11932" xr:uid="{00000000-0005-0000-0000-00002B8C0000}"/>
    <cellStyle name="Normal 68 4 2" xfId="21636" xr:uid="{00000000-0005-0000-0000-00002C8C0000}"/>
    <cellStyle name="Normal 68 4 2 2" xfId="41036" xr:uid="{00000000-0005-0000-0000-00002D8C0000}"/>
    <cellStyle name="Normal 68 4 3" xfId="31338" xr:uid="{00000000-0005-0000-0000-00002E8C0000}"/>
    <cellStyle name="Normal 68 5" xfId="3460" xr:uid="{00000000-0005-0000-0000-00002F8C0000}"/>
    <cellStyle name="Normal 68 6" xfId="12288" xr:uid="{00000000-0005-0000-0000-0000308C0000}"/>
    <cellStyle name="Normal 68 6 2" xfId="31691" xr:uid="{00000000-0005-0000-0000-0000318C0000}"/>
    <cellStyle name="Normal 68 7" xfId="21993" xr:uid="{00000000-0005-0000-0000-0000328C0000}"/>
    <cellStyle name="Normal 69" xfId="1076" xr:uid="{00000000-0005-0000-0000-0000338C0000}"/>
    <cellStyle name="Normal 69 2" xfId="11947" xr:uid="{00000000-0005-0000-0000-0000348C0000}"/>
    <cellStyle name="Normal 69 2 2" xfId="21651" xr:uid="{00000000-0005-0000-0000-0000358C0000}"/>
    <cellStyle name="Normal 69 2 2 2" xfId="41051" xr:uid="{00000000-0005-0000-0000-0000368C0000}"/>
    <cellStyle name="Normal 69 2 3" xfId="31353" xr:uid="{00000000-0005-0000-0000-0000378C0000}"/>
    <cellStyle name="Normal 69 3" xfId="11290" xr:uid="{00000000-0005-0000-0000-0000388C0000}"/>
    <cellStyle name="Normal 69 4" xfId="12303" xr:uid="{00000000-0005-0000-0000-0000398C0000}"/>
    <cellStyle name="Normal 69 4 2" xfId="31706" xr:uid="{00000000-0005-0000-0000-00003A8C0000}"/>
    <cellStyle name="Normal 69 5" xfId="22008" xr:uid="{00000000-0005-0000-0000-00003B8C0000}"/>
    <cellStyle name="Normal 7" xfId="526" xr:uid="{00000000-0005-0000-0000-00003C8C0000}"/>
    <cellStyle name="Normal 7 2" xfId="1799" xr:uid="{00000000-0005-0000-0000-00003D8C0000}"/>
    <cellStyle name="Normal 7 2 2" xfId="2522" xr:uid="{00000000-0005-0000-0000-00003E8C0000}"/>
    <cellStyle name="Normal 7 2 2 2" xfId="3411" xr:uid="{00000000-0005-0000-0000-00003F8C0000}"/>
    <cellStyle name="Normal 7 2 2 2 2" xfId="5679" xr:uid="{00000000-0005-0000-0000-0000408C0000}"/>
    <cellStyle name="Normal 7 2 2 2 2 2" xfId="10143" xr:uid="{00000000-0005-0000-0000-0000418C0000}"/>
    <cellStyle name="Normal 7 2 2 2 2 2 2" xfId="20139" xr:uid="{00000000-0005-0000-0000-0000428C0000}"/>
    <cellStyle name="Normal 7 2 2 2 2 2 2 2" xfId="39539" xr:uid="{00000000-0005-0000-0000-0000438C0000}"/>
    <cellStyle name="Normal 7 2 2 2 2 2 3" xfId="29841" xr:uid="{00000000-0005-0000-0000-0000448C0000}"/>
    <cellStyle name="Normal 7 2 2 2 2 3" xfId="15684" xr:uid="{00000000-0005-0000-0000-0000458C0000}"/>
    <cellStyle name="Normal 7 2 2 2 2 3 2" xfId="35084" xr:uid="{00000000-0005-0000-0000-0000468C0000}"/>
    <cellStyle name="Normal 7 2 2 2 2 4" xfId="25386" xr:uid="{00000000-0005-0000-0000-0000478C0000}"/>
    <cellStyle name="Normal 7 2 2 2 3" xfId="7915" xr:uid="{00000000-0005-0000-0000-0000488C0000}"/>
    <cellStyle name="Normal 7 2 2 2 3 2" xfId="17911" xr:uid="{00000000-0005-0000-0000-0000498C0000}"/>
    <cellStyle name="Normal 7 2 2 2 3 2 2" xfId="37311" xr:uid="{00000000-0005-0000-0000-00004A8C0000}"/>
    <cellStyle name="Normal 7 2 2 2 3 3" xfId="27613" xr:uid="{00000000-0005-0000-0000-00004B8C0000}"/>
    <cellStyle name="Normal 7 2 2 2 4" xfId="13456" xr:uid="{00000000-0005-0000-0000-00004C8C0000}"/>
    <cellStyle name="Normal 7 2 2 2 4 2" xfId="32856" xr:uid="{00000000-0005-0000-0000-00004D8C0000}"/>
    <cellStyle name="Normal 7 2 2 2 5" xfId="23158" xr:uid="{00000000-0005-0000-0000-00004E8C0000}"/>
    <cellStyle name="Normal 7 2 2 3" xfId="3994" xr:uid="{00000000-0005-0000-0000-00004F8C0000}"/>
    <cellStyle name="Normal 7 2 2 3 2" xfId="5123" xr:uid="{00000000-0005-0000-0000-0000508C0000}"/>
    <cellStyle name="Normal 7 2 2 3 2 2" xfId="9587" xr:uid="{00000000-0005-0000-0000-0000518C0000}"/>
    <cellStyle name="Normal 7 2 2 3 2 2 2" xfId="19583" xr:uid="{00000000-0005-0000-0000-0000528C0000}"/>
    <cellStyle name="Normal 7 2 2 3 2 2 2 2" xfId="38983" xr:uid="{00000000-0005-0000-0000-0000538C0000}"/>
    <cellStyle name="Normal 7 2 2 3 2 2 3" xfId="29285" xr:uid="{00000000-0005-0000-0000-0000548C0000}"/>
    <cellStyle name="Normal 7 2 2 3 2 3" xfId="15128" xr:uid="{00000000-0005-0000-0000-0000558C0000}"/>
    <cellStyle name="Normal 7 2 2 3 2 3 2" xfId="34528" xr:uid="{00000000-0005-0000-0000-0000568C0000}"/>
    <cellStyle name="Normal 7 2 2 3 2 4" xfId="24830" xr:uid="{00000000-0005-0000-0000-0000578C0000}"/>
    <cellStyle name="Normal 7 2 2 3 3" xfId="8472" xr:uid="{00000000-0005-0000-0000-0000588C0000}"/>
    <cellStyle name="Normal 7 2 2 3 3 2" xfId="18468" xr:uid="{00000000-0005-0000-0000-0000598C0000}"/>
    <cellStyle name="Normal 7 2 2 3 3 2 2" xfId="37868" xr:uid="{00000000-0005-0000-0000-00005A8C0000}"/>
    <cellStyle name="Normal 7 2 2 3 3 3" xfId="28170" xr:uid="{00000000-0005-0000-0000-00005B8C0000}"/>
    <cellStyle name="Normal 7 2 2 3 4" xfId="14013" xr:uid="{00000000-0005-0000-0000-00005C8C0000}"/>
    <cellStyle name="Normal 7 2 2 3 4 2" xfId="33413" xr:uid="{00000000-0005-0000-0000-00005D8C0000}"/>
    <cellStyle name="Normal 7 2 2 3 5" xfId="23715" xr:uid="{00000000-0005-0000-0000-00005E8C0000}"/>
    <cellStyle name="Normal 7 2 2 4" xfId="4566" xr:uid="{00000000-0005-0000-0000-00005F8C0000}"/>
    <cellStyle name="Normal 7 2 2 4 2" xfId="9030" xr:uid="{00000000-0005-0000-0000-0000608C0000}"/>
    <cellStyle name="Normal 7 2 2 4 2 2" xfId="19026" xr:uid="{00000000-0005-0000-0000-0000618C0000}"/>
    <cellStyle name="Normal 7 2 2 4 2 2 2" xfId="38426" xr:uid="{00000000-0005-0000-0000-0000628C0000}"/>
    <cellStyle name="Normal 7 2 2 4 2 3" xfId="28728" xr:uid="{00000000-0005-0000-0000-0000638C0000}"/>
    <cellStyle name="Normal 7 2 2 4 3" xfId="14571" xr:uid="{00000000-0005-0000-0000-0000648C0000}"/>
    <cellStyle name="Normal 7 2 2 4 3 2" xfId="33971" xr:uid="{00000000-0005-0000-0000-0000658C0000}"/>
    <cellStyle name="Normal 7 2 2 4 4" xfId="24273" xr:uid="{00000000-0005-0000-0000-0000668C0000}"/>
    <cellStyle name="Normal 7 2 2 5" xfId="6236" xr:uid="{00000000-0005-0000-0000-0000678C0000}"/>
    <cellStyle name="Normal 7 2 2 5 2" xfId="10700" xr:uid="{00000000-0005-0000-0000-0000688C0000}"/>
    <cellStyle name="Normal 7 2 2 5 2 2" xfId="20696" xr:uid="{00000000-0005-0000-0000-0000698C0000}"/>
    <cellStyle name="Normal 7 2 2 5 2 2 2" xfId="40096" xr:uid="{00000000-0005-0000-0000-00006A8C0000}"/>
    <cellStyle name="Normal 7 2 2 5 2 3" xfId="30398" xr:uid="{00000000-0005-0000-0000-00006B8C0000}"/>
    <cellStyle name="Normal 7 2 2 5 3" xfId="16241" xr:uid="{00000000-0005-0000-0000-00006C8C0000}"/>
    <cellStyle name="Normal 7 2 2 5 3 2" xfId="35641" xr:uid="{00000000-0005-0000-0000-00006D8C0000}"/>
    <cellStyle name="Normal 7 2 2 5 4" xfId="25943" xr:uid="{00000000-0005-0000-0000-00006E8C0000}"/>
    <cellStyle name="Normal 7 2 2 6" xfId="6802" xr:uid="{00000000-0005-0000-0000-00006F8C0000}"/>
    <cellStyle name="Normal 7 2 2 6 2" xfId="11257" xr:uid="{00000000-0005-0000-0000-0000708C0000}"/>
    <cellStyle name="Normal 7 2 2 6 2 2" xfId="21253" xr:uid="{00000000-0005-0000-0000-0000718C0000}"/>
    <cellStyle name="Normal 7 2 2 6 2 2 2" xfId="40653" xr:uid="{00000000-0005-0000-0000-0000728C0000}"/>
    <cellStyle name="Normal 7 2 2 6 2 3" xfId="30955" xr:uid="{00000000-0005-0000-0000-0000738C0000}"/>
    <cellStyle name="Normal 7 2 2 6 3" xfId="16798" xr:uid="{00000000-0005-0000-0000-0000748C0000}"/>
    <cellStyle name="Normal 7 2 2 6 3 2" xfId="36198" xr:uid="{00000000-0005-0000-0000-0000758C0000}"/>
    <cellStyle name="Normal 7 2 2 6 4" xfId="26500" xr:uid="{00000000-0005-0000-0000-0000768C0000}"/>
    <cellStyle name="Normal 7 2 2 7" xfId="7359" xr:uid="{00000000-0005-0000-0000-0000778C0000}"/>
    <cellStyle name="Normal 7 2 2 7 2" xfId="17355" xr:uid="{00000000-0005-0000-0000-0000788C0000}"/>
    <cellStyle name="Normal 7 2 2 7 2 2" xfId="36755" xr:uid="{00000000-0005-0000-0000-0000798C0000}"/>
    <cellStyle name="Normal 7 2 2 7 3" xfId="27057" xr:uid="{00000000-0005-0000-0000-00007A8C0000}"/>
    <cellStyle name="Normal 7 2 2 8" xfId="12899" xr:uid="{00000000-0005-0000-0000-00007B8C0000}"/>
    <cellStyle name="Normal 7 2 2 8 2" xfId="32300" xr:uid="{00000000-0005-0000-0000-00007C8C0000}"/>
    <cellStyle name="Normal 7 2 2 9" xfId="22602" xr:uid="{00000000-0005-0000-0000-00007D8C0000}"/>
    <cellStyle name="Normal 7 3" xfId="1917" xr:uid="{00000000-0005-0000-0000-00007E8C0000}"/>
    <cellStyle name="Normal 7 3 2" xfId="2930" xr:uid="{00000000-0005-0000-0000-00007F8C0000}"/>
    <cellStyle name="Normal 7 3 2 2" xfId="5199" xr:uid="{00000000-0005-0000-0000-0000808C0000}"/>
    <cellStyle name="Normal 7 3 2 2 2" xfId="9663" xr:uid="{00000000-0005-0000-0000-0000818C0000}"/>
    <cellStyle name="Normal 7 3 2 2 2 2" xfId="19659" xr:uid="{00000000-0005-0000-0000-0000828C0000}"/>
    <cellStyle name="Normal 7 3 2 2 2 2 2" xfId="39059" xr:uid="{00000000-0005-0000-0000-0000838C0000}"/>
    <cellStyle name="Normal 7 3 2 2 2 3" xfId="29361" xr:uid="{00000000-0005-0000-0000-0000848C0000}"/>
    <cellStyle name="Normal 7 3 2 2 3" xfId="15204" xr:uid="{00000000-0005-0000-0000-0000858C0000}"/>
    <cellStyle name="Normal 7 3 2 2 3 2" xfId="34604" xr:uid="{00000000-0005-0000-0000-0000868C0000}"/>
    <cellStyle name="Normal 7 3 2 2 4" xfId="24906" xr:uid="{00000000-0005-0000-0000-0000878C0000}"/>
    <cellStyle name="Normal 7 3 2 3" xfId="7435" xr:uid="{00000000-0005-0000-0000-0000888C0000}"/>
    <cellStyle name="Normal 7 3 2 3 2" xfId="17431" xr:uid="{00000000-0005-0000-0000-0000898C0000}"/>
    <cellStyle name="Normal 7 3 2 3 2 2" xfId="36831" xr:uid="{00000000-0005-0000-0000-00008A8C0000}"/>
    <cellStyle name="Normal 7 3 2 3 3" xfId="27133" xr:uid="{00000000-0005-0000-0000-00008B8C0000}"/>
    <cellStyle name="Normal 7 3 2 4" xfId="12976" xr:uid="{00000000-0005-0000-0000-00008C8C0000}"/>
    <cellStyle name="Normal 7 3 2 4 2" xfId="32376" xr:uid="{00000000-0005-0000-0000-00008D8C0000}"/>
    <cellStyle name="Normal 7 3 2 5" xfId="22678" xr:uid="{00000000-0005-0000-0000-00008E8C0000}"/>
    <cellStyle name="Normal 7 3 3" xfId="3513" xr:uid="{00000000-0005-0000-0000-00008F8C0000}"/>
    <cellStyle name="Normal 7 3 3 2" xfId="4643" xr:uid="{00000000-0005-0000-0000-0000908C0000}"/>
    <cellStyle name="Normal 7 3 3 2 2" xfId="9107" xr:uid="{00000000-0005-0000-0000-0000918C0000}"/>
    <cellStyle name="Normal 7 3 3 2 2 2" xfId="19103" xr:uid="{00000000-0005-0000-0000-0000928C0000}"/>
    <cellStyle name="Normal 7 3 3 2 2 2 2" xfId="38503" xr:uid="{00000000-0005-0000-0000-0000938C0000}"/>
    <cellStyle name="Normal 7 3 3 2 2 3" xfId="28805" xr:uid="{00000000-0005-0000-0000-0000948C0000}"/>
    <cellStyle name="Normal 7 3 3 2 3" xfId="14648" xr:uid="{00000000-0005-0000-0000-0000958C0000}"/>
    <cellStyle name="Normal 7 3 3 2 3 2" xfId="34048" xr:uid="{00000000-0005-0000-0000-0000968C0000}"/>
    <cellStyle name="Normal 7 3 3 2 4" xfId="24350" xr:uid="{00000000-0005-0000-0000-0000978C0000}"/>
    <cellStyle name="Normal 7 3 3 3" xfId="7992" xr:uid="{00000000-0005-0000-0000-0000988C0000}"/>
    <cellStyle name="Normal 7 3 3 3 2" xfId="17988" xr:uid="{00000000-0005-0000-0000-0000998C0000}"/>
    <cellStyle name="Normal 7 3 3 3 2 2" xfId="37388" xr:uid="{00000000-0005-0000-0000-00009A8C0000}"/>
    <cellStyle name="Normal 7 3 3 3 3" xfId="27690" xr:uid="{00000000-0005-0000-0000-00009B8C0000}"/>
    <cellStyle name="Normal 7 3 3 4" xfId="13533" xr:uid="{00000000-0005-0000-0000-00009C8C0000}"/>
    <cellStyle name="Normal 7 3 3 4 2" xfId="32933" xr:uid="{00000000-0005-0000-0000-00009D8C0000}"/>
    <cellStyle name="Normal 7 3 3 5" xfId="23235" xr:uid="{00000000-0005-0000-0000-00009E8C0000}"/>
    <cellStyle name="Normal 7 3 4" xfId="4086" xr:uid="{00000000-0005-0000-0000-00009F8C0000}"/>
    <cellStyle name="Normal 7 3 4 2" xfId="8550" xr:uid="{00000000-0005-0000-0000-0000A08C0000}"/>
    <cellStyle name="Normal 7 3 4 2 2" xfId="18546" xr:uid="{00000000-0005-0000-0000-0000A18C0000}"/>
    <cellStyle name="Normal 7 3 4 2 2 2" xfId="37946" xr:uid="{00000000-0005-0000-0000-0000A28C0000}"/>
    <cellStyle name="Normal 7 3 4 2 3" xfId="28248" xr:uid="{00000000-0005-0000-0000-0000A38C0000}"/>
    <cellStyle name="Normal 7 3 4 3" xfId="14091" xr:uid="{00000000-0005-0000-0000-0000A48C0000}"/>
    <cellStyle name="Normal 7 3 4 3 2" xfId="33491" xr:uid="{00000000-0005-0000-0000-0000A58C0000}"/>
    <cellStyle name="Normal 7 3 4 4" xfId="23793" xr:uid="{00000000-0005-0000-0000-0000A68C0000}"/>
    <cellStyle name="Normal 7 3 5" xfId="5756" xr:uid="{00000000-0005-0000-0000-0000A78C0000}"/>
    <cellStyle name="Normal 7 3 5 2" xfId="10220" xr:uid="{00000000-0005-0000-0000-0000A88C0000}"/>
    <cellStyle name="Normal 7 3 5 2 2" xfId="20216" xr:uid="{00000000-0005-0000-0000-0000A98C0000}"/>
    <cellStyle name="Normal 7 3 5 2 2 2" xfId="39616" xr:uid="{00000000-0005-0000-0000-0000AA8C0000}"/>
    <cellStyle name="Normal 7 3 5 2 3" xfId="29918" xr:uid="{00000000-0005-0000-0000-0000AB8C0000}"/>
    <cellStyle name="Normal 7 3 5 3" xfId="15761" xr:uid="{00000000-0005-0000-0000-0000AC8C0000}"/>
    <cellStyle name="Normal 7 3 5 3 2" xfId="35161" xr:uid="{00000000-0005-0000-0000-0000AD8C0000}"/>
    <cellStyle name="Normal 7 3 5 4" xfId="25463" xr:uid="{00000000-0005-0000-0000-0000AE8C0000}"/>
    <cellStyle name="Normal 7 3 6" xfId="6322" xr:uid="{00000000-0005-0000-0000-0000AF8C0000}"/>
    <cellStyle name="Normal 7 3 6 2" xfId="10777" xr:uid="{00000000-0005-0000-0000-0000B08C0000}"/>
    <cellStyle name="Normal 7 3 6 2 2" xfId="20773" xr:uid="{00000000-0005-0000-0000-0000B18C0000}"/>
    <cellStyle name="Normal 7 3 6 2 2 2" xfId="40173" xr:uid="{00000000-0005-0000-0000-0000B28C0000}"/>
    <cellStyle name="Normal 7 3 6 2 3" xfId="30475" xr:uid="{00000000-0005-0000-0000-0000B38C0000}"/>
    <cellStyle name="Normal 7 3 6 3" xfId="16318" xr:uid="{00000000-0005-0000-0000-0000B48C0000}"/>
    <cellStyle name="Normal 7 3 6 3 2" xfId="35718" xr:uid="{00000000-0005-0000-0000-0000B58C0000}"/>
    <cellStyle name="Normal 7 3 6 4" xfId="26020" xr:uid="{00000000-0005-0000-0000-0000B68C0000}"/>
    <cellStyle name="Normal 7 3 7" xfId="6879" xr:uid="{00000000-0005-0000-0000-0000B78C0000}"/>
    <cellStyle name="Normal 7 3 7 2" xfId="16875" xr:uid="{00000000-0005-0000-0000-0000B88C0000}"/>
    <cellStyle name="Normal 7 3 7 2 2" xfId="36275" xr:uid="{00000000-0005-0000-0000-0000B98C0000}"/>
    <cellStyle name="Normal 7 3 7 3" xfId="26577" xr:uid="{00000000-0005-0000-0000-0000BA8C0000}"/>
    <cellStyle name="Normal 7 3 8" xfId="12419" xr:uid="{00000000-0005-0000-0000-0000BB8C0000}"/>
    <cellStyle name="Normal 7 3 8 2" xfId="31820" xr:uid="{00000000-0005-0000-0000-0000BC8C0000}"/>
    <cellStyle name="Normal 7 3 9" xfId="22122" xr:uid="{00000000-0005-0000-0000-0000BD8C0000}"/>
    <cellStyle name="Normal 7 4" xfId="1558" xr:uid="{00000000-0005-0000-0000-0000BE8C0000}"/>
    <cellStyle name="Normal 7 5" xfId="11563" xr:uid="{00000000-0005-0000-0000-0000BF8C0000}"/>
    <cellStyle name="Normal 7 6" xfId="1157" xr:uid="{00000000-0005-0000-0000-0000C08C0000}"/>
    <cellStyle name="Normal 70" xfId="1091" xr:uid="{00000000-0005-0000-0000-0000C18C0000}"/>
    <cellStyle name="Normal 71" xfId="1096" xr:uid="{00000000-0005-0000-0000-0000C28C0000}"/>
    <cellStyle name="Normal 72" xfId="11331" xr:uid="{00000000-0005-0000-0000-0000C38C0000}"/>
    <cellStyle name="Normal 73" xfId="1288" xr:uid="{00000000-0005-0000-0000-0000C48C0000}"/>
    <cellStyle name="Normal 74" xfId="11361" xr:uid="{00000000-0005-0000-0000-0000C58C0000}"/>
    <cellStyle name="Normal 75" xfId="11364" xr:uid="{00000000-0005-0000-0000-0000C68C0000}"/>
    <cellStyle name="Normal 76" xfId="11368" xr:uid="{00000000-0005-0000-0000-0000C78C0000}"/>
    <cellStyle name="Normal 77" xfId="11369" xr:uid="{00000000-0005-0000-0000-0000C88C0000}"/>
    <cellStyle name="Normal 78" xfId="11366" xr:uid="{00000000-0005-0000-0000-0000C98C0000}"/>
    <cellStyle name="Normal 79" xfId="11370" xr:uid="{00000000-0005-0000-0000-0000CA8C0000}"/>
    <cellStyle name="Normal 8" xfId="527" xr:uid="{00000000-0005-0000-0000-0000CB8C0000}"/>
    <cellStyle name="Normal 8 2" xfId="1560" xr:uid="{00000000-0005-0000-0000-0000CC8C0000}"/>
    <cellStyle name="Normal 8 2 2" xfId="2512" xr:uid="{00000000-0005-0000-0000-0000CD8C0000}"/>
    <cellStyle name="Normal 8 2 2 2" xfId="3401" xr:uid="{00000000-0005-0000-0000-0000CE8C0000}"/>
    <cellStyle name="Normal 8 2 2 2 2" xfId="5669" xr:uid="{00000000-0005-0000-0000-0000CF8C0000}"/>
    <cellStyle name="Normal 8 2 2 2 2 2" xfId="10133" xr:uid="{00000000-0005-0000-0000-0000D08C0000}"/>
    <cellStyle name="Normal 8 2 2 2 2 2 2" xfId="20129" xr:uid="{00000000-0005-0000-0000-0000D18C0000}"/>
    <cellStyle name="Normal 8 2 2 2 2 2 2 2" xfId="39529" xr:uid="{00000000-0005-0000-0000-0000D28C0000}"/>
    <cellStyle name="Normal 8 2 2 2 2 2 3" xfId="29831" xr:uid="{00000000-0005-0000-0000-0000D38C0000}"/>
    <cellStyle name="Normal 8 2 2 2 2 3" xfId="15674" xr:uid="{00000000-0005-0000-0000-0000D48C0000}"/>
    <cellStyle name="Normal 8 2 2 2 2 3 2" xfId="35074" xr:uid="{00000000-0005-0000-0000-0000D58C0000}"/>
    <cellStyle name="Normal 8 2 2 2 2 4" xfId="25376" xr:uid="{00000000-0005-0000-0000-0000D68C0000}"/>
    <cellStyle name="Normal 8 2 2 2 3" xfId="7905" xr:uid="{00000000-0005-0000-0000-0000D78C0000}"/>
    <cellStyle name="Normal 8 2 2 2 3 2" xfId="17901" xr:uid="{00000000-0005-0000-0000-0000D88C0000}"/>
    <cellStyle name="Normal 8 2 2 2 3 2 2" xfId="37301" xr:uid="{00000000-0005-0000-0000-0000D98C0000}"/>
    <cellStyle name="Normal 8 2 2 2 3 3" xfId="27603" xr:uid="{00000000-0005-0000-0000-0000DA8C0000}"/>
    <cellStyle name="Normal 8 2 2 2 4" xfId="13446" xr:uid="{00000000-0005-0000-0000-0000DB8C0000}"/>
    <cellStyle name="Normal 8 2 2 2 4 2" xfId="32846" xr:uid="{00000000-0005-0000-0000-0000DC8C0000}"/>
    <cellStyle name="Normal 8 2 2 2 5" xfId="23148" xr:uid="{00000000-0005-0000-0000-0000DD8C0000}"/>
    <cellStyle name="Normal 8 2 2 3" xfId="3984" xr:uid="{00000000-0005-0000-0000-0000DE8C0000}"/>
    <cellStyle name="Normal 8 2 2 3 2" xfId="5113" xr:uid="{00000000-0005-0000-0000-0000DF8C0000}"/>
    <cellStyle name="Normal 8 2 2 3 2 2" xfId="9577" xr:uid="{00000000-0005-0000-0000-0000E08C0000}"/>
    <cellStyle name="Normal 8 2 2 3 2 2 2" xfId="19573" xr:uid="{00000000-0005-0000-0000-0000E18C0000}"/>
    <cellStyle name="Normal 8 2 2 3 2 2 2 2" xfId="38973" xr:uid="{00000000-0005-0000-0000-0000E28C0000}"/>
    <cellStyle name="Normal 8 2 2 3 2 2 3" xfId="29275" xr:uid="{00000000-0005-0000-0000-0000E38C0000}"/>
    <cellStyle name="Normal 8 2 2 3 2 3" xfId="15118" xr:uid="{00000000-0005-0000-0000-0000E48C0000}"/>
    <cellStyle name="Normal 8 2 2 3 2 3 2" xfId="34518" xr:uid="{00000000-0005-0000-0000-0000E58C0000}"/>
    <cellStyle name="Normal 8 2 2 3 2 4" xfId="24820" xr:uid="{00000000-0005-0000-0000-0000E68C0000}"/>
    <cellStyle name="Normal 8 2 2 3 3" xfId="8462" xr:uid="{00000000-0005-0000-0000-0000E78C0000}"/>
    <cellStyle name="Normal 8 2 2 3 3 2" xfId="18458" xr:uid="{00000000-0005-0000-0000-0000E88C0000}"/>
    <cellStyle name="Normal 8 2 2 3 3 2 2" xfId="37858" xr:uid="{00000000-0005-0000-0000-0000E98C0000}"/>
    <cellStyle name="Normal 8 2 2 3 3 3" xfId="28160" xr:uid="{00000000-0005-0000-0000-0000EA8C0000}"/>
    <cellStyle name="Normal 8 2 2 3 4" xfId="14003" xr:uid="{00000000-0005-0000-0000-0000EB8C0000}"/>
    <cellStyle name="Normal 8 2 2 3 4 2" xfId="33403" xr:uid="{00000000-0005-0000-0000-0000EC8C0000}"/>
    <cellStyle name="Normal 8 2 2 3 5" xfId="23705" xr:uid="{00000000-0005-0000-0000-0000ED8C0000}"/>
    <cellStyle name="Normal 8 2 2 4" xfId="4556" xr:uid="{00000000-0005-0000-0000-0000EE8C0000}"/>
    <cellStyle name="Normal 8 2 2 4 2" xfId="9020" xr:uid="{00000000-0005-0000-0000-0000EF8C0000}"/>
    <cellStyle name="Normal 8 2 2 4 2 2" xfId="19016" xr:uid="{00000000-0005-0000-0000-0000F08C0000}"/>
    <cellStyle name="Normal 8 2 2 4 2 2 2" xfId="38416" xr:uid="{00000000-0005-0000-0000-0000F18C0000}"/>
    <cellStyle name="Normal 8 2 2 4 2 3" xfId="28718" xr:uid="{00000000-0005-0000-0000-0000F28C0000}"/>
    <cellStyle name="Normal 8 2 2 4 3" xfId="14561" xr:uid="{00000000-0005-0000-0000-0000F38C0000}"/>
    <cellStyle name="Normal 8 2 2 4 3 2" xfId="33961" xr:uid="{00000000-0005-0000-0000-0000F48C0000}"/>
    <cellStyle name="Normal 8 2 2 4 4" xfId="24263" xr:uid="{00000000-0005-0000-0000-0000F58C0000}"/>
    <cellStyle name="Normal 8 2 2 5" xfId="6226" xr:uid="{00000000-0005-0000-0000-0000F68C0000}"/>
    <cellStyle name="Normal 8 2 2 5 2" xfId="10690" xr:uid="{00000000-0005-0000-0000-0000F78C0000}"/>
    <cellStyle name="Normal 8 2 2 5 2 2" xfId="20686" xr:uid="{00000000-0005-0000-0000-0000F88C0000}"/>
    <cellStyle name="Normal 8 2 2 5 2 2 2" xfId="40086" xr:uid="{00000000-0005-0000-0000-0000F98C0000}"/>
    <cellStyle name="Normal 8 2 2 5 2 3" xfId="30388" xr:uid="{00000000-0005-0000-0000-0000FA8C0000}"/>
    <cellStyle name="Normal 8 2 2 5 3" xfId="16231" xr:uid="{00000000-0005-0000-0000-0000FB8C0000}"/>
    <cellStyle name="Normal 8 2 2 5 3 2" xfId="35631" xr:uid="{00000000-0005-0000-0000-0000FC8C0000}"/>
    <cellStyle name="Normal 8 2 2 5 4" xfId="25933" xr:uid="{00000000-0005-0000-0000-0000FD8C0000}"/>
    <cellStyle name="Normal 8 2 2 6" xfId="6792" xr:uid="{00000000-0005-0000-0000-0000FE8C0000}"/>
    <cellStyle name="Normal 8 2 2 6 2" xfId="11247" xr:uid="{00000000-0005-0000-0000-0000FF8C0000}"/>
    <cellStyle name="Normal 8 2 2 6 2 2" xfId="21243" xr:uid="{00000000-0005-0000-0000-0000008D0000}"/>
    <cellStyle name="Normal 8 2 2 6 2 2 2" xfId="40643" xr:uid="{00000000-0005-0000-0000-0000018D0000}"/>
    <cellStyle name="Normal 8 2 2 6 2 3" xfId="30945" xr:uid="{00000000-0005-0000-0000-0000028D0000}"/>
    <cellStyle name="Normal 8 2 2 6 3" xfId="16788" xr:uid="{00000000-0005-0000-0000-0000038D0000}"/>
    <cellStyle name="Normal 8 2 2 6 3 2" xfId="36188" xr:uid="{00000000-0005-0000-0000-0000048D0000}"/>
    <cellStyle name="Normal 8 2 2 6 4" xfId="26490" xr:uid="{00000000-0005-0000-0000-0000058D0000}"/>
    <cellStyle name="Normal 8 2 2 7" xfId="7349" xr:uid="{00000000-0005-0000-0000-0000068D0000}"/>
    <cellStyle name="Normal 8 2 2 7 2" xfId="17345" xr:uid="{00000000-0005-0000-0000-0000078D0000}"/>
    <cellStyle name="Normal 8 2 2 7 2 2" xfId="36745" xr:uid="{00000000-0005-0000-0000-0000088D0000}"/>
    <cellStyle name="Normal 8 2 2 7 3" xfId="27047" xr:uid="{00000000-0005-0000-0000-0000098D0000}"/>
    <cellStyle name="Normal 8 2 2 8" xfId="12889" xr:uid="{00000000-0005-0000-0000-00000A8D0000}"/>
    <cellStyle name="Normal 8 2 2 8 2" xfId="32290" xr:uid="{00000000-0005-0000-0000-00000B8D0000}"/>
    <cellStyle name="Normal 8 2 2 9" xfId="22592" xr:uid="{00000000-0005-0000-0000-00000C8D0000}"/>
    <cellStyle name="Normal 8 2 3" xfId="2807" xr:uid="{00000000-0005-0000-0000-00000D8D0000}"/>
    <cellStyle name="Normal 8 3" xfId="1918" xr:uid="{00000000-0005-0000-0000-00000E8D0000}"/>
    <cellStyle name="Normal 8 3 2" xfId="2931" xr:uid="{00000000-0005-0000-0000-00000F8D0000}"/>
    <cellStyle name="Normal 8 3 2 2" xfId="5200" xr:uid="{00000000-0005-0000-0000-0000108D0000}"/>
    <cellStyle name="Normal 8 3 2 2 2" xfId="9664" xr:uid="{00000000-0005-0000-0000-0000118D0000}"/>
    <cellStyle name="Normal 8 3 2 2 2 2" xfId="19660" xr:uid="{00000000-0005-0000-0000-0000128D0000}"/>
    <cellStyle name="Normal 8 3 2 2 2 2 2" xfId="39060" xr:uid="{00000000-0005-0000-0000-0000138D0000}"/>
    <cellStyle name="Normal 8 3 2 2 2 3" xfId="29362" xr:uid="{00000000-0005-0000-0000-0000148D0000}"/>
    <cellStyle name="Normal 8 3 2 2 3" xfId="15205" xr:uid="{00000000-0005-0000-0000-0000158D0000}"/>
    <cellStyle name="Normal 8 3 2 2 3 2" xfId="34605" xr:uid="{00000000-0005-0000-0000-0000168D0000}"/>
    <cellStyle name="Normal 8 3 2 2 4" xfId="24907" xr:uid="{00000000-0005-0000-0000-0000178D0000}"/>
    <cellStyle name="Normal 8 3 2 3" xfId="7436" xr:uid="{00000000-0005-0000-0000-0000188D0000}"/>
    <cellStyle name="Normal 8 3 2 3 2" xfId="17432" xr:uid="{00000000-0005-0000-0000-0000198D0000}"/>
    <cellStyle name="Normal 8 3 2 3 2 2" xfId="36832" xr:uid="{00000000-0005-0000-0000-00001A8D0000}"/>
    <cellStyle name="Normal 8 3 2 3 3" xfId="27134" xr:uid="{00000000-0005-0000-0000-00001B8D0000}"/>
    <cellStyle name="Normal 8 3 2 4" xfId="12977" xr:uid="{00000000-0005-0000-0000-00001C8D0000}"/>
    <cellStyle name="Normal 8 3 2 4 2" xfId="32377" xr:uid="{00000000-0005-0000-0000-00001D8D0000}"/>
    <cellStyle name="Normal 8 3 2 5" xfId="22679" xr:uid="{00000000-0005-0000-0000-00001E8D0000}"/>
    <cellStyle name="Normal 8 3 3" xfId="3514" xr:uid="{00000000-0005-0000-0000-00001F8D0000}"/>
    <cellStyle name="Normal 8 3 3 2" xfId="4644" xr:uid="{00000000-0005-0000-0000-0000208D0000}"/>
    <cellStyle name="Normal 8 3 3 2 2" xfId="9108" xr:uid="{00000000-0005-0000-0000-0000218D0000}"/>
    <cellStyle name="Normal 8 3 3 2 2 2" xfId="19104" xr:uid="{00000000-0005-0000-0000-0000228D0000}"/>
    <cellStyle name="Normal 8 3 3 2 2 2 2" xfId="38504" xr:uid="{00000000-0005-0000-0000-0000238D0000}"/>
    <cellStyle name="Normal 8 3 3 2 2 3" xfId="28806" xr:uid="{00000000-0005-0000-0000-0000248D0000}"/>
    <cellStyle name="Normal 8 3 3 2 3" xfId="14649" xr:uid="{00000000-0005-0000-0000-0000258D0000}"/>
    <cellStyle name="Normal 8 3 3 2 3 2" xfId="34049" xr:uid="{00000000-0005-0000-0000-0000268D0000}"/>
    <cellStyle name="Normal 8 3 3 2 4" xfId="24351" xr:uid="{00000000-0005-0000-0000-0000278D0000}"/>
    <cellStyle name="Normal 8 3 3 3" xfId="7993" xr:uid="{00000000-0005-0000-0000-0000288D0000}"/>
    <cellStyle name="Normal 8 3 3 3 2" xfId="17989" xr:uid="{00000000-0005-0000-0000-0000298D0000}"/>
    <cellStyle name="Normal 8 3 3 3 2 2" xfId="37389" xr:uid="{00000000-0005-0000-0000-00002A8D0000}"/>
    <cellStyle name="Normal 8 3 3 3 3" xfId="27691" xr:uid="{00000000-0005-0000-0000-00002B8D0000}"/>
    <cellStyle name="Normal 8 3 3 4" xfId="13534" xr:uid="{00000000-0005-0000-0000-00002C8D0000}"/>
    <cellStyle name="Normal 8 3 3 4 2" xfId="32934" xr:uid="{00000000-0005-0000-0000-00002D8D0000}"/>
    <cellStyle name="Normal 8 3 3 5" xfId="23236" xr:uid="{00000000-0005-0000-0000-00002E8D0000}"/>
    <cellStyle name="Normal 8 3 4" xfId="4087" xr:uid="{00000000-0005-0000-0000-00002F8D0000}"/>
    <cellStyle name="Normal 8 3 4 2" xfId="8551" xr:uid="{00000000-0005-0000-0000-0000308D0000}"/>
    <cellStyle name="Normal 8 3 4 2 2" xfId="18547" xr:uid="{00000000-0005-0000-0000-0000318D0000}"/>
    <cellStyle name="Normal 8 3 4 2 2 2" xfId="37947" xr:uid="{00000000-0005-0000-0000-0000328D0000}"/>
    <cellStyle name="Normal 8 3 4 2 3" xfId="28249" xr:uid="{00000000-0005-0000-0000-0000338D0000}"/>
    <cellStyle name="Normal 8 3 4 3" xfId="14092" xr:uid="{00000000-0005-0000-0000-0000348D0000}"/>
    <cellStyle name="Normal 8 3 4 3 2" xfId="33492" xr:uid="{00000000-0005-0000-0000-0000358D0000}"/>
    <cellStyle name="Normal 8 3 4 4" xfId="23794" xr:uid="{00000000-0005-0000-0000-0000368D0000}"/>
    <cellStyle name="Normal 8 3 5" xfId="5757" xr:uid="{00000000-0005-0000-0000-0000378D0000}"/>
    <cellStyle name="Normal 8 3 5 2" xfId="10221" xr:uid="{00000000-0005-0000-0000-0000388D0000}"/>
    <cellStyle name="Normal 8 3 5 2 2" xfId="20217" xr:uid="{00000000-0005-0000-0000-0000398D0000}"/>
    <cellStyle name="Normal 8 3 5 2 2 2" xfId="39617" xr:uid="{00000000-0005-0000-0000-00003A8D0000}"/>
    <cellStyle name="Normal 8 3 5 2 3" xfId="29919" xr:uid="{00000000-0005-0000-0000-00003B8D0000}"/>
    <cellStyle name="Normal 8 3 5 3" xfId="15762" xr:uid="{00000000-0005-0000-0000-00003C8D0000}"/>
    <cellStyle name="Normal 8 3 5 3 2" xfId="35162" xr:uid="{00000000-0005-0000-0000-00003D8D0000}"/>
    <cellStyle name="Normal 8 3 5 4" xfId="25464" xr:uid="{00000000-0005-0000-0000-00003E8D0000}"/>
    <cellStyle name="Normal 8 3 6" xfId="6323" xr:uid="{00000000-0005-0000-0000-00003F8D0000}"/>
    <cellStyle name="Normal 8 3 6 2" xfId="10778" xr:uid="{00000000-0005-0000-0000-0000408D0000}"/>
    <cellStyle name="Normal 8 3 6 2 2" xfId="20774" xr:uid="{00000000-0005-0000-0000-0000418D0000}"/>
    <cellStyle name="Normal 8 3 6 2 2 2" xfId="40174" xr:uid="{00000000-0005-0000-0000-0000428D0000}"/>
    <cellStyle name="Normal 8 3 6 2 3" xfId="30476" xr:uid="{00000000-0005-0000-0000-0000438D0000}"/>
    <cellStyle name="Normal 8 3 6 3" xfId="16319" xr:uid="{00000000-0005-0000-0000-0000448D0000}"/>
    <cellStyle name="Normal 8 3 6 3 2" xfId="35719" xr:uid="{00000000-0005-0000-0000-0000458D0000}"/>
    <cellStyle name="Normal 8 3 6 4" xfId="26021" xr:uid="{00000000-0005-0000-0000-0000468D0000}"/>
    <cellStyle name="Normal 8 3 7" xfId="6880" xr:uid="{00000000-0005-0000-0000-0000478D0000}"/>
    <cellStyle name="Normal 8 3 7 2" xfId="16876" xr:uid="{00000000-0005-0000-0000-0000488D0000}"/>
    <cellStyle name="Normal 8 3 7 2 2" xfId="36276" xr:uid="{00000000-0005-0000-0000-0000498D0000}"/>
    <cellStyle name="Normal 8 3 7 3" xfId="26578" xr:uid="{00000000-0005-0000-0000-00004A8D0000}"/>
    <cellStyle name="Normal 8 3 8" xfId="12420" xr:uid="{00000000-0005-0000-0000-00004B8D0000}"/>
    <cellStyle name="Normal 8 3 8 2" xfId="31821" xr:uid="{00000000-0005-0000-0000-00004C8D0000}"/>
    <cellStyle name="Normal 8 3 9" xfId="22123" xr:uid="{00000000-0005-0000-0000-00004D8D0000}"/>
    <cellStyle name="Normal 8 4" xfId="2467" xr:uid="{00000000-0005-0000-0000-00004E8D0000}"/>
    <cellStyle name="Normal 8 4 2" xfId="3390" xr:uid="{00000000-0005-0000-0000-00004F8D0000}"/>
    <cellStyle name="Normal 8 4 2 2" xfId="5658" xr:uid="{00000000-0005-0000-0000-0000508D0000}"/>
    <cellStyle name="Normal 8 4 2 2 2" xfId="10122" xr:uid="{00000000-0005-0000-0000-0000518D0000}"/>
    <cellStyle name="Normal 8 4 2 2 2 2" xfId="20118" xr:uid="{00000000-0005-0000-0000-0000528D0000}"/>
    <cellStyle name="Normal 8 4 2 2 2 2 2" xfId="39518" xr:uid="{00000000-0005-0000-0000-0000538D0000}"/>
    <cellStyle name="Normal 8 4 2 2 2 3" xfId="29820" xr:uid="{00000000-0005-0000-0000-0000548D0000}"/>
    <cellStyle name="Normal 8 4 2 2 3" xfId="15663" xr:uid="{00000000-0005-0000-0000-0000558D0000}"/>
    <cellStyle name="Normal 8 4 2 2 3 2" xfId="35063" xr:uid="{00000000-0005-0000-0000-0000568D0000}"/>
    <cellStyle name="Normal 8 4 2 2 4" xfId="25365" xr:uid="{00000000-0005-0000-0000-0000578D0000}"/>
    <cellStyle name="Normal 8 4 2 3" xfId="7894" xr:uid="{00000000-0005-0000-0000-0000588D0000}"/>
    <cellStyle name="Normal 8 4 2 3 2" xfId="17890" xr:uid="{00000000-0005-0000-0000-0000598D0000}"/>
    <cellStyle name="Normal 8 4 2 3 2 2" xfId="37290" xr:uid="{00000000-0005-0000-0000-00005A8D0000}"/>
    <cellStyle name="Normal 8 4 2 3 3" xfId="27592" xr:uid="{00000000-0005-0000-0000-00005B8D0000}"/>
    <cellStyle name="Normal 8 4 2 4" xfId="13435" xr:uid="{00000000-0005-0000-0000-00005C8D0000}"/>
    <cellStyle name="Normal 8 4 2 4 2" xfId="32835" xr:uid="{00000000-0005-0000-0000-00005D8D0000}"/>
    <cellStyle name="Normal 8 4 2 5" xfId="23137" xr:uid="{00000000-0005-0000-0000-00005E8D0000}"/>
    <cellStyle name="Normal 8 4 3" xfId="3973" xr:uid="{00000000-0005-0000-0000-00005F8D0000}"/>
    <cellStyle name="Normal 8 4 3 2" xfId="5102" xr:uid="{00000000-0005-0000-0000-0000608D0000}"/>
    <cellStyle name="Normal 8 4 3 2 2" xfId="9566" xr:uid="{00000000-0005-0000-0000-0000618D0000}"/>
    <cellStyle name="Normal 8 4 3 2 2 2" xfId="19562" xr:uid="{00000000-0005-0000-0000-0000628D0000}"/>
    <cellStyle name="Normal 8 4 3 2 2 2 2" xfId="38962" xr:uid="{00000000-0005-0000-0000-0000638D0000}"/>
    <cellStyle name="Normal 8 4 3 2 2 3" xfId="29264" xr:uid="{00000000-0005-0000-0000-0000648D0000}"/>
    <cellStyle name="Normal 8 4 3 2 3" xfId="15107" xr:uid="{00000000-0005-0000-0000-0000658D0000}"/>
    <cellStyle name="Normal 8 4 3 2 3 2" xfId="34507" xr:uid="{00000000-0005-0000-0000-0000668D0000}"/>
    <cellStyle name="Normal 8 4 3 2 4" xfId="24809" xr:uid="{00000000-0005-0000-0000-0000678D0000}"/>
    <cellStyle name="Normal 8 4 3 3" xfId="8451" xr:uid="{00000000-0005-0000-0000-0000688D0000}"/>
    <cellStyle name="Normal 8 4 3 3 2" xfId="18447" xr:uid="{00000000-0005-0000-0000-0000698D0000}"/>
    <cellStyle name="Normal 8 4 3 3 2 2" xfId="37847" xr:uid="{00000000-0005-0000-0000-00006A8D0000}"/>
    <cellStyle name="Normal 8 4 3 3 3" xfId="28149" xr:uid="{00000000-0005-0000-0000-00006B8D0000}"/>
    <cellStyle name="Normal 8 4 3 4" xfId="13992" xr:uid="{00000000-0005-0000-0000-00006C8D0000}"/>
    <cellStyle name="Normal 8 4 3 4 2" xfId="33392" xr:uid="{00000000-0005-0000-0000-00006D8D0000}"/>
    <cellStyle name="Normal 8 4 3 5" xfId="23694" xr:uid="{00000000-0005-0000-0000-00006E8D0000}"/>
    <cellStyle name="Normal 8 4 4" xfId="4545" xr:uid="{00000000-0005-0000-0000-00006F8D0000}"/>
    <cellStyle name="Normal 8 4 4 2" xfId="9009" xr:uid="{00000000-0005-0000-0000-0000708D0000}"/>
    <cellStyle name="Normal 8 4 4 2 2" xfId="19005" xr:uid="{00000000-0005-0000-0000-0000718D0000}"/>
    <cellStyle name="Normal 8 4 4 2 2 2" xfId="38405" xr:uid="{00000000-0005-0000-0000-0000728D0000}"/>
    <cellStyle name="Normal 8 4 4 2 3" xfId="28707" xr:uid="{00000000-0005-0000-0000-0000738D0000}"/>
    <cellStyle name="Normal 8 4 4 3" xfId="14550" xr:uid="{00000000-0005-0000-0000-0000748D0000}"/>
    <cellStyle name="Normal 8 4 4 3 2" xfId="33950" xr:uid="{00000000-0005-0000-0000-0000758D0000}"/>
    <cellStyle name="Normal 8 4 4 4" xfId="24252" xr:uid="{00000000-0005-0000-0000-0000768D0000}"/>
    <cellStyle name="Normal 8 4 5" xfId="6215" xr:uid="{00000000-0005-0000-0000-0000778D0000}"/>
    <cellStyle name="Normal 8 4 5 2" xfId="10679" xr:uid="{00000000-0005-0000-0000-0000788D0000}"/>
    <cellStyle name="Normal 8 4 5 2 2" xfId="20675" xr:uid="{00000000-0005-0000-0000-0000798D0000}"/>
    <cellStyle name="Normal 8 4 5 2 2 2" xfId="40075" xr:uid="{00000000-0005-0000-0000-00007A8D0000}"/>
    <cellStyle name="Normal 8 4 5 2 3" xfId="30377" xr:uid="{00000000-0005-0000-0000-00007B8D0000}"/>
    <cellStyle name="Normal 8 4 5 3" xfId="16220" xr:uid="{00000000-0005-0000-0000-00007C8D0000}"/>
    <cellStyle name="Normal 8 4 5 3 2" xfId="35620" xr:uid="{00000000-0005-0000-0000-00007D8D0000}"/>
    <cellStyle name="Normal 8 4 5 4" xfId="25922" xr:uid="{00000000-0005-0000-0000-00007E8D0000}"/>
    <cellStyle name="Normal 8 4 6" xfId="6781" xr:uid="{00000000-0005-0000-0000-00007F8D0000}"/>
    <cellStyle name="Normal 8 4 6 2" xfId="11236" xr:uid="{00000000-0005-0000-0000-0000808D0000}"/>
    <cellStyle name="Normal 8 4 6 2 2" xfId="21232" xr:uid="{00000000-0005-0000-0000-0000818D0000}"/>
    <cellStyle name="Normal 8 4 6 2 2 2" xfId="40632" xr:uid="{00000000-0005-0000-0000-0000828D0000}"/>
    <cellStyle name="Normal 8 4 6 2 3" xfId="30934" xr:uid="{00000000-0005-0000-0000-0000838D0000}"/>
    <cellStyle name="Normal 8 4 6 3" xfId="16777" xr:uid="{00000000-0005-0000-0000-0000848D0000}"/>
    <cellStyle name="Normal 8 4 6 3 2" xfId="36177" xr:uid="{00000000-0005-0000-0000-0000858D0000}"/>
    <cellStyle name="Normal 8 4 6 4" xfId="26479" xr:uid="{00000000-0005-0000-0000-0000868D0000}"/>
    <cellStyle name="Normal 8 4 7" xfId="7338" xr:uid="{00000000-0005-0000-0000-0000878D0000}"/>
    <cellStyle name="Normal 8 4 7 2" xfId="17334" xr:uid="{00000000-0005-0000-0000-0000888D0000}"/>
    <cellStyle name="Normal 8 4 7 2 2" xfId="36734" xr:uid="{00000000-0005-0000-0000-0000898D0000}"/>
    <cellStyle name="Normal 8 4 7 3" xfId="27036" xr:uid="{00000000-0005-0000-0000-00008A8D0000}"/>
    <cellStyle name="Normal 8 4 8" xfId="12878" xr:uid="{00000000-0005-0000-0000-00008B8D0000}"/>
    <cellStyle name="Normal 8 4 8 2" xfId="32279" xr:uid="{00000000-0005-0000-0000-00008C8D0000}"/>
    <cellStyle name="Normal 8 4 9" xfId="22581" xr:uid="{00000000-0005-0000-0000-00008D8D0000}"/>
    <cellStyle name="Normal 8 5" xfId="1559" xr:uid="{00000000-0005-0000-0000-00008E8D0000}"/>
    <cellStyle name="Normal 8 6" xfId="11564" xr:uid="{00000000-0005-0000-0000-00008F8D0000}"/>
    <cellStyle name="Normal 8 7" xfId="1247" xr:uid="{00000000-0005-0000-0000-0000908D0000}"/>
    <cellStyle name="Normal 80" xfId="1124" xr:uid="{00000000-0005-0000-0000-0000918D0000}"/>
    <cellStyle name="Normal 80 2" xfId="12345" xr:uid="{00000000-0005-0000-0000-0000928D0000}"/>
    <cellStyle name="Normal 81" xfId="11989" xr:uid="{00000000-0005-0000-0000-0000938D0000}"/>
    <cellStyle name="Normal 82" xfId="11993" xr:uid="{00000000-0005-0000-0000-0000948D0000}"/>
    <cellStyle name="Normal 83" xfId="12374" xr:uid="{00000000-0005-0000-0000-0000958D0000}"/>
    <cellStyle name="Normal 84" xfId="21695" xr:uid="{00000000-0005-0000-0000-0000968D0000}"/>
    <cellStyle name="Normal 9" xfId="528" xr:uid="{00000000-0005-0000-0000-0000978D0000}"/>
    <cellStyle name="Normal 9 2" xfId="1919" xr:uid="{00000000-0005-0000-0000-0000988D0000}"/>
    <cellStyle name="Normal 9 2 10" xfId="22124" xr:uid="{00000000-0005-0000-0000-0000998D0000}"/>
    <cellStyle name="Normal 9 2 2" xfId="2525" xr:uid="{00000000-0005-0000-0000-00009A8D0000}"/>
    <cellStyle name="Normal 9 2 2 2" xfId="3414" xr:uid="{00000000-0005-0000-0000-00009B8D0000}"/>
    <cellStyle name="Normal 9 2 2 2 2" xfId="5682" xr:uid="{00000000-0005-0000-0000-00009C8D0000}"/>
    <cellStyle name="Normal 9 2 2 2 2 2" xfId="10146" xr:uid="{00000000-0005-0000-0000-00009D8D0000}"/>
    <cellStyle name="Normal 9 2 2 2 2 2 2" xfId="20142" xr:uid="{00000000-0005-0000-0000-00009E8D0000}"/>
    <cellStyle name="Normal 9 2 2 2 2 2 2 2" xfId="39542" xr:uid="{00000000-0005-0000-0000-00009F8D0000}"/>
    <cellStyle name="Normal 9 2 2 2 2 2 3" xfId="29844" xr:uid="{00000000-0005-0000-0000-0000A08D0000}"/>
    <cellStyle name="Normal 9 2 2 2 2 3" xfId="15687" xr:uid="{00000000-0005-0000-0000-0000A18D0000}"/>
    <cellStyle name="Normal 9 2 2 2 2 3 2" xfId="35087" xr:uid="{00000000-0005-0000-0000-0000A28D0000}"/>
    <cellStyle name="Normal 9 2 2 2 2 4" xfId="25389" xr:uid="{00000000-0005-0000-0000-0000A38D0000}"/>
    <cellStyle name="Normal 9 2 2 2 3" xfId="7918" xr:uid="{00000000-0005-0000-0000-0000A48D0000}"/>
    <cellStyle name="Normal 9 2 2 2 3 2" xfId="17914" xr:uid="{00000000-0005-0000-0000-0000A58D0000}"/>
    <cellStyle name="Normal 9 2 2 2 3 2 2" xfId="37314" xr:uid="{00000000-0005-0000-0000-0000A68D0000}"/>
    <cellStyle name="Normal 9 2 2 2 3 3" xfId="27616" xr:uid="{00000000-0005-0000-0000-0000A78D0000}"/>
    <cellStyle name="Normal 9 2 2 2 4" xfId="13459" xr:uid="{00000000-0005-0000-0000-0000A88D0000}"/>
    <cellStyle name="Normal 9 2 2 2 4 2" xfId="32859" xr:uid="{00000000-0005-0000-0000-0000A98D0000}"/>
    <cellStyle name="Normal 9 2 2 2 5" xfId="23161" xr:uid="{00000000-0005-0000-0000-0000AA8D0000}"/>
    <cellStyle name="Normal 9 2 2 3" xfId="3997" xr:uid="{00000000-0005-0000-0000-0000AB8D0000}"/>
    <cellStyle name="Normal 9 2 2 3 2" xfId="5126" xr:uid="{00000000-0005-0000-0000-0000AC8D0000}"/>
    <cellStyle name="Normal 9 2 2 3 2 2" xfId="9590" xr:uid="{00000000-0005-0000-0000-0000AD8D0000}"/>
    <cellStyle name="Normal 9 2 2 3 2 2 2" xfId="19586" xr:uid="{00000000-0005-0000-0000-0000AE8D0000}"/>
    <cellStyle name="Normal 9 2 2 3 2 2 2 2" xfId="38986" xr:uid="{00000000-0005-0000-0000-0000AF8D0000}"/>
    <cellStyle name="Normal 9 2 2 3 2 2 3" xfId="29288" xr:uid="{00000000-0005-0000-0000-0000B08D0000}"/>
    <cellStyle name="Normal 9 2 2 3 2 3" xfId="15131" xr:uid="{00000000-0005-0000-0000-0000B18D0000}"/>
    <cellStyle name="Normal 9 2 2 3 2 3 2" xfId="34531" xr:uid="{00000000-0005-0000-0000-0000B28D0000}"/>
    <cellStyle name="Normal 9 2 2 3 2 4" xfId="24833" xr:uid="{00000000-0005-0000-0000-0000B38D0000}"/>
    <cellStyle name="Normal 9 2 2 3 3" xfId="8475" xr:uid="{00000000-0005-0000-0000-0000B48D0000}"/>
    <cellStyle name="Normal 9 2 2 3 3 2" xfId="18471" xr:uid="{00000000-0005-0000-0000-0000B58D0000}"/>
    <cellStyle name="Normal 9 2 2 3 3 2 2" xfId="37871" xr:uid="{00000000-0005-0000-0000-0000B68D0000}"/>
    <cellStyle name="Normal 9 2 2 3 3 3" xfId="28173" xr:uid="{00000000-0005-0000-0000-0000B78D0000}"/>
    <cellStyle name="Normal 9 2 2 3 4" xfId="14016" xr:uid="{00000000-0005-0000-0000-0000B88D0000}"/>
    <cellStyle name="Normal 9 2 2 3 4 2" xfId="33416" xr:uid="{00000000-0005-0000-0000-0000B98D0000}"/>
    <cellStyle name="Normal 9 2 2 3 5" xfId="23718" xr:uid="{00000000-0005-0000-0000-0000BA8D0000}"/>
    <cellStyle name="Normal 9 2 2 4" xfId="4569" xr:uid="{00000000-0005-0000-0000-0000BB8D0000}"/>
    <cellStyle name="Normal 9 2 2 4 2" xfId="9033" xr:uid="{00000000-0005-0000-0000-0000BC8D0000}"/>
    <cellStyle name="Normal 9 2 2 4 2 2" xfId="19029" xr:uid="{00000000-0005-0000-0000-0000BD8D0000}"/>
    <cellStyle name="Normal 9 2 2 4 2 2 2" xfId="38429" xr:uid="{00000000-0005-0000-0000-0000BE8D0000}"/>
    <cellStyle name="Normal 9 2 2 4 2 3" xfId="28731" xr:uid="{00000000-0005-0000-0000-0000BF8D0000}"/>
    <cellStyle name="Normal 9 2 2 4 3" xfId="14574" xr:uid="{00000000-0005-0000-0000-0000C08D0000}"/>
    <cellStyle name="Normal 9 2 2 4 3 2" xfId="33974" xr:uid="{00000000-0005-0000-0000-0000C18D0000}"/>
    <cellStyle name="Normal 9 2 2 4 4" xfId="24276" xr:uid="{00000000-0005-0000-0000-0000C28D0000}"/>
    <cellStyle name="Normal 9 2 2 5" xfId="6239" xr:uid="{00000000-0005-0000-0000-0000C38D0000}"/>
    <cellStyle name="Normal 9 2 2 5 2" xfId="10703" xr:uid="{00000000-0005-0000-0000-0000C48D0000}"/>
    <cellStyle name="Normal 9 2 2 5 2 2" xfId="20699" xr:uid="{00000000-0005-0000-0000-0000C58D0000}"/>
    <cellStyle name="Normal 9 2 2 5 2 2 2" xfId="40099" xr:uid="{00000000-0005-0000-0000-0000C68D0000}"/>
    <cellStyle name="Normal 9 2 2 5 2 3" xfId="30401" xr:uid="{00000000-0005-0000-0000-0000C78D0000}"/>
    <cellStyle name="Normal 9 2 2 5 3" xfId="16244" xr:uid="{00000000-0005-0000-0000-0000C88D0000}"/>
    <cellStyle name="Normal 9 2 2 5 3 2" xfId="35644" xr:uid="{00000000-0005-0000-0000-0000C98D0000}"/>
    <cellStyle name="Normal 9 2 2 5 4" xfId="25946" xr:uid="{00000000-0005-0000-0000-0000CA8D0000}"/>
    <cellStyle name="Normal 9 2 2 6" xfId="6805" xr:uid="{00000000-0005-0000-0000-0000CB8D0000}"/>
    <cellStyle name="Normal 9 2 2 6 2" xfId="11260" xr:uid="{00000000-0005-0000-0000-0000CC8D0000}"/>
    <cellStyle name="Normal 9 2 2 6 2 2" xfId="21256" xr:uid="{00000000-0005-0000-0000-0000CD8D0000}"/>
    <cellStyle name="Normal 9 2 2 6 2 2 2" xfId="40656" xr:uid="{00000000-0005-0000-0000-0000CE8D0000}"/>
    <cellStyle name="Normal 9 2 2 6 2 3" xfId="30958" xr:uid="{00000000-0005-0000-0000-0000CF8D0000}"/>
    <cellStyle name="Normal 9 2 2 6 3" xfId="16801" xr:uid="{00000000-0005-0000-0000-0000D08D0000}"/>
    <cellStyle name="Normal 9 2 2 6 3 2" xfId="36201" xr:uid="{00000000-0005-0000-0000-0000D18D0000}"/>
    <cellStyle name="Normal 9 2 2 6 4" xfId="26503" xr:uid="{00000000-0005-0000-0000-0000D28D0000}"/>
    <cellStyle name="Normal 9 2 2 7" xfId="7362" xr:uid="{00000000-0005-0000-0000-0000D38D0000}"/>
    <cellStyle name="Normal 9 2 2 7 2" xfId="17358" xr:uid="{00000000-0005-0000-0000-0000D48D0000}"/>
    <cellStyle name="Normal 9 2 2 7 2 2" xfId="36758" xr:uid="{00000000-0005-0000-0000-0000D58D0000}"/>
    <cellStyle name="Normal 9 2 2 7 3" xfId="27060" xr:uid="{00000000-0005-0000-0000-0000D68D0000}"/>
    <cellStyle name="Normal 9 2 2 8" xfId="12902" xr:uid="{00000000-0005-0000-0000-0000D78D0000}"/>
    <cellStyle name="Normal 9 2 2 8 2" xfId="32303" xr:uid="{00000000-0005-0000-0000-0000D88D0000}"/>
    <cellStyle name="Normal 9 2 2 9" xfId="22605" xr:uid="{00000000-0005-0000-0000-0000D98D0000}"/>
    <cellStyle name="Normal 9 2 3" xfId="2932" xr:uid="{00000000-0005-0000-0000-0000DA8D0000}"/>
    <cellStyle name="Normal 9 2 3 2" xfId="5201" xr:uid="{00000000-0005-0000-0000-0000DB8D0000}"/>
    <cellStyle name="Normal 9 2 3 2 2" xfId="9665" xr:uid="{00000000-0005-0000-0000-0000DC8D0000}"/>
    <cellStyle name="Normal 9 2 3 2 2 2" xfId="19661" xr:uid="{00000000-0005-0000-0000-0000DD8D0000}"/>
    <cellStyle name="Normal 9 2 3 2 2 2 2" xfId="39061" xr:uid="{00000000-0005-0000-0000-0000DE8D0000}"/>
    <cellStyle name="Normal 9 2 3 2 2 3" xfId="29363" xr:uid="{00000000-0005-0000-0000-0000DF8D0000}"/>
    <cellStyle name="Normal 9 2 3 2 3" xfId="15206" xr:uid="{00000000-0005-0000-0000-0000E08D0000}"/>
    <cellStyle name="Normal 9 2 3 2 3 2" xfId="34606" xr:uid="{00000000-0005-0000-0000-0000E18D0000}"/>
    <cellStyle name="Normal 9 2 3 2 4" xfId="24908" xr:uid="{00000000-0005-0000-0000-0000E28D0000}"/>
    <cellStyle name="Normal 9 2 3 3" xfId="7437" xr:uid="{00000000-0005-0000-0000-0000E38D0000}"/>
    <cellStyle name="Normal 9 2 3 3 2" xfId="17433" xr:uid="{00000000-0005-0000-0000-0000E48D0000}"/>
    <cellStyle name="Normal 9 2 3 3 2 2" xfId="36833" xr:uid="{00000000-0005-0000-0000-0000E58D0000}"/>
    <cellStyle name="Normal 9 2 3 3 3" xfId="27135" xr:uid="{00000000-0005-0000-0000-0000E68D0000}"/>
    <cellStyle name="Normal 9 2 3 4" xfId="12978" xr:uid="{00000000-0005-0000-0000-0000E78D0000}"/>
    <cellStyle name="Normal 9 2 3 4 2" xfId="32378" xr:uid="{00000000-0005-0000-0000-0000E88D0000}"/>
    <cellStyle name="Normal 9 2 3 5" xfId="22680" xr:uid="{00000000-0005-0000-0000-0000E98D0000}"/>
    <cellStyle name="Normal 9 2 4" xfId="3515" xr:uid="{00000000-0005-0000-0000-0000EA8D0000}"/>
    <cellStyle name="Normal 9 2 4 2" xfId="4645" xr:uid="{00000000-0005-0000-0000-0000EB8D0000}"/>
    <cellStyle name="Normal 9 2 4 2 2" xfId="9109" xr:uid="{00000000-0005-0000-0000-0000EC8D0000}"/>
    <cellStyle name="Normal 9 2 4 2 2 2" xfId="19105" xr:uid="{00000000-0005-0000-0000-0000ED8D0000}"/>
    <cellStyle name="Normal 9 2 4 2 2 2 2" xfId="38505" xr:uid="{00000000-0005-0000-0000-0000EE8D0000}"/>
    <cellStyle name="Normal 9 2 4 2 2 3" xfId="28807" xr:uid="{00000000-0005-0000-0000-0000EF8D0000}"/>
    <cellStyle name="Normal 9 2 4 2 3" xfId="14650" xr:uid="{00000000-0005-0000-0000-0000F08D0000}"/>
    <cellStyle name="Normal 9 2 4 2 3 2" xfId="34050" xr:uid="{00000000-0005-0000-0000-0000F18D0000}"/>
    <cellStyle name="Normal 9 2 4 2 4" xfId="24352" xr:uid="{00000000-0005-0000-0000-0000F28D0000}"/>
    <cellStyle name="Normal 9 2 4 3" xfId="7994" xr:uid="{00000000-0005-0000-0000-0000F38D0000}"/>
    <cellStyle name="Normal 9 2 4 3 2" xfId="17990" xr:uid="{00000000-0005-0000-0000-0000F48D0000}"/>
    <cellStyle name="Normal 9 2 4 3 2 2" xfId="37390" xr:uid="{00000000-0005-0000-0000-0000F58D0000}"/>
    <cellStyle name="Normal 9 2 4 3 3" xfId="27692" xr:uid="{00000000-0005-0000-0000-0000F68D0000}"/>
    <cellStyle name="Normal 9 2 4 4" xfId="13535" xr:uid="{00000000-0005-0000-0000-0000F78D0000}"/>
    <cellStyle name="Normal 9 2 4 4 2" xfId="32935" xr:uid="{00000000-0005-0000-0000-0000F88D0000}"/>
    <cellStyle name="Normal 9 2 4 5" xfId="23237" xr:uid="{00000000-0005-0000-0000-0000F98D0000}"/>
    <cellStyle name="Normal 9 2 5" xfId="4088" xr:uid="{00000000-0005-0000-0000-0000FA8D0000}"/>
    <cellStyle name="Normal 9 2 5 2" xfId="8552" xr:uid="{00000000-0005-0000-0000-0000FB8D0000}"/>
    <cellStyle name="Normal 9 2 5 2 2" xfId="18548" xr:uid="{00000000-0005-0000-0000-0000FC8D0000}"/>
    <cellStyle name="Normal 9 2 5 2 2 2" xfId="37948" xr:uid="{00000000-0005-0000-0000-0000FD8D0000}"/>
    <cellStyle name="Normal 9 2 5 2 3" xfId="28250" xr:uid="{00000000-0005-0000-0000-0000FE8D0000}"/>
    <cellStyle name="Normal 9 2 5 3" xfId="14093" xr:uid="{00000000-0005-0000-0000-0000FF8D0000}"/>
    <cellStyle name="Normal 9 2 5 3 2" xfId="33493" xr:uid="{00000000-0005-0000-0000-0000008E0000}"/>
    <cellStyle name="Normal 9 2 5 4" xfId="23795" xr:uid="{00000000-0005-0000-0000-0000018E0000}"/>
    <cellStyle name="Normal 9 2 6" xfId="5758" xr:uid="{00000000-0005-0000-0000-0000028E0000}"/>
    <cellStyle name="Normal 9 2 6 2" xfId="10222" xr:uid="{00000000-0005-0000-0000-0000038E0000}"/>
    <cellStyle name="Normal 9 2 6 2 2" xfId="20218" xr:uid="{00000000-0005-0000-0000-0000048E0000}"/>
    <cellStyle name="Normal 9 2 6 2 2 2" xfId="39618" xr:uid="{00000000-0005-0000-0000-0000058E0000}"/>
    <cellStyle name="Normal 9 2 6 2 3" xfId="29920" xr:uid="{00000000-0005-0000-0000-0000068E0000}"/>
    <cellStyle name="Normal 9 2 6 3" xfId="15763" xr:uid="{00000000-0005-0000-0000-0000078E0000}"/>
    <cellStyle name="Normal 9 2 6 3 2" xfId="35163" xr:uid="{00000000-0005-0000-0000-0000088E0000}"/>
    <cellStyle name="Normal 9 2 6 4" xfId="25465" xr:uid="{00000000-0005-0000-0000-0000098E0000}"/>
    <cellStyle name="Normal 9 2 7" xfId="6324" xr:uid="{00000000-0005-0000-0000-00000A8E0000}"/>
    <cellStyle name="Normal 9 2 7 2" xfId="10779" xr:uid="{00000000-0005-0000-0000-00000B8E0000}"/>
    <cellStyle name="Normal 9 2 7 2 2" xfId="20775" xr:uid="{00000000-0005-0000-0000-00000C8E0000}"/>
    <cellStyle name="Normal 9 2 7 2 2 2" xfId="40175" xr:uid="{00000000-0005-0000-0000-00000D8E0000}"/>
    <cellStyle name="Normal 9 2 7 2 3" xfId="30477" xr:uid="{00000000-0005-0000-0000-00000E8E0000}"/>
    <cellStyle name="Normal 9 2 7 3" xfId="16320" xr:uid="{00000000-0005-0000-0000-00000F8E0000}"/>
    <cellStyle name="Normal 9 2 7 3 2" xfId="35720" xr:uid="{00000000-0005-0000-0000-0000108E0000}"/>
    <cellStyle name="Normal 9 2 7 4" xfId="26022" xr:uid="{00000000-0005-0000-0000-0000118E0000}"/>
    <cellStyle name="Normal 9 2 8" xfId="6881" xr:uid="{00000000-0005-0000-0000-0000128E0000}"/>
    <cellStyle name="Normal 9 2 8 2" xfId="16877" xr:uid="{00000000-0005-0000-0000-0000138E0000}"/>
    <cellStyle name="Normal 9 2 8 2 2" xfId="36277" xr:uid="{00000000-0005-0000-0000-0000148E0000}"/>
    <cellStyle name="Normal 9 2 8 3" xfId="26579" xr:uid="{00000000-0005-0000-0000-0000158E0000}"/>
    <cellStyle name="Normal 9 2 9" xfId="12421" xr:uid="{00000000-0005-0000-0000-0000168E0000}"/>
    <cellStyle name="Normal 9 2 9 2" xfId="31822" xr:uid="{00000000-0005-0000-0000-0000178E0000}"/>
    <cellStyle name="Normal 9 3" xfId="2468" xr:uid="{00000000-0005-0000-0000-0000188E0000}"/>
    <cellStyle name="Normal 9 3 2" xfId="3391" xr:uid="{00000000-0005-0000-0000-0000198E0000}"/>
    <cellStyle name="Normal 9 3 2 2" xfId="5659" xr:uid="{00000000-0005-0000-0000-00001A8E0000}"/>
    <cellStyle name="Normal 9 3 2 2 2" xfId="10123" xr:uid="{00000000-0005-0000-0000-00001B8E0000}"/>
    <cellStyle name="Normal 9 3 2 2 2 2" xfId="20119" xr:uid="{00000000-0005-0000-0000-00001C8E0000}"/>
    <cellStyle name="Normal 9 3 2 2 2 2 2" xfId="39519" xr:uid="{00000000-0005-0000-0000-00001D8E0000}"/>
    <cellStyle name="Normal 9 3 2 2 2 3" xfId="29821" xr:uid="{00000000-0005-0000-0000-00001E8E0000}"/>
    <cellStyle name="Normal 9 3 2 2 3" xfId="15664" xr:uid="{00000000-0005-0000-0000-00001F8E0000}"/>
    <cellStyle name="Normal 9 3 2 2 3 2" xfId="35064" xr:uid="{00000000-0005-0000-0000-0000208E0000}"/>
    <cellStyle name="Normal 9 3 2 2 4" xfId="25366" xr:uid="{00000000-0005-0000-0000-0000218E0000}"/>
    <cellStyle name="Normal 9 3 2 3" xfId="7895" xr:uid="{00000000-0005-0000-0000-0000228E0000}"/>
    <cellStyle name="Normal 9 3 2 3 2" xfId="17891" xr:uid="{00000000-0005-0000-0000-0000238E0000}"/>
    <cellStyle name="Normal 9 3 2 3 2 2" xfId="37291" xr:uid="{00000000-0005-0000-0000-0000248E0000}"/>
    <cellStyle name="Normal 9 3 2 3 3" xfId="27593" xr:uid="{00000000-0005-0000-0000-0000258E0000}"/>
    <cellStyle name="Normal 9 3 2 4" xfId="13436" xr:uid="{00000000-0005-0000-0000-0000268E0000}"/>
    <cellStyle name="Normal 9 3 2 4 2" xfId="32836" xr:uid="{00000000-0005-0000-0000-0000278E0000}"/>
    <cellStyle name="Normal 9 3 2 5" xfId="23138" xr:uid="{00000000-0005-0000-0000-0000288E0000}"/>
    <cellStyle name="Normal 9 3 3" xfId="3974" xr:uid="{00000000-0005-0000-0000-0000298E0000}"/>
    <cellStyle name="Normal 9 3 3 2" xfId="5103" xr:uid="{00000000-0005-0000-0000-00002A8E0000}"/>
    <cellStyle name="Normal 9 3 3 2 2" xfId="9567" xr:uid="{00000000-0005-0000-0000-00002B8E0000}"/>
    <cellStyle name="Normal 9 3 3 2 2 2" xfId="19563" xr:uid="{00000000-0005-0000-0000-00002C8E0000}"/>
    <cellStyle name="Normal 9 3 3 2 2 2 2" xfId="38963" xr:uid="{00000000-0005-0000-0000-00002D8E0000}"/>
    <cellStyle name="Normal 9 3 3 2 2 3" xfId="29265" xr:uid="{00000000-0005-0000-0000-00002E8E0000}"/>
    <cellStyle name="Normal 9 3 3 2 3" xfId="15108" xr:uid="{00000000-0005-0000-0000-00002F8E0000}"/>
    <cellStyle name="Normal 9 3 3 2 3 2" xfId="34508" xr:uid="{00000000-0005-0000-0000-0000308E0000}"/>
    <cellStyle name="Normal 9 3 3 2 4" xfId="24810" xr:uid="{00000000-0005-0000-0000-0000318E0000}"/>
    <cellStyle name="Normal 9 3 3 3" xfId="8452" xr:uid="{00000000-0005-0000-0000-0000328E0000}"/>
    <cellStyle name="Normal 9 3 3 3 2" xfId="18448" xr:uid="{00000000-0005-0000-0000-0000338E0000}"/>
    <cellStyle name="Normal 9 3 3 3 2 2" xfId="37848" xr:uid="{00000000-0005-0000-0000-0000348E0000}"/>
    <cellStyle name="Normal 9 3 3 3 3" xfId="28150" xr:uid="{00000000-0005-0000-0000-0000358E0000}"/>
    <cellStyle name="Normal 9 3 3 4" xfId="13993" xr:uid="{00000000-0005-0000-0000-0000368E0000}"/>
    <cellStyle name="Normal 9 3 3 4 2" xfId="33393" xr:uid="{00000000-0005-0000-0000-0000378E0000}"/>
    <cellStyle name="Normal 9 3 3 5" xfId="23695" xr:uid="{00000000-0005-0000-0000-0000388E0000}"/>
    <cellStyle name="Normal 9 3 4" xfId="4546" xr:uid="{00000000-0005-0000-0000-0000398E0000}"/>
    <cellStyle name="Normal 9 3 4 2" xfId="9010" xr:uid="{00000000-0005-0000-0000-00003A8E0000}"/>
    <cellStyle name="Normal 9 3 4 2 2" xfId="19006" xr:uid="{00000000-0005-0000-0000-00003B8E0000}"/>
    <cellStyle name="Normal 9 3 4 2 2 2" xfId="38406" xr:uid="{00000000-0005-0000-0000-00003C8E0000}"/>
    <cellStyle name="Normal 9 3 4 2 3" xfId="28708" xr:uid="{00000000-0005-0000-0000-00003D8E0000}"/>
    <cellStyle name="Normal 9 3 4 3" xfId="14551" xr:uid="{00000000-0005-0000-0000-00003E8E0000}"/>
    <cellStyle name="Normal 9 3 4 3 2" xfId="33951" xr:uid="{00000000-0005-0000-0000-00003F8E0000}"/>
    <cellStyle name="Normal 9 3 4 4" xfId="24253" xr:uid="{00000000-0005-0000-0000-0000408E0000}"/>
    <cellStyle name="Normal 9 3 5" xfId="6216" xr:uid="{00000000-0005-0000-0000-0000418E0000}"/>
    <cellStyle name="Normal 9 3 5 2" xfId="10680" xr:uid="{00000000-0005-0000-0000-0000428E0000}"/>
    <cellStyle name="Normal 9 3 5 2 2" xfId="20676" xr:uid="{00000000-0005-0000-0000-0000438E0000}"/>
    <cellStyle name="Normal 9 3 5 2 2 2" xfId="40076" xr:uid="{00000000-0005-0000-0000-0000448E0000}"/>
    <cellStyle name="Normal 9 3 5 2 3" xfId="30378" xr:uid="{00000000-0005-0000-0000-0000458E0000}"/>
    <cellStyle name="Normal 9 3 5 3" xfId="16221" xr:uid="{00000000-0005-0000-0000-0000468E0000}"/>
    <cellStyle name="Normal 9 3 5 3 2" xfId="35621" xr:uid="{00000000-0005-0000-0000-0000478E0000}"/>
    <cellStyle name="Normal 9 3 5 4" xfId="25923" xr:uid="{00000000-0005-0000-0000-0000488E0000}"/>
    <cellStyle name="Normal 9 3 6" xfId="6782" xr:uid="{00000000-0005-0000-0000-0000498E0000}"/>
    <cellStyle name="Normal 9 3 6 2" xfId="11237" xr:uid="{00000000-0005-0000-0000-00004A8E0000}"/>
    <cellStyle name="Normal 9 3 6 2 2" xfId="21233" xr:uid="{00000000-0005-0000-0000-00004B8E0000}"/>
    <cellStyle name="Normal 9 3 6 2 2 2" xfId="40633" xr:uid="{00000000-0005-0000-0000-00004C8E0000}"/>
    <cellStyle name="Normal 9 3 6 2 3" xfId="30935" xr:uid="{00000000-0005-0000-0000-00004D8E0000}"/>
    <cellStyle name="Normal 9 3 6 3" xfId="16778" xr:uid="{00000000-0005-0000-0000-00004E8E0000}"/>
    <cellStyle name="Normal 9 3 6 3 2" xfId="36178" xr:uid="{00000000-0005-0000-0000-00004F8E0000}"/>
    <cellStyle name="Normal 9 3 6 4" xfId="26480" xr:uid="{00000000-0005-0000-0000-0000508E0000}"/>
    <cellStyle name="Normal 9 3 7" xfId="7339" xr:uid="{00000000-0005-0000-0000-0000518E0000}"/>
    <cellStyle name="Normal 9 3 7 2" xfId="17335" xr:uid="{00000000-0005-0000-0000-0000528E0000}"/>
    <cellStyle name="Normal 9 3 7 2 2" xfId="36735" xr:uid="{00000000-0005-0000-0000-0000538E0000}"/>
    <cellStyle name="Normal 9 3 7 3" xfId="27037" xr:uid="{00000000-0005-0000-0000-0000548E0000}"/>
    <cellStyle name="Normal 9 3 8" xfId="12879" xr:uid="{00000000-0005-0000-0000-0000558E0000}"/>
    <cellStyle name="Normal 9 3 8 2" xfId="32280" xr:uid="{00000000-0005-0000-0000-0000568E0000}"/>
    <cellStyle name="Normal 9 3 9" xfId="22582" xr:uid="{00000000-0005-0000-0000-0000578E0000}"/>
    <cellStyle name="Normal 9 4" xfId="11565" xr:uid="{00000000-0005-0000-0000-0000588E0000}"/>
    <cellStyle name="Normal 9 5" xfId="1561" xr:uid="{00000000-0005-0000-0000-0000598E0000}"/>
    <cellStyle name="Note 10" xfId="529" xr:uid="{00000000-0005-0000-0000-00005A8E0000}"/>
    <cellStyle name="Note 10 2" xfId="2414" xr:uid="{00000000-0005-0000-0000-00005B8E0000}"/>
    <cellStyle name="Note 11" xfId="530" xr:uid="{00000000-0005-0000-0000-00005C8E0000}"/>
    <cellStyle name="Note 11 2" xfId="2415" xr:uid="{00000000-0005-0000-0000-00005D8E0000}"/>
    <cellStyle name="Note 12" xfId="531" xr:uid="{00000000-0005-0000-0000-00005E8E0000}"/>
    <cellStyle name="Note 12 2" xfId="2416" xr:uid="{00000000-0005-0000-0000-00005F8E0000}"/>
    <cellStyle name="Note 13" xfId="532" xr:uid="{00000000-0005-0000-0000-0000608E0000}"/>
    <cellStyle name="Note 13 2" xfId="2417" xr:uid="{00000000-0005-0000-0000-0000618E0000}"/>
    <cellStyle name="Note 14" xfId="533" xr:uid="{00000000-0005-0000-0000-0000628E0000}"/>
    <cellStyle name="Note 14 2" xfId="2418" xr:uid="{00000000-0005-0000-0000-0000638E0000}"/>
    <cellStyle name="Note 15" xfId="534" xr:uid="{00000000-0005-0000-0000-0000648E0000}"/>
    <cellStyle name="Note 15 2" xfId="2419" xr:uid="{00000000-0005-0000-0000-0000658E0000}"/>
    <cellStyle name="Note 16" xfId="778" xr:uid="{00000000-0005-0000-0000-0000668E0000}"/>
    <cellStyle name="Note 17" xfId="965" xr:uid="{00000000-0005-0000-0000-0000678E0000}"/>
    <cellStyle name="Note 17 2" xfId="11846" xr:uid="{00000000-0005-0000-0000-0000688E0000}"/>
    <cellStyle name="Note 17 2 2" xfId="21550" xr:uid="{00000000-0005-0000-0000-0000698E0000}"/>
    <cellStyle name="Note 17 2 2 2" xfId="40950" xr:uid="{00000000-0005-0000-0000-00006A8E0000}"/>
    <cellStyle name="Note 17 2 3" xfId="31252" xr:uid="{00000000-0005-0000-0000-00006B8E0000}"/>
    <cellStyle name="Note 17 3" xfId="12202" xr:uid="{00000000-0005-0000-0000-00006C8E0000}"/>
    <cellStyle name="Note 17 3 2" xfId="31605" xr:uid="{00000000-0005-0000-0000-00006D8E0000}"/>
    <cellStyle name="Note 17 4" xfId="21907" xr:uid="{00000000-0005-0000-0000-00006E8E0000}"/>
    <cellStyle name="Note 18" xfId="988" xr:uid="{00000000-0005-0000-0000-00006F8E0000}"/>
    <cellStyle name="Note 18 2" xfId="11859" xr:uid="{00000000-0005-0000-0000-0000708E0000}"/>
    <cellStyle name="Note 18 2 2" xfId="21563" xr:uid="{00000000-0005-0000-0000-0000718E0000}"/>
    <cellStyle name="Note 18 2 2 2" xfId="40963" xr:uid="{00000000-0005-0000-0000-0000728E0000}"/>
    <cellStyle name="Note 18 2 3" xfId="31265" xr:uid="{00000000-0005-0000-0000-0000738E0000}"/>
    <cellStyle name="Note 18 3" xfId="12215" xr:uid="{00000000-0005-0000-0000-0000748E0000}"/>
    <cellStyle name="Note 18 3 2" xfId="31618" xr:uid="{00000000-0005-0000-0000-0000758E0000}"/>
    <cellStyle name="Note 18 4" xfId="21920" xr:uid="{00000000-0005-0000-0000-0000768E0000}"/>
    <cellStyle name="Note 19" xfId="1011" xr:uid="{00000000-0005-0000-0000-0000778E0000}"/>
    <cellStyle name="Note 19 2" xfId="11882" xr:uid="{00000000-0005-0000-0000-0000788E0000}"/>
    <cellStyle name="Note 19 2 2" xfId="21586" xr:uid="{00000000-0005-0000-0000-0000798E0000}"/>
    <cellStyle name="Note 19 2 2 2" xfId="40986" xr:uid="{00000000-0005-0000-0000-00007A8E0000}"/>
    <cellStyle name="Note 19 2 3" xfId="31288" xr:uid="{00000000-0005-0000-0000-00007B8E0000}"/>
    <cellStyle name="Note 19 3" xfId="12238" xr:uid="{00000000-0005-0000-0000-00007C8E0000}"/>
    <cellStyle name="Note 19 3 2" xfId="31641" xr:uid="{00000000-0005-0000-0000-00007D8E0000}"/>
    <cellStyle name="Note 19 4" xfId="21943" xr:uid="{00000000-0005-0000-0000-00007E8E0000}"/>
    <cellStyle name="Note 2" xfId="535" xr:uid="{00000000-0005-0000-0000-00007F8E0000}"/>
    <cellStyle name="Note 2 10" xfId="2420" xr:uid="{00000000-0005-0000-0000-0000808E0000}"/>
    <cellStyle name="Note 2 10 2" xfId="3360" xr:uid="{00000000-0005-0000-0000-0000818E0000}"/>
    <cellStyle name="Note 2 10 2 2" xfId="5629" xr:uid="{00000000-0005-0000-0000-0000828E0000}"/>
    <cellStyle name="Note 2 10 2 2 2" xfId="10093" xr:uid="{00000000-0005-0000-0000-0000838E0000}"/>
    <cellStyle name="Note 2 10 2 2 2 2" xfId="20089" xr:uid="{00000000-0005-0000-0000-0000848E0000}"/>
    <cellStyle name="Note 2 10 2 2 2 2 2" xfId="39489" xr:uid="{00000000-0005-0000-0000-0000858E0000}"/>
    <cellStyle name="Note 2 10 2 2 2 3" xfId="29791" xr:uid="{00000000-0005-0000-0000-0000868E0000}"/>
    <cellStyle name="Note 2 10 2 2 3" xfId="15634" xr:uid="{00000000-0005-0000-0000-0000878E0000}"/>
    <cellStyle name="Note 2 10 2 2 3 2" xfId="35034" xr:uid="{00000000-0005-0000-0000-0000888E0000}"/>
    <cellStyle name="Note 2 10 2 2 4" xfId="25336" xr:uid="{00000000-0005-0000-0000-0000898E0000}"/>
    <cellStyle name="Note 2 10 2 3" xfId="7865" xr:uid="{00000000-0005-0000-0000-00008A8E0000}"/>
    <cellStyle name="Note 2 10 2 3 2" xfId="17861" xr:uid="{00000000-0005-0000-0000-00008B8E0000}"/>
    <cellStyle name="Note 2 10 2 3 2 2" xfId="37261" xr:uid="{00000000-0005-0000-0000-00008C8E0000}"/>
    <cellStyle name="Note 2 10 2 3 3" xfId="27563" xr:uid="{00000000-0005-0000-0000-00008D8E0000}"/>
    <cellStyle name="Note 2 10 2 4" xfId="13406" xr:uid="{00000000-0005-0000-0000-00008E8E0000}"/>
    <cellStyle name="Note 2 10 2 4 2" xfId="32806" xr:uid="{00000000-0005-0000-0000-00008F8E0000}"/>
    <cellStyle name="Note 2 10 2 5" xfId="23108" xr:uid="{00000000-0005-0000-0000-0000908E0000}"/>
    <cellStyle name="Note 2 10 3" xfId="3943" xr:uid="{00000000-0005-0000-0000-0000918E0000}"/>
    <cellStyle name="Note 2 10 3 2" xfId="5073" xr:uid="{00000000-0005-0000-0000-0000928E0000}"/>
    <cellStyle name="Note 2 10 3 2 2" xfId="9537" xr:uid="{00000000-0005-0000-0000-0000938E0000}"/>
    <cellStyle name="Note 2 10 3 2 2 2" xfId="19533" xr:uid="{00000000-0005-0000-0000-0000948E0000}"/>
    <cellStyle name="Note 2 10 3 2 2 2 2" xfId="38933" xr:uid="{00000000-0005-0000-0000-0000958E0000}"/>
    <cellStyle name="Note 2 10 3 2 2 3" xfId="29235" xr:uid="{00000000-0005-0000-0000-0000968E0000}"/>
    <cellStyle name="Note 2 10 3 2 3" xfId="15078" xr:uid="{00000000-0005-0000-0000-0000978E0000}"/>
    <cellStyle name="Note 2 10 3 2 3 2" xfId="34478" xr:uid="{00000000-0005-0000-0000-0000988E0000}"/>
    <cellStyle name="Note 2 10 3 2 4" xfId="24780" xr:uid="{00000000-0005-0000-0000-0000998E0000}"/>
    <cellStyle name="Note 2 10 3 3" xfId="8422" xr:uid="{00000000-0005-0000-0000-00009A8E0000}"/>
    <cellStyle name="Note 2 10 3 3 2" xfId="18418" xr:uid="{00000000-0005-0000-0000-00009B8E0000}"/>
    <cellStyle name="Note 2 10 3 3 2 2" xfId="37818" xr:uid="{00000000-0005-0000-0000-00009C8E0000}"/>
    <cellStyle name="Note 2 10 3 3 3" xfId="28120" xr:uid="{00000000-0005-0000-0000-00009D8E0000}"/>
    <cellStyle name="Note 2 10 3 4" xfId="13963" xr:uid="{00000000-0005-0000-0000-00009E8E0000}"/>
    <cellStyle name="Note 2 10 3 4 2" xfId="33363" xr:uid="{00000000-0005-0000-0000-00009F8E0000}"/>
    <cellStyle name="Note 2 10 3 5" xfId="23665" xr:uid="{00000000-0005-0000-0000-0000A08E0000}"/>
    <cellStyle name="Note 2 10 4" xfId="4516" xr:uid="{00000000-0005-0000-0000-0000A18E0000}"/>
    <cellStyle name="Note 2 10 4 2" xfId="8980" xr:uid="{00000000-0005-0000-0000-0000A28E0000}"/>
    <cellStyle name="Note 2 10 4 2 2" xfId="18976" xr:uid="{00000000-0005-0000-0000-0000A38E0000}"/>
    <cellStyle name="Note 2 10 4 2 2 2" xfId="38376" xr:uid="{00000000-0005-0000-0000-0000A48E0000}"/>
    <cellStyle name="Note 2 10 4 2 3" xfId="28678" xr:uid="{00000000-0005-0000-0000-0000A58E0000}"/>
    <cellStyle name="Note 2 10 4 3" xfId="14521" xr:uid="{00000000-0005-0000-0000-0000A68E0000}"/>
    <cellStyle name="Note 2 10 4 3 2" xfId="33921" xr:uid="{00000000-0005-0000-0000-0000A78E0000}"/>
    <cellStyle name="Note 2 10 4 4" xfId="24223" xr:uid="{00000000-0005-0000-0000-0000A88E0000}"/>
    <cellStyle name="Note 2 10 5" xfId="6186" xr:uid="{00000000-0005-0000-0000-0000A98E0000}"/>
    <cellStyle name="Note 2 10 5 2" xfId="10650" xr:uid="{00000000-0005-0000-0000-0000AA8E0000}"/>
    <cellStyle name="Note 2 10 5 2 2" xfId="20646" xr:uid="{00000000-0005-0000-0000-0000AB8E0000}"/>
    <cellStyle name="Note 2 10 5 2 2 2" xfId="40046" xr:uid="{00000000-0005-0000-0000-0000AC8E0000}"/>
    <cellStyle name="Note 2 10 5 2 3" xfId="30348" xr:uid="{00000000-0005-0000-0000-0000AD8E0000}"/>
    <cellStyle name="Note 2 10 5 3" xfId="16191" xr:uid="{00000000-0005-0000-0000-0000AE8E0000}"/>
    <cellStyle name="Note 2 10 5 3 2" xfId="35591" xr:uid="{00000000-0005-0000-0000-0000AF8E0000}"/>
    <cellStyle name="Note 2 10 5 4" xfId="25893" xr:uid="{00000000-0005-0000-0000-0000B08E0000}"/>
    <cellStyle name="Note 2 10 6" xfId="6752" xr:uid="{00000000-0005-0000-0000-0000B18E0000}"/>
    <cellStyle name="Note 2 10 6 2" xfId="11207" xr:uid="{00000000-0005-0000-0000-0000B28E0000}"/>
    <cellStyle name="Note 2 10 6 2 2" xfId="21203" xr:uid="{00000000-0005-0000-0000-0000B38E0000}"/>
    <cellStyle name="Note 2 10 6 2 2 2" xfId="40603" xr:uid="{00000000-0005-0000-0000-0000B48E0000}"/>
    <cellStyle name="Note 2 10 6 2 3" xfId="30905" xr:uid="{00000000-0005-0000-0000-0000B58E0000}"/>
    <cellStyle name="Note 2 10 6 3" xfId="16748" xr:uid="{00000000-0005-0000-0000-0000B68E0000}"/>
    <cellStyle name="Note 2 10 6 3 2" xfId="36148" xr:uid="{00000000-0005-0000-0000-0000B78E0000}"/>
    <cellStyle name="Note 2 10 6 4" xfId="26450" xr:uid="{00000000-0005-0000-0000-0000B88E0000}"/>
    <cellStyle name="Note 2 10 7" xfId="7309" xr:uid="{00000000-0005-0000-0000-0000B98E0000}"/>
    <cellStyle name="Note 2 10 7 2" xfId="17305" xr:uid="{00000000-0005-0000-0000-0000BA8E0000}"/>
    <cellStyle name="Note 2 10 7 2 2" xfId="36705" xr:uid="{00000000-0005-0000-0000-0000BB8E0000}"/>
    <cellStyle name="Note 2 10 7 3" xfId="27007" xr:uid="{00000000-0005-0000-0000-0000BC8E0000}"/>
    <cellStyle name="Note 2 10 8" xfId="12849" xr:uid="{00000000-0005-0000-0000-0000BD8E0000}"/>
    <cellStyle name="Note 2 10 8 2" xfId="32250" xr:uid="{00000000-0005-0000-0000-0000BE8E0000}"/>
    <cellStyle name="Note 2 10 9" xfId="22552" xr:uid="{00000000-0005-0000-0000-0000BF8E0000}"/>
    <cellStyle name="Note 2 11" xfId="2600" xr:uid="{00000000-0005-0000-0000-0000C08E0000}"/>
    <cellStyle name="Note 2 12" xfId="11303" xr:uid="{00000000-0005-0000-0000-0000C18E0000}"/>
    <cellStyle name="Note 2 12 2" xfId="21288" xr:uid="{00000000-0005-0000-0000-0000C28E0000}"/>
    <cellStyle name="Note 2 12 2 2" xfId="40688" xr:uid="{00000000-0005-0000-0000-0000C38E0000}"/>
    <cellStyle name="Note 2 12 3" xfId="30990" xr:uid="{00000000-0005-0000-0000-0000C48E0000}"/>
    <cellStyle name="Note 2 13" xfId="11332" xr:uid="{00000000-0005-0000-0000-0000C58E0000}"/>
    <cellStyle name="Note 2 13 2" xfId="21314" xr:uid="{00000000-0005-0000-0000-0000C68E0000}"/>
    <cellStyle name="Note 2 13 2 2" xfId="40714" xr:uid="{00000000-0005-0000-0000-0000C78E0000}"/>
    <cellStyle name="Note 2 13 3" xfId="31016" xr:uid="{00000000-0005-0000-0000-0000C88E0000}"/>
    <cellStyle name="Note 2 14" xfId="1562" xr:uid="{00000000-0005-0000-0000-0000C98E0000}"/>
    <cellStyle name="Note 2 15" xfId="1128" xr:uid="{00000000-0005-0000-0000-0000CA8E0000}"/>
    <cellStyle name="Note 2 15 2" xfId="12347" xr:uid="{00000000-0005-0000-0000-0000CB8E0000}"/>
    <cellStyle name="Note 2 15 2 2" xfId="31749" xr:uid="{00000000-0005-0000-0000-0000CC8E0000}"/>
    <cellStyle name="Note 2 15 3" xfId="22051" xr:uid="{00000000-0005-0000-0000-0000CD8E0000}"/>
    <cellStyle name="Note 2 2" xfId="713" xr:uid="{00000000-0005-0000-0000-0000CE8E0000}"/>
    <cellStyle name="Note 2 2 2" xfId="1800" xr:uid="{00000000-0005-0000-0000-0000CF8E0000}"/>
    <cellStyle name="Note 2 2 3" xfId="1563" xr:uid="{00000000-0005-0000-0000-0000D08E0000}"/>
    <cellStyle name="Note 2 2 4" xfId="11670" xr:uid="{00000000-0005-0000-0000-0000D18E0000}"/>
    <cellStyle name="Note 2 2 4 2" xfId="21397" xr:uid="{00000000-0005-0000-0000-0000D28E0000}"/>
    <cellStyle name="Note 2 2 4 2 2" xfId="40797" xr:uid="{00000000-0005-0000-0000-0000D38E0000}"/>
    <cellStyle name="Note 2 2 4 3" xfId="31099" xr:uid="{00000000-0005-0000-0000-0000D48E0000}"/>
    <cellStyle name="Note 2 2 5" xfId="1238" xr:uid="{00000000-0005-0000-0000-0000D58E0000}"/>
    <cellStyle name="Note 2 2 6" xfId="12049" xr:uid="{00000000-0005-0000-0000-0000D68E0000}"/>
    <cellStyle name="Note 2 2 6 2" xfId="31452" xr:uid="{00000000-0005-0000-0000-0000D78E0000}"/>
    <cellStyle name="Note 2 2 7" xfId="21754" xr:uid="{00000000-0005-0000-0000-0000D88E0000}"/>
    <cellStyle name="Note 2 3" xfId="1097" xr:uid="{00000000-0005-0000-0000-0000D98E0000}"/>
    <cellStyle name="Note 2 3 2" xfId="2421" xr:uid="{00000000-0005-0000-0000-0000DA8E0000}"/>
    <cellStyle name="Note 2 3 2 10" xfId="7310" xr:uid="{00000000-0005-0000-0000-0000DB8E0000}"/>
    <cellStyle name="Note 2 3 2 10 2" xfId="17306" xr:uid="{00000000-0005-0000-0000-0000DC8E0000}"/>
    <cellStyle name="Note 2 3 2 10 2 2" xfId="36706" xr:uid="{00000000-0005-0000-0000-0000DD8E0000}"/>
    <cellStyle name="Note 2 3 2 10 3" xfId="27008" xr:uid="{00000000-0005-0000-0000-0000DE8E0000}"/>
    <cellStyle name="Note 2 3 2 11" xfId="12850" xr:uid="{00000000-0005-0000-0000-0000DF8E0000}"/>
    <cellStyle name="Note 2 3 2 11 2" xfId="32251" xr:uid="{00000000-0005-0000-0000-0000E08E0000}"/>
    <cellStyle name="Note 2 3 2 12" xfId="22553" xr:uid="{00000000-0005-0000-0000-0000E18E0000}"/>
    <cellStyle name="Note 2 3 2 2" xfId="2422" xr:uid="{00000000-0005-0000-0000-0000E28E0000}"/>
    <cellStyle name="Note 2 3 2 2 10" xfId="12851" xr:uid="{00000000-0005-0000-0000-0000E38E0000}"/>
    <cellStyle name="Note 2 3 2 2 10 2" xfId="32252" xr:uid="{00000000-0005-0000-0000-0000E48E0000}"/>
    <cellStyle name="Note 2 3 2 2 11" xfId="22554" xr:uid="{00000000-0005-0000-0000-0000E58E0000}"/>
    <cellStyle name="Note 2 3 2 2 2" xfId="2423" xr:uid="{00000000-0005-0000-0000-0000E68E0000}"/>
    <cellStyle name="Note 2 3 2 2 2 2" xfId="3363" xr:uid="{00000000-0005-0000-0000-0000E78E0000}"/>
    <cellStyle name="Note 2 3 2 2 2 2 2" xfId="5632" xr:uid="{00000000-0005-0000-0000-0000E88E0000}"/>
    <cellStyle name="Note 2 3 2 2 2 2 2 2" xfId="10096" xr:uid="{00000000-0005-0000-0000-0000E98E0000}"/>
    <cellStyle name="Note 2 3 2 2 2 2 2 2 2" xfId="20092" xr:uid="{00000000-0005-0000-0000-0000EA8E0000}"/>
    <cellStyle name="Note 2 3 2 2 2 2 2 2 2 2" xfId="39492" xr:uid="{00000000-0005-0000-0000-0000EB8E0000}"/>
    <cellStyle name="Note 2 3 2 2 2 2 2 2 3" xfId="29794" xr:uid="{00000000-0005-0000-0000-0000EC8E0000}"/>
    <cellStyle name="Note 2 3 2 2 2 2 2 3" xfId="15637" xr:uid="{00000000-0005-0000-0000-0000ED8E0000}"/>
    <cellStyle name="Note 2 3 2 2 2 2 2 3 2" xfId="35037" xr:uid="{00000000-0005-0000-0000-0000EE8E0000}"/>
    <cellStyle name="Note 2 3 2 2 2 2 2 4" xfId="25339" xr:uid="{00000000-0005-0000-0000-0000EF8E0000}"/>
    <cellStyle name="Note 2 3 2 2 2 2 3" xfId="7868" xr:uid="{00000000-0005-0000-0000-0000F08E0000}"/>
    <cellStyle name="Note 2 3 2 2 2 2 3 2" xfId="17864" xr:uid="{00000000-0005-0000-0000-0000F18E0000}"/>
    <cellStyle name="Note 2 3 2 2 2 2 3 2 2" xfId="37264" xr:uid="{00000000-0005-0000-0000-0000F28E0000}"/>
    <cellStyle name="Note 2 3 2 2 2 2 3 3" xfId="27566" xr:uid="{00000000-0005-0000-0000-0000F38E0000}"/>
    <cellStyle name="Note 2 3 2 2 2 2 4" xfId="13409" xr:uid="{00000000-0005-0000-0000-0000F48E0000}"/>
    <cellStyle name="Note 2 3 2 2 2 2 4 2" xfId="32809" xr:uid="{00000000-0005-0000-0000-0000F58E0000}"/>
    <cellStyle name="Note 2 3 2 2 2 2 5" xfId="23111" xr:uid="{00000000-0005-0000-0000-0000F68E0000}"/>
    <cellStyle name="Note 2 3 2 2 2 3" xfId="3946" xr:uid="{00000000-0005-0000-0000-0000F78E0000}"/>
    <cellStyle name="Note 2 3 2 2 2 3 2" xfId="5076" xr:uid="{00000000-0005-0000-0000-0000F88E0000}"/>
    <cellStyle name="Note 2 3 2 2 2 3 2 2" xfId="9540" xr:uid="{00000000-0005-0000-0000-0000F98E0000}"/>
    <cellStyle name="Note 2 3 2 2 2 3 2 2 2" xfId="19536" xr:uid="{00000000-0005-0000-0000-0000FA8E0000}"/>
    <cellStyle name="Note 2 3 2 2 2 3 2 2 2 2" xfId="38936" xr:uid="{00000000-0005-0000-0000-0000FB8E0000}"/>
    <cellStyle name="Note 2 3 2 2 2 3 2 2 3" xfId="29238" xr:uid="{00000000-0005-0000-0000-0000FC8E0000}"/>
    <cellStyle name="Note 2 3 2 2 2 3 2 3" xfId="15081" xr:uid="{00000000-0005-0000-0000-0000FD8E0000}"/>
    <cellStyle name="Note 2 3 2 2 2 3 2 3 2" xfId="34481" xr:uid="{00000000-0005-0000-0000-0000FE8E0000}"/>
    <cellStyle name="Note 2 3 2 2 2 3 2 4" xfId="24783" xr:uid="{00000000-0005-0000-0000-0000FF8E0000}"/>
    <cellStyle name="Note 2 3 2 2 2 3 3" xfId="8425" xr:uid="{00000000-0005-0000-0000-0000008F0000}"/>
    <cellStyle name="Note 2 3 2 2 2 3 3 2" xfId="18421" xr:uid="{00000000-0005-0000-0000-0000018F0000}"/>
    <cellStyle name="Note 2 3 2 2 2 3 3 2 2" xfId="37821" xr:uid="{00000000-0005-0000-0000-0000028F0000}"/>
    <cellStyle name="Note 2 3 2 2 2 3 3 3" xfId="28123" xr:uid="{00000000-0005-0000-0000-0000038F0000}"/>
    <cellStyle name="Note 2 3 2 2 2 3 4" xfId="13966" xr:uid="{00000000-0005-0000-0000-0000048F0000}"/>
    <cellStyle name="Note 2 3 2 2 2 3 4 2" xfId="33366" xr:uid="{00000000-0005-0000-0000-0000058F0000}"/>
    <cellStyle name="Note 2 3 2 2 2 3 5" xfId="23668" xr:uid="{00000000-0005-0000-0000-0000068F0000}"/>
    <cellStyle name="Note 2 3 2 2 2 4" xfId="4519" xr:uid="{00000000-0005-0000-0000-0000078F0000}"/>
    <cellStyle name="Note 2 3 2 2 2 4 2" xfId="8983" xr:uid="{00000000-0005-0000-0000-0000088F0000}"/>
    <cellStyle name="Note 2 3 2 2 2 4 2 2" xfId="18979" xr:uid="{00000000-0005-0000-0000-0000098F0000}"/>
    <cellStyle name="Note 2 3 2 2 2 4 2 2 2" xfId="38379" xr:uid="{00000000-0005-0000-0000-00000A8F0000}"/>
    <cellStyle name="Note 2 3 2 2 2 4 2 3" xfId="28681" xr:uid="{00000000-0005-0000-0000-00000B8F0000}"/>
    <cellStyle name="Note 2 3 2 2 2 4 3" xfId="14524" xr:uid="{00000000-0005-0000-0000-00000C8F0000}"/>
    <cellStyle name="Note 2 3 2 2 2 4 3 2" xfId="33924" xr:uid="{00000000-0005-0000-0000-00000D8F0000}"/>
    <cellStyle name="Note 2 3 2 2 2 4 4" xfId="24226" xr:uid="{00000000-0005-0000-0000-00000E8F0000}"/>
    <cellStyle name="Note 2 3 2 2 2 5" xfId="6189" xr:uid="{00000000-0005-0000-0000-00000F8F0000}"/>
    <cellStyle name="Note 2 3 2 2 2 5 2" xfId="10653" xr:uid="{00000000-0005-0000-0000-0000108F0000}"/>
    <cellStyle name="Note 2 3 2 2 2 5 2 2" xfId="20649" xr:uid="{00000000-0005-0000-0000-0000118F0000}"/>
    <cellStyle name="Note 2 3 2 2 2 5 2 2 2" xfId="40049" xr:uid="{00000000-0005-0000-0000-0000128F0000}"/>
    <cellStyle name="Note 2 3 2 2 2 5 2 3" xfId="30351" xr:uid="{00000000-0005-0000-0000-0000138F0000}"/>
    <cellStyle name="Note 2 3 2 2 2 5 3" xfId="16194" xr:uid="{00000000-0005-0000-0000-0000148F0000}"/>
    <cellStyle name="Note 2 3 2 2 2 5 3 2" xfId="35594" xr:uid="{00000000-0005-0000-0000-0000158F0000}"/>
    <cellStyle name="Note 2 3 2 2 2 5 4" xfId="25896" xr:uid="{00000000-0005-0000-0000-0000168F0000}"/>
    <cellStyle name="Note 2 3 2 2 2 6" xfId="6755" xr:uid="{00000000-0005-0000-0000-0000178F0000}"/>
    <cellStyle name="Note 2 3 2 2 2 6 2" xfId="11210" xr:uid="{00000000-0005-0000-0000-0000188F0000}"/>
    <cellStyle name="Note 2 3 2 2 2 6 2 2" xfId="21206" xr:uid="{00000000-0005-0000-0000-0000198F0000}"/>
    <cellStyle name="Note 2 3 2 2 2 6 2 2 2" xfId="40606" xr:uid="{00000000-0005-0000-0000-00001A8F0000}"/>
    <cellStyle name="Note 2 3 2 2 2 6 2 3" xfId="30908" xr:uid="{00000000-0005-0000-0000-00001B8F0000}"/>
    <cellStyle name="Note 2 3 2 2 2 6 3" xfId="16751" xr:uid="{00000000-0005-0000-0000-00001C8F0000}"/>
    <cellStyle name="Note 2 3 2 2 2 6 3 2" xfId="36151" xr:uid="{00000000-0005-0000-0000-00001D8F0000}"/>
    <cellStyle name="Note 2 3 2 2 2 6 4" xfId="26453" xr:uid="{00000000-0005-0000-0000-00001E8F0000}"/>
    <cellStyle name="Note 2 3 2 2 2 7" xfId="7312" xr:uid="{00000000-0005-0000-0000-00001F8F0000}"/>
    <cellStyle name="Note 2 3 2 2 2 7 2" xfId="17308" xr:uid="{00000000-0005-0000-0000-0000208F0000}"/>
    <cellStyle name="Note 2 3 2 2 2 7 2 2" xfId="36708" xr:uid="{00000000-0005-0000-0000-0000218F0000}"/>
    <cellStyle name="Note 2 3 2 2 2 7 3" xfId="27010" xr:uid="{00000000-0005-0000-0000-0000228F0000}"/>
    <cellStyle name="Note 2 3 2 2 2 8" xfId="12852" xr:uid="{00000000-0005-0000-0000-0000238F0000}"/>
    <cellStyle name="Note 2 3 2 2 2 8 2" xfId="32253" xr:uid="{00000000-0005-0000-0000-0000248F0000}"/>
    <cellStyle name="Note 2 3 2 2 2 9" xfId="22555" xr:uid="{00000000-0005-0000-0000-0000258F0000}"/>
    <cellStyle name="Note 2 3 2 2 3" xfId="2424" xr:uid="{00000000-0005-0000-0000-0000268F0000}"/>
    <cellStyle name="Note 2 3 2 2 3 2" xfId="3364" xr:uid="{00000000-0005-0000-0000-0000278F0000}"/>
    <cellStyle name="Note 2 3 2 2 3 2 2" xfId="5633" xr:uid="{00000000-0005-0000-0000-0000288F0000}"/>
    <cellStyle name="Note 2 3 2 2 3 2 2 2" xfId="10097" xr:uid="{00000000-0005-0000-0000-0000298F0000}"/>
    <cellStyle name="Note 2 3 2 2 3 2 2 2 2" xfId="20093" xr:uid="{00000000-0005-0000-0000-00002A8F0000}"/>
    <cellStyle name="Note 2 3 2 2 3 2 2 2 2 2" xfId="39493" xr:uid="{00000000-0005-0000-0000-00002B8F0000}"/>
    <cellStyle name="Note 2 3 2 2 3 2 2 2 3" xfId="29795" xr:uid="{00000000-0005-0000-0000-00002C8F0000}"/>
    <cellStyle name="Note 2 3 2 2 3 2 2 3" xfId="15638" xr:uid="{00000000-0005-0000-0000-00002D8F0000}"/>
    <cellStyle name="Note 2 3 2 2 3 2 2 3 2" xfId="35038" xr:uid="{00000000-0005-0000-0000-00002E8F0000}"/>
    <cellStyle name="Note 2 3 2 2 3 2 2 4" xfId="25340" xr:uid="{00000000-0005-0000-0000-00002F8F0000}"/>
    <cellStyle name="Note 2 3 2 2 3 2 3" xfId="7869" xr:uid="{00000000-0005-0000-0000-0000308F0000}"/>
    <cellStyle name="Note 2 3 2 2 3 2 3 2" xfId="17865" xr:uid="{00000000-0005-0000-0000-0000318F0000}"/>
    <cellStyle name="Note 2 3 2 2 3 2 3 2 2" xfId="37265" xr:uid="{00000000-0005-0000-0000-0000328F0000}"/>
    <cellStyle name="Note 2 3 2 2 3 2 3 3" xfId="27567" xr:uid="{00000000-0005-0000-0000-0000338F0000}"/>
    <cellStyle name="Note 2 3 2 2 3 2 4" xfId="13410" xr:uid="{00000000-0005-0000-0000-0000348F0000}"/>
    <cellStyle name="Note 2 3 2 2 3 2 4 2" xfId="32810" xr:uid="{00000000-0005-0000-0000-0000358F0000}"/>
    <cellStyle name="Note 2 3 2 2 3 2 5" xfId="23112" xr:uid="{00000000-0005-0000-0000-0000368F0000}"/>
    <cellStyle name="Note 2 3 2 2 3 3" xfId="3947" xr:uid="{00000000-0005-0000-0000-0000378F0000}"/>
    <cellStyle name="Note 2 3 2 2 3 3 2" xfId="5077" xr:uid="{00000000-0005-0000-0000-0000388F0000}"/>
    <cellStyle name="Note 2 3 2 2 3 3 2 2" xfId="9541" xr:uid="{00000000-0005-0000-0000-0000398F0000}"/>
    <cellStyle name="Note 2 3 2 2 3 3 2 2 2" xfId="19537" xr:uid="{00000000-0005-0000-0000-00003A8F0000}"/>
    <cellStyle name="Note 2 3 2 2 3 3 2 2 2 2" xfId="38937" xr:uid="{00000000-0005-0000-0000-00003B8F0000}"/>
    <cellStyle name="Note 2 3 2 2 3 3 2 2 3" xfId="29239" xr:uid="{00000000-0005-0000-0000-00003C8F0000}"/>
    <cellStyle name="Note 2 3 2 2 3 3 2 3" xfId="15082" xr:uid="{00000000-0005-0000-0000-00003D8F0000}"/>
    <cellStyle name="Note 2 3 2 2 3 3 2 3 2" xfId="34482" xr:uid="{00000000-0005-0000-0000-00003E8F0000}"/>
    <cellStyle name="Note 2 3 2 2 3 3 2 4" xfId="24784" xr:uid="{00000000-0005-0000-0000-00003F8F0000}"/>
    <cellStyle name="Note 2 3 2 2 3 3 3" xfId="8426" xr:uid="{00000000-0005-0000-0000-0000408F0000}"/>
    <cellStyle name="Note 2 3 2 2 3 3 3 2" xfId="18422" xr:uid="{00000000-0005-0000-0000-0000418F0000}"/>
    <cellStyle name="Note 2 3 2 2 3 3 3 2 2" xfId="37822" xr:uid="{00000000-0005-0000-0000-0000428F0000}"/>
    <cellStyle name="Note 2 3 2 2 3 3 3 3" xfId="28124" xr:uid="{00000000-0005-0000-0000-0000438F0000}"/>
    <cellStyle name="Note 2 3 2 2 3 3 4" xfId="13967" xr:uid="{00000000-0005-0000-0000-0000448F0000}"/>
    <cellStyle name="Note 2 3 2 2 3 3 4 2" xfId="33367" xr:uid="{00000000-0005-0000-0000-0000458F0000}"/>
    <cellStyle name="Note 2 3 2 2 3 3 5" xfId="23669" xr:uid="{00000000-0005-0000-0000-0000468F0000}"/>
    <cellStyle name="Note 2 3 2 2 3 4" xfId="4520" xr:uid="{00000000-0005-0000-0000-0000478F0000}"/>
    <cellStyle name="Note 2 3 2 2 3 4 2" xfId="8984" xr:uid="{00000000-0005-0000-0000-0000488F0000}"/>
    <cellStyle name="Note 2 3 2 2 3 4 2 2" xfId="18980" xr:uid="{00000000-0005-0000-0000-0000498F0000}"/>
    <cellStyle name="Note 2 3 2 2 3 4 2 2 2" xfId="38380" xr:uid="{00000000-0005-0000-0000-00004A8F0000}"/>
    <cellStyle name="Note 2 3 2 2 3 4 2 3" xfId="28682" xr:uid="{00000000-0005-0000-0000-00004B8F0000}"/>
    <cellStyle name="Note 2 3 2 2 3 4 3" xfId="14525" xr:uid="{00000000-0005-0000-0000-00004C8F0000}"/>
    <cellStyle name="Note 2 3 2 2 3 4 3 2" xfId="33925" xr:uid="{00000000-0005-0000-0000-00004D8F0000}"/>
    <cellStyle name="Note 2 3 2 2 3 4 4" xfId="24227" xr:uid="{00000000-0005-0000-0000-00004E8F0000}"/>
    <cellStyle name="Note 2 3 2 2 3 5" xfId="6190" xr:uid="{00000000-0005-0000-0000-00004F8F0000}"/>
    <cellStyle name="Note 2 3 2 2 3 5 2" xfId="10654" xr:uid="{00000000-0005-0000-0000-0000508F0000}"/>
    <cellStyle name="Note 2 3 2 2 3 5 2 2" xfId="20650" xr:uid="{00000000-0005-0000-0000-0000518F0000}"/>
    <cellStyle name="Note 2 3 2 2 3 5 2 2 2" xfId="40050" xr:uid="{00000000-0005-0000-0000-0000528F0000}"/>
    <cellStyle name="Note 2 3 2 2 3 5 2 3" xfId="30352" xr:uid="{00000000-0005-0000-0000-0000538F0000}"/>
    <cellStyle name="Note 2 3 2 2 3 5 3" xfId="16195" xr:uid="{00000000-0005-0000-0000-0000548F0000}"/>
    <cellStyle name="Note 2 3 2 2 3 5 3 2" xfId="35595" xr:uid="{00000000-0005-0000-0000-0000558F0000}"/>
    <cellStyle name="Note 2 3 2 2 3 5 4" xfId="25897" xr:uid="{00000000-0005-0000-0000-0000568F0000}"/>
    <cellStyle name="Note 2 3 2 2 3 6" xfId="6756" xr:uid="{00000000-0005-0000-0000-0000578F0000}"/>
    <cellStyle name="Note 2 3 2 2 3 6 2" xfId="11211" xr:uid="{00000000-0005-0000-0000-0000588F0000}"/>
    <cellStyle name="Note 2 3 2 2 3 6 2 2" xfId="21207" xr:uid="{00000000-0005-0000-0000-0000598F0000}"/>
    <cellStyle name="Note 2 3 2 2 3 6 2 2 2" xfId="40607" xr:uid="{00000000-0005-0000-0000-00005A8F0000}"/>
    <cellStyle name="Note 2 3 2 2 3 6 2 3" xfId="30909" xr:uid="{00000000-0005-0000-0000-00005B8F0000}"/>
    <cellStyle name="Note 2 3 2 2 3 6 3" xfId="16752" xr:uid="{00000000-0005-0000-0000-00005C8F0000}"/>
    <cellStyle name="Note 2 3 2 2 3 6 3 2" xfId="36152" xr:uid="{00000000-0005-0000-0000-00005D8F0000}"/>
    <cellStyle name="Note 2 3 2 2 3 6 4" xfId="26454" xr:uid="{00000000-0005-0000-0000-00005E8F0000}"/>
    <cellStyle name="Note 2 3 2 2 3 7" xfId="7313" xr:uid="{00000000-0005-0000-0000-00005F8F0000}"/>
    <cellStyle name="Note 2 3 2 2 3 7 2" xfId="17309" xr:uid="{00000000-0005-0000-0000-0000608F0000}"/>
    <cellStyle name="Note 2 3 2 2 3 7 2 2" xfId="36709" xr:uid="{00000000-0005-0000-0000-0000618F0000}"/>
    <cellStyle name="Note 2 3 2 2 3 7 3" xfId="27011" xr:uid="{00000000-0005-0000-0000-0000628F0000}"/>
    <cellStyle name="Note 2 3 2 2 3 8" xfId="12853" xr:uid="{00000000-0005-0000-0000-0000638F0000}"/>
    <cellStyle name="Note 2 3 2 2 3 8 2" xfId="32254" xr:uid="{00000000-0005-0000-0000-0000648F0000}"/>
    <cellStyle name="Note 2 3 2 2 3 9" xfId="22556" xr:uid="{00000000-0005-0000-0000-0000658F0000}"/>
    <cellStyle name="Note 2 3 2 2 4" xfId="3362" xr:uid="{00000000-0005-0000-0000-0000668F0000}"/>
    <cellStyle name="Note 2 3 2 2 4 2" xfId="5631" xr:uid="{00000000-0005-0000-0000-0000678F0000}"/>
    <cellStyle name="Note 2 3 2 2 4 2 2" xfId="10095" xr:uid="{00000000-0005-0000-0000-0000688F0000}"/>
    <cellStyle name="Note 2 3 2 2 4 2 2 2" xfId="20091" xr:uid="{00000000-0005-0000-0000-0000698F0000}"/>
    <cellStyle name="Note 2 3 2 2 4 2 2 2 2" xfId="39491" xr:uid="{00000000-0005-0000-0000-00006A8F0000}"/>
    <cellStyle name="Note 2 3 2 2 4 2 2 3" xfId="29793" xr:uid="{00000000-0005-0000-0000-00006B8F0000}"/>
    <cellStyle name="Note 2 3 2 2 4 2 3" xfId="15636" xr:uid="{00000000-0005-0000-0000-00006C8F0000}"/>
    <cellStyle name="Note 2 3 2 2 4 2 3 2" xfId="35036" xr:uid="{00000000-0005-0000-0000-00006D8F0000}"/>
    <cellStyle name="Note 2 3 2 2 4 2 4" xfId="25338" xr:uid="{00000000-0005-0000-0000-00006E8F0000}"/>
    <cellStyle name="Note 2 3 2 2 4 3" xfId="7867" xr:uid="{00000000-0005-0000-0000-00006F8F0000}"/>
    <cellStyle name="Note 2 3 2 2 4 3 2" xfId="17863" xr:uid="{00000000-0005-0000-0000-0000708F0000}"/>
    <cellStyle name="Note 2 3 2 2 4 3 2 2" xfId="37263" xr:uid="{00000000-0005-0000-0000-0000718F0000}"/>
    <cellStyle name="Note 2 3 2 2 4 3 3" xfId="27565" xr:uid="{00000000-0005-0000-0000-0000728F0000}"/>
    <cellStyle name="Note 2 3 2 2 4 4" xfId="13408" xr:uid="{00000000-0005-0000-0000-0000738F0000}"/>
    <cellStyle name="Note 2 3 2 2 4 4 2" xfId="32808" xr:uid="{00000000-0005-0000-0000-0000748F0000}"/>
    <cellStyle name="Note 2 3 2 2 4 5" xfId="23110" xr:uid="{00000000-0005-0000-0000-0000758F0000}"/>
    <cellStyle name="Note 2 3 2 2 5" xfId="3945" xr:uid="{00000000-0005-0000-0000-0000768F0000}"/>
    <cellStyle name="Note 2 3 2 2 5 2" xfId="5075" xr:uid="{00000000-0005-0000-0000-0000778F0000}"/>
    <cellStyle name="Note 2 3 2 2 5 2 2" xfId="9539" xr:uid="{00000000-0005-0000-0000-0000788F0000}"/>
    <cellStyle name="Note 2 3 2 2 5 2 2 2" xfId="19535" xr:uid="{00000000-0005-0000-0000-0000798F0000}"/>
    <cellStyle name="Note 2 3 2 2 5 2 2 2 2" xfId="38935" xr:uid="{00000000-0005-0000-0000-00007A8F0000}"/>
    <cellStyle name="Note 2 3 2 2 5 2 2 3" xfId="29237" xr:uid="{00000000-0005-0000-0000-00007B8F0000}"/>
    <cellStyle name="Note 2 3 2 2 5 2 3" xfId="15080" xr:uid="{00000000-0005-0000-0000-00007C8F0000}"/>
    <cellStyle name="Note 2 3 2 2 5 2 3 2" xfId="34480" xr:uid="{00000000-0005-0000-0000-00007D8F0000}"/>
    <cellStyle name="Note 2 3 2 2 5 2 4" xfId="24782" xr:uid="{00000000-0005-0000-0000-00007E8F0000}"/>
    <cellStyle name="Note 2 3 2 2 5 3" xfId="8424" xr:uid="{00000000-0005-0000-0000-00007F8F0000}"/>
    <cellStyle name="Note 2 3 2 2 5 3 2" xfId="18420" xr:uid="{00000000-0005-0000-0000-0000808F0000}"/>
    <cellStyle name="Note 2 3 2 2 5 3 2 2" xfId="37820" xr:uid="{00000000-0005-0000-0000-0000818F0000}"/>
    <cellStyle name="Note 2 3 2 2 5 3 3" xfId="28122" xr:uid="{00000000-0005-0000-0000-0000828F0000}"/>
    <cellStyle name="Note 2 3 2 2 5 4" xfId="13965" xr:uid="{00000000-0005-0000-0000-0000838F0000}"/>
    <cellStyle name="Note 2 3 2 2 5 4 2" xfId="33365" xr:uid="{00000000-0005-0000-0000-0000848F0000}"/>
    <cellStyle name="Note 2 3 2 2 5 5" xfId="23667" xr:uid="{00000000-0005-0000-0000-0000858F0000}"/>
    <cellStyle name="Note 2 3 2 2 6" xfId="4518" xr:uid="{00000000-0005-0000-0000-0000868F0000}"/>
    <cellStyle name="Note 2 3 2 2 6 2" xfId="8982" xr:uid="{00000000-0005-0000-0000-0000878F0000}"/>
    <cellStyle name="Note 2 3 2 2 6 2 2" xfId="18978" xr:uid="{00000000-0005-0000-0000-0000888F0000}"/>
    <cellStyle name="Note 2 3 2 2 6 2 2 2" xfId="38378" xr:uid="{00000000-0005-0000-0000-0000898F0000}"/>
    <cellStyle name="Note 2 3 2 2 6 2 3" xfId="28680" xr:uid="{00000000-0005-0000-0000-00008A8F0000}"/>
    <cellStyle name="Note 2 3 2 2 6 3" xfId="14523" xr:uid="{00000000-0005-0000-0000-00008B8F0000}"/>
    <cellStyle name="Note 2 3 2 2 6 3 2" xfId="33923" xr:uid="{00000000-0005-0000-0000-00008C8F0000}"/>
    <cellStyle name="Note 2 3 2 2 6 4" xfId="24225" xr:uid="{00000000-0005-0000-0000-00008D8F0000}"/>
    <cellStyle name="Note 2 3 2 2 7" xfId="6188" xr:uid="{00000000-0005-0000-0000-00008E8F0000}"/>
    <cellStyle name="Note 2 3 2 2 7 2" xfId="10652" xr:uid="{00000000-0005-0000-0000-00008F8F0000}"/>
    <cellStyle name="Note 2 3 2 2 7 2 2" xfId="20648" xr:uid="{00000000-0005-0000-0000-0000908F0000}"/>
    <cellStyle name="Note 2 3 2 2 7 2 2 2" xfId="40048" xr:uid="{00000000-0005-0000-0000-0000918F0000}"/>
    <cellStyle name="Note 2 3 2 2 7 2 3" xfId="30350" xr:uid="{00000000-0005-0000-0000-0000928F0000}"/>
    <cellStyle name="Note 2 3 2 2 7 3" xfId="16193" xr:uid="{00000000-0005-0000-0000-0000938F0000}"/>
    <cellStyle name="Note 2 3 2 2 7 3 2" xfId="35593" xr:uid="{00000000-0005-0000-0000-0000948F0000}"/>
    <cellStyle name="Note 2 3 2 2 7 4" xfId="25895" xr:uid="{00000000-0005-0000-0000-0000958F0000}"/>
    <cellStyle name="Note 2 3 2 2 8" xfId="6754" xr:uid="{00000000-0005-0000-0000-0000968F0000}"/>
    <cellStyle name="Note 2 3 2 2 8 2" xfId="11209" xr:uid="{00000000-0005-0000-0000-0000978F0000}"/>
    <cellStyle name="Note 2 3 2 2 8 2 2" xfId="21205" xr:uid="{00000000-0005-0000-0000-0000988F0000}"/>
    <cellStyle name="Note 2 3 2 2 8 2 2 2" xfId="40605" xr:uid="{00000000-0005-0000-0000-0000998F0000}"/>
    <cellStyle name="Note 2 3 2 2 8 2 3" xfId="30907" xr:uid="{00000000-0005-0000-0000-00009A8F0000}"/>
    <cellStyle name="Note 2 3 2 2 8 3" xfId="16750" xr:uid="{00000000-0005-0000-0000-00009B8F0000}"/>
    <cellStyle name="Note 2 3 2 2 8 3 2" xfId="36150" xr:uid="{00000000-0005-0000-0000-00009C8F0000}"/>
    <cellStyle name="Note 2 3 2 2 8 4" xfId="26452" xr:uid="{00000000-0005-0000-0000-00009D8F0000}"/>
    <cellStyle name="Note 2 3 2 2 9" xfId="7311" xr:uid="{00000000-0005-0000-0000-00009E8F0000}"/>
    <cellStyle name="Note 2 3 2 2 9 2" xfId="17307" xr:uid="{00000000-0005-0000-0000-00009F8F0000}"/>
    <cellStyle name="Note 2 3 2 2 9 2 2" xfId="36707" xr:uid="{00000000-0005-0000-0000-0000A08F0000}"/>
    <cellStyle name="Note 2 3 2 2 9 3" xfId="27009" xr:uid="{00000000-0005-0000-0000-0000A18F0000}"/>
    <cellStyle name="Note 2 3 2 3" xfId="2425" xr:uid="{00000000-0005-0000-0000-0000A28F0000}"/>
    <cellStyle name="Note 2 3 2 3 2" xfId="3365" xr:uid="{00000000-0005-0000-0000-0000A38F0000}"/>
    <cellStyle name="Note 2 3 2 3 2 2" xfId="5634" xr:uid="{00000000-0005-0000-0000-0000A48F0000}"/>
    <cellStyle name="Note 2 3 2 3 2 2 2" xfId="10098" xr:uid="{00000000-0005-0000-0000-0000A58F0000}"/>
    <cellStyle name="Note 2 3 2 3 2 2 2 2" xfId="20094" xr:uid="{00000000-0005-0000-0000-0000A68F0000}"/>
    <cellStyle name="Note 2 3 2 3 2 2 2 2 2" xfId="39494" xr:uid="{00000000-0005-0000-0000-0000A78F0000}"/>
    <cellStyle name="Note 2 3 2 3 2 2 2 3" xfId="29796" xr:uid="{00000000-0005-0000-0000-0000A88F0000}"/>
    <cellStyle name="Note 2 3 2 3 2 2 3" xfId="15639" xr:uid="{00000000-0005-0000-0000-0000A98F0000}"/>
    <cellStyle name="Note 2 3 2 3 2 2 3 2" xfId="35039" xr:uid="{00000000-0005-0000-0000-0000AA8F0000}"/>
    <cellStyle name="Note 2 3 2 3 2 2 4" xfId="25341" xr:uid="{00000000-0005-0000-0000-0000AB8F0000}"/>
    <cellStyle name="Note 2 3 2 3 2 3" xfId="7870" xr:uid="{00000000-0005-0000-0000-0000AC8F0000}"/>
    <cellStyle name="Note 2 3 2 3 2 3 2" xfId="17866" xr:uid="{00000000-0005-0000-0000-0000AD8F0000}"/>
    <cellStyle name="Note 2 3 2 3 2 3 2 2" xfId="37266" xr:uid="{00000000-0005-0000-0000-0000AE8F0000}"/>
    <cellStyle name="Note 2 3 2 3 2 3 3" xfId="27568" xr:uid="{00000000-0005-0000-0000-0000AF8F0000}"/>
    <cellStyle name="Note 2 3 2 3 2 4" xfId="13411" xr:uid="{00000000-0005-0000-0000-0000B08F0000}"/>
    <cellStyle name="Note 2 3 2 3 2 4 2" xfId="32811" xr:uid="{00000000-0005-0000-0000-0000B18F0000}"/>
    <cellStyle name="Note 2 3 2 3 2 5" xfId="23113" xr:uid="{00000000-0005-0000-0000-0000B28F0000}"/>
    <cellStyle name="Note 2 3 2 3 3" xfId="3948" xr:uid="{00000000-0005-0000-0000-0000B38F0000}"/>
    <cellStyle name="Note 2 3 2 3 3 2" xfId="5078" xr:uid="{00000000-0005-0000-0000-0000B48F0000}"/>
    <cellStyle name="Note 2 3 2 3 3 2 2" xfId="9542" xr:uid="{00000000-0005-0000-0000-0000B58F0000}"/>
    <cellStyle name="Note 2 3 2 3 3 2 2 2" xfId="19538" xr:uid="{00000000-0005-0000-0000-0000B68F0000}"/>
    <cellStyle name="Note 2 3 2 3 3 2 2 2 2" xfId="38938" xr:uid="{00000000-0005-0000-0000-0000B78F0000}"/>
    <cellStyle name="Note 2 3 2 3 3 2 2 3" xfId="29240" xr:uid="{00000000-0005-0000-0000-0000B88F0000}"/>
    <cellStyle name="Note 2 3 2 3 3 2 3" xfId="15083" xr:uid="{00000000-0005-0000-0000-0000B98F0000}"/>
    <cellStyle name="Note 2 3 2 3 3 2 3 2" xfId="34483" xr:uid="{00000000-0005-0000-0000-0000BA8F0000}"/>
    <cellStyle name="Note 2 3 2 3 3 2 4" xfId="24785" xr:uid="{00000000-0005-0000-0000-0000BB8F0000}"/>
    <cellStyle name="Note 2 3 2 3 3 3" xfId="8427" xr:uid="{00000000-0005-0000-0000-0000BC8F0000}"/>
    <cellStyle name="Note 2 3 2 3 3 3 2" xfId="18423" xr:uid="{00000000-0005-0000-0000-0000BD8F0000}"/>
    <cellStyle name="Note 2 3 2 3 3 3 2 2" xfId="37823" xr:uid="{00000000-0005-0000-0000-0000BE8F0000}"/>
    <cellStyle name="Note 2 3 2 3 3 3 3" xfId="28125" xr:uid="{00000000-0005-0000-0000-0000BF8F0000}"/>
    <cellStyle name="Note 2 3 2 3 3 4" xfId="13968" xr:uid="{00000000-0005-0000-0000-0000C08F0000}"/>
    <cellStyle name="Note 2 3 2 3 3 4 2" xfId="33368" xr:uid="{00000000-0005-0000-0000-0000C18F0000}"/>
    <cellStyle name="Note 2 3 2 3 3 5" xfId="23670" xr:uid="{00000000-0005-0000-0000-0000C28F0000}"/>
    <cellStyle name="Note 2 3 2 3 4" xfId="4521" xr:uid="{00000000-0005-0000-0000-0000C38F0000}"/>
    <cellStyle name="Note 2 3 2 3 4 2" xfId="8985" xr:uid="{00000000-0005-0000-0000-0000C48F0000}"/>
    <cellStyle name="Note 2 3 2 3 4 2 2" xfId="18981" xr:uid="{00000000-0005-0000-0000-0000C58F0000}"/>
    <cellStyle name="Note 2 3 2 3 4 2 2 2" xfId="38381" xr:uid="{00000000-0005-0000-0000-0000C68F0000}"/>
    <cellStyle name="Note 2 3 2 3 4 2 3" xfId="28683" xr:uid="{00000000-0005-0000-0000-0000C78F0000}"/>
    <cellStyle name="Note 2 3 2 3 4 3" xfId="14526" xr:uid="{00000000-0005-0000-0000-0000C88F0000}"/>
    <cellStyle name="Note 2 3 2 3 4 3 2" xfId="33926" xr:uid="{00000000-0005-0000-0000-0000C98F0000}"/>
    <cellStyle name="Note 2 3 2 3 4 4" xfId="24228" xr:uid="{00000000-0005-0000-0000-0000CA8F0000}"/>
    <cellStyle name="Note 2 3 2 3 5" xfId="6191" xr:uid="{00000000-0005-0000-0000-0000CB8F0000}"/>
    <cellStyle name="Note 2 3 2 3 5 2" xfId="10655" xr:uid="{00000000-0005-0000-0000-0000CC8F0000}"/>
    <cellStyle name="Note 2 3 2 3 5 2 2" xfId="20651" xr:uid="{00000000-0005-0000-0000-0000CD8F0000}"/>
    <cellStyle name="Note 2 3 2 3 5 2 2 2" xfId="40051" xr:uid="{00000000-0005-0000-0000-0000CE8F0000}"/>
    <cellStyle name="Note 2 3 2 3 5 2 3" xfId="30353" xr:uid="{00000000-0005-0000-0000-0000CF8F0000}"/>
    <cellStyle name="Note 2 3 2 3 5 3" xfId="16196" xr:uid="{00000000-0005-0000-0000-0000D08F0000}"/>
    <cellStyle name="Note 2 3 2 3 5 3 2" xfId="35596" xr:uid="{00000000-0005-0000-0000-0000D18F0000}"/>
    <cellStyle name="Note 2 3 2 3 5 4" xfId="25898" xr:uid="{00000000-0005-0000-0000-0000D28F0000}"/>
    <cellStyle name="Note 2 3 2 3 6" xfId="6757" xr:uid="{00000000-0005-0000-0000-0000D38F0000}"/>
    <cellStyle name="Note 2 3 2 3 6 2" xfId="11212" xr:uid="{00000000-0005-0000-0000-0000D48F0000}"/>
    <cellStyle name="Note 2 3 2 3 6 2 2" xfId="21208" xr:uid="{00000000-0005-0000-0000-0000D58F0000}"/>
    <cellStyle name="Note 2 3 2 3 6 2 2 2" xfId="40608" xr:uid="{00000000-0005-0000-0000-0000D68F0000}"/>
    <cellStyle name="Note 2 3 2 3 6 2 3" xfId="30910" xr:uid="{00000000-0005-0000-0000-0000D78F0000}"/>
    <cellStyle name="Note 2 3 2 3 6 3" xfId="16753" xr:uid="{00000000-0005-0000-0000-0000D88F0000}"/>
    <cellStyle name="Note 2 3 2 3 6 3 2" xfId="36153" xr:uid="{00000000-0005-0000-0000-0000D98F0000}"/>
    <cellStyle name="Note 2 3 2 3 6 4" xfId="26455" xr:uid="{00000000-0005-0000-0000-0000DA8F0000}"/>
    <cellStyle name="Note 2 3 2 3 7" xfId="7314" xr:uid="{00000000-0005-0000-0000-0000DB8F0000}"/>
    <cellStyle name="Note 2 3 2 3 7 2" xfId="17310" xr:uid="{00000000-0005-0000-0000-0000DC8F0000}"/>
    <cellStyle name="Note 2 3 2 3 7 2 2" xfId="36710" xr:uid="{00000000-0005-0000-0000-0000DD8F0000}"/>
    <cellStyle name="Note 2 3 2 3 7 3" xfId="27012" xr:uid="{00000000-0005-0000-0000-0000DE8F0000}"/>
    <cellStyle name="Note 2 3 2 3 8" xfId="12854" xr:uid="{00000000-0005-0000-0000-0000DF8F0000}"/>
    <cellStyle name="Note 2 3 2 3 8 2" xfId="32255" xr:uid="{00000000-0005-0000-0000-0000E08F0000}"/>
    <cellStyle name="Note 2 3 2 3 9" xfId="22557" xr:uid="{00000000-0005-0000-0000-0000E18F0000}"/>
    <cellStyle name="Note 2 3 2 4" xfId="2426" xr:uid="{00000000-0005-0000-0000-0000E28F0000}"/>
    <cellStyle name="Note 2 3 2 4 2" xfId="3366" xr:uid="{00000000-0005-0000-0000-0000E38F0000}"/>
    <cellStyle name="Note 2 3 2 4 2 2" xfId="5635" xr:uid="{00000000-0005-0000-0000-0000E48F0000}"/>
    <cellStyle name="Note 2 3 2 4 2 2 2" xfId="10099" xr:uid="{00000000-0005-0000-0000-0000E58F0000}"/>
    <cellStyle name="Note 2 3 2 4 2 2 2 2" xfId="20095" xr:uid="{00000000-0005-0000-0000-0000E68F0000}"/>
    <cellStyle name="Note 2 3 2 4 2 2 2 2 2" xfId="39495" xr:uid="{00000000-0005-0000-0000-0000E78F0000}"/>
    <cellStyle name="Note 2 3 2 4 2 2 2 3" xfId="29797" xr:uid="{00000000-0005-0000-0000-0000E88F0000}"/>
    <cellStyle name="Note 2 3 2 4 2 2 3" xfId="15640" xr:uid="{00000000-0005-0000-0000-0000E98F0000}"/>
    <cellStyle name="Note 2 3 2 4 2 2 3 2" xfId="35040" xr:uid="{00000000-0005-0000-0000-0000EA8F0000}"/>
    <cellStyle name="Note 2 3 2 4 2 2 4" xfId="25342" xr:uid="{00000000-0005-0000-0000-0000EB8F0000}"/>
    <cellStyle name="Note 2 3 2 4 2 3" xfId="7871" xr:uid="{00000000-0005-0000-0000-0000EC8F0000}"/>
    <cellStyle name="Note 2 3 2 4 2 3 2" xfId="17867" xr:uid="{00000000-0005-0000-0000-0000ED8F0000}"/>
    <cellStyle name="Note 2 3 2 4 2 3 2 2" xfId="37267" xr:uid="{00000000-0005-0000-0000-0000EE8F0000}"/>
    <cellStyle name="Note 2 3 2 4 2 3 3" xfId="27569" xr:uid="{00000000-0005-0000-0000-0000EF8F0000}"/>
    <cellStyle name="Note 2 3 2 4 2 4" xfId="13412" xr:uid="{00000000-0005-0000-0000-0000F08F0000}"/>
    <cellStyle name="Note 2 3 2 4 2 4 2" xfId="32812" xr:uid="{00000000-0005-0000-0000-0000F18F0000}"/>
    <cellStyle name="Note 2 3 2 4 2 5" xfId="23114" xr:uid="{00000000-0005-0000-0000-0000F28F0000}"/>
    <cellStyle name="Note 2 3 2 4 3" xfId="3949" xr:uid="{00000000-0005-0000-0000-0000F38F0000}"/>
    <cellStyle name="Note 2 3 2 4 3 2" xfId="5079" xr:uid="{00000000-0005-0000-0000-0000F48F0000}"/>
    <cellStyle name="Note 2 3 2 4 3 2 2" xfId="9543" xr:uid="{00000000-0005-0000-0000-0000F58F0000}"/>
    <cellStyle name="Note 2 3 2 4 3 2 2 2" xfId="19539" xr:uid="{00000000-0005-0000-0000-0000F68F0000}"/>
    <cellStyle name="Note 2 3 2 4 3 2 2 2 2" xfId="38939" xr:uid="{00000000-0005-0000-0000-0000F78F0000}"/>
    <cellStyle name="Note 2 3 2 4 3 2 2 3" xfId="29241" xr:uid="{00000000-0005-0000-0000-0000F88F0000}"/>
    <cellStyle name="Note 2 3 2 4 3 2 3" xfId="15084" xr:uid="{00000000-0005-0000-0000-0000F98F0000}"/>
    <cellStyle name="Note 2 3 2 4 3 2 3 2" xfId="34484" xr:uid="{00000000-0005-0000-0000-0000FA8F0000}"/>
    <cellStyle name="Note 2 3 2 4 3 2 4" xfId="24786" xr:uid="{00000000-0005-0000-0000-0000FB8F0000}"/>
    <cellStyle name="Note 2 3 2 4 3 3" xfId="8428" xr:uid="{00000000-0005-0000-0000-0000FC8F0000}"/>
    <cellStyle name="Note 2 3 2 4 3 3 2" xfId="18424" xr:uid="{00000000-0005-0000-0000-0000FD8F0000}"/>
    <cellStyle name="Note 2 3 2 4 3 3 2 2" xfId="37824" xr:uid="{00000000-0005-0000-0000-0000FE8F0000}"/>
    <cellStyle name="Note 2 3 2 4 3 3 3" xfId="28126" xr:uid="{00000000-0005-0000-0000-0000FF8F0000}"/>
    <cellStyle name="Note 2 3 2 4 3 4" xfId="13969" xr:uid="{00000000-0005-0000-0000-000000900000}"/>
    <cellStyle name="Note 2 3 2 4 3 4 2" xfId="33369" xr:uid="{00000000-0005-0000-0000-000001900000}"/>
    <cellStyle name="Note 2 3 2 4 3 5" xfId="23671" xr:uid="{00000000-0005-0000-0000-000002900000}"/>
    <cellStyle name="Note 2 3 2 4 4" xfId="4522" xr:uid="{00000000-0005-0000-0000-000003900000}"/>
    <cellStyle name="Note 2 3 2 4 4 2" xfId="8986" xr:uid="{00000000-0005-0000-0000-000004900000}"/>
    <cellStyle name="Note 2 3 2 4 4 2 2" xfId="18982" xr:uid="{00000000-0005-0000-0000-000005900000}"/>
    <cellStyle name="Note 2 3 2 4 4 2 2 2" xfId="38382" xr:uid="{00000000-0005-0000-0000-000006900000}"/>
    <cellStyle name="Note 2 3 2 4 4 2 3" xfId="28684" xr:uid="{00000000-0005-0000-0000-000007900000}"/>
    <cellStyle name="Note 2 3 2 4 4 3" xfId="14527" xr:uid="{00000000-0005-0000-0000-000008900000}"/>
    <cellStyle name="Note 2 3 2 4 4 3 2" xfId="33927" xr:uid="{00000000-0005-0000-0000-000009900000}"/>
    <cellStyle name="Note 2 3 2 4 4 4" xfId="24229" xr:uid="{00000000-0005-0000-0000-00000A900000}"/>
    <cellStyle name="Note 2 3 2 4 5" xfId="6192" xr:uid="{00000000-0005-0000-0000-00000B900000}"/>
    <cellStyle name="Note 2 3 2 4 5 2" xfId="10656" xr:uid="{00000000-0005-0000-0000-00000C900000}"/>
    <cellStyle name="Note 2 3 2 4 5 2 2" xfId="20652" xr:uid="{00000000-0005-0000-0000-00000D900000}"/>
    <cellStyle name="Note 2 3 2 4 5 2 2 2" xfId="40052" xr:uid="{00000000-0005-0000-0000-00000E900000}"/>
    <cellStyle name="Note 2 3 2 4 5 2 3" xfId="30354" xr:uid="{00000000-0005-0000-0000-00000F900000}"/>
    <cellStyle name="Note 2 3 2 4 5 3" xfId="16197" xr:uid="{00000000-0005-0000-0000-000010900000}"/>
    <cellStyle name="Note 2 3 2 4 5 3 2" xfId="35597" xr:uid="{00000000-0005-0000-0000-000011900000}"/>
    <cellStyle name="Note 2 3 2 4 5 4" xfId="25899" xr:uid="{00000000-0005-0000-0000-000012900000}"/>
    <cellStyle name="Note 2 3 2 4 6" xfId="6758" xr:uid="{00000000-0005-0000-0000-000013900000}"/>
    <cellStyle name="Note 2 3 2 4 6 2" xfId="11213" xr:uid="{00000000-0005-0000-0000-000014900000}"/>
    <cellStyle name="Note 2 3 2 4 6 2 2" xfId="21209" xr:uid="{00000000-0005-0000-0000-000015900000}"/>
    <cellStyle name="Note 2 3 2 4 6 2 2 2" xfId="40609" xr:uid="{00000000-0005-0000-0000-000016900000}"/>
    <cellStyle name="Note 2 3 2 4 6 2 3" xfId="30911" xr:uid="{00000000-0005-0000-0000-000017900000}"/>
    <cellStyle name="Note 2 3 2 4 6 3" xfId="16754" xr:uid="{00000000-0005-0000-0000-000018900000}"/>
    <cellStyle name="Note 2 3 2 4 6 3 2" xfId="36154" xr:uid="{00000000-0005-0000-0000-000019900000}"/>
    <cellStyle name="Note 2 3 2 4 6 4" xfId="26456" xr:uid="{00000000-0005-0000-0000-00001A900000}"/>
    <cellStyle name="Note 2 3 2 4 7" xfId="7315" xr:uid="{00000000-0005-0000-0000-00001B900000}"/>
    <cellStyle name="Note 2 3 2 4 7 2" xfId="17311" xr:uid="{00000000-0005-0000-0000-00001C900000}"/>
    <cellStyle name="Note 2 3 2 4 7 2 2" xfId="36711" xr:uid="{00000000-0005-0000-0000-00001D900000}"/>
    <cellStyle name="Note 2 3 2 4 7 3" xfId="27013" xr:uid="{00000000-0005-0000-0000-00001E900000}"/>
    <cellStyle name="Note 2 3 2 4 8" xfId="12855" xr:uid="{00000000-0005-0000-0000-00001F900000}"/>
    <cellStyle name="Note 2 3 2 4 8 2" xfId="32256" xr:uid="{00000000-0005-0000-0000-000020900000}"/>
    <cellStyle name="Note 2 3 2 4 9" xfId="22558" xr:uid="{00000000-0005-0000-0000-000021900000}"/>
    <cellStyle name="Note 2 3 2 5" xfId="3361" xr:uid="{00000000-0005-0000-0000-000022900000}"/>
    <cellStyle name="Note 2 3 2 5 2" xfId="5630" xr:uid="{00000000-0005-0000-0000-000023900000}"/>
    <cellStyle name="Note 2 3 2 5 2 2" xfId="10094" xr:uid="{00000000-0005-0000-0000-000024900000}"/>
    <cellStyle name="Note 2 3 2 5 2 2 2" xfId="20090" xr:uid="{00000000-0005-0000-0000-000025900000}"/>
    <cellStyle name="Note 2 3 2 5 2 2 2 2" xfId="39490" xr:uid="{00000000-0005-0000-0000-000026900000}"/>
    <cellStyle name="Note 2 3 2 5 2 2 3" xfId="29792" xr:uid="{00000000-0005-0000-0000-000027900000}"/>
    <cellStyle name="Note 2 3 2 5 2 3" xfId="15635" xr:uid="{00000000-0005-0000-0000-000028900000}"/>
    <cellStyle name="Note 2 3 2 5 2 3 2" xfId="35035" xr:uid="{00000000-0005-0000-0000-000029900000}"/>
    <cellStyle name="Note 2 3 2 5 2 4" xfId="25337" xr:uid="{00000000-0005-0000-0000-00002A900000}"/>
    <cellStyle name="Note 2 3 2 5 3" xfId="7866" xr:uid="{00000000-0005-0000-0000-00002B900000}"/>
    <cellStyle name="Note 2 3 2 5 3 2" xfId="17862" xr:uid="{00000000-0005-0000-0000-00002C900000}"/>
    <cellStyle name="Note 2 3 2 5 3 2 2" xfId="37262" xr:uid="{00000000-0005-0000-0000-00002D900000}"/>
    <cellStyle name="Note 2 3 2 5 3 3" xfId="27564" xr:uid="{00000000-0005-0000-0000-00002E900000}"/>
    <cellStyle name="Note 2 3 2 5 4" xfId="13407" xr:uid="{00000000-0005-0000-0000-00002F900000}"/>
    <cellStyle name="Note 2 3 2 5 4 2" xfId="32807" xr:uid="{00000000-0005-0000-0000-000030900000}"/>
    <cellStyle name="Note 2 3 2 5 5" xfId="23109" xr:uid="{00000000-0005-0000-0000-000031900000}"/>
    <cellStyle name="Note 2 3 2 6" xfId="3944" xr:uid="{00000000-0005-0000-0000-000032900000}"/>
    <cellStyle name="Note 2 3 2 6 2" xfId="5074" xr:uid="{00000000-0005-0000-0000-000033900000}"/>
    <cellStyle name="Note 2 3 2 6 2 2" xfId="9538" xr:uid="{00000000-0005-0000-0000-000034900000}"/>
    <cellStyle name="Note 2 3 2 6 2 2 2" xfId="19534" xr:uid="{00000000-0005-0000-0000-000035900000}"/>
    <cellStyle name="Note 2 3 2 6 2 2 2 2" xfId="38934" xr:uid="{00000000-0005-0000-0000-000036900000}"/>
    <cellStyle name="Note 2 3 2 6 2 2 3" xfId="29236" xr:uid="{00000000-0005-0000-0000-000037900000}"/>
    <cellStyle name="Note 2 3 2 6 2 3" xfId="15079" xr:uid="{00000000-0005-0000-0000-000038900000}"/>
    <cellStyle name="Note 2 3 2 6 2 3 2" xfId="34479" xr:uid="{00000000-0005-0000-0000-000039900000}"/>
    <cellStyle name="Note 2 3 2 6 2 4" xfId="24781" xr:uid="{00000000-0005-0000-0000-00003A900000}"/>
    <cellStyle name="Note 2 3 2 6 3" xfId="8423" xr:uid="{00000000-0005-0000-0000-00003B900000}"/>
    <cellStyle name="Note 2 3 2 6 3 2" xfId="18419" xr:uid="{00000000-0005-0000-0000-00003C900000}"/>
    <cellStyle name="Note 2 3 2 6 3 2 2" xfId="37819" xr:uid="{00000000-0005-0000-0000-00003D900000}"/>
    <cellStyle name="Note 2 3 2 6 3 3" xfId="28121" xr:uid="{00000000-0005-0000-0000-00003E900000}"/>
    <cellStyle name="Note 2 3 2 6 4" xfId="13964" xr:uid="{00000000-0005-0000-0000-00003F900000}"/>
    <cellStyle name="Note 2 3 2 6 4 2" xfId="33364" xr:uid="{00000000-0005-0000-0000-000040900000}"/>
    <cellStyle name="Note 2 3 2 6 5" xfId="23666" xr:uid="{00000000-0005-0000-0000-000041900000}"/>
    <cellStyle name="Note 2 3 2 7" xfId="4517" xr:uid="{00000000-0005-0000-0000-000042900000}"/>
    <cellStyle name="Note 2 3 2 7 2" xfId="8981" xr:uid="{00000000-0005-0000-0000-000043900000}"/>
    <cellStyle name="Note 2 3 2 7 2 2" xfId="18977" xr:uid="{00000000-0005-0000-0000-000044900000}"/>
    <cellStyle name="Note 2 3 2 7 2 2 2" xfId="38377" xr:uid="{00000000-0005-0000-0000-000045900000}"/>
    <cellStyle name="Note 2 3 2 7 2 3" xfId="28679" xr:uid="{00000000-0005-0000-0000-000046900000}"/>
    <cellStyle name="Note 2 3 2 7 3" xfId="14522" xr:uid="{00000000-0005-0000-0000-000047900000}"/>
    <cellStyle name="Note 2 3 2 7 3 2" xfId="33922" xr:uid="{00000000-0005-0000-0000-000048900000}"/>
    <cellStyle name="Note 2 3 2 7 4" xfId="24224" xr:uid="{00000000-0005-0000-0000-000049900000}"/>
    <cellStyle name="Note 2 3 2 8" xfId="6187" xr:uid="{00000000-0005-0000-0000-00004A900000}"/>
    <cellStyle name="Note 2 3 2 8 2" xfId="10651" xr:uid="{00000000-0005-0000-0000-00004B900000}"/>
    <cellStyle name="Note 2 3 2 8 2 2" xfId="20647" xr:uid="{00000000-0005-0000-0000-00004C900000}"/>
    <cellStyle name="Note 2 3 2 8 2 2 2" xfId="40047" xr:uid="{00000000-0005-0000-0000-00004D900000}"/>
    <cellStyle name="Note 2 3 2 8 2 3" xfId="30349" xr:uid="{00000000-0005-0000-0000-00004E900000}"/>
    <cellStyle name="Note 2 3 2 8 3" xfId="16192" xr:uid="{00000000-0005-0000-0000-00004F900000}"/>
    <cellStyle name="Note 2 3 2 8 3 2" xfId="35592" xr:uid="{00000000-0005-0000-0000-000050900000}"/>
    <cellStyle name="Note 2 3 2 8 4" xfId="25894" xr:uid="{00000000-0005-0000-0000-000051900000}"/>
    <cellStyle name="Note 2 3 2 9" xfId="6753" xr:uid="{00000000-0005-0000-0000-000052900000}"/>
    <cellStyle name="Note 2 3 2 9 2" xfId="11208" xr:uid="{00000000-0005-0000-0000-000053900000}"/>
    <cellStyle name="Note 2 3 2 9 2 2" xfId="21204" xr:uid="{00000000-0005-0000-0000-000054900000}"/>
    <cellStyle name="Note 2 3 2 9 2 2 2" xfId="40604" xr:uid="{00000000-0005-0000-0000-000055900000}"/>
    <cellStyle name="Note 2 3 2 9 2 3" xfId="30906" xr:uid="{00000000-0005-0000-0000-000056900000}"/>
    <cellStyle name="Note 2 3 2 9 3" xfId="16749" xr:uid="{00000000-0005-0000-0000-000057900000}"/>
    <cellStyle name="Note 2 3 2 9 3 2" xfId="36149" xr:uid="{00000000-0005-0000-0000-000058900000}"/>
    <cellStyle name="Note 2 3 2 9 4" xfId="26451" xr:uid="{00000000-0005-0000-0000-000059900000}"/>
    <cellStyle name="Note 2 3 3" xfId="2427" xr:uid="{00000000-0005-0000-0000-00005A900000}"/>
    <cellStyle name="Note 2 3 3 10" xfId="12856" xr:uid="{00000000-0005-0000-0000-00005B900000}"/>
    <cellStyle name="Note 2 3 3 10 2" xfId="32257" xr:uid="{00000000-0005-0000-0000-00005C900000}"/>
    <cellStyle name="Note 2 3 3 11" xfId="22559" xr:uid="{00000000-0005-0000-0000-00005D900000}"/>
    <cellStyle name="Note 2 3 3 2" xfId="2428" xr:uid="{00000000-0005-0000-0000-00005E900000}"/>
    <cellStyle name="Note 2 3 3 2 2" xfId="3368" xr:uid="{00000000-0005-0000-0000-00005F900000}"/>
    <cellStyle name="Note 2 3 3 2 2 2" xfId="5637" xr:uid="{00000000-0005-0000-0000-000060900000}"/>
    <cellStyle name="Note 2 3 3 2 2 2 2" xfId="10101" xr:uid="{00000000-0005-0000-0000-000061900000}"/>
    <cellStyle name="Note 2 3 3 2 2 2 2 2" xfId="20097" xr:uid="{00000000-0005-0000-0000-000062900000}"/>
    <cellStyle name="Note 2 3 3 2 2 2 2 2 2" xfId="39497" xr:uid="{00000000-0005-0000-0000-000063900000}"/>
    <cellStyle name="Note 2 3 3 2 2 2 2 3" xfId="29799" xr:uid="{00000000-0005-0000-0000-000064900000}"/>
    <cellStyle name="Note 2 3 3 2 2 2 3" xfId="15642" xr:uid="{00000000-0005-0000-0000-000065900000}"/>
    <cellStyle name="Note 2 3 3 2 2 2 3 2" xfId="35042" xr:uid="{00000000-0005-0000-0000-000066900000}"/>
    <cellStyle name="Note 2 3 3 2 2 2 4" xfId="25344" xr:uid="{00000000-0005-0000-0000-000067900000}"/>
    <cellStyle name="Note 2 3 3 2 2 3" xfId="7873" xr:uid="{00000000-0005-0000-0000-000068900000}"/>
    <cellStyle name="Note 2 3 3 2 2 3 2" xfId="17869" xr:uid="{00000000-0005-0000-0000-000069900000}"/>
    <cellStyle name="Note 2 3 3 2 2 3 2 2" xfId="37269" xr:uid="{00000000-0005-0000-0000-00006A900000}"/>
    <cellStyle name="Note 2 3 3 2 2 3 3" xfId="27571" xr:uid="{00000000-0005-0000-0000-00006B900000}"/>
    <cellStyle name="Note 2 3 3 2 2 4" xfId="13414" xr:uid="{00000000-0005-0000-0000-00006C900000}"/>
    <cellStyle name="Note 2 3 3 2 2 4 2" xfId="32814" xr:uid="{00000000-0005-0000-0000-00006D900000}"/>
    <cellStyle name="Note 2 3 3 2 2 5" xfId="23116" xr:uid="{00000000-0005-0000-0000-00006E900000}"/>
    <cellStyle name="Note 2 3 3 2 3" xfId="3951" xr:uid="{00000000-0005-0000-0000-00006F900000}"/>
    <cellStyle name="Note 2 3 3 2 3 2" xfId="5081" xr:uid="{00000000-0005-0000-0000-000070900000}"/>
    <cellStyle name="Note 2 3 3 2 3 2 2" xfId="9545" xr:uid="{00000000-0005-0000-0000-000071900000}"/>
    <cellStyle name="Note 2 3 3 2 3 2 2 2" xfId="19541" xr:uid="{00000000-0005-0000-0000-000072900000}"/>
    <cellStyle name="Note 2 3 3 2 3 2 2 2 2" xfId="38941" xr:uid="{00000000-0005-0000-0000-000073900000}"/>
    <cellStyle name="Note 2 3 3 2 3 2 2 3" xfId="29243" xr:uid="{00000000-0005-0000-0000-000074900000}"/>
    <cellStyle name="Note 2 3 3 2 3 2 3" xfId="15086" xr:uid="{00000000-0005-0000-0000-000075900000}"/>
    <cellStyle name="Note 2 3 3 2 3 2 3 2" xfId="34486" xr:uid="{00000000-0005-0000-0000-000076900000}"/>
    <cellStyle name="Note 2 3 3 2 3 2 4" xfId="24788" xr:uid="{00000000-0005-0000-0000-000077900000}"/>
    <cellStyle name="Note 2 3 3 2 3 3" xfId="8430" xr:uid="{00000000-0005-0000-0000-000078900000}"/>
    <cellStyle name="Note 2 3 3 2 3 3 2" xfId="18426" xr:uid="{00000000-0005-0000-0000-000079900000}"/>
    <cellStyle name="Note 2 3 3 2 3 3 2 2" xfId="37826" xr:uid="{00000000-0005-0000-0000-00007A900000}"/>
    <cellStyle name="Note 2 3 3 2 3 3 3" xfId="28128" xr:uid="{00000000-0005-0000-0000-00007B900000}"/>
    <cellStyle name="Note 2 3 3 2 3 4" xfId="13971" xr:uid="{00000000-0005-0000-0000-00007C900000}"/>
    <cellStyle name="Note 2 3 3 2 3 4 2" xfId="33371" xr:uid="{00000000-0005-0000-0000-00007D900000}"/>
    <cellStyle name="Note 2 3 3 2 3 5" xfId="23673" xr:uid="{00000000-0005-0000-0000-00007E900000}"/>
    <cellStyle name="Note 2 3 3 2 4" xfId="4524" xr:uid="{00000000-0005-0000-0000-00007F900000}"/>
    <cellStyle name="Note 2 3 3 2 4 2" xfId="8988" xr:uid="{00000000-0005-0000-0000-000080900000}"/>
    <cellStyle name="Note 2 3 3 2 4 2 2" xfId="18984" xr:uid="{00000000-0005-0000-0000-000081900000}"/>
    <cellStyle name="Note 2 3 3 2 4 2 2 2" xfId="38384" xr:uid="{00000000-0005-0000-0000-000082900000}"/>
    <cellStyle name="Note 2 3 3 2 4 2 3" xfId="28686" xr:uid="{00000000-0005-0000-0000-000083900000}"/>
    <cellStyle name="Note 2 3 3 2 4 3" xfId="14529" xr:uid="{00000000-0005-0000-0000-000084900000}"/>
    <cellStyle name="Note 2 3 3 2 4 3 2" xfId="33929" xr:uid="{00000000-0005-0000-0000-000085900000}"/>
    <cellStyle name="Note 2 3 3 2 4 4" xfId="24231" xr:uid="{00000000-0005-0000-0000-000086900000}"/>
    <cellStyle name="Note 2 3 3 2 5" xfId="6194" xr:uid="{00000000-0005-0000-0000-000087900000}"/>
    <cellStyle name="Note 2 3 3 2 5 2" xfId="10658" xr:uid="{00000000-0005-0000-0000-000088900000}"/>
    <cellStyle name="Note 2 3 3 2 5 2 2" xfId="20654" xr:uid="{00000000-0005-0000-0000-000089900000}"/>
    <cellStyle name="Note 2 3 3 2 5 2 2 2" xfId="40054" xr:uid="{00000000-0005-0000-0000-00008A900000}"/>
    <cellStyle name="Note 2 3 3 2 5 2 3" xfId="30356" xr:uid="{00000000-0005-0000-0000-00008B900000}"/>
    <cellStyle name="Note 2 3 3 2 5 3" xfId="16199" xr:uid="{00000000-0005-0000-0000-00008C900000}"/>
    <cellStyle name="Note 2 3 3 2 5 3 2" xfId="35599" xr:uid="{00000000-0005-0000-0000-00008D900000}"/>
    <cellStyle name="Note 2 3 3 2 5 4" xfId="25901" xr:uid="{00000000-0005-0000-0000-00008E900000}"/>
    <cellStyle name="Note 2 3 3 2 6" xfId="6760" xr:uid="{00000000-0005-0000-0000-00008F900000}"/>
    <cellStyle name="Note 2 3 3 2 6 2" xfId="11215" xr:uid="{00000000-0005-0000-0000-000090900000}"/>
    <cellStyle name="Note 2 3 3 2 6 2 2" xfId="21211" xr:uid="{00000000-0005-0000-0000-000091900000}"/>
    <cellStyle name="Note 2 3 3 2 6 2 2 2" xfId="40611" xr:uid="{00000000-0005-0000-0000-000092900000}"/>
    <cellStyle name="Note 2 3 3 2 6 2 3" xfId="30913" xr:uid="{00000000-0005-0000-0000-000093900000}"/>
    <cellStyle name="Note 2 3 3 2 6 3" xfId="16756" xr:uid="{00000000-0005-0000-0000-000094900000}"/>
    <cellStyle name="Note 2 3 3 2 6 3 2" xfId="36156" xr:uid="{00000000-0005-0000-0000-000095900000}"/>
    <cellStyle name="Note 2 3 3 2 6 4" xfId="26458" xr:uid="{00000000-0005-0000-0000-000096900000}"/>
    <cellStyle name="Note 2 3 3 2 7" xfId="7317" xr:uid="{00000000-0005-0000-0000-000097900000}"/>
    <cellStyle name="Note 2 3 3 2 7 2" xfId="17313" xr:uid="{00000000-0005-0000-0000-000098900000}"/>
    <cellStyle name="Note 2 3 3 2 7 2 2" xfId="36713" xr:uid="{00000000-0005-0000-0000-000099900000}"/>
    <cellStyle name="Note 2 3 3 2 7 3" xfId="27015" xr:uid="{00000000-0005-0000-0000-00009A900000}"/>
    <cellStyle name="Note 2 3 3 2 8" xfId="12857" xr:uid="{00000000-0005-0000-0000-00009B900000}"/>
    <cellStyle name="Note 2 3 3 2 8 2" xfId="32258" xr:uid="{00000000-0005-0000-0000-00009C900000}"/>
    <cellStyle name="Note 2 3 3 2 9" xfId="22560" xr:uid="{00000000-0005-0000-0000-00009D900000}"/>
    <cellStyle name="Note 2 3 3 3" xfId="2429" xr:uid="{00000000-0005-0000-0000-00009E900000}"/>
    <cellStyle name="Note 2 3 3 3 2" xfId="3369" xr:uid="{00000000-0005-0000-0000-00009F900000}"/>
    <cellStyle name="Note 2 3 3 3 2 2" xfId="5638" xr:uid="{00000000-0005-0000-0000-0000A0900000}"/>
    <cellStyle name="Note 2 3 3 3 2 2 2" xfId="10102" xr:uid="{00000000-0005-0000-0000-0000A1900000}"/>
    <cellStyle name="Note 2 3 3 3 2 2 2 2" xfId="20098" xr:uid="{00000000-0005-0000-0000-0000A2900000}"/>
    <cellStyle name="Note 2 3 3 3 2 2 2 2 2" xfId="39498" xr:uid="{00000000-0005-0000-0000-0000A3900000}"/>
    <cellStyle name="Note 2 3 3 3 2 2 2 3" xfId="29800" xr:uid="{00000000-0005-0000-0000-0000A4900000}"/>
    <cellStyle name="Note 2 3 3 3 2 2 3" xfId="15643" xr:uid="{00000000-0005-0000-0000-0000A5900000}"/>
    <cellStyle name="Note 2 3 3 3 2 2 3 2" xfId="35043" xr:uid="{00000000-0005-0000-0000-0000A6900000}"/>
    <cellStyle name="Note 2 3 3 3 2 2 4" xfId="25345" xr:uid="{00000000-0005-0000-0000-0000A7900000}"/>
    <cellStyle name="Note 2 3 3 3 2 3" xfId="7874" xr:uid="{00000000-0005-0000-0000-0000A8900000}"/>
    <cellStyle name="Note 2 3 3 3 2 3 2" xfId="17870" xr:uid="{00000000-0005-0000-0000-0000A9900000}"/>
    <cellStyle name="Note 2 3 3 3 2 3 2 2" xfId="37270" xr:uid="{00000000-0005-0000-0000-0000AA900000}"/>
    <cellStyle name="Note 2 3 3 3 2 3 3" xfId="27572" xr:uid="{00000000-0005-0000-0000-0000AB900000}"/>
    <cellStyle name="Note 2 3 3 3 2 4" xfId="13415" xr:uid="{00000000-0005-0000-0000-0000AC900000}"/>
    <cellStyle name="Note 2 3 3 3 2 4 2" xfId="32815" xr:uid="{00000000-0005-0000-0000-0000AD900000}"/>
    <cellStyle name="Note 2 3 3 3 2 5" xfId="23117" xr:uid="{00000000-0005-0000-0000-0000AE900000}"/>
    <cellStyle name="Note 2 3 3 3 3" xfId="3952" xr:uid="{00000000-0005-0000-0000-0000AF900000}"/>
    <cellStyle name="Note 2 3 3 3 3 2" xfId="5082" xr:uid="{00000000-0005-0000-0000-0000B0900000}"/>
    <cellStyle name="Note 2 3 3 3 3 2 2" xfId="9546" xr:uid="{00000000-0005-0000-0000-0000B1900000}"/>
    <cellStyle name="Note 2 3 3 3 3 2 2 2" xfId="19542" xr:uid="{00000000-0005-0000-0000-0000B2900000}"/>
    <cellStyle name="Note 2 3 3 3 3 2 2 2 2" xfId="38942" xr:uid="{00000000-0005-0000-0000-0000B3900000}"/>
    <cellStyle name="Note 2 3 3 3 3 2 2 3" xfId="29244" xr:uid="{00000000-0005-0000-0000-0000B4900000}"/>
    <cellStyle name="Note 2 3 3 3 3 2 3" xfId="15087" xr:uid="{00000000-0005-0000-0000-0000B5900000}"/>
    <cellStyle name="Note 2 3 3 3 3 2 3 2" xfId="34487" xr:uid="{00000000-0005-0000-0000-0000B6900000}"/>
    <cellStyle name="Note 2 3 3 3 3 2 4" xfId="24789" xr:uid="{00000000-0005-0000-0000-0000B7900000}"/>
    <cellStyle name="Note 2 3 3 3 3 3" xfId="8431" xr:uid="{00000000-0005-0000-0000-0000B8900000}"/>
    <cellStyle name="Note 2 3 3 3 3 3 2" xfId="18427" xr:uid="{00000000-0005-0000-0000-0000B9900000}"/>
    <cellStyle name="Note 2 3 3 3 3 3 2 2" xfId="37827" xr:uid="{00000000-0005-0000-0000-0000BA900000}"/>
    <cellStyle name="Note 2 3 3 3 3 3 3" xfId="28129" xr:uid="{00000000-0005-0000-0000-0000BB900000}"/>
    <cellStyle name="Note 2 3 3 3 3 4" xfId="13972" xr:uid="{00000000-0005-0000-0000-0000BC900000}"/>
    <cellStyle name="Note 2 3 3 3 3 4 2" xfId="33372" xr:uid="{00000000-0005-0000-0000-0000BD900000}"/>
    <cellStyle name="Note 2 3 3 3 3 5" xfId="23674" xr:uid="{00000000-0005-0000-0000-0000BE900000}"/>
    <cellStyle name="Note 2 3 3 3 4" xfId="4525" xr:uid="{00000000-0005-0000-0000-0000BF900000}"/>
    <cellStyle name="Note 2 3 3 3 4 2" xfId="8989" xr:uid="{00000000-0005-0000-0000-0000C0900000}"/>
    <cellStyle name="Note 2 3 3 3 4 2 2" xfId="18985" xr:uid="{00000000-0005-0000-0000-0000C1900000}"/>
    <cellStyle name="Note 2 3 3 3 4 2 2 2" xfId="38385" xr:uid="{00000000-0005-0000-0000-0000C2900000}"/>
    <cellStyle name="Note 2 3 3 3 4 2 3" xfId="28687" xr:uid="{00000000-0005-0000-0000-0000C3900000}"/>
    <cellStyle name="Note 2 3 3 3 4 3" xfId="14530" xr:uid="{00000000-0005-0000-0000-0000C4900000}"/>
    <cellStyle name="Note 2 3 3 3 4 3 2" xfId="33930" xr:uid="{00000000-0005-0000-0000-0000C5900000}"/>
    <cellStyle name="Note 2 3 3 3 4 4" xfId="24232" xr:uid="{00000000-0005-0000-0000-0000C6900000}"/>
    <cellStyle name="Note 2 3 3 3 5" xfId="6195" xr:uid="{00000000-0005-0000-0000-0000C7900000}"/>
    <cellStyle name="Note 2 3 3 3 5 2" xfId="10659" xr:uid="{00000000-0005-0000-0000-0000C8900000}"/>
    <cellStyle name="Note 2 3 3 3 5 2 2" xfId="20655" xr:uid="{00000000-0005-0000-0000-0000C9900000}"/>
    <cellStyle name="Note 2 3 3 3 5 2 2 2" xfId="40055" xr:uid="{00000000-0005-0000-0000-0000CA900000}"/>
    <cellStyle name="Note 2 3 3 3 5 2 3" xfId="30357" xr:uid="{00000000-0005-0000-0000-0000CB900000}"/>
    <cellStyle name="Note 2 3 3 3 5 3" xfId="16200" xr:uid="{00000000-0005-0000-0000-0000CC900000}"/>
    <cellStyle name="Note 2 3 3 3 5 3 2" xfId="35600" xr:uid="{00000000-0005-0000-0000-0000CD900000}"/>
    <cellStyle name="Note 2 3 3 3 5 4" xfId="25902" xr:uid="{00000000-0005-0000-0000-0000CE900000}"/>
    <cellStyle name="Note 2 3 3 3 6" xfId="6761" xr:uid="{00000000-0005-0000-0000-0000CF900000}"/>
    <cellStyle name="Note 2 3 3 3 6 2" xfId="11216" xr:uid="{00000000-0005-0000-0000-0000D0900000}"/>
    <cellStyle name="Note 2 3 3 3 6 2 2" xfId="21212" xr:uid="{00000000-0005-0000-0000-0000D1900000}"/>
    <cellStyle name="Note 2 3 3 3 6 2 2 2" xfId="40612" xr:uid="{00000000-0005-0000-0000-0000D2900000}"/>
    <cellStyle name="Note 2 3 3 3 6 2 3" xfId="30914" xr:uid="{00000000-0005-0000-0000-0000D3900000}"/>
    <cellStyle name="Note 2 3 3 3 6 3" xfId="16757" xr:uid="{00000000-0005-0000-0000-0000D4900000}"/>
    <cellStyle name="Note 2 3 3 3 6 3 2" xfId="36157" xr:uid="{00000000-0005-0000-0000-0000D5900000}"/>
    <cellStyle name="Note 2 3 3 3 6 4" xfId="26459" xr:uid="{00000000-0005-0000-0000-0000D6900000}"/>
    <cellStyle name="Note 2 3 3 3 7" xfId="7318" xr:uid="{00000000-0005-0000-0000-0000D7900000}"/>
    <cellStyle name="Note 2 3 3 3 7 2" xfId="17314" xr:uid="{00000000-0005-0000-0000-0000D8900000}"/>
    <cellStyle name="Note 2 3 3 3 7 2 2" xfId="36714" xr:uid="{00000000-0005-0000-0000-0000D9900000}"/>
    <cellStyle name="Note 2 3 3 3 7 3" xfId="27016" xr:uid="{00000000-0005-0000-0000-0000DA900000}"/>
    <cellStyle name="Note 2 3 3 3 8" xfId="12858" xr:uid="{00000000-0005-0000-0000-0000DB900000}"/>
    <cellStyle name="Note 2 3 3 3 8 2" xfId="32259" xr:uid="{00000000-0005-0000-0000-0000DC900000}"/>
    <cellStyle name="Note 2 3 3 3 9" xfId="22561" xr:uid="{00000000-0005-0000-0000-0000DD900000}"/>
    <cellStyle name="Note 2 3 3 4" xfId="3367" xr:uid="{00000000-0005-0000-0000-0000DE900000}"/>
    <cellStyle name="Note 2 3 3 4 2" xfId="5636" xr:uid="{00000000-0005-0000-0000-0000DF900000}"/>
    <cellStyle name="Note 2 3 3 4 2 2" xfId="10100" xr:uid="{00000000-0005-0000-0000-0000E0900000}"/>
    <cellStyle name="Note 2 3 3 4 2 2 2" xfId="20096" xr:uid="{00000000-0005-0000-0000-0000E1900000}"/>
    <cellStyle name="Note 2 3 3 4 2 2 2 2" xfId="39496" xr:uid="{00000000-0005-0000-0000-0000E2900000}"/>
    <cellStyle name="Note 2 3 3 4 2 2 3" xfId="29798" xr:uid="{00000000-0005-0000-0000-0000E3900000}"/>
    <cellStyle name="Note 2 3 3 4 2 3" xfId="15641" xr:uid="{00000000-0005-0000-0000-0000E4900000}"/>
    <cellStyle name="Note 2 3 3 4 2 3 2" xfId="35041" xr:uid="{00000000-0005-0000-0000-0000E5900000}"/>
    <cellStyle name="Note 2 3 3 4 2 4" xfId="25343" xr:uid="{00000000-0005-0000-0000-0000E6900000}"/>
    <cellStyle name="Note 2 3 3 4 3" xfId="7872" xr:uid="{00000000-0005-0000-0000-0000E7900000}"/>
    <cellStyle name="Note 2 3 3 4 3 2" xfId="17868" xr:uid="{00000000-0005-0000-0000-0000E8900000}"/>
    <cellStyle name="Note 2 3 3 4 3 2 2" xfId="37268" xr:uid="{00000000-0005-0000-0000-0000E9900000}"/>
    <cellStyle name="Note 2 3 3 4 3 3" xfId="27570" xr:uid="{00000000-0005-0000-0000-0000EA900000}"/>
    <cellStyle name="Note 2 3 3 4 4" xfId="13413" xr:uid="{00000000-0005-0000-0000-0000EB900000}"/>
    <cellStyle name="Note 2 3 3 4 4 2" xfId="32813" xr:uid="{00000000-0005-0000-0000-0000EC900000}"/>
    <cellStyle name="Note 2 3 3 4 5" xfId="23115" xr:uid="{00000000-0005-0000-0000-0000ED900000}"/>
    <cellStyle name="Note 2 3 3 5" xfId="3950" xr:uid="{00000000-0005-0000-0000-0000EE900000}"/>
    <cellStyle name="Note 2 3 3 5 2" xfId="5080" xr:uid="{00000000-0005-0000-0000-0000EF900000}"/>
    <cellStyle name="Note 2 3 3 5 2 2" xfId="9544" xr:uid="{00000000-0005-0000-0000-0000F0900000}"/>
    <cellStyle name="Note 2 3 3 5 2 2 2" xfId="19540" xr:uid="{00000000-0005-0000-0000-0000F1900000}"/>
    <cellStyle name="Note 2 3 3 5 2 2 2 2" xfId="38940" xr:uid="{00000000-0005-0000-0000-0000F2900000}"/>
    <cellStyle name="Note 2 3 3 5 2 2 3" xfId="29242" xr:uid="{00000000-0005-0000-0000-0000F3900000}"/>
    <cellStyle name="Note 2 3 3 5 2 3" xfId="15085" xr:uid="{00000000-0005-0000-0000-0000F4900000}"/>
    <cellStyle name="Note 2 3 3 5 2 3 2" xfId="34485" xr:uid="{00000000-0005-0000-0000-0000F5900000}"/>
    <cellStyle name="Note 2 3 3 5 2 4" xfId="24787" xr:uid="{00000000-0005-0000-0000-0000F6900000}"/>
    <cellStyle name="Note 2 3 3 5 3" xfId="8429" xr:uid="{00000000-0005-0000-0000-0000F7900000}"/>
    <cellStyle name="Note 2 3 3 5 3 2" xfId="18425" xr:uid="{00000000-0005-0000-0000-0000F8900000}"/>
    <cellStyle name="Note 2 3 3 5 3 2 2" xfId="37825" xr:uid="{00000000-0005-0000-0000-0000F9900000}"/>
    <cellStyle name="Note 2 3 3 5 3 3" xfId="28127" xr:uid="{00000000-0005-0000-0000-0000FA900000}"/>
    <cellStyle name="Note 2 3 3 5 4" xfId="13970" xr:uid="{00000000-0005-0000-0000-0000FB900000}"/>
    <cellStyle name="Note 2 3 3 5 4 2" xfId="33370" xr:uid="{00000000-0005-0000-0000-0000FC900000}"/>
    <cellStyle name="Note 2 3 3 5 5" xfId="23672" xr:uid="{00000000-0005-0000-0000-0000FD900000}"/>
    <cellStyle name="Note 2 3 3 6" xfId="4523" xr:uid="{00000000-0005-0000-0000-0000FE900000}"/>
    <cellStyle name="Note 2 3 3 6 2" xfId="8987" xr:uid="{00000000-0005-0000-0000-0000FF900000}"/>
    <cellStyle name="Note 2 3 3 6 2 2" xfId="18983" xr:uid="{00000000-0005-0000-0000-000000910000}"/>
    <cellStyle name="Note 2 3 3 6 2 2 2" xfId="38383" xr:uid="{00000000-0005-0000-0000-000001910000}"/>
    <cellStyle name="Note 2 3 3 6 2 3" xfId="28685" xr:uid="{00000000-0005-0000-0000-000002910000}"/>
    <cellStyle name="Note 2 3 3 6 3" xfId="14528" xr:uid="{00000000-0005-0000-0000-000003910000}"/>
    <cellStyle name="Note 2 3 3 6 3 2" xfId="33928" xr:uid="{00000000-0005-0000-0000-000004910000}"/>
    <cellStyle name="Note 2 3 3 6 4" xfId="24230" xr:uid="{00000000-0005-0000-0000-000005910000}"/>
    <cellStyle name="Note 2 3 3 7" xfId="6193" xr:uid="{00000000-0005-0000-0000-000006910000}"/>
    <cellStyle name="Note 2 3 3 7 2" xfId="10657" xr:uid="{00000000-0005-0000-0000-000007910000}"/>
    <cellStyle name="Note 2 3 3 7 2 2" xfId="20653" xr:uid="{00000000-0005-0000-0000-000008910000}"/>
    <cellStyle name="Note 2 3 3 7 2 2 2" xfId="40053" xr:uid="{00000000-0005-0000-0000-000009910000}"/>
    <cellStyle name="Note 2 3 3 7 2 3" xfId="30355" xr:uid="{00000000-0005-0000-0000-00000A910000}"/>
    <cellStyle name="Note 2 3 3 7 3" xfId="16198" xr:uid="{00000000-0005-0000-0000-00000B910000}"/>
    <cellStyle name="Note 2 3 3 7 3 2" xfId="35598" xr:uid="{00000000-0005-0000-0000-00000C910000}"/>
    <cellStyle name="Note 2 3 3 7 4" xfId="25900" xr:uid="{00000000-0005-0000-0000-00000D910000}"/>
    <cellStyle name="Note 2 3 3 8" xfId="6759" xr:uid="{00000000-0005-0000-0000-00000E910000}"/>
    <cellStyle name="Note 2 3 3 8 2" xfId="11214" xr:uid="{00000000-0005-0000-0000-00000F910000}"/>
    <cellStyle name="Note 2 3 3 8 2 2" xfId="21210" xr:uid="{00000000-0005-0000-0000-000010910000}"/>
    <cellStyle name="Note 2 3 3 8 2 2 2" xfId="40610" xr:uid="{00000000-0005-0000-0000-000011910000}"/>
    <cellStyle name="Note 2 3 3 8 2 3" xfId="30912" xr:uid="{00000000-0005-0000-0000-000012910000}"/>
    <cellStyle name="Note 2 3 3 8 3" xfId="16755" xr:uid="{00000000-0005-0000-0000-000013910000}"/>
    <cellStyle name="Note 2 3 3 8 3 2" xfId="36155" xr:uid="{00000000-0005-0000-0000-000014910000}"/>
    <cellStyle name="Note 2 3 3 8 4" xfId="26457" xr:uid="{00000000-0005-0000-0000-000015910000}"/>
    <cellStyle name="Note 2 3 3 9" xfId="7316" xr:uid="{00000000-0005-0000-0000-000016910000}"/>
    <cellStyle name="Note 2 3 3 9 2" xfId="17312" xr:uid="{00000000-0005-0000-0000-000017910000}"/>
    <cellStyle name="Note 2 3 3 9 2 2" xfId="36712" xr:uid="{00000000-0005-0000-0000-000018910000}"/>
    <cellStyle name="Note 2 3 3 9 3" xfId="27014" xr:uid="{00000000-0005-0000-0000-000019910000}"/>
    <cellStyle name="Note 2 3 4" xfId="2430" xr:uid="{00000000-0005-0000-0000-00001A910000}"/>
    <cellStyle name="Note 2 3 4 2" xfId="3370" xr:uid="{00000000-0005-0000-0000-00001B910000}"/>
    <cellStyle name="Note 2 3 4 2 2" xfId="5639" xr:uid="{00000000-0005-0000-0000-00001C910000}"/>
    <cellStyle name="Note 2 3 4 2 2 2" xfId="10103" xr:uid="{00000000-0005-0000-0000-00001D910000}"/>
    <cellStyle name="Note 2 3 4 2 2 2 2" xfId="20099" xr:uid="{00000000-0005-0000-0000-00001E910000}"/>
    <cellStyle name="Note 2 3 4 2 2 2 2 2" xfId="39499" xr:uid="{00000000-0005-0000-0000-00001F910000}"/>
    <cellStyle name="Note 2 3 4 2 2 2 3" xfId="29801" xr:uid="{00000000-0005-0000-0000-000020910000}"/>
    <cellStyle name="Note 2 3 4 2 2 3" xfId="15644" xr:uid="{00000000-0005-0000-0000-000021910000}"/>
    <cellStyle name="Note 2 3 4 2 2 3 2" xfId="35044" xr:uid="{00000000-0005-0000-0000-000022910000}"/>
    <cellStyle name="Note 2 3 4 2 2 4" xfId="25346" xr:uid="{00000000-0005-0000-0000-000023910000}"/>
    <cellStyle name="Note 2 3 4 2 3" xfId="7875" xr:uid="{00000000-0005-0000-0000-000024910000}"/>
    <cellStyle name="Note 2 3 4 2 3 2" xfId="17871" xr:uid="{00000000-0005-0000-0000-000025910000}"/>
    <cellStyle name="Note 2 3 4 2 3 2 2" xfId="37271" xr:uid="{00000000-0005-0000-0000-000026910000}"/>
    <cellStyle name="Note 2 3 4 2 3 3" xfId="27573" xr:uid="{00000000-0005-0000-0000-000027910000}"/>
    <cellStyle name="Note 2 3 4 2 4" xfId="13416" xr:uid="{00000000-0005-0000-0000-000028910000}"/>
    <cellStyle name="Note 2 3 4 2 4 2" xfId="32816" xr:uid="{00000000-0005-0000-0000-000029910000}"/>
    <cellStyle name="Note 2 3 4 2 5" xfId="23118" xr:uid="{00000000-0005-0000-0000-00002A910000}"/>
    <cellStyle name="Note 2 3 4 3" xfId="3953" xr:uid="{00000000-0005-0000-0000-00002B910000}"/>
    <cellStyle name="Note 2 3 4 3 2" xfId="5083" xr:uid="{00000000-0005-0000-0000-00002C910000}"/>
    <cellStyle name="Note 2 3 4 3 2 2" xfId="9547" xr:uid="{00000000-0005-0000-0000-00002D910000}"/>
    <cellStyle name="Note 2 3 4 3 2 2 2" xfId="19543" xr:uid="{00000000-0005-0000-0000-00002E910000}"/>
    <cellStyle name="Note 2 3 4 3 2 2 2 2" xfId="38943" xr:uid="{00000000-0005-0000-0000-00002F910000}"/>
    <cellStyle name="Note 2 3 4 3 2 2 3" xfId="29245" xr:uid="{00000000-0005-0000-0000-000030910000}"/>
    <cellStyle name="Note 2 3 4 3 2 3" xfId="15088" xr:uid="{00000000-0005-0000-0000-000031910000}"/>
    <cellStyle name="Note 2 3 4 3 2 3 2" xfId="34488" xr:uid="{00000000-0005-0000-0000-000032910000}"/>
    <cellStyle name="Note 2 3 4 3 2 4" xfId="24790" xr:uid="{00000000-0005-0000-0000-000033910000}"/>
    <cellStyle name="Note 2 3 4 3 3" xfId="8432" xr:uid="{00000000-0005-0000-0000-000034910000}"/>
    <cellStyle name="Note 2 3 4 3 3 2" xfId="18428" xr:uid="{00000000-0005-0000-0000-000035910000}"/>
    <cellStyle name="Note 2 3 4 3 3 2 2" xfId="37828" xr:uid="{00000000-0005-0000-0000-000036910000}"/>
    <cellStyle name="Note 2 3 4 3 3 3" xfId="28130" xr:uid="{00000000-0005-0000-0000-000037910000}"/>
    <cellStyle name="Note 2 3 4 3 4" xfId="13973" xr:uid="{00000000-0005-0000-0000-000038910000}"/>
    <cellStyle name="Note 2 3 4 3 4 2" xfId="33373" xr:uid="{00000000-0005-0000-0000-000039910000}"/>
    <cellStyle name="Note 2 3 4 3 5" xfId="23675" xr:uid="{00000000-0005-0000-0000-00003A910000}"/>
    <cellStyle name="Note 2 3 4 4" xfId="4526" xr:uid="{00000000-0005-0000-0000-00003B910000}"/>
    <cellStyle name="Note 2 3 4 4 2" xfId="8990" xr:uid="{00000000-0005-0000-0000-00003C910000}"/>
    <cellStyle name="Note 2 3 4 4 2 2" xfId="18986" xr:uid="{00000000-0005-0000-0000-00003D910000}"/>
    <cellStyle name="Note 2 3 4 4 2 2 2" xfId="38386" xr:uid="{00000000-0005-0000-0000-00003E910000}"/>
    <cellStyle name="Note 2 3 4 4 2 3" xfId="28688" xr:uid="{00000000-0005-0000-0000-00003F910000}"/>
    <cellStyle name="Note 2 3 4 4 3" xfId="14531" xr:uid="{00000000-0005-0000-0000-000040910000}"/>
    <cellStyle name="Note 2 3 4 4 3 2" xfId="33931" xr:uid="{00000000-0005-0000-0000-000041910000}"/>
    <cellStyle name="Note 2 3 4 4 4" xfId="24233" xr:uid="{00000000-0005-0000-0000-000042910000}"/>
    <cellStyle name="Note 2 3 4 5" xfId="6196" xr:uid="{00000000-0005-0000-0000-000043910000}"/>
    <cellStyle name="Note 2 3 4 5 2" xfId="10660" xr:uid="{00000000-0005-0000-0000-000044910000}"/>
    <cellStyle name="Note 2 3 4 5 2 2" xfId="20656" xr:uid="{00000000-0005-0000-0000-000045910000}"/>
    <cellStyle name="Note 2 3 4 5 2 2 2" xfId="40056" xr:uid="{00000000-0005-0000-0000-000046910000}"/>
    <cellStyle name="Note 2 3 4 5 2 3" xfId="30358" xr:uid="{00000000-0005-0000-0000-000047910000}"/>
    <cellStyle name="Note 2 3 4 5 3" xfId="16201" xr:uid="{00000000-0005-0000-0000-000048910000}"/>
    <cellStyle name="Note 2 3 4 5 3 2" xfId="35601" xr:uid="{00000000-0005-0000-0000-000049910000}"/>
    <cellStyle name="Note 2 3 4 5 4" xfId="25903" xr:uid="{00000000-0005-0000-0000-00004A910000}"/>
    <cellStyle name="Note 2 3 4 6" xfId="6762" xr:uid="{00000000-0005-0000-0000-00004B910000}"/>
    <cellStyle name="Note 2 3 4 6 2" xfId="11217" xr:uid="{00000000-0005-0000-0000-00004C910000}"/>
    <cellStyle name="Note 2 3 4 6 2 2" xfId="21213" xr:uid="{00000000-0005-0000-0000-00004D910000}"/>
    <cellStyle name="Note 2 3 4 6 2 2 2" xfId="40613" xr:uid="{00000000-0005-0000-0000-00004E910000}"/>
    <cellStyle name="Note 2 3 4 6 2 3" xfId="30915" xr:uid="{00000000-0005-0000-0000-00004F910000}"/>
    <cellStyle name="Note 2 3 4 6 3" xfId="16758" xr:uid="{00000000-0005-0000-0000-000050910000}"/>
    <cellStyle name="Note 2 3 4 6 3 2" xfId="36158" xr:uid="{00000000-0005-0000-0000-000051910000}"/>
    <cellStyle name="Note 2 3 4 6 4" xfId="26460" xr:uid="{00000000-0005-0000-0000-000052910000}"/>
    <cellStyle name="Note 2 3 4 7" xfId="7319" xr:uid="{00000000-0005-0000-0000-000053910000}"/>
    <cellStyle name="Note 2 3 4 7 2" xfId="17315" xr:uid="{00000000-0005-0000-0000-000054910000}"/>
    <cellStyle name="Note 2 3 4 7 2 2" xfId="36715" xr:uid="{00000000-0005-0000-0000-000055910000}"/>
    <cellStyle name="Note 2 3 4 7 3" xfId="27017" xr:uid="{00000000-0005-0000-0000-000056910000}"/>
    <cellStyle name="Note 2 3 4 8" xfId="12859" xr:uid="{00000000-0005-0000-0000-000057910000}"/>
    <cellStyle name="Note 2 3 4 8 2" xfId="32260" xr:uid="{00000000-0005-0000-0000-000058910000}"/>
    <cellStyle name="Note 2 3 4 9" xfId="22562" xr:uid="{00000000-0005-0000-0000-000059910000}"/>
    <cellStyle name="Note 2 3 5" xfId="2431" xr:uid="{00000000-0005-0000-0000-00005A910000}"/>
    <cellStyle name="Note 2 3 5 2" xfId="3371" xr:uid="{00000000-0005-0000-0000-00005B910000}"/>
    <cellStyle name="Note 2 3 5 2 2" xfId="5640" xr:uid="{00000000-0005-0000-0000-00005C910000}"/>
    <cellStyle name="Note 2 3 5 2 2 2" xfId="10104" xr:uid="{00000000-0005-0000-0000-00005D910000}"/>
    <cellStyle name="Note 2 3 5 2 2 2 2" xfId="20100" xr:uid="{00000000-0005-0000-0000-00005E910000}"/>
    <cellStyle name="Note 2 3 5 2 2 2 2 2" xfId="39500" xr:uid="{00000000-0005-0000-0000-00005F910000}"/>
    <cellStyle name="Note 2 3 5 2 2 2 3" xfId="29802" xr:uid="{00000000-0005-0000-0000-000060910000}"/>
    <cellStyle name="Note 2 3 5 2 2 3" xfId="15645" xr:uid="{00000000-0005-0000-0000-000061910000}"/>
    <cellStyle name="Note 2 3 5 2 2 3 2" xfId="35045" xr:uid="{00000000-0005-0000-0000-000062910000}"/>
    <cellStyle name="Note 2 3 5 2 2 4" xfId="25347" xr:uid="{00000000-0005-0000-0000-000063910000}"/>
    <cellStyle name="Note 2 3 5 2 3" xfId="7876" xr:uid="{00000000-0005-0000-0000-000064910000}"/>
    <cellStyle name="Note 2 3 5 2 3 2" xfId="17872" xr:uid="{00000000-0005-0000-0000-000065910000}"/>
    <cellStyle name="Note 2 3 5 2 3 2 2" xfId="37272" xr:uid="{00000000-0005-0000-0000-000066910000}"/>
    <cellStyle name="Note 2 3 5 2 3 3" xfId="27574" xr:uid="{00000000-0005-0000-0000-000067910000}"/>
    <cellStyle name="Note 2 3 5 2 4" xfId="13417" xr:uid="{00000000-0005-0000-0000-000068910000}"/>
    <cellStyle name="Note 2 3 5 2 4 2" xfId="32817" xr:uid="{00000000-0005-0000-0000-000069910000}"/>
    <cellStyle name="Note 2 3 5 2 5" xfId="23119" xr:uid="{00000000-0005-0000-0000-00006A910000}"/>
    <cellStyle name="Note 2 3 5 3" xfId="3954" xr:uid="{00000000-0005-0000-0000-00006B910000}"/>
    <cellStyle name="Note 2 3 5 3 2" xfId="5084" xr:uid="{00000000-0005-0000-0000-00006C910000}"/>
    <cellStyle name="Note 2 3 5 3 2 2" xfId="9548" xr:uid="{00000000-0005-0000-0000-00006D910000}"/>
    <cellStyle name="Note 2 3 5 3 2 2 2" xfId="19544" xr:uid="{00000000-0005-0000-0000-00006E910000}"/>
    <cellStyle name="Note 2 3 5 3 2 2 2 2" xfId="38944" xr:uid="{00000000-0005-0000-0000-00006F910000}"/>
    <cellStyle name="Note 2 3 5 3 2 2 3" xfId="29246" xr:uid="{00000000-0005-0000-0000-000070910000}"/>
    <cellStyle name="Note 2 3 5 3 2 3" xfId="15089" xr:uid="{00000000-0005-0000-0000-000071910000}"/>
    <cellStyle name="Note 2 3 5 3 2 3 2" xfId="34489" xr:uid="{00000000-0005-0000-0000-000072910000}"/>
    <cellStyle name="Note 2 3 5 3 2 4" xfId="24791" xr:uid="{00000000-0005-0000-0000-000073910000}"/>
    <cellStyle name="Note 2 3 5 3 3" xfId="8433" xr:uid="{00000000-0005-0000-0000-000074910000}"/>
    <cellStyle name="Note 2 3 5 3 3 2" xfId="18429" xr:uid="{00000000-0005-0000-0000-000075910000}"/>
    <cellStyle name="Note 2 3 5 3 3 2 2" xfId="37829" xr:uid="{00000000-0005-0000-0000-000076910000}"/>
    <cellStyle name="Note 2 3 5 3 3 3" xfId="28131" xr:uid="{00000000-0005-0000-0000-000077910000}"/>
    <cellStyle name="Note 2 3 5 3 4" xfId="13974" xr:uid="{00000000-0005-0000-0000-000078910000}"/>
    <cellStyle name="Note 2 3 5 3 4 2" xfId="33374" xr:uid="{00000000-0005-0000-0000-000079910000}"/>
    <cellStyle name="Note 2 3 5 3 5" xfId="23676" xr:uid="{00000000-0005-0000-0000-00007A910000}"/>
    <cellStyle name="Note 2 3 5 4" xfId="4527" xr:uid="{00000000-0005-0000-0000-00007B910000}"/>
    <cellStyle name="Note 2 3 5 4 2" xfId="8991" xr:uid="{00000000-0005-0000-0000-00007C910000}"/>
    <cellStyle name="Note 2 3 5 4 2 2" xfId="18987" xr:uid="{00000000-0005-0000-0000-00007D910000}"/>
    <cellStyle name="Note 2 3 5 4 2 2 2" xfId="38387" xr:uid="{00000000-0005-0000-0000-00007E910000}"/>
    <cellStyle name="Note 2 3 5 4 2 3" xfId="28689" xr:uid="{00000000-0005-0000-0000-00007F910000}"/>
    <cellStyle name="Note 2 3 5 4 3" xfId="14532" xr:uid="{00000000-0005-0000-0000-000080910000}"/>
    <cellStyle name="Note 2 3 5 4 3 2" xfId="33932" xr:uid="{00000000-0005-0000-0000-000081910000}"/>
    <cellStyle name="Note 2 3 5 4 4" xfId="24234" xr:uid="{00000000-0005-0000-0000-000082910000}"/>
    <cellStyle name="Note 2 3 5 5" xfId="6197" xr:uid="{00000000-0005-0000-0000-000083910000}"/>
    <cellStyle name="Note 2 3 5 5 2" xfId="10661" xr:uid="{00000000-0005-0000-0000-000084910000}"/>
    <cellStyle name="Note 2 3 5 5 2 2" xfId="20657" xr:uid="{00000000-0005-0000-0000-000085910000}"/>
    <cellStyle name="Note 2 3 5 5 2 2 2" xfId="40057" xr:uid="{00000000-0005-0000-0000-000086910000}"/>
    <cellStyle name="Note 2 3 5 5 2 3" xfId="30359" xr:uid="{00000000-0005-0000-0000-000087910000}"/>
    <cellStyle name="Note 2 3 5 5 3" xfId="16202" xr:uid="{00000000-0005-0000-0000-000088910000}"/>
    <cellStyle name="Note 2 3 5 5 3 2" xfId="35602" xr:uid="{00000000-0005-0000-0000-000089910000}"/>
    <cellStyle name="Note 2 3 5 5 4" xfId="25904" xr:uid="{00000000-0005-0000-0000-00008A910000}"/>
    <cellStyle name="Note 2 3 5 6" xfId="6763" xr:uid="{00000000-0005-0000-0000-00008B910000}"/>
    <cellStyle name="Note 2 3 5 6 2" xfId="11218" xr:uid="{00000000-0005-0000-0000-00008C910000}"/>
    <cellStyle name="Note 2 3 5 6 2 2" xfId="21214" xr:uid="{00000000-0005-0000-0000-00008D910000}"/>
    <cellStyle name="Note 2 3 5 6 2 2 2" xfId="40614" xr:uid="{00000000-0005-0000-0000-00008E910000}"/>
    <cellStyle name="Note 2 3 5 6 2 3" xfId="30916" xr:uid="{00000000-0005-0000-0000-00008F910000}"/>
    <cellStyle name="Note 2 3 5 6 3" xfId="16759" xr:uid="{00000000-0005-0000-0000-000090910000}"/>
    <cellStyle name="Note 2 3 5 6 3 2" xfId="36159" xr:uid="{00000000-0005-0000-0000-000091910000}"/>
    <cellStyle name="Note 2 3 5 6 4" xfId="26461" xr:uid="{00000000-0005-0000-0000-000092910000}"/>
    <cellStyle name="Note 2 3 5 7" xfId="7320" xr:uid="{00000000-0005-0000-0000-000093910000}"/>
    <cellStyle name="Note 2 3 5 7 2" xfId="17316" xr:uid="{00000000-0005-0000-0000-000094910000}"/>
    <cellStyle name="Note 2 3 5 7 2 2" xfId="36716" xr:uid="{00000000-0005-0000-0000-000095910000}"/>
    <cellStyle name="Note 2 3 5 7 3" xfId="27018" xr:uid="{00000000-0005-0000-0000-000096910000}"/>
    <cellStyle name="Note 2 3 5 8" xfId="12860" xr:uid="{00000000-0005-0000-0000-000097910000}"/>
    <cellStyle name="Note 2 3 5 8 2" xfId="32261" xr:uid="{00000000-0005-0000-0000-000098910000}"/>
    <cellStyle name="Note 2 3 5 9" xfId="22563" xr:uid="{00000000-0005-0000-0000-000099910000}"/>
    <cellStyle name="Note 2 3 6" xfId="11963" xr:uid="{00000000-0005-0000-0000-00009A910000}"/>
    <cellStyle name="Note 2 3 6 2" xfId="21667" xr:uid="{00000000-0005-0000-0000-00009B910000}"/>
    <cellStyle name="Note 2 3 6 2 2" xfId="41067" xr:uid="{00000000-0005-0000-0000-00009C910000}"/>
    <cellStyle name="Note 2 3 6 3" xfId="31369" xr:uid="{00000000-0005-0000-0000-00009D910000}"/>
    <cellStyle name="Note 2 3 7" xfId="1564" xr:uid="{00000000-0005-0000-0000-00009E910000}"/>
    <cellStyle name="Note 2 3 8" xfId="12319" xr:uid="{00000000-0005-0000-0000-00009F910000}"/>
    <cellStyle name="Note 2 3 8 2" xfId="31722" xr:uid="{00000000-0005-0000-0000-0000A0910000}"/>
    <cellStyle name="Note 2 3 9" xfId="22024" xr:uid="{00000000-0005-0000-0000-0000A1910000}"/>
    <cellStyle name="Note 2 4" xfId="1565" xr:uid="{00000000-0005-0000-0000-0000A2910000}"/>
    <cellStyle name="Note 2 4 2" xfId="2432" xr:uid="{00000000-0005-0000-0000-0000A3910000}"/>
    <cellStyle name="Note 2 4 2 10" xfId="12861" xr:uid="{00000000-0005-0000-0000-0000A4910000}"/>
    <cellStyle name="Note 2 4 2 10 2" xfId="32262" xr:uid="{00000000-0005-0000-0000-0000A5910000}"/>
    <cellStyle name="Note 2 4 2 11" xfId="22564" xr:uid="{00000000-0005-0000-0000-0000A6910000}"/>
    <cellStyle name="Note 2 4 2 2" xfId="2433" xr:uid="{00000000-0005-0000-0000-0000A7910000}"/>
    <cellStyle name="Note 2 4 2 2 2" xfId="3373" xr:uid="{00000000-0005-0000-0000-0000A8910000}"/>
    <cellStyle name="Note 2 4 2 2 2 2" xfId="5642" xr:uid="{00000000-0005-0000-0000-0000A9910000}"/>
    <cellStyle name="Note 2 4 2 2 2 2 2" xfId="10106" xr:uid="{00000000-0005-0000-0000-0000AA910000}"/>
    <cellStyle name="Note 2 4 2 2 2 2 2 2" xfId="20102" xr:uid="{00000000-0005-0000-0000-0000AB910000}"/>
    <cellStyle name="Note 2 4 2 2 2 2 2 2 2" xfId="39502" xr:uid="{00000000-0005-0000-0000-0000AC910000}"/>
    <cellStyle name="Note 2 4 2 2 2 2 2 3" xfId="29804" xr:uid="{00000000-0005-0000-0000-0000AD910000}"/>
    <cellStyle name="Note 2 4 2 2 2 2 3" xfId="15647" xr:uid="{00000000-0005-0000-0000-0000AE910000}"/>
    <cellStyle name="Note 2 4 2 2 2 2 3 2" xfId="35047" xr:uid="{00000000-0005-0000-0000-0000AF910000}"/>
    <cellStyle name="Note 2 4 2 2 2 2 4" xfId="25349" xr:uid="{00000000-0005-0000-0000-0000B0910000}"/>
    <cellStyle name="Note 2 4 2 2 2 3" xfId="7878" xr:uid="{00000000-0005-0000-0000-0000B1910000}"/>
    <cellStyle name="Note 2 4 2 2 2 3 2" xfId="17874" xr:uid="{00000000-0005-0000-0000-0000B2910000}"/>
    <cellStyle name="Note 2 4 2 2 2 3 2 2" xfId="37274" xr:uid="{00000000-0005-0000-0000-0000B3910000}"/>
    <cellStyle name="Note 2 4 2 2 2 3 3" xfId="27576" xr:uid="{00000000-0005-0000-0000-0000B4910000}"/>
    <cellStyle name="Note 2 4 2 2 2 4" xfId="13419" xr:uid="{00000000-0005-0000-0000-0000B5910000}"/>
    <cellStyle name="Note 2 4 2 2 2 4 2" xfId="32819" xr:uid="{00000000-0005-0000-0000-0000B6910000}"/>
    <cellStyle name="Note 2 4 2 2 2 5" xfId="23121" xr:uid="{00000000-0005-0000-0000-0000B7910000}"/>
    <cellStyle name="Note 2 4 2 2 3" xfId="3956" xr:uid="{00000000-0005-0000-0000-0000B8910000}"/>
    <cellStyle name="Note 2 4 2 2 3 2" xfId="5086" xr:uid="{00000000-0005-0000-0000-0000B9910000}"/>
    <cellStyle name="Note 2 4 2 2 3 2 2" xfId="9550" xr:uid="{00000000-0005-0000-0000-0000BA910000}"/>
    <cellStyle name="Note 2 4 2 2 3 2 2 2" xfId="19546" xr:uid="{00000000-0005-0000-0000-0000BB910000}"/>
    <cellStyle name="Note 2 4 2 2 3 2 2 2 2" xfId="38946" xr:uid="{00000000-0005-0000-0000-0000BC910000}"/>
    <cellStyle name="Note 2 4 2 2 3 2 2 3" xfId="29248" xr:uid="{00000000-0005-0000-0000-0000BD910000}"/>
    <cellStyle name="Note 2 4 2 2 3 2 3" xfId="15091" xr:uid="{00000000-0005-0000-0000-0000BE910000}"/>
    <cellStyle name="Note 2 4 2 2 3 2 3 2" xfId="34491" xr:uid="{00000000-0005-0000-0000-0000BF910000}"/>
    <cellStyle name="Note 2 4 2 2 3 2 4" xfId="24793" xr:uid="{00000000-0005-0000-0000-0000C0910000}"/>
    <cellStyle name="Note 2 4 2 2 3 3" xfId="8435" xr:uid="{00000000-0005-0000-0000-0000C1910000}"/>
    <cellStyle name="Note 2 4 2 2 3 3 2" xfId="18431" xr:uid="{00000000-0005-0000-0000-0000C2910000}"/>
    <cellStyle name="Note 2 4 2 2 3 3 2 2" xfId="37831" xr:uid="{00000000-0005-0000-0000-0000C3910000}"/>
    <cellStyle name="Note 2 4 2 2 3 3 3" xfId="28133" xr:uid="{00000000-0005-0000-0000-0000C4910000}"/>
    <cellStyle name="Note 2 4 2 2 3 4" xfId="13976" xr:uid="{00000000-0005-0000-0000-0000C5910000}"/>
    <cellStyle name="Note 2 4 2 2 3 4 2" xfId="33376" xr:uid="{00000000-0005-0000-0000-0000C6910000}"/>
    <cellStyle name="Note 2 4 2 2 3 5" xfId="23678" xr:uid="{00000000-0005-0000-0000-0000C7910000}"/>
    <cellStyle name="Note 2 4 2 2 4" xfId="4529" xr:uid="{00000000-0005-0000-0000-0000C8910000}"/>
    <cellStyle name="Note 2 4 2 2 4 2" xfId="8993" xr:uid="{00000000-0005-0000-0000-0000C9910000}"/>
    <cellStyle name="Note 2 4 2 2 4 2 2" xfId="18989" xr:uid="{00000000-0005-0000-0000-0000CA910000}"/>
    <cellStyle name="Note 2 4 2 2 4 2 2 2" xfId="38389" xr:uid="{00000000-0005-0000-0000-0000CB910000}"/>
    <cellStyle name="Note 2 4 2 2 4 2 3" xfId="28691" xr:uid="{00000000-0005-0000-0000-0000CC910000}"/>
    <cellStyle name="Note 2 4 2 2 4 3" xfId="14534" xr:uid="{00000000-0005-0000-0000-0000CD910000}"/>
    <cellStyle name="Note 2 4 2 2 4 3 2" xfId="33934" xr:uid="{00000000-0005-0000-0000-0000CE910000}"/>
    <cellStyle name="Note 2 4 2 2 4 4" xfId="24236" xr:uid="{00000000-0005-0000-0000-0000CF910000}"/>
    <cellStyle name="Note 2 4 2 2 5" xfId="6199" xr:uid="{00000000-0005-0000-0000-0000D0910000}"/>
    <cellStyle name="Note 2 4 2 2 5 2" xfId="10663" xr:uid="{00000000-0005-0000-0000-0000D1910000}"/>
    <cellStyle name="Note 2 4 2 2 5 2 2" xfId="20659" xr:uid="{00000000-0005-0000-0000-0000D2910000}"/>
    <cellStyle name="Note 2 4 2 2 5 2 2 2" xfId="40059" xr:uid="{00000000-0005-0000-0000-0000D3910000}"/>
    <cellStyle name="Note 2 4 2 2 5 2 3" xfId="30361" xr:uid="{00000000-0005-0000-0000-0000D4910000}"/>
    <cellStyle name="Note 2 4 2 2 5 3" xfId="16204" xr:uid="{00000000-0005-0000-0000-0000D5910000}"/>
    <cellStyle name="Note 2 4 2 2 5 3 2" xfId="35604" xr:uid="{00000000-0005-0000-0000-0000D6910000}"/>
    <cellStyle name="Note 2 4 2 2 5 4" xfId="25906" xr:uid="{00000000-0005-0000-0000-0000D7910000}"/>
    <cellStyle name="Note 2 4 2 2 6" xfId="6765" xr:uid="{00000000-0005-0000-0000-0000D8910000}"/>
    <cellStyle name="Note 2 4 2 2 6 2" xfId="11220" xr:uid="{00000000-0005-0000-0000-0000D9910000}"/>
    <cellStyle name="Note 2 4 2 2 6 2 2" xfId="21216" xr:uid="{00000000-0005-0000-0000-0000DA910000}"/>
    <cellStyle name="Note 2 4 2 2 6 2 2 2" xfId="40616" xr:uid="{00000000-0005-0000-0000-0000DB910000}"/>
    <cellStyle name="Note 2 4 2 2 6 2 3" xfId="30918" xr:uid="{00000000-0005-0000-0000-0000DC910000}"/>
    <cellStyle name="Note 2 4 2 2 6 3" xfId="16761" xr:uid="{00000000-0005-0000-0000-0000DD910000}"/>
    <cellStyle name="Note 2 4 2 2 6 3 2" xfId="36161" xr:uid="{00000000-0005-0000-0000-0000DE910000}"/>
    <cellStyle name="Note 2 4 2 2 6 4" xfId="26463" xr:uid="{00000000-0005-0000-0000-0000DF910000}"/>
    <cellStyle name="Note 2 4 2 2 7" xfId="7322" xr:uid="{00000000-0005-0000-0000-0000E0910000}"/>
    <cellStyle name="Note 2 4 2 2 7 2" xfId="17318" xr:uid="{00000000-0005-0000-0000-0000E1910000}"/>
    <cellStyle name="Note 2 4 2 2 7 2 2" xfId="36718" xr:uid="{00000000-0005-0000-0000-0000E2910000}"/>
    <cellStyle name="Note 2 4 2 2 7 3" xfId="27020" xr:uid="{00000000-0005-0000-0000-0000E3910000}"/>
    <cellStyle name="Note 2 4 2 2 8" xfId="12862" xr:uid="{00000000-0005-0000-0000-0000E4910000}"/>
    <cellStyle name="Note 2 4 2 2 8 2" xfId="32263" xr:uid="{00000000-0005-0000-0000-0000E5910000}"/>
    <cellStyle name="Note 2 4 2 2 9" xfId="22565" xr:uid="{00000000-0005-0000-0000-0000E6910000}"/>
    <cellStyle name="Note 2 4 2 3" xfId="2434" xr:uid="{00000000-0005-0000-0000-0000E7910000}"/>
    <cellStyle name="Note 2 4 2 3 2" xfId="3374" xr:uid="{00000000-0005-0000-0000-0000E8910000}"/>
    <cellStyle name="Note 2 4 2 3 2 2" xfId="5643" xr:uid="{00000000-0005-0000-0000-0000E9910000}"/>
    <cellStyle name="Note 2 4 2 3 2 2 2" xfId="10107" xr:uid="{00000000-0005-0000-0000-0000EA910000}"/>
    <cellStyle name="Note 2 4 2 3 2 2 2 2" xfId="20103" xr:uid="{00000000-0005-0000-0000-0000EB910000}"/>
    <cellStyle name="Note 2 4 2 3 2 2 2 2 2" xfId="39503" xr:uid="{00000000-0005-0000-0000-0000EC910000}"/>
    <cellStyle name="Note 2 4 2 3 2 2 2 3" xfId="29805" xr:uid="{00000000-0005-0000-0000-0000ED910000}"/>
    <cellStyle name="Note 2 4 2 3 2 2 3" xfId="15648" xr:uid="{00000000-0005-0000-0000-0000EE910000}"/>
    <cellStyle name="Note 2 4 2 3 2 2 3 2" xfId="35048" xr:uid="{00000000-0005-0000-0000-0000EF910000}"/>
    <cellStyle name="Note 2 4 2 3 2 2 4" xfId="25350" xr:uid="{00000000-0005-0000-0000-0000F0910000}"/>
    <cellStyle name="Note 2 4 2 3 2 3" xfId="7879" xr:uid="{00000000-0005-0000-0000-0000F1910000}"/>
    <cellStyle name="Note 2 4 2 3 2 3 2" xfId="17875" xr:uid="{00000000-0005-0000-0000-0000F2910000}"/>
    <cellStyle name="Note 2 4 2 3 2 3 2 2" xfId="37275" xr:uid="{00000000-0005-0000-0000-0000F3910000}"/>
    <cellStyle name="Note 2 4 2 3 2 3 3" xfId="27577" xr:uid="{00000000-0005-0000-0000-0000F4910000}"/>
    <cellStyle name="Note 2 4 2 3 2 4" xfId="13420" xr:uid="{00000000-0005-0000-0000-0000F5910000}"/>
    <cellStyle name="Note 2 4 2 3 2 4 2" xfId="32820" xr:uid="{00000000-0005-0000-0000-0000F6910000}"/>
    <cellStyle name="Note 2 4 2 3 2 5" xfId="23122" xr:uid="{00000000-0005-0000-0000-0000F7910000}"/>
    <cellStyle name="Note 2 4 2 3 3" xfId="3957" xr:uid="{00000000-0005-0000-0000-0000F8910000}"/>
    <cellStyle name="Note 2 4 2 3 3 2" xfId="5087" xr:uid="{00000000-0005-0000-0000-0000F9910000}"/>
    <cellStyle name="Note 2 4 2 3 3 2 2" xfId="9551" xr:uid="{00000000-0005-0000-0000-0000FA910000}"/>
    <cellStyle name="Note 2 4 2 3 3 2 2 2" xfId="19547" xr:uid="{00000000-0005-0000-0000-0000FB910000}"/>
    <cellStyle name="Note 2 4 2 3 3 2 2 2 2" xfId="38947" xr:uid="{00000000-0005-0000-0000-0000FC910000}"/>
    <cellStyle name="Note 2 4 2 3 3 2 2 3" xfId="29249" xr:uid="{00000000-0005-0000-0000-0000FD910000}"/>
    <cellStyle name="Note 2 4 2 3 3 2 3" xfId="15092" xr:uid="{00000000-0005-0000-0000-0000FE910000}"/>
    <cellStyle name="Note 2 4 2 3 3 2 3 2" xfId="34492" xr:uid="{00000000-0005-0000-0000-0000FF910000}"/>
    <cellStyle name="Note 2 4 2 3 3 2 4" xfId="24794" xr:uid="{00000000-0005-0000-0000-000000920000}"/>
    <cellStyle name="Note 2 4 2 3 3 3" xfId="8436" xr:uid="{00000000-0005-0000-0000-000001920000}"/>
    <cellStyle name="Note 2 4 2 3 3 3 2" xfId="18432" xr:uid="{00000000-0005-0000-0000-000002920000}"/>
    <cellStyle name="Note 2 4 2 3 3 3 2 2" xfId="37832" xr:uid="{00000000-0005-0000-0000-000003920000}"/>
    <cellStyle name="Note 2 4 2 3 3 3 3" xfId="28134" xr:uid="{00000000-0005-0000-0000-000004920000}"/>
    <cellStyle name="Note 2 4 2 3 3 4" xfId="13977" xr:uid="{00000000-0005-0000-0000-000005920000}"/>
    <cellStyle name="Note 2 4 2 3 3 4 2" xfId="33377" xr:uid="{00000000-0005-0000-0000-000006920000}"/>
    <cellStyle name="Note 2 4 2 3 3 5" xfId="23679" xr:uid="{00000000-0005-0000-0000-000007920000}"/>
    <cellStyle name="Note 2 4 2 3 4" xfId="4530" xr:uid="{00000000-0005-0000-0000-000008920000}"/>
    <cellStyle name="Note 2 4 2 3 4 2" xfId="8994" xr:uid="{00000000-0005-0000-0000-000009920000}"/>
    <cellStyle name="Note 2 4 2 3 4 2 2" xfId="18990" xr:uid="{00000000-0005-0000-0000-00000A920000}"/>
    <cellStyle name="Note 2 4 2 3 4 2 2 2" xfId="38390" xr:uid="{00000000-0005-0000-0000-00000B920000}"/>
    <cellStyle name="Note 2 4 2 3 4 2 3" xfId="28692" xr:uid="{00000000-0005-0000-0000-00000C920000}"/>
    <cellStyle name="Note 2 4 2 3 4 3" xfId="14535" xr:uid="{00000000-0005-0000-0000-00000D920000}"/>
    <cellStyle name="Note 2 4 2 3 4 3 2" xfId="33935" xr:uid="{00000000-0005-0000-0000-00000E920000}"/>
    <cellStyle name="Note 2 4 2 3 4 4" xfId="24237" xr:uid="{00000000-0005-0000-0000-00000F920000}"/>
    <cellStyle name="Note 2 4 2 3 5" xfId="6200" xr:uid="{00000000-0005-0000-0000-000010920000}"/>
    <cellStyle name="Note 2 4 2 3 5 2" xfId="10664" xr:uid="{00000000-0005-0000-0000-000011920000}"/>
    <cellStyle name="Note 2 4 2 3 5 2 2" xfId="20660" xr:uid="{00000000-0005-0000-0000-000012920000}"/>
    <cellStyle name="Note 2 4 2 3 5 2 2 2" xfId="40060" xr:uid="{00000000-0005-0000-0000-000013920000}"/>
    <cellStyle name="Note 2 4 2 3 5 2 3" xfId="30362" xr:uid="{00000000-0005-0000-0000-000014920000}"/>
    <cellStyle name="Note 2 4 2 3 5 3" xfId="16205" xr:uid="{00000000-0005-0000-0000-000015920000}"/>
    <cellStyle name="Note 2 4 2 3 5 3 2" xfId="35605" xr:uid="{00000000-0005-0000-0000-000016920000}"/>
    <cellStyle name="Note 2 4 2 3 5 4" xfId="25907" xr:uid="{00000000-0005-0000-0000-000017920000}"/>
    <cellStyle name="Note 2 4 2 3 6" xfId="6766" xr:uid="{00000000-0005-0000-0000-000018920000}"/>
    <cellStyle name="Note 2 4 2 3 6 2" xfId="11221" xr:uid="{00000000-0005-0000-0000-000019920000}"/>
    <cellStyle name="Note 2 4 2 3 6 2 2" xfId="21217" xr:uid="{00000000-0005-0000-0000-00001A920000}"/>
    <cellStyle name="Note 2 4 2 3 6 2 2 2" xfId="40617" xr:uid="{00000000-0005-0000-0000-00001B920000}"/>
    <cellStyle name="Note 2 4 2 3 6 2 3" xfId="30919" xr:uid="{00000000-0005-0000-0000-00001C920000}"/>
    <cellStyle name="Note 2 4 2 3 6 3" xfId="16762" xr:uid="{00000000-0005-0000-0000-00001D920000}"/>
    <cellStyle name="Note 2 4 2 3 6 3 2" xfId="36162" xr:uid="{00000000-0005-0000-0000-00001E920000}"/>
    <cellStyle name="Note 2 4 2 3 6 4" xfId="26464" xr:uid="{00000000-0005-0000-0000-00001F920000}"/>
    <cellStyle name="Note 2 4 2 3 7" xfId="7323" xr:uid="{00000000-0005-0000-0000-000020920000}"/>
    <cellStyle name="Note 2 4 2 3 7 2" xfId="17319" xr:uid="{00000000-0005-0000-0000-000021920000}"/>
    <cellStyle name="Note 2 4 2 3 7 2 2" xfId="36719" xr:uid="{00000000-0005-0000-0000-000022920000}"/>
    <cellStyle name="Note 2 4 2 3 7 3" xfId="27021" xr:uid="{00000000-0005-0000-0000-000023920000}"/>
    <cellStyle name="Note 2 4 2 3 8" xfId="12863" xr:uid="{00000000-0005-0000-0000-000024920000}"/>
    <cellStyle name="Note 2 4 2 3 8 2" xfId="32264" xr:uid="{00000000-0005-0000-0000-000025920000}"/>
    <cellStyle name="Note 2 4 2 3 9" xfId="22566" xr:uid="{00000000-0005-0000-0000-000026920000}"/>
    <cellStyle name="Note 2 4 2 4" xfId="3372" xr:uid="{00000000-0005-0000-0000-000027920000}"/>
    <cellStyle name="Note 2 4 2 4 2" xfId="5641" xr:uid="{00000000-0005-0000-0000-000028920000}"/>
    <cellStyle name="Note 2 4 2 4 2 2" xfId="10105" xr:uid="{00000000-0005-0000-0000-000029920000}"/>
    <cellStyle name="Note 2 4 2 4 2 2 2" xfId="20101" xr:uid="{00000000-0005-0000-0000-00002A920000}"/>
    <cellStyle name="Note 2 4 2 4 2 2 2 2" xfId="39501" xr:uid="{00000000-0005-0000-0000-00002B920000}"/>
    <cellStyle name="Note 2 4 2 4 2 2 3" xfId="29803" xr:uid="{00000000-0005-0000-0000-00002C920000}"/>
    <cellStyle name="Note 2 4 2 4 2 3" xfId="15646" xr:uid="{00000000-0005-0000-0000-00002D920000}"/>
    <cellStyle name="Note 2 4 2 4 2 3 2" xfId="35046" xr:uid="{00000000-0005-0000-0000-00002E920000}"/>
    <cellStyle name="Note 2 4 2 4 2 4" xfId="25348" xr:uid="{00000000-0005-0000-0000-00002F920000}"/>
    <cellStyle name="Note 2 4 2 4 3" xfId="7877" xr:uid="{00000000-0005-0000-0000-000030920000}"/>
    <cellStyle name="Note 2 4 2 4 3 2" xfId="17873" xr:uid="{00000000-0005-0000-0000-000031920000}"/>
    <cellStyle name="Note 2 4 2 4 3 2 2" xfId="37273" xr:uid="{00000000-0005-0000-0000-000032920000}"/>
    <cellStyle name="Note 2 4 2 4 3 3" xfId="27575" xr:uid="{00000000-0005-0000-0000-000033920000}"/>
    <cellStyle name="Note 2 4 2 4 4" xfId="13418" xr:uid="{00000000-0005-0000-0000-000034920000}"/>
    <cellStyle name="Note 2 4 2 4 4 2" xfId="32818" xr:uid="{00000000-0005-0000-0000-000035920000}"/>
    <cellStyle name="Note 2 4 2 4 5" xfId="23120" xr:uid="{00000000-0005-0000-0000-000036920000}"/>
    <cellStyle name="Note 2 4 2 5" xfId="3955" xr:uid="{00000000-0005-0000-0000-000037920000}"/>
    <cellStyle name="Note 2 4 2 5 2" xfId="5085" xr:uid="{00000000-0005-0000-0000-000038920000}"/>
    <cellStyle name="Note 2 4 2 5 2 2" xfId="9549" xr:uid="{00000000-0005-0000-0000-000039920000}"/>
    <cellStyle name="Note 2 4 2 5 2 2 2" xfId="19545" xr:uid="{00000000-0005-0000-0000-00003A920000}"/>
    <cellStyle name="Note 2 4 2 5 2 2 2 2" xfId="38945" xr:uid="{00000000-0005-0000-0000-00003B920000}"/>
    <cellStyle name="Note 2 4 2 5 2 2 3" xfId="29247" xr:uid="{00000000-0005-0000-0000-00003C920000}"/>
    <cellStyle name="Note 2 4 2 5 2 3" xfId="15090" xr:uid="{00000000-0005-0000-0000-00003D920000}"/>
    <cellStyle name="Note 2 4 2 5 2 3 2" xfId="34490" xr:uid="{00000000-0005-0000-0000-00003E920000}"/>
    <cellStyle name="Note 2 4 2 5 2 4" xfId="24792" xr:uid="{00000000-0005-0000-0000-00003F920000}"/>
    <cellStyle name="Note 2 4 2 5 3" xfId="8434" xr:uid="{00000000-0005-0000-0000-000040920000}"/>
    <cellStyle name="Note 2 4 2 5 3 2" xfId="18430" xr:uid="{00000000-0005-0000-0000-000041920000}"/>
    <cellStyle name="Note 2 4 2 5 3 2 2" xfId="37830" xr:uid="{00000000-0005-0000-0000-000042920000}"/>
    <cellStyle name="Note 2 4 2 5 3 3" xfId="28132" xr:uid="{00000000-0005-0000-0000-000043920000}"/>
    <cellStyle name="Note 2 4 2 5 4" xfId="13975" xr:uid="{00000000-0005-0000-0000-000044920000}"/>
    <cellStyle name="Note 2 4 2 5 4 2" xfId="33375" xr:uid="{00000000-0005-0000-0000-000045920000}"/>
    <cellStyle name="Note 2 4 2 5 5" xfId="23677" xr:uid="{00000000-0005-0000-0000-000046920000}"/>
    <cellStyle name="Note 2 4 2 6" xfId="4528" xr:uid="{00000000-0005-0000-0000-000047920000}"/>
    <cellStyle name="Note 2 4 2 6 2" xfId="8992" xr:uid="{00000000-0005-0000-0000-000048920000}"/>
    <cellStyle name="Note 2 4 2 6 2 2" xfId="18988" xr:uid="{00000000-0005-0000-0000-000049920000}"/>
    <cellStyle name="Note 2 4 2 6 2 2 2" xfId="38388" xr:uid="{00000000-0005-0000-0000-00004A920000}"/>
    <cellStyle name="Note 2 4 2 6 2 3" xfId="28690" xr:uid="{00000000-0005-0000-0000-00004B920000}"/>
    <cellStyle name="Note 2 4 2 6 3" xfId="14533" xr:uid="{00000000-0005-0000-0000-00004C920000}"/>
    <cellStyle name="Note 2 4 2 6 3 2" xfId="33933" xr:uid="{00000000-0005-0000-0000-00004D920000}"/>
    <cellStyle name="Note 2 4 2 6 4" xfId="24235" xr:uid="{00000000-0005-0000-0000-00004E920000}"/>
    <cellStyle name="Note 2 4 2 7" xfId="6198" xr:uid="{00000000-0005-0000-0000-00004F920000}"/>
    <cellStyle name="Note 2 4 2 7 2" xfId="10662" xr:uid="{00000000-0005-0000-0000-000050920000}"/>
    <cellStyle name="Note 2 4 2 7 2 2" xfId="20658" xr:uid="{00000000-0005-0000-0000-000051920000}"/>
    <cellStyle name="Note 2 4 2 7 2 2 2" xfId="40058" xr:uid="{00000000-0005-0000-0000-000052920000}"/>
    <cellStyle name="Note 2 4 2 7 2 3" xfId="30360" xr:uid="{00000000-0005-0000-0000-000053920000}"/>
    <cellStyle name="Note 2 4 2 7 3" xfId="16203" xr:uid="{00000000-0005-0000-0000-000054920000}"/>
    <cellStyle name="Note 2 4 2 7 3 2" xfId="35603" xr:uid="{00000000-0005-0000-0000-000055920000}"/>
    <cellStyle name="Note 2 4 2 7 4" xfId="25905" xr:uid="{00000000-0005-0000-0000-000056920000}"/>
    <cellStyle name="Note 2 4 2 8" xfId="6764" xr:uid="{00000000-0005-0000-0000-000057920000}"/>
    <cellStyle name="Note 2 4 2 8 2" xfId="11219" xr:uid="{00000000-0005-0000-0000-000058920000}"/>
    <cellStyle name="Note 2 4 2 8 2 2" xfId="21215" xr:uid="{00000000-0005-0000-0000-000059920000}"/>
    <cellStyle name="Note 2 4 2 8 2 2 2" xfId="40615" xr:uid="{00000000-0005-0000-0000-00005A920000}"/>
    <cellStyle name="Note 2 4 2 8 2 3" xfId="30917" xr:uid="{00000000-0005-0000-0000-00005B920000}"/>
    <cellStyle name="Note 2 4 2 8 3" xfId="16760" xr:uid="{00000000-0005-0000-0000-00005C920000}"/>
    <cellStyle name="Note 2 4 2 8 3 2" xfId="36160" xr:uid="{00000000-0005-0000-0000-00005D920000}"/>
    <cellStyle name="Note 2 4 2 8 4" xfId="26462" xr:uid="{00000000-0005-0000-0000-00005E920000}"/>
    <cellStyle name="Note 2 4 2 9" xfId="7321" xr:uid="{00000000-0005-0000-0000-00005F920000}"/>
    <cellStyle name="Note 2 4 2 9 2" xfId="17317" xr:uid="{00000000-0005-0000-0000-000060920000}"/>
    <cellStyle name="Note 2 4 2 9 2 2" xfId="36717" xr:uid="{00000000-0005-0000-0000-000061920000}"/>
    <cellStyle name="Note 2 4 2 9 3" xfId="27019" xr:uid="{00000000-0005-0000-0000-000062920000}"/>
    <cellStyle name="Note 2 4 3" xfId="2435" xr:uid="{00000000-0005-0000-0000-000063920000}"/>
    <cellStyle name="Note 2 4 3 10" xfId="12864" xr:uid="{00000000-0005-0000-0000-000064920000}"/>
    <cellStyle name="Note 2 4 3 10 2" xfId="32265" xr:uid="{00000000-0005-0000-0000-000065920000}"/>
    <cellStyle name="Note 2 4 3 11" xfId="22567" xr:uid="{00000000-0005-0000-0000-000066920000}"/>
    <cellStyle name="Note 2 4 3 2" xfId="2436" xr:uid="{00000000-0005-0000-0000-000067920000}"/>
    <cellStyle name="Note 2 4 3 2 2" xfId="3376" xr:uid="{00000000-0005-0000-0000-000068920000}"/>
    <cellStyle name="Note 2 4 3 2 2 2" xfId="5645" xr:uid="{00000000-0005-0000-0000-000069920000}"/>
    <cellStyle name="Note 2 4 3 2 2 2 2" xfId="10109" xr:uid="{00000000-0005-0000-0000-00006A920000}"/>
    <cellStyle name="Note 2 4 3 2 2 2 2 2" xfId="20105" xr:uid="{00000000-0005-0000-0000-00006B920000}"/>
    <cellStyle name="Note 2 4 3 2 2 2 2 2 2" xfId="39505" xr:uid="{00000000-0005-0000-0000-00006C920000}"/>
    <cellStyle name="Note 2 4 3 2 2 2 2 3" xfId="29807" xr:uid="{00000000-0005-0000-0000-00006D920000}"/>
    <cellStyle name="Note 2 4 3 2 2 2 3" xfId="15650" xr:uid="{00000000-0005-0000-0000-00006E920000}"/>
    <cellStyle name="Note 2 4 3 2 2 2 3 2" xfId="35050" xr:uid="{00000000-0005-0000-0000-00006F920000}"/>
    <cellStyle name="Note 2 4 3 2 2 2 4" xfId="25352" xr:uid="{00000000-0005-0000-0000-000070920000}"/>
    <cellStyle name="Note 2 4 3 2 2 3" xfId="7881" xr:uid="{00000000-0005-0000-0000-000071920000}"/>
    <cellStyle name="Note 2 4 3 2 2 3 2" xfId="17877" xr:uid="{00000000-0005-0000-0000-000072920000}"/>
    <cellStyle name="Note 2 4 3 2 2 3 2 2" xfId="37277" xr:uid="{00000000-0005-0000-0000-000073920000}"/>
    <cellStyle name="Note 2 4 3 2 2 3 3" xfId="27579" xr:uid="{00000000-0005-0000-0000-000074920000}"/>
    <cellStyle name="Note 2 4 3 2 2 4" xfId="13422" xr:uid="{00000000-0005-0000-0000-000075920000}"/>
    <cellStyle name="Note 2 4 3 2 2 4 2" xfId="32822" xr:uid="{00000000-0005-0000-0000-000076920000}"/>
    <cellStyle name="Note 2 4 3 2 2 5" xfId="23124" xr:uid="{00000000-0005-0000-0000-000077920000}"/>
    <cellStyle name="Note 2 4 3 2 3" xfId="3959" xr:uid="{00000000-0005-0000-0000-000078920000}"/>
    <cellStyle name="Note 2 4 3 2 3 2" xfId="5089" xr:uid="{00000000-0005-0000-0000-000079920000}"/>
    <cellStyle name="Note 2 4 3 2 3 2 2" xfId="9553" xr:uid="{00000000-0005-0000-0000-00007A920000}"/>
    <cellStyle name="Note 2 4 3 2 3 2 2 2" xfId="19549" xr:uid="{00000000-0005-0000-0000-00007B920000}"/>
    <cellStyle name="Note 2 4 3 2 3 2 2 2 2" xfId="38949" xr:uid="{00000000-0005-0000-0000-00007C920000}"/>
    <cellStyle name="Note 2 4 3 2 3 2 2 3" xfId="29251" xr:uid="{00000000-0005-0000-0000-00007D920000}"/>
    <cellStyle name="Note 2 4 3 2 3 2 3" xfId="15094" xr:uid="{00000000-0005-0000-0000-00007E920000}"/>
    <cellStyle name="Note 2 4 3 2 3 2 3 2" xfId="34494" xr:uid="{00000000-0005-0000-0000-00007F920000}"/>
    <cellStyle name="Note 2 4 3 2 3 2 4" xfId="24796" xr:uid="{00000000-0005-0000-0000-000080920000}"/>
    <cellStyle name="Note 2 4 3 2 3 3" xfId="8438" xr:uid="{00000000-0005-0000-0000-000081920000}"/>
    <cellStyle name="Note 2 4 3 2 3 3 2" xfId="18434" xr:uid="{00000000-0005-0000-0000-000082920000}"/>
    <cellStyle name="Note 2 4 3 2 3 3 2 2" xfId="37834" xr:uid="{00000000-0005-0000-0000-000083920000}"/>
    <cellStyle name="Note 2 4 3 2 3 3 3" xfId="28136" xr:uid="{00000000-0005-0000-0000-000084920000}"/>
    <cellStyle name="Note 2 4 3 2 3 4" xfId="13979" xr:uid="{00000000-0005-0000-0000-000085920000}"/>
    <cellStyle name="Note 2 4 3 2 3 4 2" xfId="33379" xr:uid="{00000000-0005-0000-0000-000086920000}"/>
    <cellStyle name="Note 2 4 3 2 3 5" xfId="23681" xr:uid="{00000000-0005-0000-0000-000087920000}"/>
    <cellStyle name="Note 2 4 3 2 4" xfId="4532" xr:uid="{00000000-0005-0000-0000-000088920000}"/>
    <cellStyle name="Note 2 4 3 2 4 2" xfId="8996" xr:uid="{00000000-0005-0000-0000-000089920000}"/>
    <cellStyle name="Note 2 4 3 2 4 2 2" xfId="18992" xr:uid="{00000000-0005-0000-0000-00008A920000}"/>
    <cellStyle name="Note 2 4 3 2 4 2 2 2" xfId="38392" xr:uid="{00000000-0005-0000-0000-00008B920000}"/>
    <cellStyle name="Note 2 4 3 2 4 2 3" xfId="28694" xr:uid="{00000000-0005-0000-0000-00008C920000}"/>
    <cellStyle name="Note 2 4 3 2 4 3" xfId="14537" xr:uid="{00000000-0005-0000-0000-00008D920000}"/>
    <cellStyle name="Note 2 4 3 2 4 3 2" xfId="33937" xr:uid="{00000000-0005-0000-0000-00008E920000}"/>
    <cellStyle name="Note 2 4 3 2 4 4" xfId="24239" xr:uid="{00000000-0005-0000-0000-00008F920000}"/>
    <cellStyle name="Note 2 4 3 2 5" xfId="6202" xr:uid="{00000000-0005-0000-0000-000090920000}"/>
    <cellStyle name="Note 2 4 3 2 5 2" xfId="10666" xr:uid="{00000000-0005-0000-0000-000091920000}"/>
    <cellStyle name="Note 2 4 3 2 5 2 2" xfId="20662" xr:uid="{00000000-0005-0000-0000-000092920000}"/>
    <cellStyle name="Note 2 4 3 2 5 2 2 2" xfId="40062" xr:uid="{00000000-0005-0000-0000-000093920000}"/>
    <cellStyle name="Note 2 4 3 2 5 2 3" xfId="30364" xr:uid="{00000000-0005-0000-0000-000094920000}"/>
    <cellStyle name="Note 2 4 3 2 5 3" xfId="16207" xr:uid="{00000000-0005-0000-0000-000095920000}"/>
    <cellStyle name="Note 2 4 3 2 5 3 2" xfId="35607" xr:uid="{00000000-0005-0000-0000-000096920000}"/>
    <cellStyle name="Note 2 4 3 2 5 4" xfId="25909" xr:uid="{00000000-0005-0000-0000-000097920000}"/>
    <cellStyle name="Note 2 4 3 2 6" xfId="6768" xr:uid="{00000000-0005-0000-0000-000098920000}"/>
    <cellStyle name="Note 2 4 3 2 6 2" xfId="11223" xr:uid="{00000000-0005-0000-0000-000099920000}"/>
    <cellStyle name="Note 2 4 3 2 6 2 2" xfId="21219" xr:uid="{00000000-0005-0000-0000-00009A920000}"/>
    <cellStyle name="Note 2 4 3 2 6 2 2 2" xfId="40619" xr:uid="{00000000-0005-0000-0000-00009B920000}"/>
    <cellStyle name="Note 2 4 3 2 6 2 3" xfId="30921" xr:uid="{00000000-0005-0000-0000-00009C920000}"/>
    <cellStyle name="Note 2 4 3 2 6 3" xfId="16764" xr:uid="{00000000-0005-0000-0000-00009D920000}"/>
    <cellStyle name="Note 2 4 3 2 6 3 2" xfId="36164" xr:uid="{00000000-0005-0000-0000-00009E920000}"/>
    <cellStyle name="Note 2 4 3 2 6 4" xfId="26466" xr:uid="{00000000-0005-0000-0000-00009F920000}"/>
    <cellStyle name="Note 2 4 3 2 7" xfId="7325" xr:uid="{00000000-0005-0000-0000-0000A0920000}"/>
    <cellStyle name="Note 2 4 3 2 7 2" xfId="17321" xr:uid="{00000000-0005-0000-0000-0000A1920000}"/>
    <cellStyle name="Note 2 4 3 2 7 2 2" xfId="36721" xr:uid="{00000000-0005-0000-0000-0000A2920000}"/>
    <cellStyle name="Note 2 4 3 2 7 3" xfId="27023" xr:uid="{00000000-0005-0000-0000-0000A3920000}"/>
    <cellStyle name="Note 2 4 3 2 8" xfId="12865" xr:uid="{00000000-0005-0000-0000-0000A4920000}"/>
    <cellStyle name="Note 2 4 3 2 8 2" xfId="32266" xr:uid="{00000000-0005-0000-0000-0000A5920000}"/>
    <cellStyle name="Note 2 4 3 2 9" xfId="22568" xr:uid="{00000000-0005-0000-0000-0000A6920000}"/>
    <cellStyle name="Note 2 4 3 3" xfId="2437" xr:uid="{00000000-0005-0000-0000-0000A7920000}"/>
    <cellStyle name="Note 2 4 3 3 2" xfId="3377" xr:uid="{00000000-0005-0000-0000-0000A8920000}"/>
    <cellStyle name="Note 2 4 3 3 2 2" xfId="5646" xr:uid="{00000000-0005-0000-0000-0000A9920000}"/>
    <cellStyle name="Note 2 4 3 3 2 2 2" xfId="10110" xr:uid="{00000000-0005-0000-0000-0000AA920000}"/>
    <cellStyle name="Note 2 4 3 3 2 2 2 2" xfId="20106" xr:uid="{00000000-0005-0000-0000-0000AB920000}"/>
    <cellStyle name="Note 2 4 3 3 2 2 2 2 2" xfId="39506" xr:uid="{00000000-0005-0000-0000-0000AC920000}"/>
    <cellStyle name="Note 2 4 3 3 2 2 2 3" xfId="29808" xr:uid="{00000000-0005-0000-0000-0000AD920000}"/>
    <cellStyle name="Note 2 4 3 3 2 2 3" xfId="15651" xr:uid="{00000000-0005-0000-0000-0000AE920000}"/>
    <cellStyle name="Note 2 4 3 3 2 2 3 2" xfId="35051" xr:uid="{00000000-0005-0000-0000-0000AF920000}"/>
    <cellStyle name="Note 2 4 3 3 2 2 4" xfId="25353" xr:uid="{00000000-0005-0000-0000-0000B0920000}"/>
    <cellStyle name="Note 2 4 3 3 2 3" xfId="7882" xr:uid="{00000000-0005-0000-0000-0000B1920000}"/>
    <cellStyle name="Note 2 4 3 3 2 3 2" xfId="17878" xr:uid="{00000000-0005-0000-0000-0000B2920000}"/>
    <cellStyle name="Note 2 4 3 3 2 3 2 2" xfId="37278" xr:uid="{00000000-0005-0000-0000-0000B3920000}"/>
    <cellStyle name="Note 2 4 3 3 2 3 3" xfId="27580" xr:uid="{00000000-0005-0000-0000-0000B4920000}"/>
    <cellStyle name="Note 2 4 3 3 2 4" xfId="13423" xr:uid="{00000000-0005-0000-0000-0000B5920000}"/>
    <cellStyle name="Note 2 4 3 3 2 4 2" xfId="32823" xr:uid="{00000000-0005-0000-0000-0000B6920000}"/>
    <cellStyle name="Note 2 4 3 3 2 5" xfId="23125" xr:uid="{00000000-0005-0000-0000-0000B7920000}"/>
    <cellStyle name="Note 2 4 3 3 3" xfId="3960" xr:uid="{00000000-0005-0000-0000-0000B8920000}"/>
    <cellStyle name="Note 2 4 3 3 3 2" xfId="5090" xr:uid="{00000000-0005-0000-0000-0000B9920000}"/>
    <cellStyle name="Note 2 4 3 3 3 2 2" xfId="9554" xr:uid="{00000000-0005-0000-0000-0000BA920000}"/>
    <cellStyle name="Note 2 4 3 3 3 2 2 2" xfId="19550" xr:uid="{00000000-0005-0000-0000-0000BB920000}"/>
    <cellStyle name="Note 2 4 3 3 3 2 2 2 2" xfId="38950" xr:uid="{00000000-0005-0000-0000-0000BC920000}"/>
    <cellStyle name="Note 2 4 3 3 3 2 2 3" xfId="29252" xr:uid="{00000000-0005-0000-0000-0000BD920000}"/>
    <cellStyle name="Note 2 4 3 3 3 2 3" xfId="15095" xr:uid="{00000000-0005-0000-0000-0000BE920000}"/>
    <cellStyle name="Note 2 4 3 3 3 2 3 2" xfId="34495" xr:uid="{00000000-0005-0000-0000-0000BF920000}"/>
    <cellStyle name="Note 2 4 3 3 3 2 4" xfId="24797" xr:uid="{00000000-0005-0000-0000-0000C0920000}"/>
    <cellStyle name="Note 2 4 3 3 3 3" xfId="8439" xr:uid="{00000000-0005-0000-0000-0000C1920000}"/>
    <cellStyle name="Note 2 4 3 3 3 3 2" xfId="18435" xr:uid="{00000000-0005-0000-0000-0000C2920000}"/>
    <cellStyle name="Note 2 4 3 3 3 3 2 2" xfId="37835" xr:uid="{00000000-0005-0000-0000-0000C3920000}"/>
    <cellStyle name="Note 2 4 3 3 3 3 3" xfId="28137" xr:uid="{00000000-0005-0000-0000-0000C4920000}"/>
    <cellStyle name="Note 2 4 3 3 3 4" xfId="13980" xr:uid="{00000000-0005-0000-0000-0000C5920000}"/>
    <cellStyle name="Note 2 4 3 3 3 4 2" xfId="33380" xr:uid="{00000000-0005-0000-0000-0000C6920000}"/>
    <cellStyle name="Note 2 4 3 3 3 5" xfId="23682" xr:uid="{00000000-0005-0000-0000-0000C7920000}"/>
    <cellStyle name="Note 2 4 3 3 4" xfId="4533" xr:uid="{00000000-0005-0000-0000-0000C8920000}"/>
    <cellStyle name="Note 2 4 3 3 4 2" xfId="8997" xr:uid="{00000000-0005-0000-0000-0000C9920000}"/>
    <cellStyle name="Note 2 4 3 3 4 2 2" xfId="18993" xr:uid="{00000000-0005-0000-0000-0000CA920000}"/>
    <cellStyle name="Note 2 4 3 3 4 2 2 2" xfId="38393" xr:uid="{00000000-0005-0000-0000-0000CB920000}"/>
    <cellStyle name="Note 2 4 3 3 4 2 3" xfId="28695" xr:uid="{00000000-0005-0000-0000-0000CC920000}"/>
    <cellStyle name="Note 2 4 3 3 4 3" xfId="14538" xr:uid="{00000000-0005-0000-0000-0000CD920000}"/>
    <cellStyle name="Note 2 4 3 3 4 3 2" xfId="33938" xr:uid="{00000000-0005-0000-0000-0000CE920000}"/>
    <cellStyle name="Note 2 4 3 3 4 4" xfId="24240" xr:uid="{00000000-0005-0000-0000-0000CF920000}"/>
    <cellStyle name="Note 2 4 3 3 5" xfId="6203" xr:uid="{00000000-0005-0000-0000-0000D0920000}"/>
    <cellStyle name="Note 2 4 3 3 5 2" xfId="10667" xr:uid="{00000000-0005-0000-0000-0000D1920000}"/>
    <cellStyle name="Note 2 4 3 3 5 2 2" xfId="20663" xr:uid="{00000000-0005-0000-0000-0000D2920000}"/>
    <cellStyle name="Note 2 4 3 3 5 2 2 2" xfId="40063" xr:uid="{00000000-0005-0000-0000-0000D3920000}"/>
    <cellStyle name="Note 2 4 3 3 5 2 3" xfId="30365" xr:uid="{00000000-0005-0000-0000-0000D4920000}"/>
    <cellStyle name="Note 2 4 3 3 5 3" xfId="16208" xr:uid="{00000000-0005-0000-0000-0000D5920000}"/>
    <cellStyle name="Note 2 4 3 3 5 3 2" xfId="35608" xr:uid="{00000000-0005-0000-0000-0000D6920000}"/>
    <cellStyle name="Note 2 4 3 3 5 4" xfId="25910" xr:uid="{00000000-0005-0000-0000-0000D7920000}"/>
    <cellStyle name="Note 2 4 3 3 6" xfId="6769" xr:uid="{00000000-0005-0000-0000-0000D8920000}"/>
    <cellStyle name="Note 2 4 3 3 6 2" xfId="11224" xr:uid="{00000000-0005-0000-0000-0000D9920000}"/>
    <cellStyle name="Note 2 4 3 3 6 2 2" xfId="21220" xr:uid="{00000000-0005-0000-0000-0000DA920000}"/>
    <cellStyle name="Note 2 4 3 3 6 2 2 2" xfId="40620" xr:uid="{00000000-0005-0000-0000-0000DB920000}"/>
    <cellStyle name="Note 2 4 3 3 6 2 3" xfId="30922" xr:uid="{00000000-0005-0000-0000-0000DC920000}"/>
    <cellStyle name="Note 2 4 3 3 6 3" xfId="16765" xr:uid="{00000000-0005-0000-0000-0000DD920000}"/>
    <cellStyle name="Note 2 4 3 3 6 3 2" xfId="36165" xr:uid="{00000000-0005-0000-0000-0000DE920000}"/>
    <cellStyle name="Note 2 4 3 3 6 4" xfId="26467" xr:uid="{00000000-0005-0000-0000-0000DF920000}"/>
    <cellStyle name="Note 2 4 3 3 7" xfId="7326" xr:uid="{00000000-0005-0000-0000-0000E0920000}"/>
    <cellStyle name="Note 2 4 3 3 7 2" xfId="17322" xr:uid="{00000000-0005-0000-0000-0000E1920000}"/>
    <cellStyle name="Note 2 4 3 3 7 2 2" xfId="36722" xr:uid="{00000000-0005-0000-0000-0000E2920000}"/>
    <cellStyle name="Note 2 4 3 3 7 3" xfId="27024" xr:uid="{00000000-0005-0000-0000-0000E3920000}"/>
    <cellStyle name="Note 2 4 3 3 8" xfId="12866" xr:uid="{00000000-0005-0000-0000-0000E4920000}"/>
    <cellStyle name="Note 2 4 3 3 8 2" xfId="32267" xr:uid="{00000000-0005-0000-0000-0000E5920000}"/>
    <cellStyle name="Note 2 4 3 3 9" xfId="22569" xr:uid="{00000000-0005-0000-0000-0000E6920000}"/>
    <cellStyle name="Note 2 4 3 4" xfId="3375" xr:uid="{00000000-0005-0000-0000-0000E7920000}"/>
    <cellStyle name="Note 2 4 3 4 2" xfId="5644" xr:uid="{00000000-0005-0000-0000-0000E8920000}"/>
    <cellStyle name="Note 2 4 3 4 2 2" xfId="10108" xr:uid="{00000000-0005-0000-0000-0000E9920000}"/>
    <cellStyle name="Note 2 4 3 4 2 2 2" xfId="20104" xr:uid="{00000000-0005-0000-0000-0000EA920000}"/>
    <cellStyle name="Note 2 4 3 4 2 2 2 2" xfId="39504" xr:uid="{00000000-0005-0000-0000-0000EB920000}"/>
    <cellStyle name="Note 2 4 3 4 2 2 3" xfId="29806" xr:uid="{00000000-0005-0000-0000-0000EC920000}"/>
    <cellStyle name="Note 2 4 3 4 2 3" xfId="15649" xr:uid="{00000000-0005-0000-0000-0000ED920000}"/>
    <cellStyle name="Note 2 4 3 4 2 3 2" xfId="35049" xr:uid="{00000000-0005-0000-0000-0000EE920000}"/>
    <cellStyle name="Note 2 4 3 4 2 4" xfId="25351" xr:uid="{00000000-0005-0000-0000-0000EF920000}"/>
    <cellStyle name="Note 2 4 3 4 3" xfId="7880" xr:uid="{00000000-0005-0000-0000-0000F0920000}"/>
    <cellStyle name="Note 2 4 3 4 3 2" xfId="17876" xr:uid="{00000000-0005-0000-0000-0000F1920000}"/>
    <cellStyle name="Note 2 4 3 4 3 2 2" xfId="37276" xr:uid="{00000000-0005-0000-0000-0000F2920000}"/>
    <cellStyle name="Note 2 4 3 4 3 3" xfId="27578" xr:uid="{00000000-0005-0000-0000-0000F3920000}"/>
    <cellStyle name="Note 2 4 3 4 4" xfId="13421" xr:uid="{00000000-0005-0000-0000-0000F4920000}"/>
    <cellStyle name="Note 2 4 3 4 4 2" xfId="32821" xr:uid="{00000000-0005-0000-0000-0000F5920000}"/>
    <cellStyle name="Note 2 4 3 4 5" xfId="23123" xr:uid="{00000000-0005-0000-0000-0000F6920000}"/>
    <cellStyle name="Note 2 4 3 5" xfId="3958" xr:uid="{00000000-0005-0000-0000-0000F7920000}"/>
    <cellStyle name="Note 2 4 3 5 2" xfId="5088" xr:uid="{00000000-0005-0000-0000-0000F8920000}"/>
    <cellStyle name="Note 2 4 3 5 2 2" xfId="9552" xr:uid="{00000000-0005-0000-0000-0000F9920000}"/>
    <cellStyle name="Note 2 4 3 5 2 2 2" xfId="19548" xr:uid="{00000000-0005-0000-0000-0000FA920000}"/>
    <cellStyle name="Note 2 4 3 5 2 2 2 2" xfId="38948" xr:uid="{00000000-0005-0000-0000-0000FB920000}"/>
    <cellStyle name="Note 2 4 3 5 2 2 3" xfId="29250" xr:uid="{00000000-0005-0000-0000-0000FC920000}"/>
    <cellStyle name="Note 2 4 3 5 2 3" xfId="15093" xr:uid="{00000000-0005-0000-0000-0000FD920000}"/>
    <cellStyle name="Note 2 4 3 5 2 3 2" xfId="34493" xr:uid="{00000000-0005-0000-0000-0000FE920000}"/>
    <cellStyle name="Note 2 4 3 5 2 4" xfId="24795" xr:uid="{00000000-0005-0000-0000-0000FF920000}"/>
    <cellStyle name="Note 2 4 3 5 3" xfId="8437" xr:uid="{00000000-0005-0000-0000-000000930000}"/>
    <cellStyle name="Note 2 4 3 5 3 2" xfId="18433" xr:uid="{00000000-0005-0000-0000-000001930000}"/>
    <cellStyle name="Note 2 4 3 5 3 2 2" xfId="37833" xr:uid="{00000000-0005-0000-0000-000002930000}"/>
    <cellStyle name="Note 2 4 3 5 3 3" xfId="28135" xr:uid="{00000000-0005-0000-0000-000003930000}"/>
    <cellStyle name="Note 2 4 3 5 4" xfId="13978" xr:uid="{00000000-0005-0000-0000-000004930000}"/>
    <cellStyle name="Note 2 4 3 5 4 2" xfId="33378" xr:uid="{00000000-0005-0000-0000-000005930000}"/>
    <cellStyle name="Note 2 4 3 5 5" xfId="23680" xr:uid="{00000000-0005-0000-0000-000006930000}"/>
    <cellStyle name="Note 2 4 3 6" xfId="4531" xr:uid="{00000000-0005-0000-0000-000007930000}"/>
    <cellStyle name="Note 2 4 3 6 2" xfId="8995" xr:uid="{00000000-0005-0000-0000-000008930000}"/>
    <cellStyle name="Note 2 4 3 6 2 2" xfId="18991" xr:uid="{00000000-0005-0000-0000-000009930000}"/>
    <cellStyle name="Note 2 4 3 6 2 2 2" xfId="38391" xr:uid="{00000000-0005-0000-0000-00000A930000}"/>
    <cellStyle name="Note 2 4 3 6 2 3" xfId="28693" xr:uid="{00000000-0005-0000-0000-00000B930000}"/>
    <cellStyle name="Note 2 4 3 6 3" xfId="14536" xr:uid="{00000000-0005-0000-0000-00000C930000}"/>
    <cellStyle name="Note 2 4 3 6 3 2" xfId="33936" xr:uid="{00000000-0005-0000-0000-00000D930000}"/>
    <cellStyle name="Note 2 4 3 6 4" xfId="24238" xr:uid="{00000000-0005-0000-0000-00000E930000}"/>
    <cellStyle name="Note 2 4 3 7" xfId="6201" xr:uid="{00000000-0005-0000-0000-00000F930000}"/>
    <cellStyle name="Note 2 4 3 7 2" xfId="10665" xr:uid="{00000000-0005-0000-0000-000010930000}"/>
    <cellStyle name="Note 2 4 3 7 2 2" xfId="20661" xr:uid="{00000000-0005-0000-0000-000011930000}"/>
    <cellStyle name="Note 2 4 3 7 2 2 2" xfId="40061" xr:uid="{00000000-0005-0000-0000-000012930000}"/>
    <cellStyle name="Note 2 4 3 7 2 3" xfId="30363" xr:uid="{00000000-0005-0000-0000-000013930000}"/>
    <cellStyle name="Note 2 4 3 7 3" xfId="16206" xr:uid="{00000000-0005-0000-0000-000014930000}"/>
    <cellStyle name="Note 2 4 3 7 3 2" xfId="35606" xr:uid="{00000000-0005-0000-0000-000015930000}"/>
    <cellStyle name="Note 2 4 3 7 4" xfId="25908" xr:uid="{00000000-0005-0000-0000-000016930000}"/>
    <cellStyle name="Note 2 4 3 8" xfId="6767" xr:uid="{00000000-0005-0000-0000-000017930000}"/>
    <cellStyle name="Note 2 4 3 8 2" xfId="11222" xr:uid="{00000000-0005-0000-0000-000018930000}"/>
    <cellStyle name="Note 2 4 3 8 2 2" xfId="21218" xr:uid="{00000000-0005-0000-0000-000019930000}"/>
    <cellStyle name="Note 2 4 3 8 2 2 2" xfId="40618" xr:uid="{00000000-0005-0000-0000-00001A930000}"/>
    <cellStyle name="Note 2 4 3 8 2 3" xfId="30920" xr:uid="{00000000-0005-0000-0000-00001B930000}"/>
    <cellStyle name="Note 2 4 3 8 3" xfId="16763" xr:uid="{00000000-0005-0000-0000-00001C930000}"/>
    <cellStyle name="Note 2 4 3 8 3 2" xfId="36163" xr:uid="{00000000-0005-0000-0000-00001D930000}"/>
    <cellStyle name="Note 2 4 3 8 4" xfId="26465" xr:uid="{00000000-0005-0000-0000-00001E930000}"/>
    <cellStyle name="Note 2 4 3 9" xfId="7324" xr:uid="{00000000-0005-0000-0000-00001F930000}"/>
    <cellStyle name="Note 2 4 3 9 2" xfId="17320" xr:uid="{00000000-0005-0000-0000-000020930000}"/>
    <cellStyle name="Note 2 4 3 9 2 2" xfId="36720" xr:uid="{00000000-0005-0000-0000-000021930000}"/>
    <cellStyle name="Note 2 4 3 9 3" xfId="27022" xr:uid="{00000000-0005-0000-0000-000022930000}"/>
    <cellStyle name="Note 2 4 4" xfId="2438" xr:uid="{00000000-0005-0000-0000-000023930000}"/>
    <cellStyle name="Note 2 4 4 2" xfId="3378" xr:uid="{00000000-0005-0000-0000-000024930000}"/>
    <cellStyle name="Note 2 4 4 2 2" xfId="5647" xr:uid="{00000000-0005-0000-0000-000025930000}"/>
    <cellStyle name="Note 2 4 4 2 2 2" xfId="10111" xr:uid="{00000000-0005-0000-0000-000026930000}"/>
    <cellStyle name="Note 2 4 4 2 2 2 2" xfId="20107" xr:uid="{00000000-0005-0000-0000-000027930000}"/>
    <cellStyle name="Note 2 4 4 2 2 2 2 2" xfId="39507" xr:uid="{00000000-0005-0000-0000-000028930000}"/>
    <cellStyle name="Note 2 4 4 2 2 2 3" xfId="29809" xr:uid="{00000000-0005-0000-0000-000029930000}"/>
    <cellStyle name="Note 2 4 4 2 2 3" xfId="15652" xr:uid="{00000000-0005-0000-0000-00002A930000}"/>
    <cellStyle name="Note 2 4 4 2 2 3 2" xfId="35052" xr:uid="{00000000-0005-0000-0000-00002B930000}"/>
    <cellStyle name="Note 2 4 4 2 2 4" xfId="25354" xr:uid="{00000000-0005-0000-0000-00002C930000}"/>
    <cellStyle name="Note 2 4 4 2 3" xfId="7883" xr:uid="{00000000-0005-0000-0000-00002D930000}"/>
    <cellStyle name="Note 2 4 4 2 3 2" xfId="17879" xr:uid="{00000000-0005-0000-0000-00002E930000}"/>
    <cellStyle name="Note 2 4 4 2 3 2 2" xfId="37279" xr:uid="{00000000-0005-0000-0000-00002F930000}"/>
    <cellStyle name="Note 2 4 4 2 3 3" xfId="27581" xr:uid="{00000000-0005-0000-0000-000030930000}"/>
    <cellStyle name="Note 2 4 4 2 4" xfId="13424" xr:uid="{00000000-0005-0000-0000-000031930000}"/>
    <cellStyle name="Note 2 4 4 2 4 2" xfId="32824" xr:uid="{00000000-0005-0000-0000-000032930000}"/>
    <cellStyle name="Note 2 4 4 2 5" xfId="23126" xr:uid="{00000000-0005-0000-0000-000033930000}"/>
    <cellStyle name="Note 2 4 4 3" xfId="3961" xr:uid="{00000000-0005-0000-0000-000034930000}"/>
    <cellStyle name="Note 2 4 4 3 2" xfId="5091" xr:uid="{00000000-0005-0000-0000-000035930000}"/>
    <cellStyle name="Note 2 4 4 3 2 2" xfId="9555" xr:uid="{00000000-0005-0000-0000-000036930000}"/>
    <cellStyle name="Note 2 4 4 3 2 2 2" xfId="19551" xr:uid="{00000000-0005-0000-0000-000037930000}"/>
    <cellStyle name="Note 2 4 4 3 2 2 2 2" xfId="38951" xr:uid="{00000000-0005-0000-0000-000038930000}"/>
    <cellStyle name="Note 2 4 4 3 2 2 3" xfId="29253" xr:uid="{00000000-0005-0000-0000-000039930000}"/>
    <cellStyle name="Note 2 4 4 3 2 3" xfId="15096" xr:uid="{00000000-0005-0000-0000-00003A930000}"/>
    <cellStyle name="Note 2 4 4 3 2 3 2" xfId="34496" xr:uid="{00000000-0005-0000-0000-00003B930000}"/>
    <cellStyle name="Note 2 4 4 3 2 4" xfId="24798" xr:uid="{00000000-0005-0000-0000-00003C930000}"/>
    <cellStyle name="Note 2 4 4 3 3" xfId="8440" xr:uid="{00000000-0005-0000-0000-00003D930000}"/>
    <cellStyle name="Note 2 4 4 3 3 2" xfId="18436" xr:uid="{00000000-0005-0000-0000-00003E930000}"/>
    <cellStyle name="Note 2 4 4 3 3 2 2" xfId="37836" xr:uid="{00000000-0005-0000-0000-00003F930000}"/>
    <cellStyle name="Note 2 4 4 3 3 3" xfId="28138" xr:uid="{00000000-0005-0000-0000-000040930000}"/>
    <cellStyle name="Note 2 4 4 3 4" xfId="13981" xr:uid="{00000000-0005-0000-0000-000041930000}"/>
    <cellStyle name="Note 2 4 4 3 4 2" xfId="33381" xr:uid="{00000000-0005-0000-0000-000042930000}"/>
    <cellStyle name="Note 2 4 4 3 5" xfId="23683" xr:uid="{00000000-0005-0000-0000-000043930000}"/>
    <cellStyle name="Note 2 4 4 4" xfId="4534" xr:uid="{00000000-0005-0000-0000-000044930000}"/>
    <cellStyle name="Note 2 4 4 4 2" xfId="8998" xr:uid="{00000000-0005-0000-0000-000045930000}"/>
    <cellStyle name="Note 2 4 4 4 2 2" xfId="18994" xr:uid="{00000000-0005-0000-0000-000046930000}"/>
    <cellStyle name="Note 2 4 4 4 2 2 2" xfId="38394" xr:uid="{00000000-0005-0000-0000-000047930000}"/>
    <cellStyle name="Note 2 4 4 4 2 3" xfId="28696" xr:uid="{00000000-0005-0000-0000-000048930000}"/>
    <cellStyle name="Note 2 4 4 4 3" xfId="14539" xr:uid="{00000000-0005-0000-0000-000049930000}"/>
    <cellStyle name="Note 2 4 4 4 3 2" xfId="33939" xr:uid="{00000000-0005-0000-0000-00004A930000}"/>
    <cellStyle name="Note 2 4 4 4 4" xfId="24241" xr:uid="{00000000-0005-0000-0000-00004B930000}"/>
    <cellStyle name="Note 2 4 4 5" xfId="6204" xr:uid="{00000000-0005-0000-0000-00004C930000}"/>
    <cellStyle name="Note 2 4 4 5 2" xfId="10668" xr:uid="{00000000-0005-0000-0000-00004D930000}"/>
    <cellStyle name="Note 2 4 4 5 2 2" xfId="20664" xr:uid="{00000000-0005-0000-0000-00004E930000}"/>
    <cellStyle name="Note 2 4 4 5 2 2 2" xfId="40064" xr:uid="{00000000-0005-0000-0000-00004F930000}"/>
    <cellStyle name="Note 2 4 4 5 2 3" xfId="30366" xr:uid="{00000000-0005-0000-0000-000050930000}"/>
    <cellStyle name="Note 2 4 4 5 3" xfId="16209" xr:uid="{00000000-0005-0000-0000-000051930000}"/>
    <cellStyle name="Note 2 4 4 5 3 2" xfId="35609" xr:uid="{00000000-0005-0000-0000-000052930000}"/>
    <cellStyle name="Note 2 4 4 5 4" xfId="25911" xr:uid="{00000000-0005-0000-0000-000053930000}"/>
    <cellStyle name="Note 2 4 4 6" xfId="6770" xr:uid="{00000000-0005-0000-0000-000054930000}"/>
    <cellStyle name="Note 2 4 4 6 2" xfId="11225" xr:uid="{00000000-0005-0000-0000-000055930000}"/>
    <cellStyle name="Note 2 4 4 6 2 2" xfId="21221" xr:uid="{00000000-0005-0000-0000-000056930000}"/>
    <cellStyle name="Note 2 4 4 6 2 2 2" xfId="40621" xr:uid="{00000000-0005-0000-0000-000057930000}"/>
    <cellStyle name="Note 2 4 4 6 2 3" xfId="30923" xr:uid="{00000000-0005-0000-0000-000058930000}"/>
    <cellStyle name="Note 2 4 4 6 3" xfId="16766" xr:uid="{00000000-0005-0000-0000-000059930000}"/>
    <cellStyle name="Note 2 4 4 6 3 2" xfId="36166" xr:uid="{00000000-0005-0000-0000-00005A930000}"/>
    <cellStyle name="Note 2 4 4 6 4" xfId="26468" xr:uid="{00000000-0005-0000-0000-00005B930000}"/>
    <cellStyle name="Note 2 4 4 7" xfId="7327" xr:uid="{00000000-0005-0000-0000-00005C930000}"/>
    <cellStyle name="Note 2 4 4 7 2" xfId="17323" xr:uid="{00000000-0005-0000-0000-00005D930000}"/>
    <cellStyle name="Note 2 4 4 7 2 2" xfId="36723" xr:uid="{00000000-0005-0000-0000-00005E930000}"/>
    <cellStyle name="Note 2 4 4 7 3" xfId="27025" xr:uid="{00000000-0005-0000-0000-00005F930000}"/>
    <cellStyle name="Note 2 4 4 8" xfId="12867" xr:uid="{00000000-0005-0000-0000-000060930000}"/>
    <cellStyle name="Note 2 4 4 8 2" xfId="32268" xr:uid="{00000000-0005-0000-0000-000061930000}"/>
    <cellStyle name="Note 2 4 4 9" xfId="22570" xr:uid="{00000000-0005-0000-0000-000062930000}"/>
    <cellStyle name="Note 2 4 5" xfId="2439" xr:uid="{00000000-0005-0000-0000-000063930000}"/>
    <cellStyle name="Note 2 4 5 2" xfId="3379" xr:uid="{00000000-0005-0000-0000-000064930000}"/>
    <cellStyle name="Note 2 4 5 2 2" xfId="5648" xr:uid="{00000000-0005-0000-0000-000065930000}"/>
    <cellStyle name="Note 2 4 5 2 2 2" xfId="10112" xr:uid="{00000000-0005-0000-0000-000066930000}"/>
    <cellStyle name="Note 2 4 5 2 2 2 2" xfId="20108" xr:uid="{00000000-0005-0000-0000-000067930000}"/>
    <cellStyle name="Note 2 4 5 2 2 2 2 2" xfId="39508" xr:uid="{00000000-0005-0000-0000-000068930000}"/>
    <cellStyle name="Note 2 4 5 2 2 2 3" xfId="29810" xr:uid="{00000000-0005-0000-0000-000069930000}"/>
    <cellStyle name="Note 2 4 5 2 2 3" xfId="15653" xr:uid="{00000000-0005-0000-0000-00006A930000}"/>
    <cellStyle name="Note 2 4 5 2 2 3 2" xfId="35053" xr:uid="{00000000-0005-0000-0000-00006B930000}"/>
    <cellStyle name="Note 2 4 5 2 2 4" xfId="25355" xr:uid="{00000000-0005-0000-0000-00006C930000}"/>
    <cellStyle name="Note 2 4 5 2 3" xfId="7884" xr:uid="{00000000-0005-0000-0000-00006D930000}"/>
    <cellStyle name="Note 2 4 5 2 3 2" xfId="17880" xr:uid="{00000000-0005-0000-0000-00006E930000}"/>
    <cellStyle name="Note 2 4 5 2 3 2 2" xfId="37280" xr:uid="{00000000-0005-0000-0000-00006F930000}"/>
    <cellStyle name="Note 2 4 5 2 3 3" xfId="27582" xr:uid="{00000000-0005-0000-0000-000070930000}"/>
    <cellStyle name="Note 2 4 5 2 4" xfId="13425" xr:uid="{00000000-0005-0000-0000-000071930000}"/>
    <cellStyle name="Note 2 4 5 2 4 2" xfId="32825" xr:uid="{00000000-0005-0000-0000-000072930000}"/>
    <cellStyle name="Note 2 4 5 2 5" xfId="23127" xr:uid="{00000000-0005-0000-0000-000073930000}"/>
    <cellStyle name="Note 2 4 5 3" xfId="3962" xr:uid="{00000000-0005-0000-0000-000074930000}"/>
    <cellStyle name="Note 2 4 5 3 2" xfId="5092" xr:uid="{00000000-0005-0000-0000-000075930000}"/>
    <cellStyle name="Note 2 4 5 3 2 2" xfId="9556" xr:uid="{00000000-0005-0000-0000-000076930000}"/>
    <cellStyle name="Note 2 4 5 3 2 2 2" xfId="19552" xr:uid="{00000000-0005-0000-0000-000077930000}"/>
    <cellStyle name="Note 2 4 5 3 2 2 2 2" xfId="38952" xr:uid="{00000000-0005-0000-0000-000078930000}"/>
    <cellStyle name="Note 2 4 5 3 2 2 3" xfId="29254" xr:uid="{00000000-0005-0000-0000-000079930000}"/>
    <cellStyle name="Note 2 4 5 3 2 3" xfId="15097" xr:uid="{00000000-0005-0000-0000-00007A930000}"/>
    <cellStyle name="Note 2 4 5 3 2 3 2" xfId="34497" xr:uid="{00000000-0005-0000-0000-00007B930000}"/>
    <cellStyle name="Note 2 4 5 3 2 4" xfId="24799" xr:uid="{00000000-0005-0000-0000-00007C930000}"/>
    <cellStyle name="Note 2 4 5 3 3" xfId="8441" xr:uid="{00000000-0005-0000-0000-00007D930000}"/>
    <cellStyle name="Note 2 4 5 3 3 2" xfId="18437" xr:uid="{00000000-0005-0000-0000-00007E930000}"/>
    <cellStyle name="Note 2 4 5 3 3 2 2" xfId="37837" xr:uid="{00000000-0005-0000-0000-00007F930000}"/>
    <cellStyle name="Note 2 4 5 3 3 3" xfId="28139" xr:uid="{00000000-0005-0000-0000-000080930000}"/>
    <cellStyle name="Note 2 4 5 3 4" xfId="13982" xr:uid="{00000000-0005-0000-0000-000081930000}"/>
    <cellStyle name="Note 2 4 5 3 4 2" xfId="33382" xr:uid="{00000000-0005-0000-0000-000082930000}"/>
    <cellStyle name="Note 2 4 5 3 5" xfId="23684" xr:uid="{00000000-0005-0000-0000-000083930000}"/>
    <cellStyle name="Note 2 4 5 4" xfId="4535" xr:uid="{00000000-0005-0000-0000-000084930000}"/>
    <cellStyle name="Note 2 4 5 4 2" xfId="8999" xr:uid="{00000000-0005-0000-0000-000085930000}"/>
    <cellStyle name="Note 2 4 5 4 2 2" xfId="18995" xr:uid="{00000000-0005-0000-0000-000086930000}"/>
    <cellStyle name="Note 2 4 5 4 2 2 2" xfId="38395" xr:uid="{00000000-0005-0000-0000-000087930000}"/>
    <cellStyle name="Note 2 4 5 4 2 3" xfId="28697" xr:uid="{00000000-0005-0000-0000-000088930000}"/>
    <cellStyle name="Note 2 4 5 4 3" xfId="14540" xr:uid="{00000000-0005-0000-0000-000089930000}"/>
    <cellStyle name="Note 2 4 5 4 3 2" xfId="33940" xr:uid="{00000000-0005-0000-0000-00008A930000}"/>
    <cellStyle name="Note 2 4 5 4 4" xfId="24242" xr:uid="{00000000-0005-0000-0000-00008B930000}"/>
    <cellStyle name="Note 2 4 5 5" xfId="6205" xr:uid="{00000000-0005-0000-0000-00008C930000}"/>
    <cellStyle name="Note 2 4 5 5 2" xfId="10669" xr:uid="{00000000-0005-0000-0000-00008D930000}"/>
    <cellStyle name="Note 2 4 5 5 2 2" xfId="20665" xr:uid="{00000000-0005-0000-0000-00008E930000}"/>
    <cellStyle name="Note 2 4 5 5 2 2 2" xfId="40065" xr:uid="{00000000-0005-0000-0000-00008F930000}"/>
    <cellStyle name="Note 2 4 5 5 2 3" xfId="30367" xr:uid="{00000000-0005-0000-0000-000090930000}"/>
    <cellStyle name="Note 2 4 5 5 3" xfId="16210" xr:uid="{00000000-0005-0000-0000-000091930000}"/>
    <cellStyle name="Note 2 4 5 5 3 2" xfId="35610" xr:uid="{00000000-0005-0000-0000-000092930000}"/>
    <cellStyle name="Note 2 4 5 5 4" xfId="25912" xr:uid="{00000000-0005-0000-0000-000093930000}"/>
    <cellStyle name="Note 2 4 5 6" xfId="6771" xr:uid="{00000000-0005-0000-0000-000094930000}"/>
    <cellStyle name="Note 2 4 5 6 2" xfId="11226" xr:uid="{00000000-0005-0000-0000-000095930000}"/>
    <cellStyle name="Note 2 4 5 6 2 2" xfId="21222" xr:uid="{00000000-0005-0000-0000-000096930000}"/>
    <cellStyle name="Note 2 4 5 6 2 2 2" xfId="40622" xr:uid="{00000000-0005-0000-0000-000097930000}"/>
    <cellStyle name="Note 2 4 5 6 2 3" xfId="30924" xr:uid="{00000000-0005-0000-0000-000098930000}"/>
    <cellStyle name="Note 2 4 5 6 3" xfId="16767" xr:uid="{00000000-0005-0000-0000-000099930000}"/>
    <cellStyle name="Note 2 4 5 6 3 2" xfId="36167" xr:uid="{00000000-0005-0000-0000-00009A930000}"/>
    <cellStyle name="Note 2 4 5 6 4" xfId="26469" xr:uid="{00000000-0005-0000-0000-00009B930000}"/>
    <cellStyle name="Note 2 4 5 7" xfId="7328" xr:uid="{00000000-0005-0000-0000-00009C930000}"/>
    <cellStyle name="Note 2 4 5 7 2" xfId="17324" xr:uid="{00000000-0005-0000-0000-00009D930000}"/>
    <cellStyle name="Note 2 4 5 7 2 2" xfId="36724" xr:uid="{00000000-0005-0000-0000-00009E930000}"/>
    <cellStyle name="Note 2 4 5 7 3" xfId="27026" xr:uid="{00000000-0005-0000-0000-00009F930000}"/>
    <cellStyle name="Note 2 4 5 8" xfId="12868" xr:uid="{00000000-0005-0000-0000-0000A0930000}"/>
    <cellStyle name="Note 2 4 5 8 2" xfId="32269" xr:uid="{00000000-0005-0000-0000-0000A1930000}"/>
    <cellStyle name="Note 2 4 5 9" xfId="22571" xr:uid="{00000000-0005-0000-0000-0000A2930000}"/>
    <cellStyle name="Note 2 5" xfId="1566" xr:uid="{00000000-0005-0000-0000-0000A3930000}"/>
    <cellStyle name="Note 2 5 2" xfId="2440" xr:uid="{00000000-0005-0000-0000-0000A4930000}"/>
    <cellStyle name="Note 2 5 2 10" xfId="12869" xr:uid="{00000000-0005-0000-0000-0000A5930000}"/>
    <cellStyle name="Note 2 5 2 10 2" xfId="32270" xr:uid="{00000000-0005-0000-0000-0000A6930000}"/>
    <cellStyle name="Note 2 5 2 11" xfId="22572" xr:uid="{00000000-0005-0000-0000-0000A7930000}"/>
    <cellStyle name="Note 2 5 2 2" xfId="2441" xr:uid="{00000000-0005-0000-0000-0000A8930000}"/>
    <cellStyle name="Note 2 5 2 2 2" xfId="3381" xr:uid="{00000000-0005-0000-0000-0000A9930000}"/>
    <cellStyle name="Note 2 5 2 2 2 2" xfId="5650" xr:uid="{00000000-0005-0000-0000-0000AA930000}"/>
    <cellStyle name="Note 2 5 2 2 2 2 2" xfId="10114" xr:uid="{00000000-0005-0000-0000-0000AB930000}"/>
    <cellStyle name="Note 2 5 2 2 2 2 2 2" xfId="20110" xr:uid="{00000000-0005-0000-0000-0000AC930000}"/>
    <cellStyle name="Note 2 5 2 2 2 2 2 2 2" xfId="39510" xr:uid="{00000000-0005-0000-0000-0000AD930000}"/>
    <cellStyle name="Note 2 5 2 2 2 2 2 3" xfId="29812" xr:uid="{00000000-0005-0000-0000-0000AE930000}"/>
    <cellStyle name="Note 2 5 2 2 2 2 3" xfId="15655" xr:uid="{00000000-0005-0000-0000-0000AF930000}"/>
    <cellStyle name="Note 2 5 2 2 2 2 3 2" xfId="35055" xr:uid="{00000000-0005-0000-0000-0000B0930000}"/>
    <cellStyle name="Note 2 5 2 2 2 2 4" xfId="25357" xr:uid="{00000000-0005-0000-0000-0000B1930000}"/>
    <cellStyle name="Note 2 5 2 2 2 3" xfId="7886" xr:uid="{00000000-0005-0000-0000-0000B2930000}"/>
    <cellStyle name="Note 2 5 2 2 2 3 2" xfId="17882" xr:uid="{00000000-0005-0000-0000-0000B3930000}"/>
    <cellStyle name="Note 2 5 2 2 2 3 2 2" xfId="37282" xr:uid="{00000000-0005-0000-0000-0000B4930000}"/>
    <cellStyle name="Note 2 5 2 2 2 3 3" xfId="27584" xr:uid="{00000000-0005-0000-0000-0000B5930000}"/>
    <cellStyle name="Note 2 5 2 2 2 4" xfId="13427" xr:uid="{00000000-0005-0000-0000-0000B6930000}"/>
    <cellStyle name="Note 2 5 2 2 2 4 2" xfId="32827" xr:uid="{00000000-0005-0000-0000-0000B7930000}"/>
    <cellStyle name="Note 2 5 2 2 2 5" xfId="23129" xr:uid="{00000000-0005-0000-0000-0000B8930000}"/>
    <cellStyle name="Note 2 5 2 2 3" xfId="3964" xr:uid="{00000000-0005-0000-0000-0000B9930000}"/>
    <cellStyle name="Note 2 5 2 2 3 2" xfId="5094" xr:uid="{00000000-0005-0000-0000-0000BA930000}"/>
    <cellStyle name="Note 2 5 2 2 3 2 2" xfId="9558" xr:uid="{00000000-0005-0000-0000-0000BB930000}"/>
    <cellStyle name="Note 2 5 2 2 3 2 2 2" xfId="19554" xr:uid="{00000000-0005-0000-0000-0000BC930000}"/>
    <cellStyle name="Note 2 5 2 2 3 2 2 2 2" xfId="38954" xr:uid="{00000000-0005-0000-0000-0000BD930000}"/>
    <cellStyle name="Note 2 5 2 2 3 2 2 3" xfId="29256" xr:uid="{00000000-0005-0000-0000-0000BE930000}"/>
    <cellStyle name="Note 2 5 2 2 3 2 3" xfId="15099" xr:uid="{00000000-0005-0000-0000-0000BF930000}"/>
    <cellStyle name="Note 2 5 2 2 3 2 3 2" xfId="34499" xr:uid="{00000000-0005-0000-0000-0000C0930000}"/>
    <cellStyle name="Note 2 5 2 2 3 2 4" xfId="24801" xr:uid="{00000000-0005-0000-0000-0000C1930000}"/>
    <cellStyle name="Note 2 5 2 2 3 3" xfId="8443" xr:uid="{00000000-0005-0000-0000-0000C2930000}"/>
    <cellStyle name="Note 2 5 2 2 3 3 2" xfId="18439" xr:uid="{00000000-0005-0000-0000-0000C3930000}"/>
    <cellStyle name="Note 2 5 2 2 3 3 2 2" xfId="37839" xr:uid="{00000000-0005-0000-0000-0000C4930000}"/>
    <cellStyle name="Note 2 5 2 2 3 3 3" xfId="28141" xr:uid="{00000000-0005-0000-0000-0000C5930000}"/>
    <cellStyle name="Note 2 5 2 2 3 4" xfId="13984" xr:uid="{00000000-0005-0000-0000-0000C6930000}"/>
    <cellStyle name="Note 2 5 2 2 3 4 2" xfId="33384" xr:uid="{00000000-0005-0000-0000-0000C7930000}"/>
    <cellStyle name="Note 2 5 2 2 3 5" xfId="23686" xr:uid="{00000000-0005-0000-0000-0000C8930000}"/>
    <cellStyle name="Note 2 5 2 2 4" xfId="4537" xr:uid="{00000000-0005-0000-0000-0000C9930000}"/>
    <cellStyle name="Note 2 5 2 2 4 2" xfId="9001" xr:uid="{00000000-0005-0000-0000-0000CA930000}"/>
    <cellStyle name="Note 2 5 2 2 4 2 2" xfId="18997" xr:uid="{00000000-0005-0000-0000-0000CB930000}"/>
    <cellStyle name="Note 2 5 2 2 4 2 2 2" xfId="38397" xr:uid="{00000000-0005-0000-0000-0000CC930000}"/>
    <cellStyle name="Note 2 5 2 2 4 2 3" xfId="28699" xr:uid="{00000000-0005-0000-0000-0000CD930000}"/>
    <cellStyle name="Note 2 5 2 2 4 3" xfId="14542" xr:uid="{00000000-0005-0000-0000-0000CE930000}"/>
    <cellStyle name="Note 2 5 2 2 4 3 2" xfId="33942" xr:uid="{00000000-0005-0000-0000-0000CF930000}"/>
    <cellStyle name="Note 2 5 2 2 4 4" xfId="24244" xr:uid="{00000000-0005-0000-0000-0000D0930000}"/>
    <cellStyle name="Note 2 5 2 2 5" xfId="6207" xr:uid="{00000000-0005-0000-0000-0000D1930000}"/>
    <cellStyle name="Note 2 5 2 2 5 2" xfId="10671" xr:uid="{00000000-0005-0000-0000-0000D2930000}"/>
    <cellStyle name="Note 2 5 2 2 5 2 2" xfId="20667" xr:uid="{00000000-0005-0000-0000-0000D3930000}"/>
    <cellStyle name="Note 2 5 2 2 5 2 2 2" xfId="40067" xr:uid="{00000000-0005-0000-0000-0000D4930000}"/>
    <cellStyle name="Note 2 5 2 2 5 2 3" xfId="30369" xr:uid="{00000000-0005-0000-0000-0000D5930000}"/>
    <cellStyle name="Note 2 5 2 2 5 3" xfId="16212" xr:uid="{00000000-0005-0000-0000-0000D6930000}"/>
    <cellStyle name="Note 2 5 2 2 5 3 2" xfId="35612" xr:uid="{00000000-0005-0000-0000-0000D7930000}"/>
    <cellStyle name="Note 2 5 2 2 5 4" xfId="25914" xr:uid="{00000000-0005-0000-0000-0000D8930000}"/>
    <cellStyle name="Note 2 5 2 2 6" xfId="6773" xr:uid="{00000000-0005-0000-0000-0000D9930000}"/>
    <cellStyle name="Note 2 5 2 2 6 2" xfId="11228" xr:uid="{00000000-0005-0000-0000-0000DA930000}"/>
    <cellStyle name="Note 2 5 2 2 6 2 2" xfId="21224" xr:uid="{00000000-0005-0000-0000-0000DB930000}"/>
    <cellStyle name="Note 2 5 2 2 6 2 2 2" xfId="40624" xr:uid="{00000000-0005-0000-0000-0000DC930000}"/>
    <cellStyle name="Note 2 5 2 2 6 2 3" xfId="30926" xr:uid="{00000000-0005-0000-0000-0000DD930000}"/>
    <cellStyle name="Note 2 5 2 2 6 3" xfId="16769" xr:uid="{00000000-0005-0000-0000-0000DE930000}"/>
    <cellStyle name="Note 2 5 2 2 6 3 2" xfId="36169" xr:uid="{00000000-0005-0000-0000-0000DF930000}"/>
    <cellStyle name="Note 2 5 2 2 6 4" xfId="26471" xr:uid="{00000000-0005-0000-0000-0000E0930000}"/>
    <cellStyle name="Note 2 5 2 2 7" xfId="7330" xr:uid="{00000000-0005-0000-0000-0000E1930000}"/>
    <cellStyle name="Note 2 5 2 2 7 2" xfId="17326" xr:uid="{00000000-0005-0000-0000-0000E2930000}"/>
    <cellStyle name="Note 2 5 2 2 7 2 2" xfId="36726" xr:uid="{00000000-0005-0000-0000-0000E3930000}"/>
    <cellStyle name="Note 2 5 2 2 7 3" xfId="27028" xr:uid="{00000000-0005-0000-0000-0000E4930000}"/>
    <cellStyle name="Note 2 5 2 2 8" xfId="12870" xr:uid="{00000000-0005-0000-0000-0000E5930000}"/>
    <cellStyle name="Note 2 5 2 2 8 2" xfId="32271" xr:uid="{00000000-0005-0000-0000-0000E6930000}"/>
    <cellStyle name="Note 2 5 2 2 9" xfId="22573" xr:uid="{00000000-0005-0000-0000-0000E7930000}"/>
    <cellStyle name="Note 2 5 2 3" xfId="2442" xr:uid="{00000000-0005-0000-0000-0000E8930000}"/>
    <cellStyle name="Note 2 5 2 3 2" xfId="3382" xr:uid="{00000000-0005-0000-0000-0000E9930000}"/>
    <cellStyle name="Note 2 5 2 3 2 2" xfId="5651" xr:uid="{00000000-0005-0000-0000-0000EA930000}"/>
    <cellStyle name="Note 2 5 2 3 2 2 2" xfId="10115" xr:uid="{00000000-0005-0000-0000-0000EB930000}"/>
    <cellStyle name="Note 2 5 2 3 2 2 2 2" xfId="20111" xr:uid="{00000000-0005-0000-0000-0000EC930000}"/>
    <cellStyle name="Note 2 5 2 3 2 2 2 2 2" xfId="39511" xr:uid="{00000000-0005-0000-0000-0000ED930000}"/>
    <cellStyle name="Note 2 5 2 3 2 2 2 3" xfId="29813" xr:uid="{00000000-0005-0000-0000-0000EE930000}"/>
    <cellStyle name="Note 2 5 2 3 2 2 3" xfId="15656" xr:uid="{00000000-0005-0000-0000-0000EF930000}"/>
    <cellStyle name="Note 2 5 2 3 2 2 3 2" xfId="35056" xr:uid="{00000000-0005-0000-0000-0000F0930000}"/>
    <cellStyle name="Note 2 5 2 3 2 2 4" xfId="25358" xr:uid="{00000000-0005-0000-0000-0000F1930000}"/>
    <cellStyle name="Note 2 5 2 3 2 3" xfId="7887" xr:uid="{00000000-0005-0000-0000-0000F2930000}"/>
    <cellStyle name="Note 2 5 2 3 2 3 2" xfId="17883" xr:uid="{00000000-0005-0000-0000-0000F3930000}"/>
    <cellStyle name="Note 2 5 2 3 2 3 2 2" xfId="37283" xr:uid="{00000000-0005-0000-0000-0000F4930000}"/>
    <cellStyle name="Note 2 5 2 3 2 3 3" xfId="27585" xr:uid="{00000000-0005-0000-0000-0000F5930000}"/>
    <cellStyle name="Note 2 5 2 3 2 4" xfId="13428" xr:uid="{00000000-0005-0000-0000-0000F6930000}"/>
    <cellStyle name="Note 2 5 2 3 2 4 2" xfId="32828" xr:uid="{00000000-0005-0000-0000-0000F7930000}"/>
    <cellStyle name="Note 2 5 2 3 2 5" xfId="23130" xr:uid="{00000000-0005-0000-0000-0000F8930000}"/>
    <cellStyle name="Note 2 5 2 3 3" xfId="3965" xr:uid="{00000000-0005-0000-0000-0000F9930000}"/>
    <cellStyle name="Note 2 5 2 3 3 2" xfId="5095" xr:uid="{00000000-0005-0000-0000-0000FA930000}"/>
    <cellStyle name="Note 2 5 2 3 3 2 2" xfId="9559" xr:uid="{00000000-0005-0000-0000-0000FB930000}"/>
    <cellStyle name="Note 2 5 2 3 3 2 2 2" xfId="19555" xr:uid="{00000000-0005-0000-0000-0000FC930000}"/>
    <cellStyle name="Note 2 5 2 3 3 2 2 2 2" xfId="38955" xr:uid="{00000000-0005-0000-0000-0000FD930000}"/>
    <cellStyle name="Note 2 5 2 3 3 2 2 3" xfId="29257" xr:uid="{00000000-0005-0000-0000-0000FE930000}"/>
    <cellStyle name="Note 2 5 2 3 3 2 3" xfId="15100" xr:uid="{00000000-0005-0000-0000-0000FF930000}"/>
    <cellStyle name="Note 2 5 2 3 3 2 3 2" xfId="34500" xr:uid="{00000000-0005-0000-0000-000000940000}"/>
    <cellStyle name="Note 2 5 2 3 3 2 4" xfId="24802" xr:uid="{00000000-0005-0000-0000-000001940000}"/>
    <cellStyle name="Note 2 5 2 3 3 3" xfId="8444" xr:uid="{00000000-0005-0000-0000-000002940000}"/>
    <cellStyle name="Note 2 5 2 3 3 3 2" xfId="18440" xr:uid="{00000000-0005-0000-0000-000003940000}"/>
    <cellStyle name="Note 2 5 2 3 3 3 2 2" xfId="37840" xr:uid="{00000000-0005-0000-0000-000004940000}"/>
    <cellStyle name="Note 2 5 2 3 3 3 3" xfId="28142" xr:uid="{00000000-0005-0000-0000-000005940000}"/>
    <cellStyle name="Note 2 5 2 3 3 4" xfId="13985" xr:uid="{00000000-0005-0000-0000-000006940000}"/>
    <cellStyle name="Note 2 5 2 3 3 4 2" xfId="33385" xr:uid="{00000000-0005-0000-0000-000007940000}"/>
    <cellStyle name="Note 2 5 2 3 3 5" xfId="23687" xr:uid="{00000000-0005-0000-0000-000008940000}"/>
    <cellStyle name="Note 2 5 2 3 4" xfId="4538" xr:uid="{00000000-0005-0000-0000-000009940000}"/>
    <cellStyle name="Note 2 5 2 3 4 2" xfId="9002" xr:uid="{00000000-0005-0000-0000-00000A940000}"/>
    <cellStyle name="Note 2 5 2 3 4 2 2" xfId="18998" xr:uid="{00000000-0005-0000-0000-00000B940000}"/>
    <cellStyle name="Note 2 5 2 3 4 2 2 2" xfId="38398" xr:uid="{00000000-0005-0000-0000-00000C940000}"/>
    <cellStyle name="Note 2 5 2 3 4 2 3" xfId="28700" xr:uid="{00000000-0005-0000-0000-00000D940000}"/>
    <cellStyle name="Note 2 5 2 3 4 3" xfId="14543" xr:uid="{00000000-0005-0000-0000-00000E940000}"/>
    <cellStyle name="Note 2 5 2 3 4 3 2" xfId="33943" xr:uid="{00000000-0005-0000-0000-00000F940000}"/>
    <cellStyle name="Note 2 5 2 3 4 4" xfId="24245" xr:uid="{00000000-0005-0000-0000-000010940000}"/>
    <cellStyle name="Note 2 5 2 3 5" xfId="6208" xr:uid="{00000000-0005-0000-0000-000011940000}"/>
    <cellStyle name="Note 2 5 2 3 5 2" xfId="10672" xr:uid="{00000000-0005-0000-0000-000012940000}"/>
    <cellStyle name="Note 2 5 2 3 5 2 2" xfId="20668" xr:uid="{00000000-0005-0000-0000-000013940000}"/>
    <cellStyle name="Note 2 5 2 3 5 2 2 2" xfId="40068" xr:uid="{00000000-0005-0000-0000-000014940000}"/>
    <cellStyle name="Note 2 5 2 3 5 2 3" xfId="30370" xr:uid="{00000000-0005-0000-0000-000015940000}"/>
    <cellStyle name="Note 2 5 2 3 5 3" xfId="16213" xr:uid="{00000000-0005-0000-0000-000016940000}"/>
    <cellStyle name="Note 2 5 2 3 5 3 2" xfId="35613" xr:uid="{00000000-0005-0000-0000-000017940000}"/>
    <cellStyle name="Note 2 5 2 3 5 4" xfId="25915" xr:uid="{00000000-0005-0000-0000-000018940000}"/>
    <cellStyle name="Note 2 5 2 3 6" xfId="6774" xr:uid="{00000000-0005-0000-0000-000019940000}"/>
    <cellStyle name="Note 2 5 2 3 6 2" xfId="11229" xr:uid="{00000000-0005-0000-0000-00001A940000}"/>
    <cellStyle name="Note 2 5 2 3 6 2 2" xfId="21225" xr:uid="{00000000-0005-0000-0000-00001B940000}"/>
    <cellStyle name="Note 2 5 2 3 6 2 2 2" xfId="40625" xr:uid="{00000000-0005-0000-0000-00001C940000}"/>
    <cellStyle name="Note 2 5 2 3 6 2 3" xfId="30927" xr:uid="{00000000-0005-0000-0000-00001D940000}"/>
    <cellStyle name="Note 2 5 2 3 6 3" xfId="16770" xr:uid="{00000000-0005-0000-0000-00001E940000}"/>
    <cellStyle name="Note 2 5 2 3 6 3 2" xfId="36170" xr:uid="{00000000-0005-0000-0000-00001F940000}"/>
    <cellStyle name="Note 2 5 2 3 6 4" xfId="26472" xr:uid="{00000000-0005-0000-0000-000020940000}"/>
    <cellStyle name="Note 2 5 2 3 7" xfId="7331" xr:uid="{00000000-0005-0000-0000-000021940000}"/>
    <cellStyle name="Note 2 5 2 3 7 2" xfId="17327" xr:uid="{00000000-0005-0000-0000-000022940000}"/>
    <cellStyle name="Note 2 5 2 3 7 2 2" xfId="36727" xr:uid="{00000000-0005-0000-0000-000023940000}"/>
    <cellStyle name="Note 2 5 2 3 7 3" xfId="27029" xr:uid="{00000000-0005-0000-0000-000024940000}"/>
    <cellStyle name="Note 2 5 2 3 8" xfId="12871" xr:uid="{00000000-0005-0000-0000-000025940000}"/>
    <cellStyle name="Note 2 5 2 3 8 2" xfId="32272" xr:uid="{00000000-0005-0000-0000-000026940000}"/>
    <cellStyle name="Note 2 5 2 3 9" xfId="22574" xr:uid="{00000000-0005-0000-0000-000027940000}"/>
    <cellStyle name="Note 2 5 2 4" xfId="3380" xr:uid="{00000000-0005-0000-0000-000028940000}"/>
    <cellStyle name="Note 2 5 2 4 2" xfId="5649" xr:uid="{00000000-0005-0000-0000-000029940000}"/>
    <cellStyle name="Note 2 5 2 4 2 2" xfId="10113" xr:uid="{00000000-0005-0000-0000-00002A940000}"/>
    <cellStyle name="Note 2 5 2 4 2 2 2" xfId="20109" xr:uid="{00000000-0005-0000-0000-00002B940000}"/>
    <cellStyle name="Note 2 5 2 4 2 2 2 2" xfId="39509" xr:uid="{00000000-0005-0000-0000-00002C940000}"/>
    <cellStyle name="Note 2 5 2 4 2 2 3" xfId="29811" xr:uid="{00000000-0005-0000-0000-00002D940000}"/>
    <cellStyle name="Note 2 5 2 4 2 3" xfId="15654" xr:uid="{00000000-0005-0000-0000-00002E940000}"/>
    <cellStyle name="Note 2 5 2 4 2 3 2" xfId="35054" xr:uid="{00000000-0005-0000-0000-00002F940000}"/>
    <cellStyle name="Note 2 5 2 4 2 4" xfId="25356" xr:uid="{00000000-0005-0000-0000-000030940000}"/>
    <cellStyle name="Note 2 5 2 4 3" xfId="7885" xr:uid="{00000000-0005-0000-0000-000031940000}"/>
    <cellStyle name="Note 2 5 2 4 3 2" xfId="17881" xr:uid="{00000000-0005-0000-0000-000032940000}"/>
    <cellStyle name="Note 2 5 2 4 3 2 2" xfId="37281" xr:uid="{00000000-0005-0000-0000-000033940000}"/>
    <cellStyle name="Note 2 5 2 4 3 3" xfId="27583" xr:uid="{00000000-0005-0000-0000-000034940000}"/>
    <cellStyle name="Note 2 5 2 4 4" xfId="13426" xr:uid="{00000000-0005-0000-0000-000035940000}"/>
    <cellStyle name="Note 2 5 2 4 4 2" xfId="32826" xr:uid="{00000000-0005-0000-0000-000036940000}"/>
    <cellStyle name="Note 2 5 2 4 5" xfId="23128" xr:uid="{00000000-0005-0000-0000-000037940000}"/>
    <cellStyle name="Note 2 5 2 5" xfId="3963" xr:uid="{00000000-0005-0000-0000-000038940000}"/>
    <cellStyle name="Note 2 5 2 5 2" xfId="5093" xr:uid="{00000000-0005-0000-0000-000039940000}"/>
    <cellStyle name="Note 2 5 2 5 2 2" xfId="9557" xr:uid="{00000000-0005-0000-0000-00003A940000}"/>
    <cellStyle name="Note 2 5 2 5 2 2 2" xfId="19553" xr:uid="{00000000-0005-0000-0000-00003B940000}"/>
    <cellStyle name="Note 2 5 2 5 2 2 2 2" xfId="38953" xr:uid="{00000000-0005-0000-0000-00003C940000}"/>
    <cellStyle name="Note 2 5 2 5 2 2 3" xfId="29255" xr:uid="{00000000-0005-0000-0000-00003D940000}"/>
    <cellStyle name="Note 2 5 2 5 2 3" xfId="15098" xr:uid="{00000000-0005-0000-0000-00003E940000}"/>
    <cellStyle name="Note 2 5 2 5 2 3 2" xfId="34498" xr:uid="{00000000-0005-0000-0000-00003F940000}"/>
    <cellStyle name="Note 2 5 2 5 2 4" xfId="24800" xr:uid="{00000000-0005-0000-0000-000040940000}"/>
    <cellStyle name="Note 2 5 2 5 3" xfId="8442" xr:uid="{00000000-0005-0000-0000-000041940000}"/>
    <cellStyle name="Note 2 5 2 5 3 2" xfId="18438" xr:uid="{00000000-0005-0000-0000-000042940000}"/>
    <cellStyle name="Note 2 5 2 5 3 2 2" xfId="37838" xr:uid="{00000000-0005-0000-0000-000043940000}"/>
    <cellStyle name="Note 2 5 2 5 3 3" xfId="28140" xr:uid="{00000000-0005-0000-0000-000044940000}"/>
    <cellStyle name="Note 2 5 2 5 4" xfId="13983" xr:uid="{00000000-0005-0000-0000-000045940000}"/>
    <cellStyle name="Note 2 5 2 5 4 2" xfId="33383" xr:uid="{00000000-0005-0000-0000-000046940000}"/>
    <cellStyle name="Note 2 5 2 5 5" xfId="23685" xr:uid="{00000000-0005-0000-0000-000047940000}"/>
    <cellStyle name="Note 2 5 2 6" xfId="4536" xr:uid="{00000000-0005-0000-0000-000048940000}"/>
    <cellStyle name="Note 2 5 2 6 2" xfId="9000" xr:uid="{00000000-0005-0000-0000-000049940000}"/>
    <cellStyle name="Note 2 5 2 6 2 2" xfId="18996" xr:uid="{00000000-0005-0000-0000-00004A940000}"/>
    <cellStyle name="Note 2 5 2 6 2 2 2" xfId="38396" xr:uid="{00000000-0005-0000-0000-00004B940000}"/>
    <cellStyle name="Note 2 5 2 6 2 3" xfId="28698" xr:uid="{00000000-0005-0000-0000-00004C940000}"/>
    <cellStyle name="Note 2 5 2 6 3" xfId="14541" xr:uid="{00000000-0005-0000-0000-00004D940000}"/>
    <cellStyle name="Note 2 5 2 6 3 2" xfId="33941" xr:uid="{00000000-0005-0000-0000-00004E940000}"/>
    <cellStyle name="Note 2 5 2 6 4" xfId="24243" xr:uid="{00000000-0005-0000-0000-00004F940000}"/>
    <cellStyle name="Note 2 5 2 7" xfId="6206" xr:uid="{00000000-0005-0000-0000-000050940000}"/>
    <cellStyle name="Note 2 5 2 7 2" xfId="10670" xr:uid="{00000000-0005-0000-0000-000051940000}"/>
    <cellStyle name="Note 2 5 2 7 2 2" xfId="20666" xr:uid="{00000000-0005-0000-0000-000052940000}"/>
    <cellStyle name="Note 2 5 2 7 2 2 2" xfId="40066" xr:uid="{00000000-0005-0000-0000-000053940000}"/>
    <cellStyle name="Note 2 5 2 7 2 3" xfId="30368" xr:uid="{00000000-0005-0000-0000-000054940000}"/>
    <cellStyle name="Note 2 5 2 7 3" xfId="16211" xr:uid="{00000000-0005-0000-0000-000055940000}"/>
    <cellStyle name="Note 2 5 2 7 3 2" xfId="35611" xr:uid="{00000000-0005-0000-0000-000056940000}"/>
    <cellStyle name="Note 2 5 2 7 4" xfId="25913" xr:uid="{00000000-0005-0000-0000-000057940000}"/>
    <cellStyle name="Note 2 5 2 8" xfId="6772" xr:uid="{00000000-0005-0000-0000-000058940000}"/>
    <cellStyle name="Note 2 5 2 8 2" xfId="11227" xr:uid="{00000000-0005-0000-0000-000059940000}"/>
    <cellStyle name="Note 2 5 2 8 2 2" xfId="21223" xr:uid="{00000000-0005-0000-0000-00005A940000}"/>
    <cellStyle name="Note 2 5 2 8 2 2 2" xfId="40623" xr:uid="{00000000-0005-0000-0000-00005B940000}"/>
    <cellStyle name="Note 2 5 2 8 2 3" xfId="30925" xr:uid="{00000000-0005-0000-0000-00005C940000}"/>
    <cellStyle name="Note 2 5 2 8 3" xfId="16768" xr:uid="{00000000-0005-0000-0000-00005D940000}"/>
    <cellStyle name="Note 2 5 2 8 3 2" xfId="36168" xr:uid="{00000000-0005-0000-0000-00005E940000}"/>
    <cellStyle name="Note 2 5 2 8 4" xfId="26470" xr:uid="{00000000-0005-0000-0000-00005F940000}"/>
    <cellStyle name="Note 2 5 2 9" xfId="7329" xr:uid="{00000000-0005-0000-0000-000060940000}"/>
    <cellStyle name="Note 2 5 2 9 2" xfId="17325" xr:uid="{00000000-0005-0000-0000-000061940000}"/>
    <cellStyle name="Note 2 5 2 9 2 2" xfId="36725" xr:uid="{00000000-0005-0000-0000-000062940000}"/>
    <cellStyle name="Note 2 5 2 9 3" xfId="27027" xr:uid="{00000000-0005-0000-0000-000063940000}"/>
    <cellStyle name="Note 2 5 3" xfId="2443" xr:uid="{00000000-0005-0000-0000-000064940000}"/>
    <cellStyle name="Note 2 5 3 2" xfId="3383" xr:uid="{00000000-0005-0000-0000-000065940000}"/>
    <cellStyle name="Note 2 5 3 2 2" xfId="5652" xr:uid="{00000000-0005-0000-0000-000066940000}"/>
    <cellStyle name="Note 2 5 3 2 2 2" xfId="10116" xr:uid="{00000000-0005-0000-0000-000067940000}"/>
    <cellStyle name="Note 2 5 3 2 2 2 2" xfId="20112" xr:uid="{00000000-0005-0000-0000-000068940000}"/>
    <cellStyle name="Note 2 5 3 2 2 2 2 2" xfId="39512" xr:uid="{00000000-0005-0000-0000-000069940000}"/>
    <cellStyle name="Note 2 5 3 2 2 2 3" xfId="29814" xr:uid="{00000000-0005-0000-0000-00006A940000}"/>
    <cellStyle name="Note 2 5 3 2 2 3" xfId="15657" xr:uid="{00000000-0005-0000-0000-00006B940000}"/>
    <cellStyle name="Note 2 5 3 2 2 3 2" xfId="35057" xr:uid="{00000000-0005-0000-0000-00006C940000}"/>
    <cellStyle name="Note 2 5 3 2 2 4" xfId="25359" xr:uid="{00000000-0005-0000-0000-00006D940000}"/>
    <cellStyle name="Note 2 5 3 2 3" xfId="7888" xr:uid="{00000000-0005-0000-0000-00006E940000}"/>
    <cellStyle name="Note 2 5 3 2 3 2" xfId="17884" xr:uid="{00000000-0005-0000-0000-00006F940000}"/>
    <cellStyle name="Note 2 5 3 2 3 2 2" xfId="37284" xr:uid="{00000000-0005-0000-0000-000070940000}"/>
    <cellStyle name="Note 2 5 3 2 3 3" xfId="27586" xr:uid="{00000000-0005-0000-0000-000071940000}"/>
    <cellStyle name="Note 2 5 3 2 4" xfId="13429" xr:uid="{00000000-0005-0000-0000-000072940000}"/>
    <cellStyle name="Note 2 5 3 2 4 2" xfId="32829" xr:uid="{00000000-0005-0000-0000-000073940000}"/>
    <cellStyle name="Note 2 5 3 2 5" xfId="23131" xr:uid="{00000000-0005-0000-0000-000074940000}"/>
    <cellStyle name="Note 2 5 3 3" xfId="3966" xr:uid="{00000000-0005-0000-0000-000075940000}"/>
    <cellStyle name="Note 2 5 3 3 2" xfId="5096" xr:uid="{00000000-0005-0000-0000-000076940000}"/>
    <cellStyle name="Note 2 5 3 3 2 2" xfId="9560" xr:uid="{00000000-0005-0000-0000-000077940000}"/>
    <cellStyle name="Note 2 5 3 3 2 2 2" xfId="19556" xr:uid="{00000000-0005-0000-0000-000078940000}"/>
    <cellStyle name="Note 2 5 3 3 2 2 2 2" xfId="38956" xr:uid="{00000000-0005-0000-0000-000079940000}"/>
    <cellStyle name="Note 2 5 3 3 2 2 3" xfId="29258" xr:uid="{00000000-0005-0000-0000-00007A940000}"/>
    <cellStyle name="Note 2 5 3 3 2 3" xfId="15101" xr:uid="{00000000-0005-0000-0000-00007B940000}"/>
    <cellStyle name="Note 2 5 3 3 2 3 2" xfId="34501" xr:uid="{00000000-0005-0000-0000-00007C940000}"/>
    <cellStyle name="Note 2 5 3 3 2 4" xfId="24803" xr:uid="{00000000-0005-0000-0000-00007D940000}"/>
    <cellStyle name="Note 2 5 3 3 3" xfId="8445" xr:uid="{00000000-0005-0000-0000-00007E940000}"/>
    <cellStyle name="Note 2 5 3 3 3 2" xfId="18441" xr:uid="{00000000-0005-0000-0000-00007F940000}"/>
    <cellStyle name="Note 2 5 3 3 3 2 2" xfId="37841" xr:uid="{00000000-0005-0000-0000-000080940000}"/>
    <cellStyle name="Note 2 5 3 3 3 3" xfId="28143" xr:uid="{00000000-0005-0000-0000-000081940000}"/>
    <cellStyle name="Note 2 5 3 3 4" xfId="13986" xr:uid="{00000000-0005-0000-0000-000082940000}"/>
    <cellStyle name="Note 2 5 3 3 4 2" xfId="33386" xr:uid="{00000000-0005-0000-0000-000083940000}"/>
    <cellStyle name="Note 2 5 3 3 5" xfId="23688" xr:uid="{00000000-0005-0000-0000-000084940000}"/>
    <cellStyle name="Note 2 5 3 4" xfId="4539" xr:uid="{00000000-0005-0000-0000-000085940000}"/>
    <cellStyle name="Note 2 5 3 4 2" xfId="9003" xr:uid="{00000000-0005-0000-0000-000086940000}"/>
    <cellStyle name="Note 2 5 3 4 2 2" xfId="18999" xr:uid="{00000000-0005-0000-0000-000087940000}"/>
    <cellStyle name="Note 2 5 3 4 2 2 2" xfId="38399" xr:uid="{00000000-0005-0000-0000-000088940000}"/>
    <cellStyle name="Note 2 5 3 4 2 3" xfId="28701" xr:uid="{00000000-0005-0000-0000-000089940000}"/>
    <cellStyle name="Note 2 5 3 4 3" xfId="14544" xr:uid="{00000000-0005-0000-0000-00008A940000}"/>
    <cellStyle name="Note 2 5 3 4 3 2" xfId="33944" xr:uid="{00000000-0005-0000-0000-00008B940000}"/>
    <cellStyle name="Note 2 5 3 4 4" xfId="24246" xr:uid="{00000000-0005-0000-0000-00008C940000}"/>
    <cellStyle name="Note 2 5 3 5" xfId="6209" xr:uid="{00000000-0005-0000-0000-00008D940000}"/>
    <cellStyle name="Note 2 5 3 5 2" xfId="10673" xr:uid="{00000000-0005-0000-0000-00008E940000}"/>
    <cellStyle name="Note 2 5 3 5 2 2" xfId="20669" xr:uid="{00000000-0005-0000-0000-00008F940000}"/>
    <cellStyle name="Note 2 5 3 5 2 2 2" xfId="40069" xr:uid="{00000000-0005-0000-0000-000090940000}"/>
    <cellStyle name="Note 2 5 3 5 2 3" xfId="30371" xr:uid="{00000000-0005-0000-0000-000091940000}"/>
    <cellStyle name="Note 2 5 3 5 3" xfId="16214" xr:uid="{00000000-0005-0000-0000-000092940000}"/>
    <cellStyle name="Note 2 5 3 5 3 2" xfId="35614" xr:uid="{00000000-0005-0000-0000-000093940000}"/>
    <cellStyle name="Note 2 5 3 5 4" xfId="25916" xr:uid="{00000000-0005-0000-0000-000094940000}"/>
    <cellStyle name="Note 2 5 3 6" xfId="6775" xr:uid="{00000000-0005-0000-0000-000095940000}"/>
    <cellStyle name="Note 2 5 3 6 2" xfId="11230" xr:uid="{00000000-0005-0000-0000-000096940000}"/>
    <cellStyle name="Note 2 5 3 6 2 2" xfId="21226" xr:uid="{00000000-0005-0000-0000-000097940000}"/>
    <cellStyle name="Note 2 5 3 6 2 2 2" xfId="40626" xr:uid="{00000000-0005-0000-0000-000098940000}"/>
    <cellStyle name="Note 2 5 3 6 2 3" xfId="30928" xr:uid="{00000000-0005-0000-0000-000099940000}"/>
    <cellStyle name="Note 2 5 3 6 3" xfId="16771" xr:uid="{00000000-0005-0000-0000-00009A940000}"/>
    <cellStyle name="Note 2 5 3 6 3 2" xfId="36171" xr:uid="{00000000-0005-0000-0000-00009B940000}"/>
    <cellStyle name="Note 2 5 3 6 4" xfId="26473" xr:uid="{00000000-0005-0000-0000-00009C940000}"/>
    <cellStyle name="Note 2 5 3 7" xfId="7332" xr:uid="{00000000-0005-0000-0000-00009D940000}"/>
    <cellStyle name="Note 2 5 3 7 2" xfId="17328" xr:uid="{00000000-0005-0000-0000-00009E940000}"/>
    <cellStyle name="Note 2 5 3 7 2 2" xfId="36728" xr:uid="{00000000-0005-0000-0000-00009F940000}"/>
    <cellStyle name="Note 2 5 3 7 3" xfId="27030" xr:uid="{00000000-0005-0000-0000-0000A0940000}"/>
    <cellStyle name="Note 2 5 3 8" xfId="12872" xr:uid="{00000000-0005-0000-0000-0000A1940000}"/>
    <cellStyle name="Note 2 5 3 8 2" xfId="32273" xr:uid="{00000000-0005-0000-0000-0000A2940000}"/>
    <cellStyle name="Note 2 5 3 9" xfId="22575" xr:uid="{00000000-0005-0000-0000-0000A3940000}"/>
    <cellStyle name="Note 2 5 4" xfId="2444" xr:uid="{00000000-0005-0000-0000-0000A4940000}"/>
    <cellStyle name="Note 2 5 4 2" xfId="3384" xr:uid="{00000000-0005-0000-0000-0000A5940000}"/>
    <cellStyle name="Note 2 5 4 2 2" xfId="5653" xr:uid="{00000000-0005-0000-0000-0000A6940000}"/>
    <cellStyle name="Note 2 5 4 2 2 2" xfId="10117" xr:uid="{00000000-0005-0000-0000-0000A7940000}"/>
    <cellStyle name="Note 2 5 4 2 2 2 2" xfId="20113" xr:uid="{00000000-0005-0000-0000-0000A8940000}"/>
    <cellStyle name="Note 2 5 4 2 2 2 2 2" xfId="39513" xr:uid="{00000000-0005-0000-0000-0000A9940000}"/>
    <cellStyle name="Note 2 5 4 2 2 2 3" xfId="29815" xr:uid="{00000000-0005-0000-0000-0000AA940000}"/>
    <cellStyle name="Note 2 5 4 2 2 3" xfId="15658" xr:uid="{00000000-0005-0000-0000-0000AB940000}"/>
    <cellStyle name="Note 2 5 4 2 2 3 2" xfId="35058" xr:uid="{00000000-0005-0000-0000-0000AC940000}"/>
    <cellStyle name="Note 2 5 4 2 2 4" xfId="25360" xr:uid="{00000000-0005-0000-0000-0000AD940000}"/>
    <cellStyle name="Note 2 5 4 2 3" xfId="7889" xr:uid="{00000000-0005-0000-0000-0000AE940000}"/>
    <cellStyle name="Note 2 5 4 2 3 2" xfId="17885" xr:uid="{00000000-0005-0000-0000-0000AF940000}"/>
    <cellStyle name="Note 2 5 4 2 3 2 2" xfId="37285" xr:uid="{00000000-0005-0000-0000-0000B0940000}"/>
    <cellStyle name="Note 2 5 4 2 3 3" xfId="27587" xr:uid="{00000000-0005-0000-0000-0000B1940000}"/>
    <cellStyle name="Note 2 5 4 2 4" xfId="13430" xr:uid="{00000000-0005-0000-0000-0000B2940000}"/>
    <cellStyle name="Note 2 5 4 2 4 2" xfId="32830" xr:uid="{00000000-0005-0000-0000-0000B3940000}"/>
    <cellStyle name="Note 2 5 4 2 5" xfId="23132" xr:uid="{00000000-0005-0000-0000-0000B4940000}"/>
    <cellStyle name="Note 2 5 4 3" xfId="3967" xr:uid="{00000000-0005-0000-0000-0000B5940000}"/>
    <cellStyle name="Note 2 5 4 3 2" xfId="5097" xr:uid="{00000000-0005-0000-0000-0000B6940000}"/>
    <cellStyle name="Note 2 5 4 3 2 2" xfId="9561" xr:uid="{00000000-0005-0000-0000-0000B7940000}"/>
    <cellStyle name="Note 2 5 4 3 2 2 2" xfId="19557" xr:uid="{00000000-0005-0000-0000-0000B8940000}"/>
    <cellStyle name="Note 2 5 4 3 2 2 2 2" xfId="38957" xr:uid="{00000000-0005-0000-0000-0000B9940000}"/>
    <cellStyle name="Note 2 5 4 3 2 2 3" xfId="29259" xr:uid="{00000000-0005-0000-0000-0000BA940000}"/>
    <cellStyle name="Note 2 5 4 3 2 3" xfId="15102" xr:uid="{00000000-0005-0000-0000-0000BB940000}"/>
    <cellStyle name="Note 2 5 4 3 2 3 2" xfId="34502" xr:uid="{00000000-0005-0000-0000-0000BC940000}"/>
    <cellStyle name="Note 2 5 4 3 2 4" xfId="24804" xr:uid="{00000000-0005-0000-0000-0000BD940000}"/>
    <cellStyle name="Note 2 5 4 3 3" xfId="8446" xr:uid="{00000000-0005-0000-0000-0000BE940000}"/>
    <cellStyle name="Note 2 5 4 3 3 2" xfId="18442" xr:uid="{00000000-0005-0000-0000-0000BF940000}"/>
    <cellStyle name="Note 2 5 4 3 3 2 2" xfId="37842" xr:uid="{00000000-0005-0000-0000-0000C0940000}"/>
    <cellStyle name="Note 2 5 4 3 3 3" xfId="28144" xr:uid="{00000000-0005-0000-0000-0000C1940000}"/>
    <cellStyle name="Note 2 5 4 3 4" xfId="13987" xr:uid="{00000000-0005-0000-0000-0000C2940000}"/>
    <cellStyle name="Note 2 5 4 3 4 2" xfId="33387" xr:uid="{00000000-0005-0000-0000-0000C3940000}"/>
    <cellStyle name="Note 2 5 4 3 5" xfId="23689" xr:uid="{00000000-0005-0000-0000-0000C4940000}"/>
    <cellStyle name="Note 2 5 4 4" xfId="4540" xr:uid="{00000000-0005-0000-0000-0000C5940000}"/>
    <cellStyle name="Note 2 5 4 4 2" xfId="9004" xr:uid="{00000000-0005-0000-0000-0000C6940000}"/>
    <cellStyle name="Note 2 5 4 4 2 2" xfId="19000" xr:uid="{00000000-0005-0000-0000-0000C7940000}"/>
    <cellStyle name="Note 2 5 4 4 2 2 2" xfId="38400" xr:uid="{00000000-0005-0000-0000-0000C8940000}"/>
    <cellStyle name="Note 2 5 4 4 2 3" xfId="28702" xr:uid="{00000000-0005-0000-0000-0000C9940000}"/>
    <cellStyle name="Note 2 5 4 4 3" xfId="14545" xr:uid="{00000000-0005-0000-0000-0000CA940000}"/>
    <cellStyle name="Note 2 5 4 4 3 2" xfId="33945" xr:uid="{00000000-0005-0000-0000-0000CB940000}"/>
    <cellStyle name="Note 2 5 4 4 4" xfId="24247" xr:uid="{00000000-0005-0000-0000-0000CC940000}"/>
    <cellStyle name="Note 2 5 4 5" xfId="6210" xr:uid="{00000000-0005-0000-0000-0000CD940000}"/>
    <cellStyle name="Note 2 5 4 5 2" xfId="10674" xr:uid="{00000000-0005-0000-0000-0000CE940000}"/>
    <cellStyle name="Note 2 5 4 5 2 2" xfId="20670" xr:uid="{00000000-0005-0000-0000-0000CF940000}"/>
    <cellStyle name="Note 2 5 4 5 2 2 2" xfId="40070" xr:uid="{00000000-0005-0000-0000-0000D0940000}"/>
    <cellStyle name="Note 2 5 4 5 2 3" xfId="30372" xr:uid="{00000000-0005-0000-0000-0000D1940000}"/>
    <cellStyle name="Note 2 5 4 5 3" xfId="16215" xr:uid="{00000000-0005-0000-0000-0000D2940000}"/>
    <cellStyle name="Note 2 5 4 5 3 2" xfId="35615" xr:uid="{00000000-0005-0000-0000-0000D3940000}"/>
    <cellStyle name="Note 2 5 4 5 4" xfId="25917" xr:uid="{00000000-0005-0000-0000-0000D4940000}"/>
    <cellStyle name="Note 2 5 4 6" xfId="6776" xr:uid="{00000000-0005-0000-0000-0000D5940000}"/>
    <cellStyle name="Note 2 5 4 6 2" xfId="11231" xr:uid="{00000000-0005-0000-0000-0000D6940000}"/>
    <cellStyle name="Note 2 5 4 6 2 2" xfId="21227" xr:uid="{00000000-0005-0000-0000-0000D7940000}"/>
    <cellStyle name="Note 2 5 4 6 2 2 2" xfId="40627" xr:uid="{00000000-0005-0000-0000-0000D8940000}"/>
    <cellStyle name="Note 2 5 4 6 2 3" xfId="30929" xr:uid="{00000000-0005-0000-0000-0000D9940000}"/>
    <cellStyle name="Note 2 5 4 6 3" xfId="16772" xr:uid="{00000000-0005-0000-0000-0000DA940000}"/>
    <cellStyle name="Note 2 5 4 6 3 2" xfId="36172" xr:uid="{00000000-0005-0000-0000-0000DB940000}"/>
    <cellStyle name="Note 2 5 4 6 4" xfId="26474" xr:uid="{00000000-0005-0000-0000-0000DC940000}"/>
    <cellStyle name="Note 2 5 4 7" xfId="7333" xr:uid="{00000000-0005-0000-0000-0000DD940000}"/>
    <cellStyle name="Note 2 5 4 7 2" xfId="17329" xr:uid="{00000000-0005-0000-0000-0000DE940000}"/>
    <cellStyle name="Note 2 5 4 7 2 2" xfId="36729" xr:uid="{00000000-0005-0000-0000-0000DF940000}"/>
    <cellStyle name="Note 2 5 4 7 3" xfId="27031" xr:uid="{00000000-0005-0000-0000-0000E0940000}"/>
    <cellStyle name="Note 2 5 4 8" xfId="12873" xr:uid="{00000000-0005-0000-0000-0000E1940000}"/>
    <cellStyle name="Note 2 5 4 8 2" xfId="32274" xr:uid="{00000000-0005-0000-0000-0000E2940000}"/>
    <cellStyle name="Note 2 5 4 9" xfId="22576" xr:uid="{00000000-0005-0000-0000-0000E3940000}"/>
    <cellStyle name="Note 2 6" xfId="1567" xr:uid="{00000000-0005-0000-0000-0000E4940000}"/>
    <cellStyle name="Note 2 6 2" xfId="2445" xr:uid="{00000000-0005-0000-0000-0000E5940000}"/>
    <cellStyle name="Note 2 6 2 2" xfId="3385" xr:uid="{00000000-0005-0000-0000-0000E6940000}"/>
    <cellStyle name="Note 2 6 2 2 2" xfId="5654" xr:uid="{00000000-0005-0000-0000-0000E7940000}"/>
    <cellStyle name="Note 2 6 2 2 2 2" xfId="10118" xr:uid="{00000000-0005-0000-0000-0000E8940000}"/>
    <cellStyle name="Note 2 6 2 2 2 2 2" xfId="20114" xr:uid="{00000000-0005-0000-0000-0000E9940000}"/>
    <cellStyle name="Note 2 6 2 2 2 2 2 2" xfId="39514" xr:uid="{00000000-0005-0000-0000-0000EA940000}"/>
    <cellStyle name="Note 2 6 2 2 2 2 3" xfId="29816" xr:uid="{00000000-0005-0000-0000-0000EB940000}"/>
    <cellStyle name="Note 2 6 2 2 2 3" xfId="15659" xr:uid="{00000000-0005-0000-0000-0000EC940000}"/>
    <cellStyle name="Note 2 6 2 2 2 3 2" xfId="35059" xr:uid="{00000000-0005-0000-0000-0000ED940000}"/>
    <cellStyle name="Note 2 6 2 2 2 4" xfId="25361" xr:uid="{00000000-0005-0000-0000-0000EE940000}"/>
    <cellStyle name="Note 2 6 2 2 3" xfId="7890" xr:uid="{00000000-0005-0000-0000-0000EF940000}"/>
    <cellStyle name="Note 2 6 2 2 3 2" xfId="17886" xr:uid="{00000000-0005-0000-0000-0000F0940000}"/>
    <cellStyle name="Note 2 6 2 2 3 2 2" xfId="37286" xr:uid="{00000000-0005-0000-0000-0000F1940000}"/>
    <cellStyle name="Note 2 6 2 2 3 3" xfId="27588" xr:uid="{00000000-0005-0000-0000-0000F2940000}"/>
    <cellStyle name="Note 2 6 2 2 4" xfId="13431" xr:uid="{00000000-0005-0000-0000-0000F3940000}"/>
    <cellStyle name="Note 2 6 2 2 4 2" xfId="32831" xr:uid="{00000000-0005-0000-0000-0000F4940000}"/>
    <cellStyle name="Note 2 6 2 2 5" xfId="23133" xr:uid="{00000000-0005-0000-0000-0000F5940000}"/>
    <cellStyle name="Note 2 6 2 3" xfId="3968" xr:uid="{00000000-0005-0000-0000-0000F6940000}"/>
    <cellStyle name="Note 2 6 2 3 2" xfId="5098" xr:uid="{00000000-0005-0000-0000-0000F7940000}"/>
    <cellStyle name="Note 2 6 2 3 2 2" xfId="9562" xr:uid="{00000000-0005-0000-0000-0000F8940000}"/>
    <cellStyle name="Note 2 6 2 3 2 2 2" xfId="19558" xr:uid="{00000000-0005-0000-0000-0000F9940000}"/>
    <cellStyle name="Note 2 6 2 3 2 2 2 2" xfId="38958" xr:uid="{00000000-0005-0000-0000-0000FA940000}"/>
    <cellStyle name="Note 2 6 2 3 2 2 3" xfId="29260" xr:uid="{00000000-0005-0000-0000-0000FB940000}"/>
    <cellStyle name="Note 2 6 2 3 2 3" xfId="15103" xr:uid="{00000000-0005-0000-0000-0000FC940000}"/>
    <cellStyle name="Note 2 6 2 3 2 3 2" xfId="34503" xr:uid="{00000000-0005-0000-0000-0000FD940000}"/>
    <cellStyle name="Note 2 6 2 3 2 4" xfId="24805" xr:uid="{00000000-0005-0000-0000-0000FE940000}"/>
    <cellStyle name="Note 2 6 2 3 3" xfId="8447" xr:uid="{00000000-0005-0000-0000-0000FF940000}"/>
    <cellStyle name="Note 2 6 2 3 3 2" xfId="18443" xr:uid="{00000000-0005-0000-0000-000000950000}"/>
    <cellStyle name="Note 2 6 2 3 3 2 2" xfId="37843" xr:uid="{00000000-0005-0000-0000-000001950000}"/>
    <cellStyle name="Note 2 6 2 3 3 3" xfId="28145" xr:uid="{00000000-0005-0000-0000-000002950000}"/>
    <cellStyle name="Note 2 6 2 3 4" xfId="13988" xr:uid="{00000000-0005-0000-0000-000003950000}"/>
    <cellStyle name="Note 2 6 2 3 4 2" xfId="33388" xr:uid="{00000000-0005-0000-0000-000004950000}"/>
    <cellStyle name="Note 2 6 2 3 5" xfId="23690" xr:uid="{00000000-0005-0000-0000-000005950000}"/>
    <cellStyle name="Note 2 6 2 4" xfId="4541" xr:uid="{00000000-0005-0000-0000-000006950000}"/>
    <cellStyle name="Note 2 6 2 4 2" xfId="9005" xr:uid="{00000000-0005-0000-0000-000007950000}"/>
    <cellStyle name="Note 2 6 2 4 2 2" xfId="19001" xr:uid="{00000000-0005-0000-0000-000008950000}"/>
    <cellStyle name="Note 2 6 2 4 2 2 2" xfId="38401" xr:uid="{00000000-0005-0000-0000-000009950000}"/>
    <cellStyle name="Note 2 6 2 4 2 3" xfId="28703" xr:uid="{00000000-0005-0000-0000-00000A950000}"/>
    <cellStyle name="Note 2 6 2 4 3" xfId="14546" xr:uid="{00000000-0005-0000-0000-00000B950000}"/>
    <cellStyle name="Note 2 6 2 4 3 2" xfId="33946" xr:uid="{00000000-0005-0000-0000-00000C950000}"/>
    <cellStyle name="Note 2 6 2 4 4" xfId="24248" xr:uid="{00000000-0005-0000-0000-00000D950000}"/>
    <cellStyle name="Note 2 6 2 5" xfId="6211" xr:uid="{00000000-0005-0000-0000-00000E950000}"/>
    <cellStyle name="Note 2 6 2 5 2" xfId="10675" xr:uid="{00000000-0005-0000-0000-00000F950000}"/>
    <cellStyle name="Note 2 6 2 5 2 2" xfId="20671" xr:uid="{00000000-0005-0000-0000-000010950000}"/>
    <cellStyle name="Note 2 6 2 5 2 2 2" xfId="40071" xr:uid="{00000000-0005-0000-0000-000011950000}"/>
    <cellStyle name="Note 2 6 2 5 2 3" xfId="30373" xr:uid="{00000000-0005-0000-0000-000012950000}"/>
    <cellStyle name="Note 2 6 2 5 3" xfId="16216" xr:uid="{00000000-0005-0000-0000-000013950000}"/>
    <cellStyle name="Note 2 6 2 5 3 2" xfId="35616" xr:uid="{00000000-0005-0000-0000-000014950000}"/>
    <cellStyle name="Note 2 6 2 5 4" xfId="25918" xr:uid="{00000000-0005-0000-0000-000015950000}"/>
    <cellStyle name="Note 2 6 2 6" xfId="6777" xr:uid="{00000000-0005-0000-0000-000016950000}"/>
    <cellStyle name="Note 2 6 2 6 2" xfId="11232" xr:uid="{00000000-0005-0000-0000-000017950000}"/>
    <cellStyle name="Note 2 6 2 6 2 2" xfId="21228" xr:uid="{00000000-0005-0000-0000-000018950000}"/>
    <cellStyle name="Note 2 6 2 6 2 2 2" xfId="40628" xr:uid="{00000000-0005-0000-0000-000019950000}"/>
    <cellStyle name="Note 2 6 2 6 2 3" xfId="30930" xr:uid="{00000000-0005-0000-0000-00001A950000}"/>
    <cellStyle name="Note 2 6 2 6 3" xfId="16773" xr:uid="{00000000-0005-0000-0000-00001B950000}"/>
    <cellStyle name="Note 2 6 2 6 3 2" xfId="36173" xr:uid="{00000000-0005-0000-0000-00001C950000}"/>
    <cellStyle name="Note 2 6 2 6 4" xfId="26475" xr:uid="{00000000-0005-0000-0000-00001D950000}"/>
    <cellStyle name="Note 2 6 2 7" xfId="7334" xr:uid="{00000000-0005-0000-0000-00001E950000}"/>
    <cellStyle name="Note 2 6 2 7 2" xfId="17330" xr:uid="{00000000-0005-0000-0000-00001F950000}"/>
    <cellStyle name="Note 2 6 2 7 2 2" xfId="36730" xr:uid="{00000000-0005-0000-0000-000020950000}"/>
    <cellStyle name="Note 2 6 2 7 3" xfId="27032" xr:uid="{00000000-0005-0000-0000-000021950000}"/>
    <cellStyle name="Note 2 6 2 8" xfId="12874" xr:uid="{00000000-0005-0000-0000-000022950000}"/>
    <cellStyle name="Note 2 6 2 8 2" xfId="32275" xr:uid="{00000000-0005-0000-0000-000023950000}"/>
    <cellStyle name="Note 2 6 2 9" xfId="22577" xr:uid="{00000000-0005-0000-0000-000024950000}"/>
    <cellStyle name="Note 2 6 3" xfId="2446" xr:uid="{00000000-0005-0000-0000-000025950000}"/>
    <cellStyle name="Note 2 6 3 2" xfId="3386" xr:uid="{00000000-0005-0000-0000-000026950000}"/>
    <cellStyle name="Note 2 6 3 2 2" xfId="5655" xr:uid="{00000000-0005-0000-0000-000027950000}"/>
    <cellStyle name="Note 2 6 3 2 2 2" xfId="10119" xr:uid="{00000000-0005-0000-0000-000028950000}"/>
    <cellStyle name="Note 2 6 3 2 2 2 2" xfId="20115" xr:uid="{00000000-0005-0000-0000-000029950000}"/>
    <cellStyle name="Note 2 6 3 2 2 2 2 2" xfId="39515" xr:uid="{00000000-0005-0000-0000-00002A950000}"/>
    <cellStyle name="Note 2 6 3 2 2 2 3" xfId="29817" xr:uid="{00000000-0005-0000-0000-00002B950000}"/>
    <cellStyle name="Note 2 6 3 2 2 3" xfId="15660" xr:uid="{00000000-0005-0000-0000-00002C950000}"/>
    <cellStyle name="Note 2 6 3 2 2 3 2" xfId="35060" xr:uid="{00000000-0005-0000-0000-00002D950000}"/>
    <cellStyle name="Note 2 6 3 2 2 4" xfId="25362" xr:uid="{00000000-0005-0000-0000-00002E950000}"/>
    <cellStyle name="Note 2 6 3 2 3" xfId="7891" xr:uid="{00000000-0005-0000-0000-00002F950000}"/>
    <cellStyle name="Note 2 6 3 2 3 2" xfId="17887" xr:uid="{00000000-0005-0000-0000-000030950000}"/>
    <cellStyle name="Note 2 6 3 2 3 2 2" xfId="37287" xr:uid="{00000000-0005-0000-0000-000031950000}"/>
    <cellStyle name="Note 2 6 3 2 3 3" xfId="27589" xr:uid="{00000000-0005-0000-0000-000032950000}"/>
    <cellStyle name="Note 2 6 3 2 4" xfId="13432" xr:uid="{00000000-0005-0000-0000-000033950000}"/>
    <cellStyle name="Note 2 6 3 2 4 2" xfId="32832" xr:uid="{00000000-0005-0000-0000-000034950000}"/>
    <cellStyle name="Note 2 6 3 2 5" xfId="23134" xr:uid="{00000000-0005-0000-0000-000035950000}"/>
    <cellStyle name="Note 2 6 3 3" xfId="3969" xr:uid="{00000000-0005-0000-0000-000036950000}"/>
    <cellStyle name="Note 2 6 3 3 2" xfId="5099" xr:uid="{00000000-0005-0000-0000-000037950000}"/>
    <cellStyle name="Note 2 6 3 3 2 2" xfId="9563" xr:uid="{00000000-0005-0000-0000-000038950000}"/>
    <cellStyle name="Note 2 6 3 3 2 2 2" xfId="19559" xr:uid="{00000000-0005-0000-0000-000039950000}"/>
    <cellStyle name="Note 2 6 3 3 2 2 2 2" xfId="38959" xr:uid="{00000000-0005-0000-0000-00003A950000}"/>
    <cellStyle name="Note 2 6 3 3 2 2 3" xfId="29261" xr:uid="{00000000-0005-0000-0000-00003B950000}"/>
    <cellStyle name="Note 2 6 3 3 2 3" xfId="15104" xr:uid="{00000000-0005-0000-0000-00003C950000}"/>
    <cellStyle name="Note 2 6 3 3 2 3 2" xfId="34504" xr:uid="{00000000-0005-0000-0000-00003D950000}"/>
    <cellStyle name="Note 2 6 3 3 2 4" xfId="24806" xr:uid="{00000000-0005-0000-0000-00003E950000}"/>
    <cellStyle name="Note 2 6 3 3 3" xfId="8448" xr:uid="{00000000-0005-0000-0000-00003F950000}"/>
    <cellStyle name="Note 2 6 3 3 3 2" xfId="18444" xr:uid="{00000000-0005-0000-0000-000040950000}"/>
    <cellStyle name="Note 2 6 3 3 3 2 2" xfId="37844" xr:uid="{00000000-0005-0000-0000-000041950000}"/>
    <cellStyle name="Note 2 6 3 3 3 3" xfId="28146" xr:uid="{00000000-0005-0000-0000-000042950000}"/>
    <cellStyle name="Note 2 6 3 3 4" xfId="13989" xr:uid="{00000000-0005-0000-0000-000043950000}"/>
    <cellStyle name="Note 2 6 3 3 4 2" xfId="33389" xr:uid="{00000000-0005-0000-0000-000044950000}"/>
    <cellStyle name="Note 2 6 3 3 5" xfId="23691" xr:uid="{00000000-0005-0000-0000-000045950000}"/>
    <cellStyle name="Note 2 6 3 4" xfId="4542" xr:uid="{00000000-0005-0000-0000-000046950000}"/>
    <cellStyle name="Note 2 6 3 4 2" xfId="9006" xr:uid="{00000000-0005-0000-0000-000047950000}"/>
    <cellStyle name="Note 2 6 3 4 2 2" xfId="19002" xr:uid="{00000000-0005-0000-0000-000048950000}"/>
    <cellStyle name="Note 2 6 3 4 2 2 2" xfId="38402" xr:uid="{00000000-0005-0000-0000-000049950000}"/>
    <cellStyle name="Note 2 6 3 4 2 3" xfId="28704" xr:uid="{00000000-0005-0000-0000-00004A950000}"/>
    <cellStyle name="Note 2 6 3 4 3" xfId="14547" xr:uid="{00000000-0005-0000-0000-00004B950000}"/>
    <cellStyle name="Note 2 6 3 4 3 2" xfId="33947" xr:uid="{00000000-0005-0000-0000-00004C950000}"/>
    <cellStyle name="Note 2 6 3 4 4" xfId="24249" xr:uid="{00000000-0005-0000-0000-00004D950000}"/>
    <cellStyle name="Note 2 6 3 5" xfId="6212" xr:uid="{00000000-0005-0000-0000-00004E950000}"/>
    <cellStyle name="Note 2 6 3 5 2" xfId="10676" xr:uid="{00000000-0005-0000-0000-00004F950000}"/>
    <cellStyle name="Note 2 6 3 5 2 2" xfId="20672" xr:uid="{00000000-0005-0000-0000-000050950000}"/>
    <cellStyle name="Note 2 6 3 5 2 2 2" xfId="40072" xr:uid="{00000000-0005-0000-0000-000051950000}"/>
    <cellStyle name="Note 2 6 3 5 2 3" xfId="30374" xr:uid="{00000000-0005-0000-0000-000052950000}"/>
    <cellStyle name="Note 2 6 3 5 3" xfId="16217" xr:uid="{00000000-0005-0000-0000-000053950000}"/>
    <cellStyle name="Note 2 6 3 5 3 2" xfId="35617" xr:uid="{00000000-0005-0000-0000-000054950000}"/>
    <cellStyle name="Note 2 6 3 5 4" xfId="25919" xr:uid="{00000000-0005-0000-0000-000055950000}"/>
    <cellStyle name="Note 2 6 3 6" xfId="6778" xr:uid="{00000000-0005-0000-0000-000056950000}"/>
    <cellStyle name="Note 2 6 3 6 2" xfId="11233" xr:uid="{00000000-0005-0000-0000-000057950000}"/>
    <cellStyle name="Note 2 6 3 6 2 2" xfId="21229" xr:uid="{00000000-0005-0000-0000-000058950000}"/>
    <cellStyle name="Note 2 6 3 6 2 2 2" xfId="40629" xr:uid="{00000000-0005-0000-0000-000059950000}"/>
    <cellStyle name="Note 2 6 3 6 2 3" xfId="30931" xr:uid="{00000000-0005-0000-0000-00005A950000}"/>
    <cellStyle name="Note 2 6 3 6 3" xfId="16774" xr:uid="{00000000-0005-0000-0000-00005B950000}"/>
    <cellStyle name="Note 2 6 3 6 3 2" xfId="36174" xr:uid="{00000000-0005-0000-0000-00005C950000}"/>
    <cellStyle name="Note 2 6 3 6 4" xfId="26476" xr:uid="{00000000-0005-0000-0000-00005D950000}"/>
    <cellStyle name="Note 2 6 3 7" xfId="7335" xr:uid="{00000000-0005-0000-0000-00005E950000}"/>
    <cellStyle name="Note 2 6 3 7 2" xfId="17331" xr:uid="{00000000-0005-0000-0000-00005F950000}"/>
    <cellStyle name="Note 2 6 3 7 2 2" xfId="36731" xr:uid="{00000000-0005-0000-0000-000060950000}"/>
    <cellStyle name="Note 2 6 3 7 3" xfId="27033" xr:uid="{00000000-0005-0000-0000-000061950000}"/>
    <cellStyle name="Note 2 6 3 8" xfId="12875" xr:uid="{00000000-0005-0000-0000-000062950000}"/>
    <cellStyle name="Note 2 6 3 8 2" xfId="32276" xr:uid="{00000000-0005-0000-0000-000063950000}"/>
    <cellStyle name="Note 2 6 3 9" xfId="22578" xr:uid="{00000000-0005-0000-0000-000064950000}"/>
    <cellStyle name="Note 2 7" xfId="1717" xr:uid="{00000000-0005-0000-0000-000065950000}"/>
    <cellStyle name="Note 2 7 2" xfId="2892" xr:uid="{00000000-0005-0000-0000-000066950000}"/>
    <cellStyle name="Note 2 7 2 2" xfId="5161" xr:uid="{00000000-0005-0000-0000-000067950000}"/>
    <cellStyle name="Note 2 7 2 2 2" xfId="9625" xr:uid="{00000000-0005-0000-0000-000068950000}"/>
    <cellStyle name="Note 2 7 2 2 2 2" xfId="19621" xr:uid="{00000000-0005-0000-0000-000069950000}"/>
    <cellStyle name="Note 2 7 2 2 2 2 2" xfId="39021" xr:uid="{00000000-0005-0000-0000-00006A950000}"/>
    <cellStyle name="Note 2 7 2 2 2 3" xfId="29323" xr:uid="{00000000-0005-0000-0000-00006B950000}"/>
    <cellStyle name="Note 2 7 2 2 3" xfId="15166" xr:uid="{00000000-0005-0000-0000-00006C950000}"/>
    <cellStyle name="Note 2 7 2 2 3 2" xfId="34566" xr:uid="{00000000-0005-0000-0000-00006D950000}"/>
    <cellStyle name="Note 2 7 2 2 4" xfId="24868" xr:uid="{00000000-0005-0000-0000-00006E950000}"/>
    <cellStyle name="Note 2 7 2 3" xfId="7397" xr:uid="{00000000-0005-0000-0000-00006F950000}"/>
    <cellStyle name="Note 2 7 2 3 2" xfId="17393" xr:uid="{00000000-0005-0000-0000-000070950000}"/>
    <cellStyle name="Note 2 7 2 3 2 2" xfId="36793" xr:uid="{00000000-0005-0000-0000-000071950000}"/>
    <cellStyle name="Note 2 7 2 3 3" xfId="27095" xr:uid="{00000000-0005-0000-0000-000072950000}"/>
    <cellStyle name="Note 2 7 2 4" xfId="12938" xr:uid="{00000000-0005-0000-0000-000073950000}"/>
    <cellStyle name="Note 2 7 2 4 2" xfId="32338" xr:uid="{00000000-0005-0000-0000-000074950000}"/>
    <cellStyle name="Note 2 7 2 5" xfId="22640" xr:uid="{00000000-0005-0000-0000-000075950000}"/>
    <cellStyle name="Note 2 7 3" xfId="3475" xr:uid="{00000000-0005-0000-0000-000076950000}"/>
    <cellStyle name="Note 2 7 3 2" xfId="4605" xr:uid="{00000000-0005-0000-0000-000077950000}"/>
    <cellStyle name="Note 2 7 3 2 2" xfId="9069" xr:uid="{00000000-0005-0000-0000-000078950000}"/>
    <cellStyle name="Note 2 7 3 2 2 2" xfId="19065" xr:uid="{00000000-0005-0000-0000-000079950000}"/>
    <cellStyle name="Note 2 7 3 2 2 2 2" xfId="38465" xr:uid="{00000000-0005-0000-0000-00007A950000}"/>
    <cellStyle name="Note 2 7 3 2 2 3" xfId="28767" xr:uid="{00000000-0005-0000-0000-00007B950000}"/>
    <cellStyle name="Note 2 7 3 2 3" xfId="14610" xr:uid="{00000000-0005-0000-0000-00007C950000}"/>
    <cellStyle name="Note 2 7 3 2 3 2" xfId="34010" xr:uid="{00000000-0005-0000-0000-00007D950000}"/>
    <cellStyle name="Note 2 7 3 2 4" xfId="24312" xr:uid="{00000000-0005-0000-0000-00007E950000}"/>
    <cellStyle name="Note 2 7 3 3" xfId="7954" xr:uid="{00000000-0005-0000-0000-00007F950000}"/>
    <cellStyle name="Note 2 7 3 3 2" xfId="17950" xr:uid="{00000000-0005-0000-0000-000080950000}"/>
    <cellStyle name="Note 2 7 3 3 2 2" xfId="37350" xr:uid="{00000000-0005-0000-0000-000081950000}"/>
    <cellStyle name="Note 2 7 3 3 3" xfId="27652" xr:uid="{00000000-0005-0000-0000-000082950000}"/>
    <cellStyle name="Note 2 7 3 4" xfId="13495" xr:uid="{00000000-0005-0000-0000-000083950000}"/>
    <cellStyle name="Note 2 7 3 4 2" xfId="32895" xr:uid="{00000000-0005-0000-0000-000084950000}"/>
    <cellStyle name="Note 2 7 3 5" xfId="23197" xr:uid="{00000000-0005-0000-0000-000085950000}"/>
    <cellStyle name="Note 2 7 4" xfId="4048" xr:uid="{00000000-0005-0000-0000-000086950000}"/>
    <cellStyle name="Note 2 7 4 2" xfId="8512" xr:uid="{00000000-0005-0000-0000-000087950000}"/>
    <cellStyle name="Note 2 7 4 2 2" xfId="18508" xr:uid="{00000000-0005-0000-0000-000088950000}"/>
    <cellStyle name="Note 2 7 4 2 2 2" xfId="37908" xr:uid="{00000000-0005-0000-0000-000089950000}"/>
    <cellStyle name="Note 2 7 4 2 3" xfId="28210" xr:uid="{00000000-0005-0000-0000-00008A950000}"/>
    <cellStyle name="Note 2 7 4 3" xfId="14053" xr:uid="{00000000-0005-0000-0000-00008B950000}"/>
    <cellStyle name="Note 2 7 4 3 2" xfId="33453" xr:uid="{00000000-0005-0000-0000-00008C950000}"/>
    <cellStyle name="Note 2 7 4 4" xfId="23755" xr:uid="{00000000-0005-0000-0000-00008D950000}"/>
    <cellStyle name="Note 2 7 5" xfId="5718" xr:uid="{00000000-0005-0000-0000-00008E950000}"/>
    <cellStyle name="Note 2 7 5 2" xfId="10182" xr:uid="{00000000-0005-0000-0000-00008F950000}"/>
    <cellStyle name="Note 2 7 5 2 2" xfId="20178" xr:uid="{00000000-0005-0000-0000-000090950000}"/>
    <cellStyle name="Note 2 7 5 2 2 2" xfId="39578" xr:uid="{00000000-0005-0000-0000-000091950000}"/>
    <cellStyle name="Note 2 7 5 2 3" xfId="29880" xr:uid="{00000000-0005-0000-0000-000092950000}"/>
    <cellStyle name="Note 2 7 5 3" xfId="15723" xr:uid="{00000000-0005-0000-0000-000093950000}"/>
    <cellStyle name="Note 2 7 5 3 2" xfId="35123" xr:uid="{00000000-0005-0000-0000-000094950000}"/>
    <cellStyle name="Note 2 7 5 4" xfId="25425" xr:uid="{00000000-0005-0000-0000-000095950000}"/>
    <cellStyle name="Note 2 7 6" xfId="6284" xr:uid="{00000000-0005-0000-0000-000096950000}"/>
    <cellStyle name="Note 2 7 6 2" xfId="10739" xr:uid="{00000000-0005-0000-0000-000097950000}"/>
    <cellStyle name="Note 2 7 6 2 2" xfId="20735" xr:uid="{00000000-0005-0000-0000-000098950000}"/>
    <cellStyle name="Note 2 7 6 2 2 2" xfId="40135" xr:uid="{00000000-0005-0000-0000-000099950000}"/>
    <cellStyle name="Note 2 7 6 2 3" xfId="30437" xr:uid="{00000000-0005-0000-0000-00009A950000}"/>
    <cellStyle name="Note 2 7 6 3" xfId="16280" xr:uid="{00000000-0005-0000-0000-00009B950000}"/>
    <cellStyle name="Note 2 7 6 3 2" xfId="35680" xr:uid="{00000000-0005-0000-0000-00009C950000}"/>
    <cellStyle name="Note 2 7 6 4" xfId="25982" xr:uid="{00000000-0005-0000-0000-00009D950000}"/>
    <cellStyle name="Note 2 7 7" xfId="6841" xr:uid="{00000000-0005-0000-0000-00009E950000}"/>
    <cellStyle name="Note 2 7 7 2" xfId="16837" xr:uid="{00000000-0005-0000-0000-00009F950000}"/>
    <cellStyle name="Note 2 7 7 2 2" xfId="36237" xr:uid="{00000000-0005-0000-0000-0000A0950000}"/>
    <cellStyle name="Note 2 7 7 3" xfId="26539" xr:uid="{00000000-0005-0000-0000-0000A1950000}"/>
    <cellStyle name="Note 2 7 8" xfId="12381" xr:uid="{00000000-0005-0000-0000-0000A2950000}"/>
    <cellStyle name="Note 2 7 8 2" xfId="31782" xr:uid="{00000000-0005-0000-0000-0000A3950000}"/>
    <cellStyle name="Note 2 7 9" xfId="22084" xr:uid="{00000000-0005-0000-0000-0000A4950000}"/>
    <cellStyle name="Note 2 8" xfId="1921" xr:uid="{00000000-0005-0000-0000-0000A5950000}"/>
    <cellStyle name="Note 2 8 2" xfId="2933" xr:uid="{00000000-0005-0000-0000-0000A6950000}"/>
    <cellStyle name="Note 2 8 2 2" xfId="5202" xr:uid="{00000000-0005-0000-0000-0000A7950000}"/>
    <cellStyle name="Note 2 8 2 2 2" xfId="9666" xr:uid="{00000000-0005-0000-0000-0000A8950000}"/>
    <cellStyle name="Note 2 8 2 2 2 2" xfId="19662" xr:uid="{00000000-0005-0000-0000-0000A9950000}"/>
    <cellStyle name="Note 2 8 2 2 2 2 2" xfId="39062" xr:uid="{00000000-0005-0000-0000-0000AA950000}"/>
    <cellStyle name="Note 2 8 2 2 2 3" xfId="29364" xr:uid="{00000000-0005-0000-0000-0000AB950000}"/>
    <cellStyle name="Note 2 8 2 2 3" xfId="15207" xr:uid="{00000000-0005-0000-0000-0000AC950000}"/>
    <cellStyle name="Note 2 8 2 2 3 2" xfId="34607" xr:uid="{00000000-0005-0000-0000-0000AD950000}"/>
    <cellStyle name="Note 2 8 2 2 4" xfId="24909" xr:uid="{00000000-0005-0000-0000-0000AE950000}"/>
    <cellStyle name="Note 2 8 2 3" xfId="7438" xr:uid="{00000000-0005-0000-0000-0000AF950000}"/>
    <cellStyle name="Note 2 8 2 3 2" xfId="17434" xr:uid="{00000000-0005-0000-0000-0000B0950000}"/>
    <cellStyle name="Note 2 8 2 3 2 2" xfId="36834" xr:uid="{00000000-0005-0000-0000-0000B1950000}"/>
    <cellStyle name="Note 2 8 2 3 3" xfId="27136" xr:uid="{00000000-0005-0000-0000-0000B2950000}"/>
    <cellStyle name="Note 2 8 2 4" xfId="12979" xr:uid="{00000000-0005-0000-0000-0000B3950000}"/>
    <cellStyle name="Note 2 8 2 4 2" xfId="32379" xr:uid="{00000000-0005-0000-0000-0000B4950000}"/>
    <cellStyle name="Note 2 8 2 5" xfId="22681" xr:uid="{00000000-0005-0000-0000-0000B5950000}"/>
    <cellStyle name="Note 2 8 3" xfId="3516" xr:uid="{00000000-0005-0000-0000-0000B6950000}"/>
    <cellStyle name="Note 2 8 3 2" xfId="4646" xr:uid="{00000000-0005-0000-0000-0000B7950000}"/>
    <cellStyle name="Note 2 8 3 2 2" xfId="9110" xr:uid="{00000000-0005-0000-0000-0000B8950000}"/>
    <cellStyle name="Note 2 8 3 2 2 2" xfId="19106" xr:uid="{00000000-0005-0000-0000-0000B9950000}"/>
    <cellStyle name="Note 2 8 3 2 2 2 2" xfId="38506" xr:uid="{00000000-0005-0000-0000-0000BA950000}"/>
    <cellStyle name="Note 2 8 3 2 2 3" xfId="28808" xr:uid="{00000000-0005-0000-0000-0000BB950000}"/>
    <cellStyle name="Note 2 8 3 2 3" xfId="14651" xr:uid="{00000000-0005-0000-0000-0000BC950000}"/>
    <cellStyle name="Note 2 8 3 2 3 2" xfId="34051" xr:uid="{00000000-0005-0000-0000-0000BD950000}"/>
    <cellStyle name="Note 2 8 3 2 4" xfId="24353" xr:uid="{00000000-0005-0000-0000-0000BE950000}"/>
    <cellStyle name="Note 2 8 3 3" xfId="7995" xr:uid="{00000000-0005-0000-0000-0000BF950000}"/>
    <cellStyle name="Note 2 8 3 3 2" xfId="17991" xr:uid="{00000000-0005-0000-0000-0000C0950000}"/>
    <cellStyle name="Note 2 8 3 3 2 2" xfId="37391" xr:uid="{00000000-0005-0000-0000-0000C1950000}"/>
    <cellStyle name="Note 2 8 3 3 3" xfId="27693" xr:uid="{00000000-0005-0000-0000-0000C2950000}"/>
    <cellStyle name="Note 2 8 3 4" xfId="13536" xr:uid="{00000000-0005-0000-0000-0000C3950000}"/>
    <cellStyle name="Note 2 8 3 4 2" xfId="32936" xr:uid="{00000000-0005-0000-0000-0000C4950000}"/>
    <cellStyle name="Note 2 8 3 5" xfId="23238" xr:uid="{00000000-0005-0000-0000-0000C5950000}"/>
    <cellStyle name="Note 2 8 4" xfId="4089" xr:uid="{00000000-0005-0000-0000-0000C6950000}"/>
    <cellStyle name="Note 2 8 4 2" xfId="8553" xr:uid="{00000000-0005-0000-0000-0000C7950000}"/>
    <cellStyle name="Note 2 8 4 2 2" xfId="18549" xr:uid="{00000000-0005-0000-0000-0000C8950000}"/>
    <cellStyle name="Note 2 8 4 2 2 2" xfId="37949" xr:uid="{00000000-0005-0000-0000-0000C9950000}"/>
    <cellStyle name="Note 2 8 4 2 3" xfId="28251" xr:uid="{00000000-0005-0000-0000-0000CA950000}"/>
    <cellStyle name="Note 2 8 4 3" xfId="14094" xr:uid="{00000000-0005-0000-0000-0000CB950000}"/>
    <cellStyle name="Note 2 8 4 3 2" xfId="33494" xr:uid="{00000000-0005-0000-0000-0000CC950000}"/>
    <cellStyle name="Note 2 8 4 4" xfId="23796" xr:uid="{00000000-0005-0000-0000-0000CD950000}"/>
    <cellStyle name="Note 2 8 5" xfId="5759" xr:uid="{00000000-0005-0000-0000-0000CE950000}"/>
    <cellStyle name="Note 2 8 5 2" xfId="10223" xr:uid="{00000000-0005-0000-0000-0000CF950000}"/>
    <cellStyle name="Note 2 8 5 2 2" xfId="20219" xr:uid="{00000000-0005-0000-0000-0000D0950000}"/>
    <cellStyle name="Note 2 8 5 2 2 2" xfId="39619" xr:uid="{00000000-0005-0000-0000-0000D1950000}"/>
    <cellStyle name="Note 2 8 5 2 3" xfId="29921" xr:uid="{00000000-0005-0000-0000-0000D2950000}"/>
    <cellStyle name="Note 2 8 5 3" xfId="15764" xr:uid="{00000000-0005-0000-0000-0000D3950000}"/>
    <cellStyle name="Note 2 8 5 3 2" xfId="35164" xr:uid="{00000000-0005-0000-0000-0000D4950000}"/>
    <cellStyle name="Note 2 8 5 4" xfId="25466" xr:uid="{00000000-0005-0000-0000-0000D5950000}"/>
    <cellStyle name="Note 2 8 6" xfId="6325" xr:uid="{00000000-0005-0000-0000-0000D6950000}"/>
    <cellStyle name="Note 2 8 6 2" xfId="10780" xr:uid="{00000000-0005-0000-0000-0000D7950000}"/>
    <cellStyle name="Note 2 8 6 2 2" xfId="20776" xr:uid="{00000000-0005-0000-0000-0000D8950000}"/>
    <cellStyle name="Note 2 8 6 2 2 2" xfId="40176" xr:uid="{00000000-0005-0000-0000-0000D9950000}"/>
    <cellStyle name="Note 2 8 6 2 3" xfId="30478" xr:uid="{00000000-0005-0000-0000-0000DA950000}"/>
    <cellStyle name="Note 2 8 6 3" xfId="16321" xr:uid="{00000000-0005-0000-0000-0000DB950000}"/>
    <cellStyle name="Note 2 8 6 3 2" xfId="35721" xr:uid="{00000000-0005-0000-0000-0000DC950000}"/>
    <cellStyle name="Note 2 8 6 4" xfId="26023" xr:uid="{00000000-0005-0000-0000-0000DD950000}"/>
    <cellStyle name="Note 2 8 7" xfId="6882" xr:uid="{00000000-0005-0000-0000-0000DE950000}"/>
    <cellStyle name="Note 2 8 7 2" xfId="16878" xr:uid="{00000000-0005-0000-0000-0000DF950000}"/>
    <cellStyle name="Note 2 8 7 2 2" xfId="36278" xr:uid="{00000000-0005-0000-0000-0000E0950000}"/>
    <cellStyle name="Note 2 8 7 3" xfId="26580" xr:uid="{00000000-0005-0000-0000-0000E1950000}"/>
    <cellStyle name="Note 2 8 8" xfId="12422" xr:uid="{00000000-0005-0000-0000-0000E2950000}"/>
    <cellStyle name="Note 2 8 8 2" xfId="31823" xr:uid="{00000000-0005-0000-0000-0000E3950000}"/>
    <cellStyle name="Note 2 8 9" xfId="22125" xr:uid="{00000000-0005-0000-0000-0000E4950000}"/>
    <cellStyle name="Note 2 9" xfId="2447" xr:uid="{00000000-0005-0000-0000-0000E5950000}"/>
    <cellStyle name="Note 20" xfId="1063" xr:uid="{00000000-0005-0000-0000-0000E6950000}"/>
    <cellStyle name="Note 20 2" xfId="11934" xr:uid="{00000000-0005-0000-0000-0000E7950000}"/>
    <cellStyle name="Note 20 2 2" xfId="21638" xr:uid="{00000000-0005-0000-0000-0000E8950000}"/>
    <cellStyle name="Note 20 2 2 2" xfId="41038" xr:uid="{00000000-0005-0000-0000-0000E9950000}"/>
    <cellStyle name="Note 20 2 3" xfId="31340" xr:uid="{00000000-0005-0000-0000-0000EA950000}"/>
    <cellStyle name="Note 20 3" xfId="12290" xr:uid="{00000000-0005-0000-0000-0000EB950000}"/>
    <cellStyle name="Note 20 3 2" xfId="31693" xr:uid="{00000000-0005-0000-0000-0000EC950000}"/>
    <cellStyle name="Note 20 4" xfId="21995" xr:uid="{00000000-0005-0000-0000-0000ED950000}"/>
    <cellStyle name="Note 21" xfId="1078" xr:uid="{00000000-0005-0000-0000-0000EE950000}"/>
    <cellStyle name="Note 21 2" xfId="11949" xr:uid="{00000000-0005-0000-0000-0000EF950000}"/>
    <cellStyle name="Note 21 2 2" xfId="21653" xr:uid="{00000000-0005-0000-0000-0000F0950000}"/>
    <cellStyle name="Note 21 2 2 2" xfId="41053" xr:uid="{00000000-0005-0000-0000-0000F1950000}"/>
    <cellStyle name="Note 21 2 3" xfId="31355" xr:uid="{00000000-0005-0000-0000-0000F2950000}"/>
    <cellStyle name="Note 21 3" xfId="12305" xr:uid="{00000000-0005-0000-0000-0000F3950000}"/>
    <cellStyle name="Note 21 3 2" xfId="31708" xr:uid="{00000000-0005-0000-0000-0000F4950000}"/>
    <cellStyle name="Note 21 4" xfId="22010" xr:uid="{00000000-0005-0000-0000-0000F5950000}"/>
    <cellStyle name="Note 3" xfId="536" xr:uid="{00000000-0005-0000-0000-0000F6950000}"/>
    <cellStyle name="Note 3 2" xfId="2448" xr:uid="{00000000-0005-0000-0000-0000F7950000}"/>
    <cellStyle name="Note 3 3" xfId="2449" xr:uid="{00000000-0005-0000-0000-0000F8950000}"/>
    <cellStyle name="Note 3 4" xfId="2643" xr:uid="{00000000-0005-0000-0000-0000F9950000}"/>
    <cellStyle name="Note 3 5" xfId="1568" xr:uid="{00000000-0005-0000-0000-0000FA950000}"/>
    <cellStyle name="Note 3 6" xfId="11566" xr:uid="{00000000-0005-0000-0000-0000FB950000}"/>
    <cellStyle name="Note 3 7" xfId="1237" xr:uid="{00000000-0005-0000-0000-0000FC950000}"/>
    <cellStyle name="Note 4" xfId="537" xr:uid="{00000000-0005-0000-0000-0000FD950000}"/>
    <cellStyle name="Note 4 2" xfId="2450" xr:uid="{00000000-0005-0000-0000-0000FE950000}"/>
    <cellStyle name="Note 4 3" xfId="11567" xr:uid="{00000000-0005-0000-0000-0000FF950000}"/>
    <cellStyle name="Note 4 4" xfId="1698" xr:uid="{00000000-0005-0000-0000-000000960000}"/>
    <cellStyle name="Note 5" xfId="538" xr:uid="{00000000-0005-0000-0000-000001960000}"/>
    <cellStyle name="Note 5 2" xfId="2451" xr:uid="{00000000-0005-0000-0000-000002960000}"/>
    <cellStyle name="Note 5 3" xfId="11568" xr:uid="{00000000-0005-0000-0000-000003960000}"/>
    <cellStyle name="Note 5 4" xfId="1920" xr:uid="{00000000-0005-0000-0000-000004960000}"/>
    <cellStyle name="Note 6" xfId="539" xr:uid="{00000000-0005-0000-0000-000005960000}"/>
    <cellStyle name="Note 6 2" xfId="2452" xr:uid="{00000000-0005-0000-0000-000006960000}"/>
    <cellStyle name="Note 7" xfId="540" xr:uid="{00000000-0005-0000-0000-000007960000}"/>
    <cellStyle name="Note 7 2" xfId="2453" xr:uid="{00000000-0005-0000-0000-000008960000}"/>
    <cellStyle name="Note 8" xfId="541" xr:uid="{00000000-0005-0000-0000-000009960000}"/>
    <cellStyle name="Note 8 2" xfId="2454" xr:uid="{00000000-0005-0000-0000-00000A960000}"/>
    <cellStyle name="Note 9" xfId="542" xr:uid="{00000000-0005-0000-0000-00000B960000}"/>
    <cellStyle name="Note 9 2" xfId="2455" xr:uid="{00000000-0005-0000-0000-00000C960000}"/>
    <cellStyle name="Output" xfId="933" builtinId="21" customBuiltin="1"/>
    <cellStyle name="Output 10" xfId="543" xr:uid="{00000000-0005-0000-0000-00000E960000}"/>
    <cellStyle name="Output 11" xfId="544" xr:uid="{00000000-0005-0000-0000-00000F960000}"/>
    <cellStyle name="Output 12" xfId="545" xr:uid="{00000000-0005-0000-0000-000010960000}"/>
    <cellStyle name="Output 13" xfId="546" xr:uid="{00000000-0005-0000-0000-000011960000}"/>
    <cellStyle name="Output 14" xfId="547" xr:uid="{00000000-0005-0000-0000-000012960000}"/>
    <cellStyle name="Output 15" xfId="548" xr:uid="{00000000-0005-0000-0000-000013960000}"/>
    <cellStyle name="Output 16" xfId="775" xr:uid="{00000000-0005-0000-0000-000014960000}"/>
    <cellStyle name="Output 2" xfId="549" xr:uid="{00000000-0005-0000-0000-000015960000}"/>
    <cellStyle name="Output 2 2" xfId="708" xr:uid="{00000000-0005-0000-0000-000016960000}"/>
    <cellStyle name="Output 2 2 2" xfId="1801" xr:uid="{00000000-0005-0000-0000-000017960000}"/>
    <cellStyle name="Output 2 2 3" xfId="1570" xr:uid="{00000000-0005-0000-0000-000018960000}"/>
    <cellStyle name="Output 2 2 4" xfId="11665" xr:uid="{00000000-0005-0000-0000-000019960000}"/>
    <cellStyle name="Output 2 2 5" xfId="1240" xr:uid="{00000000-0005-0000-0000-00001A960000}"/>
    <cellStyle name="Output 2 3" xfId="1571" xr:uid="{00000000-0005-0000-0000-00001B960000}"/>
    <cellStyle name="Output 2 3 2" xfId="2659" xr:uid="{00000000-0005-0000-0000-00001C960000}"/>
    <cellStyle name="Output 2 3 3" xfId="2885" xr:uid="{00000000-0005-0000-0000-00001D960000}"/>
    <cellStyle name="Output 2 3 4" xfId="3468" xr:uid="{00000000-0005-0000-0000-00001E960000}"/>
    <cellStyle name="Output 2 4" xfId="1712" xr:uid="{00000000-0005-0000-0000-00001F960000}"/>
    <cellStyle name="Output 2 5" xfId="1923" xr:uid="{00000000-0005-0000-0000-000020960000}"/>
    <cellStyle name="Output 2 6" xfId="2601" xr:uid="{00000000-0005-0000-0000-000021960000}"/>
    <cellStyle name="Output 2 7" xfId="1569" xr:uid="{00000000-0005-0000-0000-000022960000}"/>
    <cellStyle name="Output 2 8" xfId="11569" xr:uid="{00000000-0005-0000-0000-000023960000}"/>
    <cellStyle name="Output 3" xfId="550" xr:uid="{00000000-0005-0000-0000-000024960000}"/>
    <cellStyle name="Output 3 2" xfId="2456" xr:uid="{00000000-0005-0000-0000-000025960000}"/>
    <cellStyle name="Output 3 3" xfId="2644" xr:uid="{00000000-0005-0000-0000-000026960000}"/>
    <cellStyle name="Output 3 4" xfId="11570" xr:uid="{00000000-0005-0000-0000-000027960000}"/>
    <cellStyle name="Output 3 5" xfId="1572" xr:uid="{00000000-0005-0000-0000-000028960000}"/>
    <cellStyle name="Output 4" xfId="551" xr:uid="{00000000-0005-0000-0000-000029960000}"/>
    <cellStyle name="Output 4 2" xfId="2804" xr:uid="{00000000-0005-0000-0000-00002A960000}"/>
    <cellStyle name="Output 4 3" xfId="11571" xr:uid="{00000000-0005-0000-0000-00002B960000}"/>
    <cellStyle name="Output 4 4" xfId="1573" xr:uid="{00000000-0005-0000-0000-00002C960000}"/>
    <cellStyle name="Output 5" xfId="552" xr:uid="{00000000-0005-0000-0000-00002D960000}"/>
    <cellStyle name="Output 5 2" xfId="11572" xr:uid="{00000000-0005-0000-0000-00002E960000}"/>
    <cellStyle name="Output 5 3" xfId="1699" xr:uid="{00000000-0005-0000-0000-00002F960000}"/>
    <cellStyle name="Output 6" xfId="553" xr:uid="{00000000-0005-0000-0000-000030960000}"/>
    <cellStyle name="Output 6 2" xfId="11573" xr:uid="{00000000-0005-0000-0000-000031960000}"/>
    <cellStyle name="Output 6 3" xfId="1922" xr:uid="{00000000-0005-0000-0000-000032960000}"/>
    <cellStyle name="Output 7" xfId="554" xr:uid="{00000000-0005-0000-0000-000033960000}"/>
    <cellStyle name="Output 8" xfId="555" xr:uid="{00000000-0005-0000-0000-000034960000}"/>
    <cellStyle name="Output 9" xfId="556" xr:uid="{00000000-0005-0000-0000-000035960000}"/>
    <cellStyle name="Percent" xfId="557" builtinId="5"/>
    <cellStyle name="Percent [2]" xfId="767" xr:uid="{00000000-0005-0000-0000-000037960000}"/>
    <cellStyle name="Percent [2] 2" xfId="1576" xr:uid="{00000000-0005-0000-0000-000038960000}"/>
    <cellStyle name="Percent [2] 2 2" xfId="2729" xr:uid="{00000000-0005-0000-0000-000039960000}"/>
    <cellStyle name="Percent [2] 3" xfId="1924" xr:uid="{00000000-0005-0000-0000-00003A960000}"/>
    <cellStyle name="Percent [2] 4" xfId="1575" xr:uid="{00000000-0005-0000-0000-00003B960000}"/>
    <cellStyle name="Percent 10" xfId="857" xr:uid="{00000000-0005-0000-0000-00003C960000}"/>
    <cellStyle name="Percent 10 2" xfId="2508" xr:uid="{00000000-0005-0000-0000-00003D960000}"/>
    <cellStyle name="Percent 10 2 2" xfId="3397" xr:uid="{00000000-0005-0000-0000-00003E960000}"/>
    <cellStyle name="Percent 10 2 2 2" xfId="5665" xr:uid="{00000000-0005-0000-0000-00003F960000}"/>
    <cellStyle name="Percent 10 2 2 2 2" xfId="10129" xr:uid="{00000000-0005-0000-0000-000040960000}"/>
    <cellStyle name="Percent 10 2 2 2 2 2" xfId="20125" xr:uid="{00000000-0005-0000-0000-000041960000}"/>
    <cellStyle name="Percent 10 2 2 2 2 2 2" xfId="39525" xr:uid="{00000000-0005-0000-0000-000042960000}"/>
    <cellStyle name="Percent 10 2 2 2 2 3" xfId="29827" xr:uid="{00000000-0005-0000-0000-000043960000}"/>
    <cellStyle name="Percent 10 2 2 2 3" xfId="15670" xr:uid="{00000000-0005-0000-0000-000044960000}"/>
    <cellStyle name="Percent 10 2 2 2 3 2" xfId="35070" xr:uid="{00000000-0005-0000-0000-000045960000}"/>
    <cellStyle name="Percent 10 2 2 2 4" xfId="25372" xr:uid="{00000000-0005-0000-0000-000046960000}"/>
    <cellStyle name="Percent 10 2 2 3" xfId="7901" xr:uid="{00000000-0005-0000-0000-000047960000}"/>
    <cellStyle name="Percent 10 2 2 3 2" xfId="17897" xr:uid="{00000000-0005-0000-0000-000048960000}"/>
    <cellStyle name="Percent 10 2 2 3 2 2" xfId="37297" xr:uid="{00000000-0005-0000-0000-000049960000}"/>
    <cellStyle name="Percent 10 2 2 3 3" xfId="27599" xr:uid="{00000000-0005-0000-0000-00004A960000}"/>
    <cellStyle name="Percent 10 2 2 4" xfId="13442" xr:uid="{00000000-0005-0000-0000-00004B960000}"/>
    <cellStyle name="Percent 10 2 2 4 2" xfId="32842" xr:uid="{00000000-0005-0000-0000-00004C960000}"/>
    <cellStyle name="Percent 10 2 2 5" xfId="23144" xr:uid="{00000000-0005-0000-0000-00004D960000}"/>
    <cellStyle name="Percent 10 2 3" xfId="3980" xr:uid="{00000000-0005-0000-0000-00004E960000}"/>
    <cellStyle name="Percent 10 2 3 2" xfId="5109" xr:uid="{00000000-0005-0000-0000-00004F960000}"/>
    <cellStyle name="Percent 10 2 3 2 2" xfId="9573" xr:uid="{00000000-0005-0000-0000-000050960000}"/>
    <cellStyle name="Percent 10 2 3 2 2 2" xfId="19569" xr:uid="{00000000-0005-0000-0000-000051960000}"/>
    <cellStyle name="Percent 10 2 3 2 2 2 2" xfId="38969" xr:uid="{00000000-0005-0000-0000-000052960000}"/>
    <cellStyle name="Percent 10 2 3 2 2 3" xfId="29271" xr:uid="{00000000-0005-0000-0000-000053960000}"/>
    <cellStyle name="Percent 10 2 3 2 3" xfId="15114" xr:uid="{00000000-0005-0000-0000-000054960000}"/>
    <cellStyle name="Percent 10 2 3 2 3 2" xfId="34514" xr:uid="{00000000-0005-0000-0000-000055960000}"/>
    <cellStyle name="Percent 10 2 3 2 4" xfId="24816" xr:uid="{00000000-0005-0000-0000-000056960000}"/>
    <cellStyle name="Percent 10 2 3 3" xfId="8458" xr:uid="{00000000-0005-0000-0000-000057960000}"/>
    <cellStyle name="Percent 10 2 3 3 2" xfId="18454" xr:uid="{00000000-0005-0000-0000-000058960000}"/>
    <cellStyle name="Percent 10 2 3 3 2 2" xfId="37854" xr:uid="{00000000-0005-0000-0000-000059960000}"/>
    <cellStyle name="Percent 10 2 3 3 3" xfId="28156" xr:uid="{00000000-0005-0000-0000-00005A960000}"/>
    <cellStyle name="Percent 10 2 3 4" xfId="13999" xr:uid="{00000000-0005-0000-0000-00005B960000}"/>
    <cellStyle name="Percent 10 2 3 4 2" xfId="33399" xr:uid="{00000000-0005-0000-0000-00005C960000}"/>
    <cellStyle name="Percent 10 2 3 5" xfId="23701" xr:uid="{00000000-0005-0000-0000-00005D960000}"/>
    <cellStyle name="Percent 10 2 4" xfId="4552" xr:uid="{00000000-0005-0000-0000-00005E960000}"/>
    <cellStyle name="Percent 10 2 4 2" xfId="9016" xr:uid="{00000000-0005-0000-0000-00005F960000}"/>
    <cellStyle name="Percent 10 2 4 2 2" xfId="19012" xr:uid="{00000000-0005-0000-0000-000060960000}"/>
    <cellStyle name="Percent 10 2 4 2 2 2" xfId="38412" xr:uid="{00000000-0005-0000-0000-000061960000}"/>
    <cellStyle name="Percent 10 2 4 2 3" xfId="28714" xr:uid="{00000000-0005-0000-0000-000062960000}"/>
    <cellStyle name="Percent 10 2 4 3" xfId="14557" xr:uid="{00000000-0005-0000-0000-000063960000}"/>
    <cellStyle name="Percent 10 2 4 3 2" xfId="33957" xr:uid="{00000000-0005-0000-0000-000064960000}"/>
    <cellStyle name="Percent 10 2 4 4" xfId="24259" xr:uid="{00000000-0005-0000-0000-000065960000}"/>
    <cellStyle name="Percent 10 2 5" xfId="6222" xr:uid="{00000000-0005-0000-0000-000066960000}"/>
    <cellStyle name="Percent 10 2 5 2" xfId="10686" xr:uid="{00000000-0005-0000-0000-000067960000}"/>
    <cellStyle name="Percent 10 2 5 2 2" xfId="20682" xr:uid="{00000000-0005-0000-0000-000068960000}"/>
    <cellStyle name="Percent 10 2 5 2 2 2" xfId="40082" xr:uid="{00000000-0005-0000-0000-000069960000}"/>
    <cellStyle name="Percent 10 2 5 2 3" xfId="30384" xr:uid="{00000000-0005-0000-0000-00006A960000}"/>
    <cellStyle name="Percent 10 2 5 3" xfId="16227" xr:uid="{00000000-0005-0000-0000-00006B960000}"/>
    <cellStyle name="Percent 10 2 5 3 2" xfId="35627" xr:uid="{00000000-0005-0000-0000-00006C960000}"/>
    <cellStyle name="Percent 10 2 5 4" xfId="25929" xr:uid="{00000000-0005-0000-0000-00006D960000}"/>
    <cellStyle name="Percent 10 2 6" xfId="6788" xr:uid="{00000000-0005-0000-0000-00006E960000}"/>
    <cellStyle name="Percent 10 2 6 2" xfId="11243" xr:uid="{00000000-0005-0000-0000-00006F960000}"/>
    <cellStyle name="Percent 10 2 6 2 2" xfId="21239" xr:uid="{00000000-0005-0000-0000-000070960000}"/>
    <cellStyle name="Percent 10 2 6 2 2 2" xfId="40639" xr:uid="{00000000-0005-0000-0000-000071960000}"/>
    <cellStyle name="Percent 10 2 6 2 3" xfId="30941" xr:uid="{00000000-0005-0000-0000-000072960000}"/>
    <cellStyle name="Percent 10 2 6 3" xfId="16784" xr:uid="{00000000-0005-0000-0000-000073960000}"/>
    <cellStyle name="Percent 10 2 6 3 2" xfId="36184" xr:uid="{00000000-0005-0000-0000-000074960000}"/>
    <cellStyle name="Percent 10 2 6 4" xfId="26486" xr:uid="{00000000-0005-0000-0000-000075960000}"/>
    <cellStyle name="Percent 10 2 7" xfId="7345" xr:uid="{00000000-0005-0000-0000-000076960000}"/>
    <cellStyle name="Percent 10 2 7 2" xfId="17341" xr:uid="{00000000-0005-0000-0000-000077960000}"/>
    <cellStyle name="Percent 10 2 7 2 2" xfId="36741" xr:uid="{00000000-0005-0000-0000-000078960000}"/>
    <cellStyle name="Percent 10 2 7 3" xfId="27043" xr:uid="{00000000-0005-0000-0000-000079960000}"/>
    <cellStyle name="Percent 10 2 8" xfId="12885" xr:uid="{00000000-0005-0000-0000-00007A960000}"/>
    <cellStyle name="Percent 10 2 8 2" xfId="32286" xr:uid="{00000000-0005-0000-0000-00007B960000}"/>
    <cellStyle name="Percent 10 2 9" xfId="22588" xr:uid="{00000000-0005-0000-0000-00007C960000}"/>
    <cellStyle name="Percent 10 3" xfId="2699" xr:uid="{00000000-0005-0000-0000-00007D960000}"/>
    <cellStyle name="Percent 10 4" xfId="1577" xr:uid="{00000000-0005-0000-0000-00007E960000}"/>
    <cellStyle name="Percent 100" xfId="2848" xr:uid="{00000000-0005-0000-0000-00007F960000}"/>
    <cellStyle name="Percent 101" xfId="2854" xr:uid="{00000000-0005-0000-0000-000080960000}"/>
    <cellStyle name="Percent 102" xfId="2836" xr:uid="{00000000-0005-0000-0000-000081960000}"/>
    <cellStyle name="Percent 103" xfId="2857" xr:uid="{00000000-0005-0000-0000-000082960000}"/>
    <cellStyle name="Percent 104" xfId="2856" xr:uid="{00000000-0005-0000-0000-000083960000}"/>
    <cellStyle name="Percent 105" xfId="2838" xr:uid="{00000000-0005-0000-0000-000084960000}"/>
    <cellStyle name="Percent 106" xfId="2841" xr:uid="{00000000-0005-0000-0000-000085960000}"/>
    <cellStyle name="Percent 107" xfId="2862" xr:uid="{00000000-0005-0000-0000-000086960000}"/>
    <cellStyle name="Percent 108" xfId="2842" xr:uid="{00000000-0005-0000-0000-000087960000}"/>
    <cellStyle name="Percent 109" xfId="2861" xr:uid="{00000000-0005-0000-0000-000088960000}"/>
    <cellStyle name="Percent 11" xfId="864" xr:uid="{00000000-0005-0000-0000-000089960000}"/>
    <cellStyle name="Percent 11 2" xfId="2524" xr:uid="{00000000-0005-0000-0000-00008A960000}"/>
    <cellStyle name="Percent 11 2 2" xfId="3413" xr:uid="{00000000-0005-0000-0000-00008B960000}"/>
    <cellStyle name="Percent 11 2 2 2" xfId="5681" xr:uid="{00000000-0005-0000-0000-00008C960000}"/>
    <cellStyle name="Percent 11 2 2 2 2" xfId="10145" xr:uid="{00000000-0005-0000-0000-00008D960000}"/>
    <cellStyle name="Percent 11 2 2 2 2 2" xfId="20141" xr:uid="{00000000-0005-0000-0000-00008E960000}"/>
    <cellStyle name="Percent 11 2 2 2 2 2 2" xfId="39541" xr:uid="{00000000-0005-0000-0000-00008F960000}"/>
    <cellStyle name="Percent 11 2 2 2 2 3" xfId="29843" xr:uid="{00000000-0005-0000-0000-000090960000}"/>
    <cellStyle name="Percent 11 2 2 2 3" xfId="15686" xr:uid="{00000000-0005-0000-0000-000091960000}"/>
    <cellStyle name="Percent 11 2 2 2 3 2" xfId="35086" xr:uid="{00000000-0005-0000-0000-000092960000}"/>
    <cellStyle name="Percent 11 2 2 2 4" xfId="25388" xr:uid="{00000000-0005-0000-0000-000093960000}"/>
    <cellStyle name="Percent 11 2 2 3" xfId="7917" xr:uid="{00000000-0005-0000-0000-000094960000}"/>
    <cellStyle name="Percent 11 2 2 3 2" xfId="17913" xr:uid="{00000000-0005-0000-0000-000095960000}"/>
    <cellStyle name="Percent 11 2 2 3 2 2" xfId="37313" xr:uid="{00000000-0005-0000-0000-000096960000}"/>
    <cellStyle name="Percent 11 2 2 3 3" xfId="27615" xr:uid="{00000000-0005-0000-0000-000097960000}"/>
    <cellStyle name="Percent 11 2 2 4" xfId="13458" xr:uid="{00000000-0005-0000-0000-000098960000}"/>
    <cellStyle name="Percent 11 2 2 4 2" xfId="32858" xr:uid="{00000000-0005-0000-0000-000099960000}"/>
    <cellStyle name="Percent 11 2 2 5" xfId="23160" xr:uid="{00000000-0005-0000-0000-00009A960000}"/>
    <cellStyle name="Percent 11 2 3" xfId="3996" xr:uid="{00000000-0005-0000-0000-00009B960000}"/>
    <cellStyle name="Percent 11 2 3 2" xfId="5125" xr:uid="{00000000-0005-0000-0000-00009C960000}"/>
    <cellStyle name="Percent 11 2 3 2 2" xfId="9589" xr:uid="{00000000-0005-0000-0000-00009D960000}"/>
    <cellStyle name="Percent 11 2 3 2 2 2" xfId="19585" xr:uid="{00000000-0005-0000-0000-00009E960000}"/>
    <cellStyle name="Percent 11 2 3 2 2 2 2" xfId="38985" xr:uid="{00000000-0005-0000-0000-00009F960000}"/>
    <cellStyle name="Percent 11 2 3 2 2 3" xfId="29287" xr:uid="{00000000-0005-0000-0000-0000A0960000}"/>
    <cellStyle name="Percent 11 2 3 2 3" xfId="15130" xr:uid="{00000000-0005-0000-0000-0000A1960000}"/>
    <cellStyle name="Percent 11 2 3 2 3 2" xfId="34530" xr:uid="{00000000-0005-0000-0000-0000A2960000}"/>
    <cellStyle name="Percent 11 2 3 2 4" xfId="24832" xr:uid="{00000000-0005-0000-0000-0000A3960000}"/>
    <cellStyle name="Percent 11 2 3 3" xfId="8474" xr:uid="{00000000-0005-0000-0000-0000A4960000}"/>
    <cellStyle name="Percent 11 2 3 3 2" xfId="18470" xr:uid="{00000000-0005-0000-0000-0000A5960000}"/>
    <cellStyle name="Percent 11 2 3 3 2 2" xfId="37870" xr:uid="{00000000-0005-0000-0000-0000A6960000}"/>
    <cellStyle name="Percent 11 2 3 3 3" xfId="28172" xr:uid="{00000000-0005-0000-0000-0000A7960000}"/>
    <cellStyle name="Percent 11 2 3 4" xfId="14015" xr:uid="{00000000-0005-0000-0000-0000A8960000}"/>
    <cellStyle name="Percent 11 2 3 4 2" xfId="33415" xr:uid="{00000000-0005-0000-0000-0000A9960000}"/>
    <cellStyle name="Percent 11 2 3 5" xfId="23717" xr:uid="{00000000-0005-0000-0000-0000AA960000}"/>
    <cellStyle name="Percent 11 2 4" xfId="4568" xr:uid="{00000000-0005-0000-0000-0000AB960000}"/>
    <cellStyle name="Percent 11 2 4 2" xfId="9032" xr:uid="{00000000-0005-0000-0000-0000AC960000}"/>
    <cellStyle name="Percent 11 2 4 2 2" xfId="19028" xr:uid="{00000000-0005-0000-0000-0000AD960000}"/>
    <cellStyle name="Percent 11 2 4 2 2 2" xfId="38428" xr:uid="{00000000-0005-0000-0000-0000AE960000}"/>
    <cellStyle name="Percent 11 2 4 2 3" xfId="28730" xr:uid="{00000000-0005-0000-0000-0000AF960000}"/>
    <cellStyle name="Percent 11 2 4 3" xfId="14573" xr:uid="{00000000-0005-0000-0000-0000B0960000}"/>
    <cellStyle name="Percent 11 2 4 3 2" xfId="33973" xr:uid="{00000000-0005-0000-0000-0000B1960000}"/>
    <cellStyle name="Percent 11 2 4 4" xfId="24275" xr:uid="{00000000-0005-0000-0000-0000B2960000}"/>
    <cellStyle name="Percent 11 2 5" xfId="6238" xr:uid="{00000000-0005-0000-0000-0000B3960000}"/>
    <cellStyle name="Percent 11 2 5 2" xfId="10702" xr:uid="{00000000-0005-0000-0000-0000B4960000}"/>
    <cellStyle name="Percent 11 2 5 2 2" xfId="20698" xr:uid="{00000000-0005-0000-0000-0000B5960000}"/>
    <cellStyle name="Percent 11 2 5 2 2 2" xfId="40098" xr:uid="{00000000-0005-0000-0000-0000B6960000}"/>
    <cellStyle name="Percent 11 2 5 2 3" xfId="30400" xr:uid="{00000000-0005-0000-0000-0000B7960000}"/>
    <cellStyle name="Percent 11 2 5 3" xfId="16243" xr:uid="{00000000-0005-0000-0000-0000B8960000}"/>
    <cellStyle name="Percent 11 2 5 3 2" xfId="35643" xr:uid="{00000000-0005-0000-0000-0000B9960000}"/>
    <cellStyle name="Percent 11 2 5 4" xfId="25945" xr:uid="{00000000-0005-0000-0000-0000BA960000}"/>
    <cellStyle name="Percent 11 2 6" xfId="6804" xr:uid="{00000000-0005-0000-0000-0000BB960000}"/>
    <cellStyle name="Percent 11 2 6 2" xfId="11259" xr:uid="{00000000-0005-0000-0000-0000BC960000}"/>
    <cellStyle name="Percent 11 2 6 2 2" xfId="21255" xr:uid="{00000000-0005-0000-0000-0000BD960000}"/>
    <cellStyle name="Percent 11 2 6 2 2 2" xfId="40655" xr:uid="{00000000-0005-0000-0000-0000BE960000}"/>
    <cellStyle name="Percent 11 2 6 2 3" xfId="30957" xr:uid="{00000000-0005-0000-0000-0000BF960000}"/>
    <cellStyle name="Percent 11 2 6 3" xfId="16800" xr:uid="{00000000-0005-0000-0000-0000C0960000}"/>
    <cellStyle name="Percent 11 2 6 3 2" xfId="36200" xr:uid="{00000000-0005-0000-0000-0000C1960000}"/>
    <cellStyle name="Percent 11 2 6 4" xfId="26502" xr:uid="{00000000-0005-0000-0000-0000C2960000}"/>
    <cellStyle name="Percent 11 2 7" xfId="7361" xr:uid="{00000000-0005-0000-0000-0000C3960000}"/>
    <cellStyle name="Percent 11 2 7 2" xfId="17357" xr:uid="{00000000-0005-0000-0000-0000C4960000}"/>
    <cellStyle name="Percent 11 2 7 2 2" xfId="36757" xr:uid="{00000000-0005-0000-0000-0000C5960000}"/>
    <cellStyle name="Percent 11 2 7 3" xfId="27059" xr:uid="{00000000-0005-0000-0000-0000C6960000}"/>
    <cellStyle name="Percent 11 2 8" xfId="12901" xr:uid="{00000000-0005-0000-0000-0000C7960000}"/>
    <cellStyle name="Percent 11 2 8 2" xfId="32302" xr:uid="{00000000-0005-0000-0000-0000C8960000}"/>
    <cellStyle name="Percent 11 2 9" xfId="22604" xr:uid="{00000000-0005-0000-0000-0000C9960000}"/>
    <cellStyle name="Percent 11 3" xfId="2698" xr:uid="{00000000-0005-0000-0000-0000CA960000}"/>
    <cellStyle name="Percent 11 4" xfId="11771" xr:uid="{00000000-0005-0000-0000-0000CB960000}"/>
    <cellStyle name="Percent 11 5" xfId="1578" xr:uid="{00000000-0005-0000-0000-0000CC960000}"/>
    <cellStyle name="Percent 110" xfId="2865" xr:uid="{00000000-0005-0000-0000-0000CD960000}"/>
    <cellStyle name="Percent 111" xfId="2878" xr:uid="{00000000-0005-0000-0000-0000CE960000}"/>
    <cellStyle name="Percent 112" xfId="2879" xr:uid="{00000000-0005-0000-0000-0000CF960000}"/>
    <cellStyle name="Percent 112 2" xfId="4030" xr:uid="{00000000-0005-0000-0000-0000D0960000}"/>
    <cellStyle name="Percent 112 3" xfId="6274" xr:uid="{00000000-0005-0000-0000-0000D1960000}"/>
    <cellStyle name="Percent 113" xfId="3462" xr:uid="{00000000-0005-0000-0000-0000D2960000}"/>
    <cellStyle name="Percent 114" xfId="11297" xr:uid="{00000000-0005-0000-0000-0000D3960000}"/>
    <cellStyle name="Percent 115" xfId="11299" xr:uid="{00000000-0005-0000-0000-0000D4960000}"/>
    <cellStyle name="Percent 116" xfId="11301" xr:uid="{00000000-0005-0000-0000-0000D5960000}"/>
    <cellStyle name="Percent 117" xfId="11329" xr:uid="{00000000-0005-0000-0000-0000D6960000}"/>
    <cellStyle name="Percent 118" xfId="11360" xr:uid="{00000000-0005-0000-0000-0000D7960000}"/>
    <cellStyle name="Percent 119" xfId="1574" xr:uid="{00000000-0005-0000-0000-0000D8960000}"/>
    <cellStyle name="Percent 12" xfId="972" xr:uid="{00000000-0005-0000-0000-0000D9960000}"/>
    <cellStyle name="Percent 12 2" xfId="2514" xr:uid="{00000000-0005-0000-0000-0000DA960000}"/>
    <cellStyle name="Percent 12 2 2" xfId="3403" xr:uid="{00000000-0005-0000-0000-0000DB960000}"/>
    <cellStyle name="Percent 12 2 2 2" xfId="5671" xr:uid="{00000000-0005-0000-0000-0000DC960000}"/>
    <cellStyle name="Percent 12 2 2 2 2" xfId="10135" xr:uid="{00000000-0005-0000-0000-0000DD960000}"/>
    <cellStyle name="Percent 12 2 2 2 2 2" xfId="20131" xr:uid="{00000000-0005-0000-0000-0000DE960000}"/>
    <cellStyle name="Percent 12 2 2 2 2 2 2" xfId="39531" xr:uid="{00000000-0005-0000-0000-0000DF960000}"/>
    <cellStyle name="Percent 12 2 2 2 2 3" xfId="29833" xr:uid="{00000000-0005-0000-0000-0000E0960000}"/>
    <cellStyle name="Percent 12 2 2 2 3" xfId="15676" xr:uid="{00000000-0005-0000-0000-0000E1960000}"/>
    <cellStyle name="Percent 12 2 2 2 3 2" xfId="35076" xr:uid="{00000000-0005-0000-0000-0000E2960000}"/>
    <cellStyle name="Percent 12 2 2 2 4" xfId="25378" xr:uid="{00000000-0005-0000-0000-0000E3960000}"/>
    <cellStyle name="Percent 12 2 2 3" xfId="7907" xr:uid="{00000000-0005-0000-0000-0000E4960000}"/>
    <cellStyle name="Percent 12 2 2 3 2" xfId="17903" xr:uid="{00000000-0005-0000-0000-0000E5960000}"/>
    <cellStyle name="Percent 12 2 2 3 2 2" xfId="37303" xr:uid="{00000000-0005-0000-0000-0000E6960000}"/>
    <cellStyle name="Percent 12 2 2 3 3" xfId="27605" xr:uid="{00000000-0005-0000-0000-0000E7960000}"/>
    <cellStyle name="Percent 12 2 2 4" xfId="13448" xr:uid="{00000000-0005-0000-0000-0000E8960000}"/>
    <cellStyle name="Percent 12 2 2 4 2" xfId="32848" xr:uid="{00000000-0005-0000-0000-0000E9960000}"/>
    <cellStyle name="Percent 12 2 2 5" xfId="23150" xr:uid="{00000000-0005-0000-0000-0000EA960000}"/>
    <cellStyle name="Percent 12 2 3" xfId="3986" xr:uid="{00000000-0005-0000-0000-0000EB960000}"/>
    <cellStyle name="Percent 12 2 3 2" xfId="5115" xr:uid="{00000000-0005-0000-0000-0000EC960000}"/>
    <cellStyle name="Percent 12 2 3 2 2" xfId="9579" xr:uid="{00000000-0005-0000-0000-0000ED960000}"/>
    <cellStyle name="Percent 12 2 3 2 2 2" xfId="19575" xr:uid="{00000000-0005-0000-0000-0000EE960000}"/>
    <cellStyle name="Percent 12 2 3 2 2 2 2" xfId="38975" xr:uid="{00000000-0005-0000-0000-0000EF960000}"/>
    <cellStyle name="Percent 12 2 3 2 2 3" xfId="29277" xr:uid="{00000000-0005-0000-0000-0000F0960000}"/>
    <cellStyle name="Percent 12 2 3 2 3" xfId="15120" xr:uid="{00000000-0005-0000-0000-0000F1960000}"/>
    <cellStyle name="Percent 12 2 3 2 3 2" xfId="34520" xr:uid="{00000000-0005-0000-0000-0000F2960000}"/>
    <cellStyle name="Percent 12 2 3 2 4" xfId="24822" xr:uid="{00000000-0005-0000-0000-0000F3960000}"/>
    <cellStyle name="Percent 12 2 3 3" xfId="8464" xr:uid="{00000000-0005-0000-0000-0000F4960000}"/>
    <cellStyle name="Percent 12 2 3 3 2" xfId="18460" xr:uid="{00000000-0005-0000-0000-0000F5960000}"/>
    <cellStyle name="Percent 12 2 3 3 2 2" xfId="37860" xr:uid="{00000000-0005-0000-0000-0000F6960000}"/>
    <cellStyle name="Percent 12 2 3 3 3" xfId="28162" xr:uid="{00000000-0005-0000-0000-0000F7960000}"/>
    <cellStyle name="Percent 12 2 3 4" xfId="14005" xr:uid="{00000000-0005-0000-0000-0000F8960000}"/>
    <cellStyle name="Percent 12 2 3 4 2" xfId="33405" xr:uid="{00000000-0005-0000-0000-0000F9960000}"/>
    <cellStyle name="Percent 12 2 3 5" xfId="23707" xr:uid="{00000000-0005-0000-0000-0000FA960000}"/>
    <cellStyle name="Percent 12 2 4" xfId="4558" xr:uid="{00000000-0005-0000-0000-0000FB960000}"/>
    <cellStyle name="Percent 12 2 4 2" xfId="9022" xr:uid="{00000000-0005-0000-0000-0000FC960000}"/>
    <cellStyle name="Percent 12 2 4 2 2" xfId="19018" xr:uid="{00000000-0005-0000-0000-0000FD960000}"/>
    <cellStyle name="Percent 12 2 4 2 2 2" xfId="38418" xr:uid="{00000000-0005-0000-0000-0000FE960000}"/>
    <cellStyle name="Percent 12 2 4 2 3" xfId="28720" xr:uid="{00000000-0005-0000-0000-0000FF960000}"/>
    <cellStyle name="Percent 12 2 4 3" xfId="14563" xr:uid="{00000000-0005-0000-0000-000000970000}"/>
    <cellStyle name="Percent 12 2 4 3 2" xfId="33963" xr:uid="{00000000-0005-0000-0000-000001970000}"/>
    <cellStyle name="Percent 12 2 4 4" xfId="24265" xr:uid="{00000000-0005-0000-0000-000002970000}"/>
    <cellStyle name="Percent 12 2 5" xfId="6228" xr:uid="{00000000-0005-0000-0000-000003970000}"/>
    <cellStyle name="Percent 12 2 5 2" xfId="10692" xr:uid="{00000000-0005-0000-0000-000004970000}"/>
    <cellStyle name="Percent 12 2 5 2 2" xfId="20688" xr:uid="{00000000-0005-0000-0000-000005970000}"/>
    <cellStyle name="Percent 12 2 5 2 2 2" xfId="40088" xr:uid="{00000000-0005-0000-0000-000006970000}"/>
    <cellStyle name="Percent 12 2 5 2 3" xfId="30390" xr:uid="{00000000-0005-0000-0000-000007970000}"/>
    <cellStyle name="Percent 12 2 5 3" xfId="16233" xr:uid="{00000000-0005-0000-0000-000008970000}"/>
    <cellStyle name="Percent 12 2 5 3 2" xfId="35633" xr:uid="{00000000-0005-0000-0000-000009970000}"/>
    <cellStyle name="Percent 12 2 5 4" xfId="25935" xr:uid="{00000000-0005-0000-0000-00000A970000}"/>
    <cellStyle name="Percent 12 2 6" xfId="6794" xr:uid="{00000000-0005-0000-0000-00000B970000}"/>
    <cellStyle name="Percent 12 2 6 2" xfId="11249" xr:uid="{00000000-0005-0000-0000-00000C970000}"/>
    <cellStyle name="Percent 12 2 6 2 2" xfId="21245" xr:uid="{00000000-0005-0000-0000-00000D970000}"/>
    <cellStyle name="Percent 12 2 6 2 2 2" xfId="40645" xr:uid="{00000000-0005-0000-0000-00000E970000}"/>
    <cellStyle name="Percent 12 2 6 2 3" xfId="30947" xr:uid="{00000000-0005-0000-0000-00000F970000}"/>
    <cellStyle name="Percent 12 2 6 3" xfId="16790" xr:uid="{00000000-0005-0000-0000-000010970000}"/>
    <cellStyle name="Percent 12 2 6 3 2" xfId="36190" xr:uid="{00000000-0005-0000-0000-000011970000}"/>
    <cellStyle name="Percent 12 2 6 4" xfId="26492" xr:uid="{00000000-0005-0000-0000-000012970000}"/>
    <cellStyle name="Percent 12 2 7" xfId="7351" xr:uid="{00000000-0005-0000-0000-000013970000}"/>
    <cellStyle name="Percent 12 2 7 2" xfId="17347" xr:uid="{00000000-0005-0000-0000-000014970000}"/>
    <cellStyle name="Percent 12 2 7 2 2" xfId="36747" xr:uid="{00000000-0005-0000-0000-000015970000}"/>
    <cellStyle name="Percent 12 2 7 3" xfId="27049" xr:uid="{00000000-0005-0000-0000-000016970000}"/>
    <cellStyle name="Percent 12 2 8" xfId="12891" xr:uid="{00000000-0005-0000-0000-000017970000}"/>
    <cellStyle name="Percent 12 2 8 2" xfId="32292" xr:uid="{00000000-0005-0000-0000-000018970000}"/>
    <cellStyle name="Percent 12 2 9" xfId="22594" xr:uid="{00000000-0005-0000-0000-000019970000}"/>
    <cellStyle name="Percent 12 3" xfId="2700" xr:uid="{00000000-0005-0000-0000-00001A970000}"/>
    <cellStyle name="Percent 12 4" xfId="1579" xr:uid="{00000000-0005-0000-0000-00001B970000}"/>
    <cellStyle name="Percent 120" xfId="11363" xr:uid="{00000000-0005-0000-0000-00001C970000}"/>
    <cellStyle name="Percent 121" xfId="11367" xr:uid="{00000000-0005-0000-0000-00001D970000}"/>
    <cellStyle name="Percent 122" xfId="11362" xr:uid="{00000000-0005-0000-0000-00001E970000}"/>
    <cellStyle name="Percent 123" xfId="11365" xr:uid="{00000000-0005-0000-0000-00001F970000}"/>
    <cellStyle name="Percent 124" xfId="11574" xr:uid="{00000000-0005-0000-0000-000020970000}"/>
    <cellStyle name="Percent 125" xfId="1126" xr:uid="{00000000-0005-0000-0000-000021970000}"/>
    <cellStyle name="Percent 126" xfId="11992" xr:uid="{00000000-0005-0000-0000-000022970000}"/>
    <cellStyle name="Percent 127" xfId="12916" xr:uid="{00000000-0005-0000-0000-000023970000}"/>
    <cellStyle name="Percent 128" xfId="21694" xr:uid="{00000000-0005-0000-0000-000024970000}"/>
    <cellStyle name="Percent 129" xfId="21693" xr:uid="{00000000-0005-0000-0000-000025970000}"/>
    <cellStyle name="Percent 13" xfId="973" xr:uid="{00000000-0005-0000-0000-000026970000}"/>
    <cellStyle name="Percent 13 2" xfId="2506" xr:uid="{00000000-0005-0000-0000-000027970000}"/>
    <cellStyle name="Percent 13 2 2" xfId="3395" xr:uid="{00000000-0005-0000-0000-000028970000}"/>
    <cellStyle name="Percent 13 2 2 2" xfId="5663" xr:uid="{00000000-0005-0000-0000-000029970000}"/>
    <cellStyle name="Percent 13 2 2 2 2" xfId="10127" xr:uid="{00000000-0005-0000-0000-00002A970000}"/>
    <cellStyle name="Percent 13 2 2 2 2 2" xfId="20123" xr:uid="{00000000-0005-0000-0000-00002B970000}"/>
    <cellStyle name="Percent 13 2 2 2 2 2 2" xfId="39523" xr:uid="{00000000-0005-0000-0000-00002C970000}"/>
    <cellStyle name="Percent 13 2 2 2 2 3" xfId="29825" xr:uid="{00000000-0005-0000-0000-00002D970000}"/>
    <cellStyle name="Percent 13 2 2 2 3" xfId="15668" xr:uid="{00000000-0005-0000-0000-00002E970000}"/>
    <cellStyle name="Percent 13 2 2 2 3 2" xfId="35068" xr:uid="{00000000-0005-0000-0000-00002F970000}"/>
    <cellStyle name="Percent 13 2 2 2 4" xfId="25370" xr:uid="{00000000-0005-0000-0000-000030970000}"/>
    <cellStyle name="Percent 13 2 2 3" xfId="7899" xr:uid="{00000000-0005-0000-0000-000031970000}"/>
    <cellStyle name="Percent 13 2 2 3 2" xfId="17895" xr:uid="{00000000-0005-0000-0000-000032970000}"/>
    <cellStyle name="Percent 13 2 2 3 2 2" xfId="37295" xr:uid="{00000000-0005-0000-0000-000033970000}"/>
    <cellStyle name="Percent 13 2 2 3 3" xfId="27597" xr:uid="{00000000-0005-0000-0000-000034970000}"/>
    <cellStyle name="Percent 13 2 2 4" xfId="13440" xr:uid="{00000000-0005-0000-0000-000035970000}"/>
    <cellStyle name="Percent 13 2 2 4 2" xfId="32840" xr:uid="{00000000-0005-0000-0000-000036970000}"/>
    <cellStyle name="Percent 13 2 2 5" xfId="23142" xr:uid="{00000000-0005-0000-0000-000037970000}"/>
    <cellStyle name="Percent 13 2 3" xfId="3978" xr:uid="{00000000-0005-0000-0000-000038970000}"/>
    <cellStyle name="Percent 13 2 3 2" xfId="5107" xr:uid="{00000000-0005-0000-0000-000039970000}"/>
    <cellStyle name="Percent 13 2 3 2 2" xfId="9571" xr:uid="{00000000-0005-0000-0000-00003A970000}"/>
    <cellStyle name="Percent 13 2 3 2 2 2" xfId="19567" xr:uid="{00000000-0005-0000-0000-00003B970000}"/>
    <cellStyle name="Percent 13 2 3 2 2 2 2" xfId="38967" xr:uid="{00000000-0005-0000-0000-00003C970000}"/>
    <cellStyle name="Percent 13 2 3 2 2 3" xfId="29269" xr:uid="{00000000-0005-0000-0000-00003D970000}"/>
    <cellStyle name="Percent 13 2 3 2 3" xfId="15112" xr:uid="{00000000-0005-0000-0000-00003E970000}"/>
    <cellStyle name="Percent 13 2 3 2 3 2" xfId="34512" xr:uid="{00000000-0005-0000-0000-00003F970000}"/>
    <cellStyle name="Percent 13 2 3 2 4" xfId="24814" xr:uid="{00000000-0005-0000-0000-000040970000}"/>
    <cellStyle name="Percent 13 2 3 3" xfId="8456" xr:uid="{00000000-0005-0000-0000-000041970000}"/>
    <cellStyle name="Percent 13 2 3 3 2" xfId="18452" xr:uid="{00000000-0005-0000-0000-000042970000}"/>
    <cellStyle name="Percent 13 2 3 3 2 2" xfId="37852" xr:uid="{00000000-0005-0000-0000-000043970000}"/>
    <cellStyle name="Percent 13 2 3 3 3" xfId="28154" xr:uid="{00000000-0005-0000-0000-000044970000}"/>
    <cellStyle name="Percent 13 2 3 4" xfId="13997" xr:uid="{00000000-0005-0000-0000-000045970000}"/>
    <cellStyle name="Percent 13 2 3 4 2" xfId="33397" xr:uid="{00000000-0005-0000-0000-000046970000}"/>
    <cellStyle name="Percent 13 2 3 5" xfId="23699" xr:uid="{00000000-0005-0000-0000-000047970000}"/>
    <cellStyle name="Percent 13 2 4" xfId="4550" xr:uid="{00000000-0005-0000-0000-000048970000}"/>
    <cellStyle name="Percent 13 2 4 2" xfId="9014" xr:uid="{00000000-0005-0000-0000-000049970000}"/>
    <cellStyle name="Percent 13 2 4 2 2" xfId="19010" xr:uid="{00000000-0005-0000-0000-00004A970000}"/>
    <cellStyle name="Percent 13 2 4 2 2 2" xfId="38410" xr:uid="{00000000-0005-0000-0000-00004B970000}"/>
    <cellStyle name="Percent 13 2 4 2 3" xfId="28712" xr:uid="{00000000-0005-0000-0000-00004C970000}"/>
    <cellStyle name="Percent 13 2 4 3" xfId="14555" xr:uid="{00000000-0005-0000-0000-00004D970000}"/>
    <cellStyle name="Percent 13 2 4 3 2" xfId="33955" xr:uid="{00000000-0005-0000-0000-00004E970000}"/>
    <cellStyle name="Percent 13 2 4 4" xfId="24257" xr:uid="{00000000-0005-0000-0000-00004F970000}"/>
    <cellStyle name="Percent 13 2 5" xfId="6220" xr:uid="{00000000-0005-0000-0000-000050970000}"/>
    <cellStyle name="Percent 13 2 5 2" xfId="10684" xr:uid="{00000000-0005-0000-0000-000051970000}"/>
    <cellStyle name="Percent 13 2 5 2 2" xfId="20680" xr:uid="{00000000-0005-0000-0000-000052970000}"/>
    <cellStyle name="Percent 13 2 5 2 2 2" xfId="40080" xr:uid="{00000000-0005-0000-0000-000053970000}"/>
    <cellStyle name="Percent 13 2 5 2 3" xfId="30382" xr:uid="{00000000-0005-0000-0000-000054970000}"/>
    <cellStyle name="Percent 13 2 5 3" xfId="16225" xr:uid="{00000000-0005-0000-0000-000055970000}"/>
    <cellStyle name="Percent 13 2 5 3 2" xfId="35625" xr:uid="{00000000-0005-0000-0000-000056970000}"/>
    <cellStyle name="Percent 13 2 5 4" xfId="25927" xr:uid="{00000000-0005-0000-0000-000057970000}"/>
    <cellStyle name="Percent 13 2 6" xfId="6786" xr:uid="{00000000-0005-0000-0000-000058970000}"/>
    <cellStyle name="Percent 13 2 6 2" xfId="11241" xr:uid="{00000000-0005-0000-0000-000059970000}"/>
    <cellStyle name="Percent 13 2 6 2 2" xfId="21237" xr:uid="{00000000-0005-0000-0000-00005A970000}"/>
    <cellStyle name="Percent 13 2 6 2 2 2" xfId="40637" xr:uid="{00000000-0005-0000-0000-00005B970000}"/>
    <cellStyle name="Percent 13 2 6 2 3" xfId="30939" xr:uid="{00000000-0005-0000-0000-00005C970000}"/>
    <cellStyle name="Percent 13 2 6 3" xfId="16782" xr:uid="{00000000-0005-0000-0000-00005D970000}"/>
    <cellStyle name="Percent 13 2 6 3 2" xfId="36182" xr:uid="{00000000-0005-0000-0000-00005E970000}"/>
    <cellStyle name="Percent 13 2 6 4" xfId="26484" xr:uid="{00000000-0005-0000-0000-00005F970000}"/>
    <cellStyle name="Percent 13 2 7" xfId="7343" xr:uid="{00000000-0005-0000-0000-000060970000}"/>
    <cellStyle name="Percent 13 2 7 2" xfId="17339" xr:uid="{00000000-0005-0000-0000-000061970000}"/>
    <cellStyle name="Percent 13 2 7 2 2" xfId="36739" xr:uid="{00000000-0005-0000-0000-000062970000}"/>
    <cellStyle name="Percent 13 2 7 3" xfId="27041" xr:uid="{00000000-0005-0000-0000-000063970000}"/>
    <cellStyle name="Percent 13 2 8" xfId="12883" xr:uid="{00000000-0005-0000-0000-000064970000}"/>
    <cellStyle name="Percent 13 2 8 2" xfId="32284" xr:uid="{00000000-0005-0000-0000-000065970000}"/>
    <cellStyle name="Percent 13 2 9" xfId="22586" xr:uid="{00000000-0005-0000-0000-000066970000}"/>
    <cellStyle name="Percent 13 3" xfId="2703" xr:uid="{00000000-0005-0000-0000-000067970000}"/>
    <cellStyle name="Percent 13 4" xfId="1580" xr:uid="{00000000-0005-0000-0000-000068970000}"/>
    <cellStyle name="Percent 130" xfId="21698" xr:uid="{00000000-0005-0000-0000-000069970000}"/>
    <cellStyle name="Percent 14" xfId="979" xr:uid="{00000000-0005-0000-0000-00006A970000}"/>
    <cellStyle name="Percent 14 2" xfId="2523" xr:uid="{00000000-0005-0000-0000-00006B970000}"/>
    <cellStyle name="Percent 14 2 2" xfId="3412" xr:uid="{00000000-0005-0000-0000-00006C970000}"/>
    <cellStyle name="Percent 14 2 2 2" xfId="5680" xr:uid="{00000000-0005-0000-0000-00006D970000}"/>
    <cellStyle name="Percent 14 2 2 2 2" xfId="10144" xr:uid="{00000000-0005-0000-0000-00006E970000}"/>
    <cellStyle name="Percent 14 2 2 2 2 2" xfId="20140" xr:uid="{00000000-0005-0000-0000-00006F970000}"/>
    <cellStyle name="Percent 14 2 2 2 2 2 2" xfId="39540" xr:uid="{00000000-0005-0000-0000-000070970000}"/>
    <cellStyle name="Percent 14 2 2 2 2 3" xfId="29842" xr:uid="{00000000-0005-0000-0000-000071970000}"/>
    <cellStyle name="Percent 14 2 2 2 3" xfId="15685" xr:uid="{00000000-0005-0000-0000-000072970000}"/>
    <cellStyle name="Percent 14 2 2 2 3 2" xfId="35085" xr:uid="{00000000-0005-0000-0000-000073970000}"/>
    <cellStyle name="Percent 14 2 2 2 4" xfId="25387" xr:uid="{00000000-0005-0000-0000-000074970000}"/>
    <cellStyle name="Percent 14 2 2 3" xfId="7916" xr:uid="{00000000-0005-0000-0000-000075970000}"/>
    <cellStyle name="Percent 14 2 2 3 2" xfId="17912" xr:uid="{00000000-0005-0000-0000-000076970000}"/>
    <cellStyle name="Percent 14 2 2 3 2 2" xfId="37312" xr:uid="{00000000-0005-0000-0000-000077970000}"/>
    <cellStyle name="Percent 14 2 2 3 3" xfId="27614" xr:uid="{00000000-0005-0000-0000-000078970000}"/>
    <cellStyle name="Percent 14 2 2 4" xfId="13457" xr:uid="{00000000-0005-0000-0000-000079970000}"/>
    <cellStyle name="Percent 14 2 2 4 2" xfId="32857" xr:uid="{00000000-0005-0000-0000-00007A970000}"/>
    <cellStyle name="Percent 14 2 2 5" xfId="23159" xr:uid="{00000000-0005-0000-0000-00007B970000}"/>
    <cellStyle name="Percent 14 2 3" xfId="3995" xr:uid="{00000000-0005-0000-0000-00007C970000}"/>
    <cellStyle name="Percent 14 2 3 2" xfId="5124" xr:uid="{00000000-0005-0000-0000-00007D970000}"/>
    <cellStyle name="Percent 14 2 3 2 2" xfId="9588" xr:uid="{00000000-0005-0000-0000-00007E970000}"/>
    <cellStyle name="Percent 14 2 3 2 2 2" xfId="19584" xr:uid="{00000000-0005-0000-0000-00007F970000}"/>
    <cellStyle name="Percent 14 2 3 2 2 2 2" xfId="38984" xr:uid="{00000000-0005-0000-0000-000080970000}"/>
    <cellStyle name="Percent 14 2 3 2 2 3" xfId="29286" xr:uid="{00000000-0005-0000-0000-000081970000}"/>
    <cellStyle name="Percent 14 2 3 2 3" xfId="15129" xr:uid="{00000000-0005-0000-0000-000082970000}"/>
    <cellStyle name="Percent 14 2 3 2 3 2" xfId="34529" xr:uid="{00000000-0005-0000-0000-000083970000}"/>
    <cellStyle name="Percent 14 2 3 2 4" xfId="24831" xr:uid="{00000000-0005-0000-0000-000084970000}"/>
    <cellStyle name="Percent 14 2 3 3" xfId="8473" xr:uid="{00000000-0005-0000-0000-000085970000}"/>
    <cellStyle name="Percent 14 2 3 3 2" xfId="18469" xr:uid="{00000000-0005-0000-0000-000086970000}"/>
    <cellStyle name="Percent 14 2 3 3 2 2" xfId="37869" xr:uid="{00000000-0005-0000-0000-000087970000}"/>
    <cellStyle name="Percent 14 2 3 3 3" xfId="28171" xr:uid="{00000000-0005-0000-0000-000088970000}"/>
    <cellStyle name="Percent 14 2 3 4" xfId="14014" xr:uid="{00000000-0005-0000-0000-000089970000}"/>
    <cellStyle name="Percent 14 2 3 4 2" xfId="33414" xr:uid="{00000000-0005-0000-0000-00008A970000}"/>
    <cellStyle name="Percent 14 2 3 5" xfId="23716" xr:uid="{00000000-0005-0000-0000-00008B970000}"/>
    <cellStyle name="Percent 14 2 4" xfId="4567" xr:uid="{00000000-0005-0000-0000-00008C970000}"/>
    <cellStyle name="Percent 14 2 4 2" xfId="9031" xr:uid="{00000000-0005-0000-0000-00008D970000}"/>
    <cellStyle name="Percent 14 2 4 2 2" xfId="19027" xr:uid="{00000000-0005-0000-0000-00008E970000}"/>
    <cellStyle name="Percent 14 2 4 2 2 2" xfId="38427" xr:uid="{00000000-0005-0000-0000-00008F970000}"/>
    <cellStyle name="Percent 14 2 4 2 3" xfId="28729" xr:uid="{00000000-0005-0000-0000-000090970000}"/>
    <cellStyle name="Percent 14 2 4 3" xfId="14572" xr:uid="{00000000-0005-0000-0000-000091970000}"/>
    <cellStyle name="Percent 14 2 4 3 2" xfId="33972" xr:uid="{00000000-0005-0000-0000-000092970000}"/>
    <cellStyle name="Percent 14 2 4 4" xfId="24274" xr:uid="{00000000-0005-0000-0000-000093970000}"/>
    <cellStyle name="Percent 14 2 5" xfId="6237" xr:uid="{00000000-0005-0000-0000-000094970000}"/>
    <cellStyle name="Percent 14 2 5 2" xfId="10701" xr:uid="{00000000-0005-0000-0000-000095970000}"/>
    <cellStyle name="Percent 14 2 5 2 2" xfId="20697" xr:uid="{00000000-0005-0000-0000-000096970000}"/>
    <cellStyle name="Percent 14 2 5 2 2 2" xfId="40097" xr:uid="{00000000-0005-0000-0000-000097970000}"/>
    <cellStyle name="Percent 14 2 5 2 3" xfId="30399" xr:uid="{00000000-0005-0000-0000-000098970000}"/>
    <cellStyle name="Percent 14 2 5 3" xfId="16242" xr:uid="{00000000-0005-0000-0000-000099970000}"/>
    <cellStyle name="Percent 14 2 5 3 2" xfId="35642" xr:uid="{00000000-0005-0000-0000-00009A970000}"/>
    <cellStyle name="Percent 14 2 5 4" xfId="25944" xr:uid="{00000000-0005-0000-0000-00009B970000}"/>
    <cellStyle name="Percent 14 2 6" xfId="6803" xr:uid="{00000000-0005-0000-0000-00009C970000}"/>
    <cellStyle name="Percent 14 2 6 2" xfId="11258" xr:uid="{00000000-0005-0000-0000-00009D970000}"/>
    <cellStyle name="Percent 14 2 6 2 2" xfId="21254" xr:uid="{00000000-0005-0000-0000-00009E970000}"/>
    <cellStyle name="Percent 14 2 6 2 2 2" xfId="40654" xr:uid="{00000000-0005-0000-0000-00009F970000}"/>
    <cellStyle name="Percent 14 2 6 2 3" xfId="30956" xr:uid="{00000000-0005-0000-0000-0000A0970000}"/>
    <cellStyle name="Percent 14 2 6 3" xfId="16799" xr:uid="{00000000-0005-0000-0000-0000A1970000}"/>
    <cellStyle name="Percent 14 2 6 3 2" xfId="36199" xr:uid="{00000000-0005-0000-0000-0000A2970000}"/>
    <cellStyle name="Percent 14 2 6 4" xfId="26501" xr:uid="{00000000-0005-0000-0000-0000A3970000}"/>
    <cellStyle name="Percent 14 2 7" xfId="7360" xr:uid="{00000000-0005-0000-0000-0000A4970000}"/>
    <cellStyle name="Percent 14 2 7 2" xfId="17356" xr:uid="{00000000-0005-0000-0000-0000A5970000}"/>
    <cellStyle name="Percent 14 2 7 2 2" xfId="36756" xr:uid="{00000000-0005-0000-0000-0000A6970000}"/>
    <cellStyle name="Percent 14 2 7 3" xfId="27058" xr:uid="{00000000-0005-0000-0000-0000A7970000}"/>
    <cellStyle name="Percent 14 2 8" xfId="12900" xr:uid="{00000000-0005-0000-0000-0000A8970000}"/>
    <cellStyle name="Percent 14 2 8 2" xfId="32301" xr:uid="{00000000-0005-0000-0000-0000A9970000}"/>
    <cellStyle name="Percent 14 2 9" xfId="22603" xr:uid="{00000000-0005-0000-0000-0000AA970000}"/>
    <cellStyle name="Percent 14 3" xfId="2739" xr:uid="{00000000-0005-0000-0000-0000AB970000}"/>
    <cellStyle name="Percent 14 4" xfId="1581" xr:uid="{00000000-0005-0000-0000-0000AC970000}"/>
    <cellStyle name="Percent 15" xfId="982" xr:uid="{00000000-0005-0000-0000-0000AD970000}"/>
    <cellStyle name="Percent 15 2" xfId="2519" xr:uid="{00000000-0005-0000-0000-0000AE970000}"/>
    <cellStyle name="Percent 15 2 2" xfId="3408" xr:uid="{00000000-0005-0000-0000-0000AF970000}"/>
    <cellStyle name="Percent 15 2 2 2" xfId="5676" xr:uid="{00000000-0005-0000-0000-0000B0970000}"/>
    <cellStyle name="Percent 15 2 2 2 2" xfId="10140" xr:uid="{00000000-0005-0000-0000-0000B1970000}"/>
    <cellStyle name="Percent 15 2 2 2 2 2" xfId="20136" xr:uid="{00000000-0005-0000-0000-0000B2970000}"/>
    <cellStyle name="Percent 15 2 2 2 2 2 2" xfId="39536" xr:uid="{00000000-0005-0000-0000-0000B3970000}"/>
    <cellStyle name="Percent 15 2 2 2 2 3" xfId="29838" xr:uid="{00000000-0005-0000-0000-0000B4970000}"/>
    <cellStyle name="Percent 15 2 2 2 3" xfId="15681" xr:uid="{00000000-0005-0000-0000-0000B5970000}"/>
    <cellStyle name="Percent 15 2 2 2 3 2" xfId="35081" xr:uid="{00000000-0005-0000-0000-0000B6970000}"/>
    <cellStyle name="Percent 15 2 2 2 4" xfId="25383" xr:uid="{00000000-0005-0000-0000-0000B7970000}"/>
    <cellStyle name="Percent 15 2 2 3" xfId="7912" xr:uid="{00000000-0005-0000-0000-0000B8970000}"/>
    <cellStyle name="Percent 15 2 2 3 2" xfId="17908" xr:uid="{00000000-0005-0000-0000-0000B9970000}"/>
    <cellStyle name="Percent 15 2 2 3 2 2" xfId="37308" xr:uid="{00000000-0005-0000-0000-0000BA970000}"/>
    <cellStyle name="Percent 15 2 2 3 3" xfId="27610" xr:uid="{00000000-0005-0000-0000-0000BB970000}"/>
    <cellStyle name="Percent 15 2 2 4" xfId="13453" xr:uid="{00000000-0005-0000-0000-0000BC970000}"/>
    <cellStyle name="Percent 15 2 2 4 2" xfId="32853" xr:uid="{00000000-0005-0000-0000-0000BD970000}"/>
    <cellStyle name="Percent 15 2 2 5" xfId="23155" xr:uid="{00000000-0005-0000-0000-0000BE970000}"/>
    <cellStyle name="Percent 15 2 3" xfId="3991" xr:uid="{00000000-0005-0000-0000-0000BF970000}"/>
    <cellStyle name="Percent 15 2 3 2" xfId="5120" xr:uid="{00000000-0005-0000-0000-0000C0970000}"/>
    <cellStyle name="Percent 15 2 3 2 2" xfId="9584" xr:uid="{00000000-0005-0000-0000-0000C1970000}"/>
    <cellStyle name="Percent 15 2 3 2 2 2" xfId="19580" xr:uid="{00000000-0005-0000-0000-0000C2970000}"/>
    <cellStyle name="Percent 15 2 3 2 2 2 2" xfId="38980" xr:uid="{00000000-0005-0000-0000-0000C3970000}"/>
    <cellStyle name="Percent 15 2 3 2 2 3" xfId="29282" xr:uid="{00000000-0005-0000-0000-0000C4970000}"/>
    <cellStyle name="Percent 15 2 3 2 3" xfId="15125" xr:uid="{00000000-0005-0000-0000-0000C5970000}"/>
    <cellStyle name="Percent 15 2 3 2 3 2" xfId="34525" xr:uid="{00000000-0005-0000-0000-0000C6970000}"/>
    <cellStyle name="Percent 15 2 3 2 4" xfId="24827" xr:uid="{00000000-0005-0000-0000-0000C7970000}"/>
    <cellStyle name="Percent 15 2 3 3" xfId="8469" xr:uid="{00000000-0005-0000-0000-0000C8970000}"/>
    <cellStyle name="Percent 15 2 3 3 2" xfId="18465" xr:uid="{00000000-0005-0000-0000-0000C9970000}"/>
    <cellStyle name="Percent 15 2 3 3 2 2" xfId="37865" xr:uid="{00000000-0005-0000-0000-0000CA970000}"/>
    <cellStyle name="Percent 15 2 3 3 3" xfId="28167" xr:uid="{00000000-0005-0000-0000-0000CB970000}"/>
    <cellStyle name="Percent 15 2 3 4" xfId="14010" xr:uid="{00000000-0005-0000-0000-0000CC970000}"/>
    <cellStyle name="Percent 15 2 3 4 2" xfId="33410" xr:uid="{00000000-0005-0000-0000-0000CD970000}"/>
    <cellStyle name="Percent 15 2 3 5" xfId="23712" xr:uid="{00000000-0005-0000-0000-0000CE970000}"/>
    <cellStyle name="Percent 15 2 4" xfId="4563" xr:uid="{00000000-0005-0000-0000-0000CF970000}"/>
    <cellStyle name="Percent 15 2 4 2" xfId="9027" xr:uid="{00000000-0005-0000-0000-0000D0970000}"/>
    <cellStyle name="Percent 15 2 4 2 2" xfId="19023" xr:uid="{00000000-0005-0000-0000-0000D1970000}"/>
    <cellStyle name="Percent 15 2 4 2 2 2" xfId="38423" xr:uid="{00000000-0005-0000-0000-0000D2970000}"/>
    <cellStyle name="Percent 15 2 4 2 3" xfId="28725" xr:uid="{00000000-0005-0000-0000-0000D3970000}"/>
    <cellStyle name="Percent 15 2 4 3" xfId="14568" xr:uid="{00000000-0005-0000-0000-0000D4970000}"/>
    <cellStyle name="Percent 15 2 4 3 2" xfId="33968" xr:uid="{00000000-0005-0000-0000-0000D5970000}"/>
    <cellStyle name="Percent 15 2 4 4" xfId="24270" xr:uid="{00000000-0005-0000-0000-0000D6970000}"/>
    <cellStyle name="Percent 15 2 5" xfId="6233" xr:uid="{00000000-0005-0000-0000-0000D7970000}"/>
    <cellStyle name="Percent 15 2 5 2" xfId="10697" xr:uid="{00000000-0005-0000-0000-0000D8970000}"/>
    <cellStyle name="Percent 15 2 5 2 2" xfId="20693" xr:uid="{00000000-0005-0000-0000-0000D9970000}"/>
    <cellStyle name="Percent 15 2 5 2 2 2" xfId="40093" xr:uid="{00000000-0005-0000-0000-0000DA970000}"/>
    <cellStyle name="Percent 15 2 5 2 3" xfId="30395" xr:uid="{00000000-0005-0000-0000-0000DB970000}"/>
    <cellStyle name="Percent 15 2 5 3" xfId="16238" xr:uid="{00000000-0005-0000-0000-0000DC970000}"/>
    <cellStyle name="Percent 15 2 5 3 2" xfId="35638" xr:uid="{00000000-0005-0000-0000-0000DD970000}"/>
    <cellStyle name="Percent 15 2 5 4" xfId="25940" xr:uid="{00000000-0005-0000-0000-0000DE970000}"/>
    <cellStyle name="Percent 15 2 6" xfId="6799" xr:uid="{00000000-0005-0000-0000-0000DF970000}"/>
    <cellStyle name="Percent 15 2 6 2" xfId="11254" xr:uid="{00000000-0005-0000-0000-0000E0970000}"/>
    <cellStyle name="Percent 15 2 6 2 2" xfId="21250" xr:uid="{00000000-0005-0000-0000-0000E1970000}"/>
    <cellStyle name="Percent 15 2 6 2 2 2" xfId="40650" xr:uid="{00000000-0005-0000-0000-0000E2970000}"/>
    <cellStyle name="Percent 15 2 6 2 3" xfId="30952" xr:uid="{00000000-0005-0000-0000-0000E3970000}"/>
    <cellStyle name="Percent 15 2 6 3" xfId="16795" xr:uid="{00000000-0005-0000-0000-0000E4970000}"/>
    <cellStyle name="Percent 15 2 6 3 2" xfId="36195" xr:uid="{00000000-0005-0000-0000-0000E5970000}"/>
    <cellStyle name="Percent 15 2 6 4" xfId="26497" xr:uid="{00000000-0005-0000-0000-0000E6970000}"/>
    <cellStyle name="Percent 15 2 7" xfId="7356" xr:uid="{00000000-0005-0000-0000-0000E7970000}"/>
    <cellStyle name="Percent 15 2 7 2" xfId="17352" xr:uid="{00000000-0005-0000-0000-0000E8970000}"/>
    <cellStyle name="Percent 15 2 7 2 2" xfId="36752" xr:uid="{00000000-0005-0000-0000-0000E9970000}"/>
    <cellStyle name="Percent 15 2 7 3" xfId="27054" xr:uid="{00000000-0005-0000-0000-0000EA970000}"/>
    <cellStyle name="Percent 15 2 8" xfId="12896" xr:uid="{00000000-0005-0000-0000-0000EB970000}"/>
    <cellStyle name="Percent 15 2 8 2" xfId="32297" xr:uid="{00000000-0005-0000-0000-0000EC970000}"/>
    <cellStyle name="Percent 15 2 9" xfId="22599" xr:uid="{00000000-0005-0000-0000-0000ED970000}"/>
    <cellStyle name="Percent 15 3" xfId="2740" xr:uid="{00000000-0005-0000-0000-0000EE970000}"/>
    <cellStyle name="Percent 15 4" xfId="1582" xr:uid="{00000000-0005-0000-0000-0000EF970000}"/>
    <cellStyle name="Percent 16" xfId="985" xr:uid="{00000000-0005-0000-0000-0000F0970000}"/>
    <cellStyle name="Percent 16 2" xfId="2527" xr:uid="{00000000-0005-0000-0000-0000F1970000}"/>
    <cellStyle name="Percent 16 2 2" xfId="3416" xr:uid="{00000000-0005-0000-0000-0000F2970000}"/>
    <cellStyle name="Percent 16 2 2 2" xfId="5684" xr:uid="{00000000-0005-0000-0000-0000F3970000}"/>
    <cellStyle name="Percent 16 2 2 2 2" xfId="10148" xr:uid="{00000000-0005-0000-0000-0000F4970000}"/>
    <cellStyle name="Percent 16 2 2 2 2 2" xfId="20144" xr:uid="{00000000-0005-0000-0000-0000F5970000}"/>
    <cellStyle name="Percent 16 2 2 2 2 2 2" xfId="39544" xr:uid="{00000000-0005-0000-0000-0000F6970000}"/>
    <cellStyle name="Percent 16 2 2 2 2 3" xfId="29846" xr:uid="{00000000-0005-0000-0000-0000F7970000}"/>
    <cellStyle name="Percent 16 2 2 2 3" xfId="15689" xr:uid="{00000000-0005-0000-0000-0000F8970000}"/>
    <cellStyle name="Percent 16 2 2 2 3 2" xfId="35089" xr:uid="{00000000-0005-0000-0000-0000F9970000}"/>
    <cellStyle name="Percent 16 2 2 2 4" xfId="25391" xr:uid="{00000000-0005-0000-0000-0000FA970000}"/>
    <cellStyle name="Percent 16 2 2 3" xfId="7920" xr:uid="{00000000-0005-0000-0000-0000FB970000}"/>
    <cellStyle name="Percent 16 2 2 3 2" xfId="17916" xr:uid="{00000000-0005-0000-0000-0000FC970000}"/>
    <cellStyle name="Percent 16 2 2 3 2 2" xfId="37316" xr:uid="{00000000-0005-0000-0000-0000FD970000}"/>
    <cellStyle name="Percent 16 2 2 3 3" xfId="27618" xr:uid="{00000000-0005-0000-0000-0000FE970000}"/>
    <cellStyle name="Percent 16 2 2 4" xfId="13461" xr:uid="{00000000-0005-0000-0000-0000FF970000}"/>
    <cellStyle name="Percent 16 2 2 4 2" xfId="32861" xr:uid="{00000000-0005-0000-0000-000000980000}"/>
    <cellStyle name="Percent 16 2 2 5" xfId="23163" xr:uid="{00000000-0005-0000-0000-000001980000}"/>
    <cellStyle name="Percent 16 2 3" xfId="3999" xr:uid="{00000000-0005-0000-0000-000002980000}"/>
    <cellStyle name="Percent 16 2 3 2" xfId="5128" xr:uid="{00000000-0005-0000-0000-000003980000}"/>
    <cellStyle name="Percent 16 2 3 2 2" xfId="9592" xr:uid="{00000000-0005-0000-0000-000004980000}"/>
    <cellStyle name="Percent 16 2 3 2 2 2" xfId="19588" xr:uid="{00000000-0005-0000-0000-000005980000}"/>
    <cellStyle name="Percent 16 2 3 2 2 2 2" xfId="38988" xr:uid="{00000000-0005-0000-0000-000006980000}"/>
    <cellStyle name="Percent 16 2 3 2 2 3" xfId="29290" xr:uid="{00000000-0005-0000-0000-000007980000}"/>
    <cellStyle name="Percent 16 2 3 2 3" xfId="15133" xr:uid="{00000000-0005-0000-0000-000008980000}"/>
    <cellStyle name="Percent 16 2 3 2 3 2" xfId="34533" xr:uid="{00000000-0005-0000-0000-000009980000}"/>
    <cellStyle name="Percent 16 2 3 2 4" xfId="24835" xr:uid="{00000000-0005-0000-0000-00000A980000}"/>
    <cellStyle name="Percent 16 2 3 3" xfId="8477" xr:uid="{00000000-0005-0000-0000-00000B980000}"/>
    <cellStyle name="Percent 16 2 3 3 2" xfId="18473" xr:uid="{00000000-0005-0000-0000-00000C980000}"/>
    <cellStyle name="Percent 16 2 3 3 2 2" xfId="37873" xr:uid="{00000000-0005-0000-0000-00000D980000}"/>
    <cellStyle name="Percent 16 2 3 3 3" xfId="28175" xr:uid="{00000000-0005-0000-0000-00000E980000}"/>
    <cellStyle name="Percent 16 2 3 4" xfId="14018" xr:uid="{00000000-0005-0000-0000-00000F980000}"/>
    <cellStyle name="Percent 16 2 3 4 2" xfId="33418" xr:uid="{00000000-0005-0000-0000-000010980000}"/>
    <cellStyle name="Percent 16 2 3 5" xfId="23720" xr:uid="{00000000-0005-0000-0000-000011980000}"/>
    <cellStyle name="Percent 16 2 4" xfId="4571" xr:uid="{00000000-0005-0000-0000-000012980000}"/>
    <cellStyle name="Percent 16 2 4 2" xfId="9035" xr:uid="{00000000-0005-0000-0000-000013980000}"/>
    <cellStyle name="Percent 16 2 4 2 2" xfId="19031" xr:uid="{00000000-0005-0000-0000-000014980000}"/>
    <cellStyle name="Percent 16 2 4 2 2 2" xfId="38431" xr:uid="{00000000-0005-0000-0000-000015980000}"/>
    <cellStyle name="Percent 16 2 4 2 3" xfId="28733" xr:uid="{00000000-0005-0000-0000-000016980000}"/>
    <cellStyle name="Percent 16 2 4 3" xfId="14576" xr:uid="{00000000-0005-0000-0000-000017980000}"/>
    <cellStyle name="Percent 16 2 4 3 2" xfId="33976" xr:uid="{00000000-0005-0000-0000-000018980000}"/>
    <cellStyle name="Percent 16 2 4 4" xfId="24278" xr:uid="{00000000-0005-0000-0000-000019980000}"/>
    <cellStyle name="Percent 16 2 5" xfId="6241" xr:uid="{00000000-0005-0000-0000-00001A980000}"/>
    <cellStyle name="Percent 16 2 5 2" xfId="10705" xr:uid="{00000000-0005-0000-0000-00001B980000}"/>
    <cellStyle name="Percent 16 2 5 2 2" xfId="20701" xr:uid="{00000000-0005-0000-0000-00001C980000}"/>
    <cellStyle name="Percent 16 2 5 2 2 2" xfId="40101" xr:uid="{00000000-0005-0000-0000-00001D980000}"/>
    <cellStyle name="Percent 16 2 5 2 3" xfId="30403" xr:uid="{00000000-0005-0000-0000-00001E980000}"/>
    <cellStyle name="Percent 16 2 5 3" xfId="16246" xr:uid="{00000000-0005-0000-0000-00001F980000}"/>
    <cellStyle name="Percent 16 2 5 3 2" xfId="35646" xr:uid="{00000000-0005-0000-0000-000020980000}"/>
    <cellStyle name="Percent 16 2 5 4" xfId="25948" xr:uid="{00000000-0005-0000-0000-000021980000}"/>
    <cellStyle name="Percent 16 2 6" xfId="6807" xr:uid="{00000000-0005-0000-0000-000022980000}"/>
    <cellStyle name="Percent 16 2 6 2" xfId="11262" xr:uid="{00000000-0005-0000-0000-000023980000}"/>
    <cellStyle name="Percent 16 2 6 2 2" xfId="21258" xr:uid="{00000000-0005-0000-0000-000024980000}"/>
    <cellStyle name="Percent 16 2 6 2 2 2" xfId="40658" xr:uid="{00000000-0005-0000-0000-000025980000}"/>
    <cellStyle name="Percent 16 2 6 2 3" xfId="30960" xr:uid="{00000000-0005-0000-0000-000026980000}"/>
    <cellStyle name="Percent 16 2 6 3" xfId="16803" xr:uid="{00000000-0005-0000-0000-000027980000}"/>
    <cellStyle name="Percent 16 2 6 3 2" xfId="36203" xr:uid="{00000000-0005-0000-0000-000028980000}"/>
    <cellStyle name="Percent 16 2 6 4" xfId="26505" xr:uid="{00000000-0005-0000-0000-000029980000}"/>
    <cellStyle name="Percent 16 2 7" xfId="7364" xr:uid="{00000000-0005-0000-0000-00002A980000}"/>
    <cellStyle name="Percent 16 2 7 2" xfId="17360" xr:uid="{00000000-0005-0000-0000-00002B980000}"/>
    <cellStyle name="Percent 16 2 7 2 2" xfId="36760" xr:uid="{00000000-0005-0000-0000-00002C980000}"/>
    <cellStyle name="Percent 16 2 7 3" xfId="27062" xr:uid="{00000000-0005-0000-0000-00002D980000}"/>
    <cellStyle name="Percent 16 2 8" xfId="12904" xr:uid="{00000000-0005-0000-0000-00002E980000}"/>
    <cellStyle name="Percent 16 2 8 2" xfId="32305" xr:uid="{00000000-0005-0000-0000-00002F980000}"/>
    <cellStyle name="Percent 16 2 9" xfId="22607" xr:uid="{00000000-0005-0000-0000-000030980000}"/>
    <cellStyle name="Percent 16 3" xfId="2750" xr:uid="{00000000-0005-0000-0000-000031980000}"/>
    <cellStyle name="Percent 16 4" xfId="1583" xr:uid="{00000000-0005-0000-0000-000032980000}"/>
    <cellStyle name="Percent 17" xfId="1002" xr:uid="{00000000-0005-0000-0000-000033980000}"/>
    <cellStyle name="Percent 17 2" xfId="2513" xr:uid="{00000000-0005-0000-0000-000034980000}"/>
    <cellStyle name="Percent 17 2 2" xfId="3402" xr:uid="{00000000-0005-0000-0000-000035980000}"/>
    <cellStyle name="Percent 17 2 2 2" xfId="5670" xr:uid="{00000000-0005-0000-0000-000036980000}"/>
    <cellStyle name="Percent 17 2 2 2 2" xfId="10134" xr:uid="{00000000-0005-0000-0000-000037980000}"/>
    <cellStyle name="Percent 17 2 2 2 2 2" xfId="20130" xr:uid="{00000000-0005-0000-0000-000038980000}"/>
    <cellStyle name="Percent 17 2 2 2 2 2 2" xfId="39530" xr:uid="{00000000-0005-0000-0000-000039980000}"/>
    <cellStyle name="Percent 17 2 2 2 2 3" xfId="29832" xr:uid="{00000000-0005-0000-0000-00003A980000}"/>
    <cellStyle name="Percent 17 2 2 2 3" xfId="15675" xr:uid="{00000000-0005-0000-0000-00003B980000}"/>
    <cellStyle name="Percent 17 2 2 2 3 2" xfId="35075" xr:uid="{00000000-0005-0000-0000-00003C980000}"/>
    <cellStyle name="Percent 17 2 2 2 4" xfId="25377" xr:uid="{00000000-0005-0000-0000-00003D980000}"/>
    <cellStyle name="Percent 17 2 2 3" xfId="7906" xr:uid="{00000000-0005-0000-0000-00003E980000}"/>
    <cellStyle name="Percent 17 2 2 3 2" xfId="17902" xr:uid="{00000000-0005-0000-0000-00003F980000}"/>
    <cellStyle name="Percent 17 2 2 3 2 2" xfId="37302" xr:uid="{00000000-0005-0000-0000-000040980000}"/>
    <cellStyle name="Percent 17 2 2 3 3" xfId="27604" xr:uid="{00000000-0005-0000-0000-000041980000}"/>
    <cellStyle name="Percent 17 2 2 4" xfId="13447" xr:uid="{00000000-0005-0000-0000-000042980000}"/>
    <cellStyle name="Percent 17 2 2 4 2" xfId="32847" xr:uid="{00000000-0005-0000-0000-000043980000}"/>
    <cellStyle name="Percent 17 2 2 5" xfId="23149" xr:uid="{00000000-0005-0000-0000-000044980000}"/>
    <cellStyle name="Percent 17 2 3" xfId="3985" xr:uid="{00000000-0005-0000-0000-000045980000}"/>
    <cellStyle name="Percent 17 2 3 2" xfId="5114" xr:uid="{00000000-0005-0000-0000-000046980000}"/>
    <cellStyle name="Percent 17 2 3 2 2" xfId="9578" xr:uid="{00000000-0005-0000-0000-000047980000}"/>
    <cellStyle name="Percent 17 2 3 2 2 2" xfId="19574" xr:uid="{00000000-0005-0000-0000-000048980000}"/>
    <cellStyle name="Percent 17 2 3 2 2 2 2" xfId="38974" xr:uid="{00000000-0005-0000-0000-000049980000}"/>
    <cellStyle name="Percent 17 2 3 2 2 3" xfId="29276" xr:uid="{00000000-0005-0000-0000-00004A980000}"/>
    <cellStyle name="Percent 17 2 3 2 3" xfId="15119" xr:uid="{00000000-0005-0000-0000-00004B980000}"/>
    <cellStyle name="Percent 17 2 3 2 3 2" xfId="34519" xr:uid="{00000000-0005-0000-0000-00004C980000}"/>
    <cellStyle name="Percent 17 2 3 2 4" xfId="24821" xr:uid="{00000000-0005-0000-0000-00004D980000}"/>
    <cellStyle name="Percent 17 2 3 3" xfId="8463" xr:uid="{00000000-0005-0000-0000-00004E980000}"/>
    <cellStyle name="Percent 17 2 3 3 2" xfId="18459" xr:uid="{00000000-0005-0000-0000-00004F980000}"/>
    <cellStyle name="Percent 17 2 3 3 2 2" xfId="37859" xr:uid="{00000000-0005-0000-0000-000050980000}"/>
    <cellStyle name="Percent 17 2 3 3 3" xfId="28161" xr:uid="{00000000-0005-0000-0000-000051980000}"/>
    <cellStyle name="Percent 17 2 3 4" xfId="14004" xr:uid="{00000000-0005-0000-0000-000052980000}"/>
    <cellStyle name="Percent 17 2 3 4 2" xfId="33404" xr:uid="{00000000-0005-0000-0000-000053980000}"/>
    <cellStyle name="Percent 17 2 3 5" xfId="23706" xr:uid="{00000000-0005-0000-0000-000054980000}"/>
    <cellStyle name="Percent 17 2 4" xfId="4557" xr:uid="{00000000-0005-0000-0000-000055980000}"/>
    <cellStyle name="Percent 17 2 4 2" xfId="9021" xr:uid="{00000000-0005-0000-0000-000056980000}"/>
    <cellStyle name="Percent 17 2 4 2 2" xfId="19017" xr:uid="{00000000-0005-0000-0000-000057980000}"/>
    <cellStyle name="Percent 17 2 4 2 2 2" xfId="38417" xr:uid="{00000000-0005-0000-0000-000058980000}"/>
    <cellStyle name="Percent 17 2 4 2 3" xfId="28719" xr:uid="{00000000-0005-0000-0000-000059980000}"/>
    <cellStyle name="Percent 17 2 4 3" xfId="14562" xr:uid="{00000000-0005-0000-0000-00005A980000}"/>
    <cellStyle name="Percent 17 2 4 3 2" xfId="33962" xr:uid="{00000000-0005-0000-0000-00005B980000}"/>
    <cellStyle name="Percent 17 2 4 4" xfId="24264" xr:uid="{00000000-0005-0000-0000-00005C980000}"/>
    <cellStyle name="Percent 17 2 5" xfId="6227" xr:uid="{00000000-0005-0000-0000-00005D980000}"/>
    <cellStyle name="Percent 17 2 5 2" xfId="10691" xr:uid="{00000000-0005-0000-0000-00005E980000}"/>
    <cellStyle name="Percent 17 2 5 2 2" xfId="20687" xr:uid="{00000000-0005-0000-0000-00005F980000}"/>
    <cellStyle name="Percent 17 2 5 2 2 2" xfId="40087" xr:uid="{00000000-0005-0000-0000-000060980000}"/>
    <cellStyle name="Percent 17 2 5 2 3" xfId="30389" xr:uid="{00000000-0005-0000-0000-000061980000}"/>
    <cellStyle name="Percent 17 2 5 3" xfId="16232" xr:uid="{00000000-0005-0000-0000-000062980000}"/>
    <cellStyle name="Percent 17 2 5 3 2" xfId="35632" xr:uid="{00000000-0005-0000-0000-000063980000}"/>
    <cellStyle name="Percent 17 2 5 4" xfId="25934" xr:uid="{00000000-0005-0000-0000-000064980000}"/>
    <cellStyle name="Percent 17 2 6" xfId="6793" xr:uid="{00000000-0005-0000-0000-000065980000}"/>
    <cellStyle name="Percent 17 2 6 2" xfId="11248" xr:uid="{00000000-0005-0000-0000-000066980000}"/>
    <cellStyle name="Percent 17 2 6 2 2" xfId="21244" xr:uid="{00000000-0005-0000-0000-000067980000}"/>
    <cellStyle name="Percent 17 2 6 2 2 2" xfId="40644" xr:uid="{00000000-0005-0000-0000-000068980000}"/>
    <cellStyle name="Percent 17 2 6 2 3" xfId="30946" xr:uid="{00000000-0005-0000-0000-000069980000}"/>
    <cellStyle name="Percent 17 2 6 3" xfId="16789" xr:uid="{00000000-0005-0000-0000-00006A980000}"/>
    <cellStyle name="Percent 17 2 6 3 2" xfId="36189" xr:uid="{00000000-0005-0000-0000-00006B980000}"/>
    <cellStyle name="Percent 17 2 6 4" xfId="26491" xr:uid="{00000000-0005-0000-0000-00006C980000}"/>
    <cellStyle name="Percent 17 2 7" xfId="7350" xr:uid="{00000000-0005-0000-0000-00006D980000}"/>
    <cellStyle name="Percent 17 2 7 2" xfId="17346" xr:uid="{00000000-0005-0000-0000-00006E980000}"/>
    <cellStyle name="Percent 17 2 7 2 2" xfId="36746" xr:uid="{00000000-0005-0000-0000-00006F980000}"/>
    <cellStyle name="Percent 17 2 7 3" xfId="27048" xr:uid="{00000000-0005-0000-0000-000070980000}"/>
    <cellStyle name="Percent 17 2 8" xfId="12890" xr:uid="{00000000-0005-0000-0000-000071980000}"/>
    <cellStyle name="Percent 17 2 8 2" xfId="32291" xr:uid="{00000000-0005-0000-0000-000072980000}"/>
    <cellStyle name="Percent 17 2 9" xfId="22593" xr:uid="{00000000-0005-0000-0000-000073980000}"/>
    <cellStyle name="Percent 17 3" xfId="2730" xr:uid="{00000000-0005-0000-0000-000074980000}"/>
    <cellStyle name="Percent 17 4" xfId="11873" xr:uid="{00000000-0005-0000-0000-000075980000}"/>
    <cellStyle name="Percent 17 4 2" xfId="21577" xr:uid="{00000000-0005-0000-0000-000076980000}"/>
    <cellStyle name="Percent 17 4 2 2" xfId="40977" xr:uid="{00000000-0005-0000-0000-000077980000}"/>
    <cellStyle name="Percent 17 4 3" xfId="31279" xr:uid="{00000000-0005-0000-0000-000078980000}"/>
    <cellStyle name="Percent 17 5" xfId="1584" xr:uid="{00000000-0005-0000-0000-000079980000}"/>
    <cellStyle name="Percent 17 6" xfId="12229" xr:uid="{00000000-0005-0000-0000-00007A980000}"/>
    <cellStyle name="Percent 17 6 2" xfId="31632" xr:uid="{00000000-0005-0000-0000-00007B980000}"/>
    <cellStyle name="Percent 17 7" xfId="21934" xr:uid="{00000000-0005-0000-0000-00007C980000}"/>
    <cellStyle name="Percent 18" xfId="1013" xr:uid="{00000000-0005-0000-0000-00007D980000}"/>
    <cellStyle name="Percent 18 2" xfId="2529" xr:uid="{00000000-0005-0000-0000-00007E980000}"/>
    <cellStyle name="Percent 18 2 2" xfId="3418" xr:uid="{00000000-0005-0000-0000-00007F980000}"/>
    <cellStyle name="Percent 18 2 2 2" xfId="5686" xr:uid="{00000000-0005-0000-0000-000080980000}"/>
    <cellStyle name="Percent 18 2 2 2 2" xfId="10150" xr:uid="{00000000-0005-0000-0000-000081980000}"/>
    <cellStyle name="Percent 18 2 2 2 2 2" xfId="20146" xr:uid="{00000000-0005-0000-0000-000082980000}"/>
    <cellStyle name="Percent 18 2 2 2 2 2 2" xfId="39546" xr:uid="{00000000-0005-0000-0000-000083980000}"/>
    <cellStyle name="Percent 18 2 2 2 2 3" xfId="29848" xr:uid="{00000000-0005-0000-0000-000084980000}"/>
    <cellStyle name="Percent 18 2 2 2 3" xfId="15691" xr:uid="{00000000-0005-0000-0000-000085980000}"/>
    <cellStyle name="Percent 18 2 2 2 3 2" xfId="35091" xr:uid="{00000000-0005-0000-0000-000086980000}"/>
    <cellStyle name="Percent 18 2 2 2 4" xfId="25393" xr:uid="{00000000-0005-0000-0000-000087980000}"/>
    <cellStyle name="Percent 18 2 2 3" xfId="7922" xr:uid="{00000000-0005-0000-0000-000088980000}"/>
    <cellStyle name="Percent 18 2 2 3 2" xfId="17918" xr:uid="{00000000-0005-0000-0000-000089980000}"/>
    <cellStyle name="Percent 18 2 2 3 2 2" xfId="37318" xr:uid="{00000000-0005-0000-0000-00008A980000}"/>
    <cellStyle name="Percent 18 2 2 3 3" xfId="27620" xr:uid="{00000000-0005-0000-0000-00008B980000}"/>
    <cellStyle name="Percent 18 2 2 4" xfId="13463" xr:uid="{00000000-0005-0000-0000-00008C980000}"/>
    <cellStyle name="Percent 18 2 2 4 2" xfId="32863" xr:uid="{00000000-0005-0000-0000-00008D980000}"/>
    <cellStyle name="Percent 18 2 2 5" xfId="23165" xr:uid="{00000000-0005-0000-0000-00008E980000}"/>
    <cellStyle name="Percent 18 2 3" xfId="4001" xr:uid="{00000000-0005-0000-0000-00008F980000}"/>
    <cellStyle name="Percent 18 2 3 2" xfId="5130" xr:uid="{00000000-0005-0000-0000-000090980000}"/>
    <cellStyle name="Percent 18 2 3 2 2" xfId="9594" xr:uid="{00000000-0005-0000-0000-000091980000}"/>
    <cellStyle name="Percent 18 2 3 2 2 2" xfId="19590" xr:uid="{00000000-0005-0000-0000-000092980000}"/>
    <cellStyle name="Percent 18 2 3 2 2 2 2" xfId="38990" xr:uid="{00000000-0005-0000-0000-000093980000}"/>
    <cellStyle name="Percent 18 2 3 2 2 3" xfId="29292" xr:uid="{00000000-0005-0000-0000-000094980000}"/>
    <cellStyle name="Percent 18 2 3 2 3" xfId="15135" xr:uid="{00000000-0005-0000-0000-000095980000}"/>
    <cellStyle name="Percent 18 2 3 2 3 2" xfId="34535" xr:uid="{00000000-0005-0000-0000-000096980000}"/>
    <cellStyle name="Percent 18 2 3 2 4" xfId="24837" xr:uid="{00000000-0005-0000-0000-000097980000}"/>
    <cellStyle name="Percent 18 2 3 3" xfId="8479" xr:uid="{00000000-0005-0000-0000-000098980000}"/>
    <cellStyle name="Percent 18 2 3 3 2" xfId="18475" xr:uid="{00000000-0005-0000-0000-000099980000}"/>
    <cellStyle name="Percent 18 2 3 3 2 2" xfId="37875" xr:uid="{00000000-0005-0000-0000-00009A980000}"/>
    <cellStyle name="Percent 18 2 3 3 3" xfId="28177" xr:uid="{00000000-0005-0000-0000-00009B980000}"/>
    <cellStyle name="Percent 18 2 3 4" xfId="14020" xr:uid="{00000000-0005-0000-0000-00009C980000}"/>
    <cellStyle name="Percent 18 2 3 4 2" xfId="33420" xr:uid="{00000000-0005-0000-0000-00009D980000}"/>
    <cellStyle name="Percent 18 2 3 5" xfId="23722" xr:uid="{00000000-0005-0000-0000-00009E980000}"/>
    <cellStyle name="Percent 18 2 4" xfId="4573" xr:uid="{00000000-0005-0000-0000-00009F980000}"/>
    <cellStyle name="Percent 18 2 4 2" xfId="9037" xr:uid="{00000000-0005-0000-0000-0000A0980000}"/>
    <cellStyle name="Percent 18 2 4 2 2" xfId="19033" xr:uid="{00000000-0005-0000-0000-0000A1980000}"/>
    <cellStyle name="Percent 18 2 4 2 2 2" xfId="38433" xr:uid="{00000000-0005-0000-0000-0000A2980000}"/>
    <cellStyle name="Percent 18 2 4 2 3" xfId="28735" xr:uid="{00000000-0005-0000-0000-0000A3980000}"/>
    <cellStyle name="Percent 18 2 4 3" xfId="14578" xr:uid="{00000000-0005-0000-0000-0000A4980000}"/>
    <cellStyle name="Percent 18 2 4 3 2" xfId="33978" xr:uid="{00000000-0005-0000-0000-0000A5980000}"/>
    <cellStyle name="Percent 18 2 4 4" xfId="24280" xr:uid="{00000000-0005-0000-0000-0000A6980000}"/>
    <cellStyle name="Percent 18 2 5" xfId="6243" xr:uid="{00000000-0005-0000-0000-0000A7980000}"/>
    <cellStyle name="Percent 18 2 5 2" xfId="10707" xr:uid="{00000000-0005-0000-0000-0000A8980000}"/>
    <cellStyle name="Percent 18 2 5 2 2" xfId="20703" xr:uid="{00000000-0005-0000-0000-0000A9980000}"/>
    <cellStyle name="Percent 18 2 5 2 2 2" xfId="40103" xr:uid="{00000000-0005-0000-0000-0000AA980000}"/>
    <cellStyle name="Percent 18 2 5 2 3" xfId="30405" xr:uid="{00000000-0005-0000-0000-0000AB980000}"/>
    <cellStyle name="Percent 18 2 5 3" xfId="16248" xr:uid="{00000000-0005-0000-0000-0000AC980000}"/>
    <cellStyle name="Percent 18 2 5 3 2" xfId="35648" xr:uid="{00000000-0005-0000-0000-0000AD980000}"/>
    <cellStyle name="Percent 18 2 5 4" xfId="25950" xr:uid="{00000000-0005-0000-0000-0000AE980000}"/>
    <cellStyle name="Percent 18 2 6" xfId="6809" xr:uid="{00000000-0005-0000-0000-0000AF980000}"/>
    <cellStyle name="Percent 18 2 6 2" xfId="11264" xr:uid="{00000000-0005-0000-0000-0000B0980000}"/>
    <cellStyle name="Percent 18 2 6 2 2" xfId="21260" xr:uid="{00000000-0005-0000-0000-0000B1980000}"/>
    <cellStyle name="Percent 18 2 6 2 2 2" xfId="40660" xr:uid="{00000000-0005-0000-0000-0000B2980000}"/>
    <cellStyle name="Percent 18 2 6 2 3" xfId="30962" xr:uid="{00000000-0005-0000-0000-0000B3980000}"/>
    <cellStyle name="Percent 18 2 6 3" xfId="16805" xr:uid="{00000000-0005-0000-0000-0000B4980000}"/>
    <cellStyle name="Percent 18 2 6 3 2" xfId="36205" xr:uid="{00000000-0005-0000-0000-0000B5980000}"/>
    <cellStyle name="Percent 18 2 6 4" xfId="26507" xr:uid="{00000000-0005-0000-0000-0000B6980000}"/>
    <cellStyle name="Percent 18 2 7" xfId="7366" xr:uid="{00000000-0005-0000-0000-0000B7980000}"/>
    <cellStyle name="Percent 18 2 7 2" xfId="17362" xr:uid="{00000000-0005-0000-0000-0000B8980000}"/>
    <cellStyle name="Percent 18 2 7 2 2" xfId="36762" xr:uid="{00000000-0005-0000-0000-0000B9980000}"/>
    <cellStyle name="Percent 18 2 7 3" xfId="27064" xr:uid="{00000000-0005-0000-0000-0000BA980000}"/>
    <cellStyle name="Percent 18 2 8" xfId="12906" xr:uid="{00000000-0005-0000-0000-0000BB980000}"/>
    <cellStyle name="Percent 18 2 8 2" xfId="32307" xr:uid="{00000000-0005-0000-0000-0000BC980000}"/>
    <cellStyle name="Percent 18 2 9" xfId="22609" xr:uid="{00000000-0005-0000-0000-0000BD980000}"/>
    <cellStyle name="Percent 18 3" xfId="2741" xr:uid="{00000000-0005-0000-0000-0000BE980000}"/>
    <cellStyle name="Percent 18 4" xfId="11884" xr:uid="{00000000-0005-0000-0000-0000BF980000}"/>
    <cellStyle name="Percent 18 4 2" xfId="21588" xr:uid="{00000000-0005-0000-0000-0000C0980000}"/>
    <cellStyle name="Percent 18 4 2 2" xfId="40988" xr:uid="{00000000-0005-0000-0000-0000C1980000}"/>
    <cellStyle name="Percent 18 4 3" xfId="31290" xr:uid="{00000000-0005-0000-0000-0000C2980000}"/>
    <cellStyle name="Percent 18 5" xfId="1585" xr:uid="{00000000-0005-0000-0000-0000C3980000}"/>
    <cellStyle name="Percent 18 6" xfId="12240" xr:uid="{00000000-0005-0000-0000-0000C4980000}"/>
    <cellStyle name="Percent 18 6 2" xfId="31643" xr:uid="{00000000-0005-0000-0000-0000C5980000}"/>
    <cellStyle name="Percent 18 7" xfId="21945" xr:uid="{00000000-0005-0000-0000-0000C6980000}"/>
    <cellStyle name="Percent 19" xfId="1023" xr:uid="{00000000-0005-0000-0000-0000C7980000}"/>
    <cellStyle name="Percent 19 2" xfId="2520" xr:uid="{00000000-0005-0000-0000-0000C8980000}"/>
    <cellStyle name="Percent 19 2 2" xfId="3409" xr:uid="{00000000-0005-0000-0000-0000C9980000}"/>
    <cellStyle name="Percent 19 2 2 2" xfId="5677" xr:uid="{00000000-0005-0000-0000-0000CA980000}"/>
    <cellStyle name="Percent 19 2 2 2 2" xfId="10141" xr:uid="{00000000-0005-0000-0000-0000CB980000}"/>
    <cellStyle name="Percent 19 2 2 2 2 2" xfId="20137" xr:uid="{00000000-0005-0000-0000-0000CC980000}"/>
    <cellStyle name="Percent 19 2 2 2 2 2 2" xfId="39537" xr:uid="{00000000-0005-0000-0000-0000CD980000}"/>
    <cellStyle name="Percent 19 2 2 2 2 3" xfId="29839" xr:uid="{00000000-0005-0000-0000-0000CE980000}"/>
    <cellStyle name="Percent 19 2 2 2 3" xfId="15682" xr:uid="{00000000-0005-0000-0000-0000CF980000}"/>
    <cellStyle name="Percent 19 2 2 2 3 2" xfId="35082" xr:uid="{00000000-0005-0000-0000-0000D0980000}"/>
    <cellStyle name="Percent 19 2 2 2 4" xfId="25384" xr:uid="{00000000-0005-0000-0000-0000D1980000}"/>
    <cellStyle name="Percent 19 2 2 3" xfId="7913" xr:uid="{00000000-0005-0000-0000-0000D2980000}"/>
    <cellStyle name="Percent 19 2 2 3 2" xfId="17909" xr:uid="{00000000-0005-0000-0000-0000D3980000}"/>
    <cellStyle name="Percent 19 2 2 3 2 2" xfId="37309" xr:uid="{00000000-0005-0000-0000-0000D4980000}"/>
    <cellStyle name="Percent 19 2 2 3 3" xfId="27611" xr:uid="{00000000-0005-0000-0000-0000D5980000}"/>
    <cellStyle name="Percent 19 2 2 4" xfId="13454" xr:uid="{00000000-0005-0000-0000-0000D6980000}"/>
    <cellStyle name="Percent 19 2 2 4 2" xfId="32854" xr:uid="{00000000-0005-0000-0000-0000D7980000}"/>
    <cellStyle name="Percent 19 2 2 5" xfId="23156" xr:uid="{00000000-0005-0000-0000-0000D8980000}"/>
    <cellStyle name="Percent 19 2 3" xfId="3992" xr:uid="{00000000-0005-0000-0000-0000D9980000}"/>
    <cellStyle name="Percent 19 2 3 2" xfId="5121" xr:uid="{00000000-0005-0000-0000-0000DA980000}"/>
    <cellStyle name="Percent 19 2 3 2 2" xfId="9585" xr:uid="{00000000-0005-0000-0000-0000DB980000}"/>
    <cellStyle name="Percent 19 2 3 2 2 2" xfId="19581" xr:uid="{00000000-0005-0000-0000-0000DC980000}"/>
    <cellStyle name="Percent 19 2 3 2 2 2 2" xfId="38981" xr:uid="{00000000-0005-0000-0000-0000DD980000}"/>
    <cellStyle name="Percent 19 2 3 2 2 3" xfId="29283" xr:uid="{00000000-0005-0000-0000-0000DE980000}"/>
    <cellStyle name="Percent 19 2 3 2 3" xfId="15126" xr:uid="{00000000-0005-0000-0000-0000DF980000}"/>
    <cellStyle name="Percent 19 2 3 2 3 2" xfId="34526" xr:uid="{00000000-0005-0000-0000-0000E0980000}"/>
    <cellStyle name="Percent 19 2 3 2 4" xfId="24828" xr:uid="{00000000-0005-0000-0000-0000E1980000}"/>
    <cellStyle name="Percent 19 2 3 3" xfId="8470" xr:uid="{00000000-0005-0000-0000-0000E2980000}"/>
    <cellStyle name="Percent 19 2 3 3 2" xfId="18466" xr:uid="{00000000-0005-0000-0000-0000E3980000}"/>
    <cellStyle name="Percent 19 2 3 3 2 2" xfId="37866" xr:uid="{00000000-0005-0000-0000-0000E4980000}"/>
    <cellStyle name="Percent 19 2 3 3 3" xfId="28168" xr:uid="{00000000-0005-0000-0000-0000E5980000}"/>
    <cellStyle name="Percent 19 2 3 4" xfId="14011" xr:uid="{00000000-0005-0000-0000-0000E6980000}"/>
    <cellStyle name="Percent 19 2 3 4 2" xfId="33411" xr:uid="{00000000-0005-0000-0000-0000E7980000}"/>
    <cellStyle name="Percent 19 2 3 5" xfId="23713" xr:uid="{00000000-0005-0000-0000-0000E8980000}"/>
    <cellStyle name="Percent 19 2 4" xfId="4564" xr:uid="{00000000-0005-0000-0000-0000E9980000}"/>
    <cellStyle name="Percent 19 2 4 2" xfId="9028" xr:uid="{00000000-0005-0000-0000-0000EA980000}"/>
    <cellStyle name="Percent 19 2 4 2 2" xfId="19024" xr:uid="{00000000-0005-0000-0000-0000EB980000}"/>
    <cellStyle name="Percent 19 2 4 2 2 2" xfId="38424" xr:uid="{00000000-0005-0000-0000-0000EC980000}"/>
    <cellStyle name="Percent 19 2 4 2 3" xfId="28726" xr:uid="{00000000-0005-0000-0000-0000ED980000}"/>
    <cellStyle name="Percent 19 2 4 3" xfId="14569" xr:uid="{00000000-0005-0000-0000-0000EE980000}"/>
    <cellStyle name="Percent 19 2 4 3 2" xfId="33969" xr:uid="{00000000-0005-0000-0000-0000EF980000}"/>
    <cellStyle name="Percent 19 2 4 4" xfId="24271" xr:uid="{00000000-0005-0000-0000-0000F0980000}"/>
    <cellStyle name="Percent 19 2 5" xfId="6234" xr:uid="{00000000-0005-0000-0000-0000F1980000}"/>
    <cellStyle name="Percent 19 2 5 2" xfId="10698" xr:uid="{00000000-0005-0000-0000-0000F2980000}"/>
    <cellStyle name="Percent 19 2 5 2 2" xfId="20694" xr:uid="{00000000-0005-0000-0000-0000F3980000}"/>
    <cellStyle name="Percent 19 2 5 2 2 2" xfId="40094" xr:uid="{00000000-0005-0000-0000-0000F4980000}"/>
    <cellStyle name="Percent 19 2 5 2 3" xfId="30396" xr:uid="{00000000-0005-0000-0000-0000F5980000}"/>
    <cellStyle name="Percent 19 2 5 3" xfId="16239" xr:uid="{00000000-0005-0000-0000-0000F6980000}"/>
    <cellStyle name="Percent 19 2 5 3 2" xfId="35639" xr:uid="{00000000-0005-0000-0000-0000F7980000}"/>
    <cellStyle name="Percent 19 2 5 4" xfId="25941" xr:uid="{00000000-0005-0000-0000-0000F8980000}"/>
    <cellStyle name="Percent 19 2 6" xfId="6800" xr:uid="{00000000-0005-0000-0000-0000F9980000}"/>
    <cellStyle name="Percent 19 2 6 2" xfId="11255" xr:uid="{00000000-0005-0000-0000-0000FA980000}"/>
    <cellStyle name="Percent 19 2 6 2 2" xfId="21251" xr:uid="{00000000-0005-0000-0000-0000FB980000}"/>
    <cellStyle name="Percent 19 2 6 2 2 2" xfId="40651" xr:uid="{00000000-0005-0000-0000-0000FC980000}"/>
    <cellStyle name="Percent 19 2 6 2 3" xfId="30953" xr:uid="{00000000-0005-0000-0000-0000FD980000}"/>
    <cellStyle name="Percent 19 2 6 3" xfId="16796" xr:uid="{00000000-0005-0000-0000-0000FE980000}"/>
    <cellStyle name="Percent 19 2 6 3 2" xfId="36196" xr:uid="{00000000-0005-0000-0000-0000FF980000}"/>
    <cellStyle name="Percent 19 2 6 4" xfId="26498" xr:uid="{00000000-0005-0000-0000-000000990000}"/>
    <cellStyle name="Percent 19 2 7" xfId="7357" xr:uid="{00000000-0005-0000-0000-000001990000}"/>
    <cellStyle name="Percent 19 2 7 2" xfId="17353" xr:uid="{00000000-0005-0000-0000-000002990000}"/>
    <cellStyle name="Percent 19 2 7 2 2" xfId="36753" xr:uid="{00000000-0005-0000-0000-000003990000}"/>
    <cellStyle name="Percent 19 2 7 3" xfId="27055" xr:uid="{00000000-0005-0000-0000-000004990000}"/>
    <cellStyle name="Percent 19 2 8" xfId="12897" xr:uid="{00000000-0005-0000-0000-000005990000}"/>
    <cellStyle name="Percent 19 2 8 2" xfId="32298" xr:uid="{00000000-0005-0000-0000-000006990000}"/>
    <cellStyle name="Percent 19 2 9" xfId="22600" xr:uid="{00000000-0005-0000-0000-000007990000}"/>
    <cellStyle name="Percent 19 3" xfId="2743" xr:uid="{00000000-0005-0000-0000-000008990000}"/>
    <cellStyle name="Percent 19 4" xfId="11894" xr:uid="{00000000-0005-0000-0000-000009990000}"/>
    <cellStyle name="Percent 19 4 2" xfId="21598" xr:uid="{00000000-0005-0000-0000-00000A990000}"/>
    <cellStyle name="Percent 19 4 2 2" xfId="40998" xr:uid="{00000000-0005-0000-0000-00000B990000}"/>
    <cellStyle name="Percent 19 4 3" xfId="31300" xr:uid="{00000000-0005-0000-0000-00000C990000}"/>
    <cellStyle name="Percent 19 5" xfId="1586" xr:uid="{00000000-0005-0000-0000-00000D990000}"/>
    <cellStyle name="Percent 19 6" xfId="12250" xr:uid="{00000000-0005-0000-0000-00000E990000}"/>
    <cellStyle name="Percent 19 6 2" xfId="31653" xr:uid="{00000000-0005-0000-0000-00000F990000}"/>
    <cellStyle name="Percent 19 7" xfId="21955" xr:uid="{00000000-0005-0000-0000-000010990000}"/>
    <cellStyle name="Percent 2" xfId="558" xr:uid="{00000000-0005-0000-0000-000011990000}"/>
    <cellStyle name="Percent 2 10" xfId="11575" xr:uid="{00000000-0005-0000-0000-000012990000}"/>
    <cellStyle name="Percent 2 11" xfId="1143" xr:uid="{00000000-0005-0000-0000-000013990000}"/>
    <cellStyle name="Percent 2 11 2" xfId="12362" xr:uid="{00000000-0005-0000-0000-000014990000}"/>
    <cellStyle name="Percent 2 11 2 2" xfId="31764" xr:uid="{00000000-0005-0000-0000-000015990000}"/>
    <cellStyle name="Percent 2 11 3" xfId="22066" xr:uid="{00000000-0005-0000-0000-000016990000}"/>
    <cellStyle name="Percent 2 2" xfId="611" xr:uid="{00000000-0005-0000-0000-000017990000}"/>
    <cellStyle name="Percent 2 2 10" xfId="21705" xr:uid="{00000000-0005-0000-0000-000018990000}"/>
    <cellStyle name="Percent 2 2 2" xfId="623" xr:uid="{00000000-0005-0000-0000-000019990000}"/>
    <cellStyle name="Percent 2 2 2 2" xfId="660" xr:uid="{00000000-0005-0000-0000-00001A990000}"/>
    <cellStyle name="Percent 2 2 2 2 2" xfId="839" xr:uid="{00000000-0005-0000-0000-00001B990000}"/>
    <cellStyle name="Percent 2 2 2 2 2 2" xfId="11758" xr:uid="{00000000-0005-0000-0000-00001C990000}"/>
    <cellStyle name="Percent 2 2 2 2 2 2 2" xfId="21467" xr:uid="{00000000-0005-0000-0000-00001D990000}"/>
    <cellStyle name="Percent 2 2 2 2 2 2 2 2" xfId="40867" xr:uid="{00000000-0005-0000-0000-00001E990000}"/>
    <cellStyle name="Percent 2 2 2 2 2 2 3" xfId="31169" xr:uid="{00000000-0005-0000-0000-00001F990000}"/>
    <cellStyle name="Percent 2 2 2 2 2 3" xfId="12119" xr:uid="{00000000-0005-0000-0000-000020990000}"/>
    <cellStyle name="Percent 2 2 2 2 2 3 2" xfId="31522" xr:uid="{00000000-0005-0000-0000-000021990000}"/>
    <cellStyle name="Percent 2 2 2 2 2 4" xfId="21824" xr:uid="{00000000-0005-0000-0000-000022990000}"/>
    <cellStyle name="Percent 2 2 2 2 3" xfId="909" xr:uid="{00000000-0005-0000-0000-000023990000}"/>
    <cellStyle name="Percent 2 2 2 2 3 2" xfId="11816" xr:uid="{00000000-0005-0000-0000-000024990000}"/>
    <cellStyle name="Percent 2 2 2 2 3 2 2" xfId="21523" xr:uid="{00000000-0005-0000-0000-000025990000}"/>
    <cellStyle name="Percent 2 2 2 2 3 2 2 2" xfId="40923" xr:uid="{00000000-0005-0000-0000-000026990000}"/>
    <cellStyle name="Percent 2 2 2 2 3 2 3" xfId="31225" xr:uid="{00000000-0005-0000-0000-000027990000}"/>
    <cellStyle name="Percent 2 2 2 2 3 3" xfId="12175" xr:uid="{00000000-0005-0000-0000-000028990000}"/>
    <cellStyle name="Percent 2 2 2 2 3 3 2" xfId="31578" xr:uid="{00000000-0005-0000-0000-000029990000}"/>
    <cellStyle name="Percent 2 2 2 2 3 4" xfId="21880" xr:uid="{00000000-0005-0000-0000-00002A990000}"/>
    <cellStyle name="Percent 2 2 2 2 4" xfId="11646" xr:uid="{00000000-0005-0000-0000-00002B990000}"/>
    <cellStyle name="Percent 2 2 2 2 4 2" xfId="21386" xr:uid="{00000000-0005-0000-0000-00002C990000}"/>
    <cellStyle name="Percent 2 2 2 2 4 2 2" xfId="40786" xr:uid="{00000000-0005-0000-0000-00002D990000}"/>
    <cellStyle name="Percent 2 2 2 2 4 3" xfId="31088" xr:uid="{00000000-0005-0000-0000-00002E990000}"/>
    <cellStyle name="Percent 2 2 2 2 5" xfId="12038" xr:uid="{00000000-0005-0000-0000-00002F990000}"/>
    <cellStyle name="Percent 2 2 2 2 5 2" xfId="31441" xr:uid="{00000000-0005-0000-0000-000030990000}"/>
    <cellStyle name="Percent 2 2 2 2 6" xfId="21743" xr:uid="{00000000-0005-0000-0000-000031990000}"/>
    <cellStyle name="Percent 2 2 2 3" xfId="806" xr:uid="{00000000-0005-0000-0000-000032990000}"/>
    <cellStyle name="Percent 2 2 2 3 2" xfId="11727" xr:uid="{00000000-0005-0000-0000-000033990000}"/>
    <cellStyle name="Percent 2 2 2 3 2 2" xfId="21437" xr:uid="{00000000-0005-0000-0000-000034990000}"/>
    <cellStyle name="Percent 2 2 2 3 2 2 2" xfId="40837" xr:uid="{00000000-0005-0000-0000-000035990000}"/>
    <cellStyle name="Percent 2 2 2 3 2 3" xfId="31139" xr:uid="{00000000-0005-0000-0000-000036990000}"/>
    <cellStyle name="Percent 2 2 2 3 3" xfId="12089" xr:uid="{00000000-0005-0000-0000-000037990000}"/>
    <cellStyle name="Percent 2 2 2 3 3 2" xfId="31492" xr:uid="{00000000-0005-0000-0000-000038990000}"/>
    <cellStyle name="Percent 2 2 2 3 4" xfId="21794" xr:uid="{00000000-0005-0000-0000-000039990000}"/>
    <cellStyle name="Percent 2 2 2 4" xfId="879" xr:uid="{00000000-0005-0000-0000-00003A990000}"/>
    <cellStyle name="Percent 2 2 2 4 2" xfId="11786" xr:uid="{00000000-0005-0000-0000-00003B990000}"/>
    <cellStyle name="Percent 2 2 2 4 2 2" xfId="21493" xr:uid="{00000000-0005-0000-0000-00003C990000}"/>
    <cellStyle name="Percent 2 2 2 4 2 2 2" xfId="40893" xr:uid="{00000000-0005-0000-0000-00003D990000}"/>
    <cellStyle name="Percent 2 2 2 4 2 3" xfId="31195" xr:uid="{00000000-0005-0000-0000-00003E990000}"/>
    <cellStyle name="Percent 2 2 2 4 3" xfId="12145" xr:uid="{00000000-0005-0000-0000-00003F990000}"/>
    <cellStyle name="Percent 2 2 2 4 3 2" xfId="31548" xr:uid="{00000000-0005-0000-0000-000040990000}"/>
    <cellStyle name="Percent 2 2 2 4 4" xfId="21850" xr:uid="{00000000-0005-0000-0000-000041990000}"/>
    <cellStyle name="Percent 2 2 2 5" xfId="11609" xr:uid="{00000000-0005-0000-0000-000042990000}"/>
    <cellStyle name="Percent 2 2 2 5 2" xfId="21356" xr:uid="{00000000-0005-0000-0000-000043990000}"/>
    <cellStyle name="Percent 2 2 2 5 2 2" xfId="40756" xr:uid="{00000000-0005-0000-0000-000044990000}"/>
    <cellStyle name="Percent 2 2 2 5 3" xfId="31058" xr:uid="{00000000-0005-0000-0000-000045990000}"/>
    <cellStyle name="Percent 2 2 2 6" xfId="2457" xr:uid="{00000000-0005-0000-0000-000046990000}"/>
    <cellStyle name="Percent 2 2 2 7" xfId="12008" xr:uid="{00000000-0005-0000-0000-000047990000}"/>
    <cellStyle name="Percent 2 2 2 7 2" xfId="31411" xr:uid="{00000000-0005-0000-0000-000048990000}"/>
    <cellStyle name="Percent 2 2 2 8" xfId="21713" xr:uid="{00000000-0005-0000-0000-000049990000}"/>
    <cellStyle name="Percent 2 2 3" xfId="631" xr:uid="{00000000-0005-0000-0000-00004A990000}"/>
    <cellStyle name="Percent 2 2 3 2" xfId="668" xr:uid="{00000000-0005-0000-0000-00004B990000}"/>
    <cellStyle name="Percent 2 2 3 2 2" xfId="847" xr:uid="{00000000-0005-0000-0000-00004C990000}"/>
    <cellStyle name="Percent 2 2 3 2 2 2" xfId="11766" xr:uid="{00000000-0005-0000-0000-00004D990000}"/>
    <cellStyle name="Percent 2 2 3 2 2 2 2" xfId="21475" xr:uid="{00000000-0005-0000-0000-00004E990000}"/>
    <cellStyle name="Percent 2 2 3 2 2 2 2 2" xfId="40875" xr:uid="{00000000-0005-0000-0000-00004F990000}"/>
    <cellStyle name="Percent 2 2 3 2 2 2 3" xfId="31177" xr:uid="{00000000-0005-0000-0000-000050990000}"/>
    <cellStyle name="Percent 2 2 3 2 2 3" xfId="12127" xr:uid="{00000000-0005-0000-0000-000051990000}"/>
    <cellStyle name="Percent 2 2 3 2 2 3 2" xfId="31530" xr:uid="{00000000-0005-0000-0000-000052990000}"/>
    <cellStyle name="Percent 2 2 3 2 2 4" xfId="21832" xr:uid="{00000000-0005-0000-0000-000053990000}"/>
    <cellStyle name="Percent 2 2 3 2 3" xfId="917" xr:uid="{00000000-0005-0000-0000-000054990000}"/>
    <cellStyle name="Percent 2 2 3 2 3 2" xfId="11824" xr:uid="{00000000-0005-0000-0000-000055990000}"/>
    <cellStyle name="Percent 2 2 3 2 3 2 2" xfId="21531" xr:uid="{00000000-0005-0000-0000-000056990000}"/>
    <cellStyle name="Percent 2 2 3 2 3 2 2 2" xfId="40931" xr:uid="{00000000-0005-0000-0000-000057990000}"/>
    <cellStyle name="Percent 2 2 3 2 3 2 3" xfId="31233" xr:uid="{00000000-0005-0000-0000-000058990000}"/>
    <cellStyle name="Percent 2 2 3 2 3 3" xfId="12183" xr:uid="{00000000-0005-0000-0000-000059990000}"/>
    <cellStyle name="Percent 2 2 3 2 3 3 2" xfId="31586" xr:uid="{00000000-0005-0000-0000-00005A990000}"/>
    <cellStyle name="Percent 2 2 3 2 3 4" xfId="21888" xr:uid="{00000000-0005-0000-0000-00005B990000}"/>
    <cellStyle name="Percent 2 2 3 2 4" xfId="11654" xr:uid="{00000000-0005-0000-0000-00005C990000}"/>
    <cellStyle name="Percent 2 2 3 2 4 2" xfId="21394" xr:uid="{00000000-0005-0000-0000-00005D990000}"/>
    <cellStyle name="Percent 2 2 3 2 4 2 2" xfId="40794" xr:uid="{00000000-0005-0000-0000-00005E990000}"/>
    <cellStyle name="Percent 2 2 3 2 4 3" xfId="31096" xr:uid="{00000000-0005-0000-0000-00005F990000}"/>
    <cellStyle name="Percent 2 2 3 2 5" xfId="12046" xr:uid="{00000000-0005-0000-0000-000060990000}"/>
    <cellStyle name="Percent 2 2 3 2 5 2" xfId="31449" xr:uid="{00000000-0005-0000-0000-000061990000}"/>
    <cellStyle name="Percent 2 2 3 2 6" xfId="21751" xr:uid="{00000000-0005-0000-0000-000062990000}"/>
    <cellStyle name="Percent 2 2 3 3" xfId="814" xr:uid="{00000000-0005-0000-0000-000063990000}"/>
    <cellStyle name="Percent 2 2 3 3 2" xfId="11735" xr:uid="{00000000-0005-0000-0000-000064990000}"/>
    <cellStyle name="Percent 2 2 3 3 2 2" xfId="21445" xr:uid="{00000000-0005-0000-0000-000065990000}"/>
    <cellStyle name="Percent 2 2 3 3 2 2 2" xfId="40845" xr:uid="{00000000-0005-0000-0000-000066990000}"/>
    <cellStyle name="Percent 2 2 3 3 2 3" xfId="31147" xr:uid="{00000000-0005-0000-0000-000067990000}"/>
    <cellStyle name="Percent 2 2 3 3 3" xfId="12097" xr:uid="{00000000-0005-0000-0000-000068990000}"/>
    <cellStyle name="Percent 2 2 3 3 3 2" xfId="31500" xr:uid="{00000000-0005-0000-0000-000069990000}"/>
    <cellStyle name="Percent 2 2 3 3 4" xfId="21802" xr:uid="{00000000-0005-0000-0000-00006A990000}"/>
    <cellStyle name="Percent 2 2 3 4" xfId="887" xr:uid="{00000000-0005-0000-0000-00006B990000}"/>
    <cellStyle name="Percent 2 2 3 4 2" xfId="11794" xr:uid="{00000000-0005-0000-0000-00006C990000}"/>
    <cellStyle name="Percent 2 2 3 4 2 2" xfId="21501" xr:uid="{00000000-0005-0000-0000-00006D990000}"/>
    <cellStyle name="Percent 2 2 3 4 2 2 2" xfId="40901" xr:uid="{00000000-0005-0000-0000-00006E990000}"/>
    <cellStyle name="Percent 2 2 3 4 2 3" xfId="31203" xr:uid="{00000000-0005-0000-0000-00006F990000}"/>
    <cellStyle name="Percent 2 2 3 4 3" xfId="12153" xr:uid="{00000000-0005-0000-0000-000070990000}"/>
    <cellStyle name="Percent 2 2 3 4 3 2" xfId="31556" xr:uid="{00000000-0005-0000-0000-000071990000}"/>
    <cellStyle name="Percent 2 2 3 4 4" xfId="21858" xr:uid="{00000000-0005-0000-0000-000072990000}"/>
    <cellStyle name="Percent 2 2 3 5" xfId="11617" xr:uid="{00000000-0005-0000-0000-000073990000}"/>
    <cellStyle name="Percent 2 2 3 5 2" xfId="21364" xr:uid="{00000000-0005-0000-0000-000074990000}"/>
    <cellStyle name="Percent 2 2 3 5 2 2" xfId="40764" xr:uid="{00000000-0005-0000-0000-000075990000}"/>
    <cellStyle name="Percent 2 2 3 5 3" xfId="31066" xr:uid="{00000000-0005-0000-0000-000076990000}"/>
    <cellStyle name="Percent 2 2 3 6" xfId="2688" xr:uid="{00000000-0005-0000-0000-000077990000}"/>
    <cellStyle name="Percent 2 2 3 7" xfId="12016" xr:uid="{00000000-0005-0000-0000-000078990000}"/>
    <cellStyle name="Percent 2 2 3 7 2" xfId="31419" xr:uid="{00000000-0005-0000-0000-000079990000}"/>
    <cellStyle name="Percent 2 2 3 8" xfId="21721" xr:uid="{00000000-0005-0000-0000-00007A990000}"/>
    <cellStyle name="Percent 2 2 4" xfId="652" xr:uid="{00000000-0005-0000-0000-00007B990000}"/>
    <cellStyle name="Percent 2 2 4 2" xfId="831" xr:uid="{00000000-0005-0000-0000-00007C990000}"/>
    <cellStyle name="Percent 2 2 4 2 2" xfId="11750" xr:uid="{00000000-0005-0000-0000-00007D990000}"/>
    <cellStyle name="Percent 2 2 4 2 2 2" xfId="21459" xr:uid="{00000000-0005-0000-0000-00007E990000}"/>
    <cellStyle name="Percent 2 2 4 2 2 2 2" xfId="40859" xr:uid="{00000000-0005-0000-0000-00007F990000}"/>
    <cellStyle name="Percent 2 2 4 2 2 3" xfId="31161" xr:uid="{00000000-0005-0000-0000-000080990000}"/>
    <cellStyle name="Percent 2 2 4 2 3" xfId="12111" xr:uid="{00000000-0005-0000-0000-000081990000}"/>
    <cellStyle name="Percent 2 2 4 2 3 2" xfId="31514" xr:uid="{00000000-0005-0000-0000-000082990000}"/>
    <cellStyle name="Percent 2 2 4 2 4" xfId="21816" xr:uid="{00000000-0005-0000-0000-000083990000}"/>
    <cellStyle name="Percent 2 2 4 3" xfId="901" xr:uid="{00000000-0005-0000-0000-000084990000}"/>
    <cellStyle name="Percent 2 2 4 3 2" xfId="11808" xr:uid="{00000000-0005-0000-0000-000085990000}"/>
    <cellStyle name="Percent 2 2 4 3 2 2" xfId="21515" xr:uid="{00000000-0005-0000-0000-000086990000}"/>
    <cellStyle name="Percent 2 2 4 3 2 2 2" xfId="40915" xr:uid="{00000000-0005-0000-0000-000087990000}"/>
    <cellStyle name="Percent 2 2 4 3 2 3" xfId="31217" xr:uid="{00000000-0005-0000-0000-000088990000}"/>
    <cellStyle name="Percent 2 2 4 3 3" xfId="12167" xr:uid="{00000000-0005-0000-0000-000089990000}"/>
    <cellStyle name="Percent 2 2 4 3 3 2" xfId="31570" xr:uid="{00000000-0005-0000-0000-00008A990000}"/>
    <cellStyle name="Percent 2 2 4 3 4" xfId="21872" xr:uid="{00000000-0005-0000-0000-00008B990000}"/>
    <cellStyle name="Percent 2 2 4 4" xfId="11638" xr:uid="{00000000-0005-0000-0000-00008C990000}"/>
    <cellStyle name="Percent 2 2 4 4 2" xfId="21378" xr:uid="{00000000-0005-0000-0000-00008D990000}"/>
    <cellStyle name="Percent 2 2 4 4 2 2" xfId="40778" xr:uid="{00000000-0005-0000-0000-00008E990000}"/>
    <cellStyle name="Percent 2 2 4 4 3" xfId="31080" xr:uid="{00000000-0005-0000-0000-00008F990000}"/>
    <cellStyle name="Percent 2 2 4 5" xfId="1588" xr:uid="{00000000-0005-0000-0000-000090990000}"/>
    <cellStyle name="Percent 2 2 4 6" xfId="12030" xr:uid="{00000000-0005-0000-0000-000091990000}"/>
    <cellStyle name="Percent 2 2 4 6 2" xfId="31433" xr:uid="{00000000-0005-0000-0000-000092990000}"/>
    <cellStyle name="Percent 2 2 4 7" xfId="21735" xr:uid="{00000000-0005-0000-0000-000093990000}"/>
    <cellStyle name="Percent 2 2 5" xfId="798" xr:uid="{00000000-0005-0000-0000-000094990000}"/>
    <cellStyle name="Percent 2 2 5 2" xfId="11719" xr:uid="{00000000-0005-0000-0000-000095990000}"/>
    <cellStyle name="Percent 2 2 5 2 2" xfId="21429" xr:uid="{00000000-0005-0000-0000-000096990000}"/>
    <cellStyle name="Percent 2 2 5 2 2 2" xfId="40829" xr:uid="{00000000-0005-0000-0000-000097990000}"/>
    <cellStyle name="Percent 2 2 5 2 3" xfId="31131" xr:uid="{00000000-0005-0000-0000-000098990000}"/>
    <cellStyle name="Percent 2 2 5 3" xfId="12081" xr:uid="{00000000-0005-0000-0000-000099990000}"/>
    <cellStyle name="Percent 2 2 5 3 2" xfId="31484" xr:uid="{00000000-0005-0000-0000-00009A990000}"/>
    <cellStyle name="Percent 2 2 5 4" xfId="21786" xr:uid="{00000000-0005-0000-0000-00009B990000}"/>
    <cellStyle name="Percent 2 2 6" xfId="871" xr:uid="{00000000-0005-0000-0000-00009C990000}"/>
    <cellStyle name="Percent 2 2 6 2" xfId="11778" xr:uid="{00000000-0005-0000-0000-00009D990000}"/>
    <cellStyle name="Percent 2 2 6 2 2" xfId="21485" xr:uid="{00000000-0005-0000-0000-00009E990000}"/>
    <cellStyle name="Percent 2 2 6 2 2 2" xfId="40885" xr:uid="{00000000-0005-0000-0000-00009F990000}"/>
    <cellStyle name="Percent 2 2 6 2 3" xfId="31187" xr:uid="{00000000-0005-0000-0000-0000A0990000}"/>
    <cellStyle name="Percent 2 2 6 3" xfId="12137" xr:uid="{00000000-0005-0000-0000-0000A1990000}"/>
    <cellStyle name="Percent 2 2 6 3 2" xfId="31540" xr:uid="{00000000-0005-0000-0000-0000A2990000}"/>
    <cellStyle name="Percent 2 2 6 4" xfId="21842" xr:uid="{00000000-0005-0000-0000-0000A3990000}"/>
    <cellStyle name="Percent 2 2 7" xfId="11600" xr:uid="{00000000-0005-0000-0000-0000A4990000}"/>
    <cellStyle name="Percent 2 2 7 2" xfId="21348" xr:uid="{00000000-0005-0000-0000-0000A5990000}"/>
    <cellStyle name="Percent 2 2 7 2 2" xfId="40748" xr:uid="{00000000-0005-0000-0000-0000A6990000}"/>
    <cellStyle name="Percent 2 2 7 3" xfId="31050" xr:uid="{00000000-0005-0000-0000-0000A7990000}"/>
    <cellStyle name="Percent 2 2 8" xfId="1242" xr:uid="{00000000-0005-0000-0000-0000A8990000}"/>
    <cellStyle name="Percent 2 2 9" xfId="12000" xr:uid="{00000000-0005-0000-0000-0000A9990000}"/>
    <cellStyle name="Percent 2 2 9 2" xfId="31403" xr:uid="{00000000-0005-0000-0000-0000AA990000}"/>
    <cellStyle name="Percent 2 3" xfId="616" xr:uid="{00000000-0005-0000-0000-0000AB990000}"/>
    <cellStyle name="Percent 2 3 10" xfId="21706" xr:uid="{00000000-0005-0000-0000-0000AC990000}"/>
    <cellStyle name="Percent 2 3 2" xfId="624" xr:uid="{00000000-0005-0000-0000-0000AD990000}"/>
    <cellStyle name="Percent 2 3 2 10" xfId="12009" xr:uid="{00000000-0005-0000-0000-0000AE990000}"/>
    <cellStyle name="Percent 2 3 2 10 2" xfId="31412" xr:uid="{00000000-0005-0000-0000-0000AF990000}"/>
    <cellStyle name="Percent 2 3 2 11" xfId="21714" xr:uid="{00000000-0005-0000-0000-0000B0990000}"/>
    <cellStyle name="Percent 2 3 2 2" xfId="661" xr:uid="{00000000-0005-0000-0000-0000B1990000}"/>
    <cellStyle name="Percent 2 3 2 2 2" xfId="840" xr:uid="{00000000-0005-0000-0000-0000B2990000}"/>
    <cellStyle name="Percent 2 3 2 2 2 2" xfId="10137" xr:uid="{00000000-0005-0000-0000-0000B3990000}"/>
    <cellStyle name="Percent 2 3 2 2 2 2 2" xfId="20133" xr:uid="{00000000-0005-0000-0000-0000B4990000}"/>
    <cellStyle name="Percent 2 3 2 2 2 2 2 2" xfId="39533" xr:uid="{00000000-0005-0000-0000-0000B5990000}"/>
    <cellStyle name="Percent 2 3 2 2 2 2 3" xfId="29835" xr:uid="{00000000-0005-0000-0000-0000B6990000}"/>
    <cellStyle name="Percent 2 3 2 2 2 3" xfId="11759" xr:uid="{00000000-0005-0000-0000-0000B7990000}"/>
    <cellStyle name="Percent 2 3 2 2 2 3 2" xfId="21468" xr:uid="{00000000-0005-0000-0000-0000B8990000}"/>
    <cellStyle name="Percent 2 3 2 2 2 3 2 2" xfId="40868" xr:uid="{00000000-0005-0000-0000-0000B9990000}"/>
    <cellStyle name="Percent 2 3 2 2 2 3 3" xfId="31170" xr:uid="{00000000-0005-0000-0000-0000BA990000}"/>
    <cellStyle name="Percent 2 3 2 2 2 4" xfId="5673" xr:uid="{00000000-0005-0000-0000-0000BB990000}"/>
    <cellStyle name="Percent 2 3 2 2 2 4 2" xfId="15678" xr:uid="{00000000-0005-0000-0000-0000BC990000}"/>
    <cellStyle name="Percent 2 3 2 2 2 4 2 2" xfId="35078" xr:uid="{00000000-0005-0000-0000-0000BD990000}"/>
    <cellStyle name="Percent 2 3 2 2 2 4 3" xfId="25380" xr:uid="{00000000-0005-0000-0000-0000BE990000}"/>
    <cellStyle name="Percent 2 3 2 2 2 5" xfId="12120" xr:uid="{00000000-0005-0000-0000-0000BF990000}"/>
    <cellStyle name="Percent 2 3 2 2 2 5 2" xfId="31523" xr:uid="{00000000-0005-0000-0000-0000C0990000}"/>
    <cellStyle name="Percent 2 3 2 2 2 6" xfId="21825" xr:uid="{00000000-0005-0000-0000-0000C1990000}"/>
    <cellStyle name="Percent 2 3 2 2 3" xfId="910" xr:uid="{00000000-0005-0000-0000-0000C2990000}"/>
    <cellStyle name="Percent 2 3 2 2 3 2" xfId="11817" xr:uid="{00000000-0005-0000-0000-0000C3990000}"/>
    <cellStyle name="Percent 2 3 2 2 3 2 2" xfId="21524" xr:uid="{00000000-0005-0000-0000-0000C4990000}"/>
    <cellStyle name="Percent 2 3 2 2 3 2 2 2" xfId="40924" xr:uid="{00000000-0005-0000-0000-0000C5990000}"/>
    <cellStyle name="Percent 2 3 2 2 3 2 3" xfId="31226" xr:uid="{00000000-0005-0000-0000-0000C6990000}"/>
    <cellStyle name="Percent 2 3 2 2 3 3" xfId="7909" xr:uid="{00000000-0005-0000-0000-0000C7990000}"/>
    <cellStyle name="Percent 2 3 2 2 3 3 2" xfId="17905" xr:uid="{00000000-0005-0000-0000-0000C8990000}"/>
    <cellStyle name="Percent 2 3 2 2 3 3 2 2" xfId="37305" xr:uid="{00000000-0005-0000-0000-0000C9990000}"/>
    <cellStyle name="Percent 2 3 2 2 3 3 3" xfId="27607" xr:uid="{00000000-0005-0000-0000-0000CA990000}"/>
    <cellStyle name="Percent 2 3 2 2 3 4" xfId="12176" xr:uid="{00000000-0005-0000-0000-0000CB990000}"/>
    <cellStyle name="Percent 2 3 2 2 3 4 2" xfId="31579" xr:uid="{00000000-0005-0000-0000-0000CC990000}"/>
    <cellStyle name="Percent 2 3 2 2 3 5" xfId="21881" xr:uid="{00000000-0005-0000-0000-0000CD990000}"/>
    <cellStyle name="Percent 2 3 2 2 4" xfId="11647" xr:uid="{00000000-0005-0000-0000-0000CE990000}"/>
    <cellStyle name="Percent 2 3 2 2 4 2" xfId="21387" xr:uid="{00000000-0005-0000-0000-0000CF990000}"/>
    <cellStyle name="Percent 2 3 2 2 4 2 2" xfId="40787" xr:uid="{00000000-0005-0000-0000-0000D0990000}"/>
    <cellStyle name="Percent 2 3 2 2 4 3" xfId="31089" xr:uid="{00000000-0005-0000-0000-0000D1990000}"/>
    <cellStyle name="Percent 2 3 2 2 5" xfId="3405" xr:uid="{00000000-0005-0000-0000-0000D2990000}"/>
    <cellStyle name="Percent 2 3 2 2 5 2" xfId="13450" xr:uid="{00000000-0005-0000-0000-0000D3990000}"/>
    <cellStyle name="Percent 2 3 2 2 5 2 2" xfId="32850" xr:uid="{00000000-0005-0000-0000-0000D4990000}"/>
    <cellStyle name="Percent 2 3 2 2 5 3" xfId="23152" xr:uid="{00000000-0005-0000-0000-0000D5990000}"/>
    <cellStyle name="Percent 2 3 2 2 6" xfId="12039" xr:uid="{00000000-0005-0000-0000-0000D6990000}"/>
    <cellStyle name="Percent 2 3 2 2 6 2" xfId="31442" xr:uid="{00000000-0005-0000-0000-0000D7990000}"/>
    <cellStyle name="Percent 2 3 2 2 7" xfId="21744" xr:uid="{00000000-0005-0000-0000-0000D8990000}"/>
    <cellStyle name="Percent 2 3 2 3" xfId="807" xr:uid="{00000000-0005-0000-0000-0000D9990000}"/>
    <cellStyle name="Percent 2 3 2 3 2" xfId="5117" xr:uid="{00000000-0005-0000-0000-0000DA990000}"/>
    <cellStyle name="Percent 2 3 2 3 2 2" xfId="9581" xr:uid="{00000000-0005-0000-0000-0000DB990000}"/>
    <cellStyle name="Percent 2 3 2 3 2 2 2" xfId="19577" xr:uid="{00000000-0005-0000-0000-0000DC990000}"/>
    <cellStyle name="Percent 2 3 2 3 2 2 2 2" xfId="38977" xr:uid="{00000000-0005-0000-0000-0000DD990000}"/>
    <cellStyle name="Percent 2 3 2 3 2 2 3" xfId="29279" xr:uid="{00000000-0005-0000-0000-0000DE990000}"/>
    <cellStyle name="Percent 2 3 2 3 2 3" xfId="15122" xr:uid="{00000000-0005-0000-0000-0000DF990000}"/>
    <cellStyle name="Percent 2 3 2 3 2 3 2" xfId="34522" xr:uid="{00000000-0005-0000-0000-0000E0990000}"/>
    <cellStyle name="Percent 2 3 2 3 2 4" xfId="24824" xr:uid="{00000000-0005-0000-0000-0000E1990000}"/>
    <cellStyle name="Percent 2 3 2 3 3" xfId="8466" xr:uid="{00000000-0005-0000-0000-0000E2990000}"/>
    <cellStyle name="Percent 2 3 2 3 3 2" xfId="18462" xr:uid="{00000000-0005-0000-0000-0000E3990000}"/>
    <cellStyle name="Percent 2 3 2 3 3 2 2" xfId="37862" xr:uid="{00000000-0005-0000-0000-0000E4990000}"/>
    <cellStyle name="Percent 2 3 2 3 3 3" xfId="28164" xr:uid="{00000000-0005-0000-0000-0000E5990000}"/>
    <cellStyle name="Percent 2 3 2 3 4" xfId="11728" xr:uid="{00000000-0005-0000-0000-0000E6990000}"/>
    <cellStyle name="Percent 2 3 2 3 4 2" xfId="21438" xr:uid="{00000000-0005-0000-0000-0000E7990000}"/>
    <cellStyle name="Percent 2 3 2 3 4 2 2" xfId="40838" xr:uid="{00000000-0005-0000-0000-0000E8990000}"/>
    <cellStyle name="Percent 2 3 2 3 4 3" xfId="31140" xr:uid="{00000000-0005-0000-0000-0000E9990000}"/>
    <cellStyle name="Percent 2 3 2 3 5" xfId="3988" xr:uid="{00000000-0005-0000-0000-0000EA990000}"/>
    <cellStyle name="Percent 2 3 2 3 5 2" xfId="14007" xr:uid="{00000000-0005-0000-0000-0000EB990000}"/>
    <cellStyle name="Percent 2 3 2 3 5 2 2" xfId="33407" xr:uid="{00000000-0005-0000-0000-0000EC990000}"/>
    <cellStyle name="Percent 2 3 2 3 5 3" xfId="23709" xr:uid="{00000000-0005-0000-0000-0000ED990000}"/>
    <cellStyle name="Percent 2 3 2 3 6" xfId="12090" xr:uid="{00000000-0005-0000-0000-0000EE990000}"/>
    <cellStyle name="Percent 2 3 2 3 6 2" xfId="31493" xr:uid="{00000000-0005-0000-0000-0000EF990000}"/>
    <cellStyle name="Percent 2 3 2 3 7" xfId="21795" xr:uid="{00000000-0005-0000-0000-0000F0990000}"/>
    <cellStyle name="Percent 2 3 2 4" xfId="880" xr:uid="{00000000-0005-0000-0000-0000F1990000}"/>
    <cellStyle name="Percent 2 3 2 4 2" xfId="9024" xr:uid="{00000000-0005-0000-0000-0000F2990000}"/>
    <cellStyle name="Percent 2 3 2 4 2 2" xfId="19020" xr:uid="{00000000-0005-0000-0000-0000F3990000}"/>
    <cellStyle name="Percent 2 3 2 4 2 2 2" xfId="38420" xr:uid="{00000000-0005-0000-0000-0000F4990000}"/>
    <cellStyle name="Percent 2 3 2 4 2 3" xfId="28722" xr:uid="{00000000-0005-0000-0000-0000F5990000}"/>
    <cellStyle name="Percent 2 3 2 4 3" xfId="11787" xr:uid="{00000000-0005-0000-0000-0000F6990000}"/>
    <cellStyle name="Percent 2 3 2 4 3 2" xfId="21494" xr:uid="{00000000-0005-0000-0000-0000F7990000}"/>
    <cellStyle name="Percent 2 3 2 4 3 2 2" xfId="40894" xr:uid="{00000000-0005-0000-0000-0000F8990000}"/>
    <cellStyle name="Percent 2 3 2 4 3 3" xfId="31196" xr:uid="{00000000-0005-0000-0000-0000F9990000}"/>
    <cellStyle name="Percent 2 3 2 4 4" xfId="4560" xr:uid="{00000000-0005-0000-0000-0000FA990000}"/>
    <cellStyle name="Percent 2 3 2 4 4 2" xfId="14565" xr:uid="{00000000-0005-0000-0000-0000FB990000}"/>
    <cellStyle name="Percent 2 3 2 4 4 2 2" xfId="33965" xr:uid="{00000000-0005-0000-0000-0000FC990000}"/>
    <cellStyle name="Percent 2 3 2 4 4 3" xfId="24267" xr:uid="{00000000-0005-0000-0000-0000FD990000}"/>
    <cellStyle name="Percent 2 3 2 4 5" xfId="12146" xr:uid="{00000000-0005-0000-0000-0000FE990000}"/>
    <cellStyle name="Percent 2 3 2 4 5 2" xfId="31549" xr:uid="{00000000-0005-0000-0000-0000FF990000}"/>
    <cellStyle name="Percent 2 3 2 4 6" xfId="21851" xr:uid="{00000000-0005-0000-0000-0000009A0000}"/>
    <cellStyle name="Percent 2 3 2 5" xfId="6230" xr:uid="{00000000-0005-0000-0000-0000019A0000}"/>
    <cellStyle name="Percent 2 3 2 5 2" xfId="10694" xr:uid="{00000000-0005-0000-0000-0000029A0000}"/>
    <cellStyle name="Percent 2 3 2 5 2 2" xfId="20690" xr:uid="{00000000-0005-0000-0000-0000039A0000}"/>
    <cellStyle name="Percent 2 3 2 5 2 2 2" xfId="40090" xr:uid="{00000000-0005-0000-0000-0000049A0000}"/>
    <cellStyle name="Percent 2 3 2 5 2 3" xfId="30392" xr:uid="{00000000-0005-0000-0000-0000059A0000}"/>
    <cellStyle name="Percent 2 3 2 5 3" xfId="16235" xr:uid="{00000000-0005-0000-0000-0000069A0000}"/>
    <cellStyle name="Percent 2 3 2 5 3 2" xfId="35635" xr:uid="{00000000-0005-0000-0000-0000079A0000}"/>
    <cellStyle name="Percent 2 3 2 5 4" xfId="25937" xr:uid="{00000000-0005-0000-0000-0000089A0000}"/>
    <cellStyle name="Percent 2 3 2 6" xfId="6796" xr:uid="{00000000-0005-0000-0000-0000099A0000}"/>
    <cellStyle name="Percent 2 3 2 6 2" xfId="11251" xr:uid="{00000000-0005-0000-0000-00000A9A0000}"/>
    <cellStyle name="Percent 2 3 2 6 2 2" xfId="21247" xr:uid="{00000000-0005-0000-0000-00000B9A0000}"/>
    <cellStyle name="Percent 2 3 2 6 2 2 2" xfId="40647" xr:uid="{00000000-0005-0000-0000-00000C9A0000}"/>
    <cellStyle name="Percent 2 3 2 6 2 3" xfId="30949" xr:uid="{00000000-0005-0000-0000-00000D9A0000}"/>
    <cellStyle name="Percent 2 3 2 6 3" xfId="16792" xr:uid="{00000000-0005-0000-0000-00000E9A0000}"/>
    <cellStyle name="Percent 2 3 2 6 3 2" xfId="36192" xr:uid="{00000000-0005-0000-0000-00000F9A0000}"/>
    <cellStyle name="Percent 2 3 2 6 4" xfId="26494" xr:uid="{00000000-0005-0000-0000-0000109A0000}"/>
    <cellStyle name="Percent 2 3 2 7" xfId="7353" xr:uid="{00000000-0005-0000-0000-0000119A0000}"/>
    <cellStyle name="Percent 2 3 2 7 2" xfId="17349" xr:uid="{00000000-0005-0000-0000-0000129A0000}"/>
    <cellStyle name="Percent 2 3 2 7 2 2" xfId="36749" xr:uid="{00000000-0005-0000-0000-0000139A0000}"/>
    <cellStyle name="Percent 2 3 2 7 3" xfId="27051" xr:uid="{00000000-0005-0000-0000-0000149A0000}"/>
    <cellStyle name="Percent 2 3 2 8" xfId="11610" xr:uid="{00000000-0005-0000-0000-0000159A0000}"/>
    <cellStyle name="Percent 2 3 2 8 2" xfId="21357" xr:uid="{00000000-0005-0000-0000-0000169A0000}"/>
    <cellStyle name="Percent 2 3 2 8 2 2" xfId="40757" xr:uid="{00000000-0005-0000-0000-0000179A0000}"/>
    <cellStyle name="Percent 2 3 2 8 3" xfId="31059" xr:uid="{00000000-0005-0000-0000-0000189A0000}"/>
    <cellStyle name="Percent 2 3 2 9" xfId="2516" xr:uid="{00000000-0005-0000-0000-0000199A0000}"/>
    <cellStyle name="Percent 2 3 2 9 2" xfId="12893" xr:uid="{00000000-0005-0000-0000-00001A9A0000}"/>
    <cellStyle name="Percent 2 3 2 9 2 2" xfId="32294" xr:uid="{00000000-0005-0000-0000-00001B9A0000}"/>
    <cellStyle name="Percent 2 3 2 9 3" xfId="22596" xr:uid="{00000000-0005-0000-0000-00001C9A0000}"/>
    <cellStyle name="Percent 2 3 3" xfId="632" xr:uid="{00000000-0005-0000-0000-00001D9A0000}"/>
    <cellStyle name="Percent 2 3 3 2" xfId="669" xr:uid="{00000000-0005-0000-0000-00001E9A0000}"/>
    <cellStyle name="Percent 2 3 3 2 2" xfId="848" xr:uid="{00000000-0005-0000-0000-00001F9A0000}"/>
    <cellStyle name="Percent 2 3 3 2 2 2" xfId="11767" xr:uid="{00000000-0005-0000-0000-0000209A0000}"/>
    <cellStyle name="Percent 2 3 3 2 2 2 2" xfId="21476" xr:uid="{00000000-0005-0000-0000-0000219A0000}"/>
    <cellStyle name="Percent 2 3 3 2 2 2 2 2" xfId="40876" xr:uid="{00000000-0005-0000-0000-0000229A0000}"/>
    <cellStyle name="Percent 2 3 3 2 2 2 3" xfId="31178" xr:uid="{00000000-0005-0000-0000-0000239A0000}"/>
    <cellStyle name="Percent 2 3 3 2 2 3" xfId="12128" xr:uid="{00000000-0005-0000-0000-0000249A0000}"/>
    <cellStyle name="Percent 2 3 3 2 2 3 2" xfId="31531" xr:uid="{00000000-0005-0000-0000-0000259A0000}"/>
    <cellStyle name="Percent 2 3 3 2 2 4" xfId="21833" xr:uid="{00000000-0005-0000-0000-0000269A0000}"/>
    <cellStyle name="Percent 2 3 3 2 3" xfId="918" xr:uid="{00000000-0005-0000-0000-0000279A0000}"/>
    <cellStyle name="Percent 2 3 3 2 3 2" xfId="11825" xr:uid="{00000000-0005-0000-0000-0000289A0000}"/>
    <cellStyle name="Percent 2 3 3 2 3 2 2" xfId="21532" xr:uid="{00000000-0005-0000-0000-0000299A0000}"/>
    <cellStyle name="Percent 2 3 3 2 3 2 2 2" xfId="40932" xr:uid="{00000000-0005-0000-0000-00002A9A0000}"/>
    <cellStyle name="Percent 2 3 3 2 3 2 3" xfId="31234" xr:uid="{00000000-0005-0000-0000-00002B9A0000}"/>
    <cellStyle name="Percent 2 3 3 2 3 3" xfId="12184" xr:uid="{00000000-0005-0000-0000-00002C9A0000}"/>
    <cellStyle name="Percent 2 3 3 2 3 3 2" xfId="31587" xr:uid="{00000000-0005-0000-0000-00002D9A0000}"/>
    <cellStyle name="Percent 2 3 3 2 3 4" xfId="21889" xr:uid="{00000000-0005-0000-0000-00002E9A0000}"/>
    <cellStyle name="Percent 2 3 3 2 4" xfId="11655" xr:uid="{00000000-0005-0000-0000-00002F9A0000}"/>
    <cellStyle name="Percent 2 3 3 2 4 2" xfId="21395" xr:uid="{00000000-0005-0000-0000-0000309A0000}"/>
    <cellStyle name="Percent 2 3 3 2 4 2 2" xfId="40795" xr:uid="{00000000-0005-0000-0000-0000319A0000}"/>
    <cellStyle name="Percent 2 3 3 2 4 3" xfId="31097" xr:uid="{00000000-0005-0000-0000-0000329A0000}"/>
    <cellStyle name="Percent 2 3 3 2 5" xfId="12047" xr:uid="{00000000-0005-0000-0000-0000339A0000}"/>
    <cellStyle name="Percent 2 3 3 2 5 2" xfId="31450" xr:uid="{00000000-0005-0000-0000-0000349A0000}"/>
    <cellStyle name="Percent 2 3 3 2 6" xfId="21752" xr:uid="{00000000-0005-0000-0000-0000359A0000}"/>
    <cellStyle name="Percent 2 3 3 3" xfId="815" xr:uid="{00000000-0005-0000-0000-0000369A0000}"/>
    <cellStyle name="Percent 2 3 3 3 2" xfId="11736" xr:uid="{00000000-0005-0000-0000-0000379A0000}"/>
    <cellStyle name="Percent 2 3 3 3 2 2" xfId="21446" xr:uid="{00000000-0005-0000-0000-0000389A0000}"/>
    <cellStyle name="Percent 2 3 3 3 2 2 2" xfId="40846" xr:uid="{00000000-0005-0000-0000-0000399A0000}"/>
    <cellStyle name="Percent 2 3 3 3 2 3" xfId="31148" xr:uid="{00000000-0005-0000-0000-00003A9A0000}"/>
    <cellStyle name="Percent 2 3 3 3 3" xfId="12098" xr:uid="{00000000-0005-0000-0000-00003B9A0000}"/>
    <cellStyle name="Percent 2 3 3 3 3 2" xfId="31501" xr:uid="{00000000-0005-0000-0000-00003C9A0000}"/>
    <cellStyle name="Percent 2 3 3 3 4" xfId="21803" xr:uid="{00000000-0005-0000-0000-00003D9A0000}"/>
    <cellStyle name="Percent 2 3 3 4" xfId="888" xr:uid="{00000000-0005-0000-0000-00003E9A0000}"/>
    <cellStyle name="Percent 2 3 3 4 2" xfId="11795" xr:uid="{00000000-0005-0000-0000-00003F9A0000}"/>
    <cellStyle name="Percent 2 3 3 4 2 2" xfId="21502" xr:uid="{00000000-0005-0000-0000-0000409A0000}"/>
    <cellStyle name="Percent 2 3 3 4 2 2 2" xfId="40902" xr:uid="{00000000-0005-0000-0000-0000419A0000}"/>
    <cellStyle name="Percent 2 3 3 4 2 3" xfId="31204" xr:uid="{00000000-0005-0000-0000-0000429A0000}"/>
    <cellStyle name="Percent 2 3 3 4 3" xfId="12154" xr:uid="{00000000-0005-0000-0000-0000439A0000}"/>
    <cellStyle name="Percent 2 3 3 4 3 2" xfId="31557" xr:uid="{00000000-0005-0000-0000-0000449A0000}"/>
    <cellStyle name="Percent 2 3 3 4 4" xfId="21859" xr:uid="{00000000-0005-0000-0000-0000459A0000}"/>
    <cellStyle name="Percent 2 3 3 5" xfId="11618" xr:uid="{00000000-0005-0000-0000-0000469A0000}"/>
    <cellStyle name="Percent 2 3 3 5 2" xfId="21365" xr:uid="{00000000-0005-0000-0000-0000479A0000}"/>
    <cellStyle name="Percent 2 3 3 5 2 2" xfId="40765" xr:uid="{00000000-0005-0000-0000-0000489A0000}"/>
    <cellStyle name="Percent 2 3 3 5 3" xfId="31067" xr:uid="{00000000-0005-0000-0000-0000499A0000}"/>
    <cellStyle name="Percent 2 3 3 6" xfId="12017" xr:uid="{00000000-0005-0000-0000-00004A9A0000}"/>
    <cellStyle name="Percent 2 3 3 6 2" xfId="31420" xr:uid="{00000000-0005-0000-0000-00004B9A0000}"/>
    <cellStyle name="Percent 2 3 3 7" xfId="21722" xr:uid="{00000000-0005-0000-0000-00004C9A0000}"/>
    <cellStyle name="Percent 2 3 4" xfId="653" xr:uid="{00000000-0005-0000-0000-00004D9A0000}"/>
    <cellStyle name="Percent 2 3 4 2" xfId="832" xr:uid="{00000000-0005-0000-0000-00004E9A0000}"/>
    <cellStyle name="Percent 2 3 4 2 2" xfId="11751" xr:uid="{00000000-0005-0000-0000-00004F9A0000}"/>
    <cellStyle name="Percent 2 3 4 2 2 2" xfId="21460" xr:uid="{00000000-0005-0000-0000-0000509A0000}"/>
    <cellStyle name="Percent 2 3 4 2 2 2 2" xfId="40860" xr:uid="{00000000-0005-0000-0000-0000519A0000}"/>
    <cellStyle name="Percent 2 3 4 2 2 3" xfId="31162" xr:uid="{00000000-0005-0000-0000-0000529A0000}"/>
    <cellStyle name="Percent 2 3 4 2 3" xfId="12112" xr:uid="{00000000-0005-0000-0000-0000539A0000}"/>
    <cellStyle name="Percent 2 3 4 2 3 2" xfId="31515" xr:uid="{00000000-0005-0000-0000-0000549A0000}"/>
    <cellStyle name="Percent 2 3 4 2 4" xfId="21817" xr:uid="{00000000-0005-0000-0000-0000559A0000}"/>
    <cellStyle name="Percent 2 3 4 3" xfId="902" xr:uid="{00000000-0005-0000-0000-0000569A0000}"/>
    <cellStyle name="Percent 2 3 4 3 2" xfId="11809" xr:uid="{00000000-0005-0000-0000-0000579A0000}"/>
    <cellStyle name="Percent 2 3 4 3 2 2" xfId="21516" xr:uid="{00000000-0005-0000-0000-0000589A0000}"/>
    <cellStyle name="Percent 2 3 4 3 2 2 2" xfId="40916" xr:uid="{00000000-0005-0000-0000-0000599A0000}"/>
    <cellStyle name="Percent 2 3 4 3 2 3" xfId="31218" xr:uid="{00000000-0005-0000-0000-00005A9A0000}"/>
    <cellStyle name="Percent 2 3 4 3 3" xfId="12168" xr:uid="{00000000-0005-0000-0000-00005B9A0000}"/>
    <cellStyle name="Percent 2 3 4 3 3 2" xfId="31571" xr:uid="{00000000-0005-0000-0000-00005C9A0000}"/>
    <cellStyle name="Percent 2 3 4 3 4" xfId="21873" xr:uid="{00000000-0005-0000-0000-00005D9A0000}"/>
    <cellStyle name="Percent 2 3 4 4" xfId="11639" xr:uid="{00000000-0005-0000-0000-00005E9A0000}"/>
    <cellStyle name="Percent 2 3 4 4 2" xfId="21379" xr:uid="{00000000-0005-0000-0000-00005F9A0000}"/>
    <cellStyle name="Percent 2 3 4 4 2 2" xfId="40779" xr:uid="{00000000-0005-0000-0000-0000609A0000}"/>
    <cellStyle name="Percent 2 3 4 4 3" xfId="31081" xr:uid="{00000000-0005-0000-0000-0000619A0000}"/>
    <cellStyle name="Percent 2 3 4 5" xfId="12031" xr:uid="{00000000-0005-0000-0000-0000629A0000}"/>
    <cellStyle name="Percent 2 3 4 5 2" xfId="31434" xr:uid="{00000000-0005-0000-0000-0000639A0000}"/>
    <cellStyle name="Percent 2 3 4 6" xfId="21736" xr:uid="{00000000-0005-0000-0000-0000649A0000}"/>
    <cellStyle name="Percent 2 3 5" xfId="799" xr:uid="{00000000-0005-0000-0000-0000659A0000}"/>
    <cellStyle name="Percent 2 3 5 2" xfId="11720" xr:uid="{00000000-0005-0000-0000-0000669A0000}"/>
    <cellStyle name="Percent 2 3 5 2 2" xfId="21430" xr:uid="{00000000-0005-0000-0000-0000679A0000}"/>
    <cellStyle name="Percent 2 3 5 2 2 2" xfId="40830" xr:uid="{00000000-0005-0000-0000-0000689A0000}"/>
    <cellStyle name="Percent 2 3 5 2 3" xfId="31132" xr:uid="{00000000-0005-0000-0000-0000699A0000}"/>
    <cellStyle name="Percent 2 3 5 3" xfId="12082" xr:uid="{00000000-0005-0000-0000-00006A9A0000}"/>
    <cellStyle name="Percent 2 3 5 3 2" xfId="31485" xr:uid="{00000000-0005-0000-0000-00006B9A0000}"/>
    <cellStyle name="Percent 2 3 5 4" xfId="21787" xr:uid="{00000000-0005-0000-0000-00006C9A0000}"/>
    <cellStyle name="Percent 2 3 6" xfId="872" xr:uid="{00000000-0005-0000-0000-00006D9A0000}"/>
    <cellStyle name="Percent 2 3 6 2" xfId="11779" xr:uid="{00000000-0005-0000-0000-00006E9A0000}"/>
    <cellStyle name="Percent 2 3 6 2 2" xfId="21486" xr:uid="{00000000-0005-0000-0000-00006F9A0000}"/>
    <cellStyle name="Percent 2 3 6 2 2 2" xfId="40886" xr:uid="{00000000-0005-0000-0000-0000709A0000}"/>
    <cellStyle name="Percent 2 3 6 2 3" xfId="31188" xr:uid="{00000000-0005-0000-0000-0000719A0000}"/>
    <cellStyle name="Percent 2 3 6 3" xfId="12138" xr:uid="{00000000-0005-0000-0000-0000729A0000}"/>
    <cellStyle name="Percent 2 3 6 3 2" xfId="31541" xr:uid="{00000000-0005-0000-0000-0000739A0000}"/>
    <cellStyle name="Percent 2 3 6 4" xfId="21843" xr:uid="{00000000-0005-0000-0000-0000749A0000}"/>
    <cellStyle name="Percent 2 3 7" xfId="11602" xr:uid="{00000000-0005-0000-0000-0000759A0000}"/>
    <cellStyle name="Percent 2 3 7 2" xfId="21349" xr:uid="{00000000-0005-0000-0000-0000769A0000}"/>
    <cellStyle name="Percent 2 3 7 2 2" xfId="40749" xr:uid="{00000000-0005-0000-0000-0000779A0000}"/>
    <cellStyle name="Percent 2 3 7 3" xfId="31051" xr:uid="{00000000-0005-0000-0000-0000789A0000}"/>
    <cellStyle name="Percent 2 3 8" xfId="1589" xr:uid="{00000000-0005-0000-0000-0000799A0000}"/>
    <cellStyle name="Percent 2 3 9" xfId="12001" xr:uid="{00000000-0005-0000-0000-00007A9A0000}"/>
    <cellStyle name="Percent 2 3 9 2" xfId="31404" xr:uid="{00000000-0005-0000-0000-00007B9A0000}"/>
    <cellStyle name="Percent 2 4" xfId="980" xr:uid="{00000000-0005-0000-0000-00007C9A0000}"/>
    <cellStyle name="Percent 2 4 2" xfId="11855" xr:uid="{00000000-0005-0000-0000-00007D9A0000}"/>
    <cellStyle name="Percent 2 4 2 2" xfId="21559" xr:uid="{00000000-0005-0000-0000-00007E9A0000}"/>
    <cellStyle name="Percent 2 4 2 2 2" xfId="40959" xr:uid="{00000000-0005-0000-0000-00007F9A0000}"/>
    <cellStyle name="Percent 2 4 2 3" xfId="31261" xr:uid="{00000000-0005-0000-0000-0000809A0000}"/>
    <cellStyle name="Percent 2 4 3" xfId="1802" xr:uid="{00000000-0005-0000-0000-0000819A0000}"/>
    <cellStyle name="Percent 2 4 4" xfId="12211" xr:uid="{00000000-0005-0000-0000-0000829A0000}"/>
    <cellStyle name="Percent 2 4 4 2" xfId="31614" xr:uid="{00000000-0005-0000-0000-0000839A0000}"/>
    <cellStyle name="Percent 2 4 5" xfId="21916" xr:uid="{00000000-0005-0000-0000-0000849A0000}"/>
    <cellStyle name="Percent 2 5" xfId="983" xr:uid="{00000000-0005-0000-0000-0000859A0000}"/>
    <cellStyle name="Percent 2 5 10" xfId="12212" xr:uid="{00000000-0005-0000-0000-0000869A0000}"/>
    <cellStyle name="Percent 2 5 10 2" xfId="31615" xr:uid="{00000000-0005-0000-0000-0000879A0000}"/>
    <cellStyle name="Percent 2 5 11" xfId="21917" xr:uid="{00000000-0005-0000-0000-0000889A0000}"/>
    <cellStyle name="Percent 2 5 2" xfId="2934" xr:uid="{00000000-0005-0000-0000-0000899A0000}"/>
    <cellStyle name="Percent 2 5 2 2" xfId="5203" xr:uid="{00000000-0005-0000-0000-00008A9A0000}"/>
    <cellStyle name="Percent 2 5 2 2 2" xfId="9667" xr:uid="{00000000-0005-0000-0000-00008B9A0000}"/>
    <cellStyle name="Percent 2 5 2 2 2 2" xfId="19663" xr:uid="{00000000-0005-0000-0000-00008C9A0000}"/>
    <cellStyle name="Percent 2 5 2 2 2 2 2" xfId="39063" xr:uid="{00000000-0005-0000-0000-00008D9A0000}"/>
    <cellStyle name="Percent 2 5 2 2 2 3" xfId="29365" xr:uid="{00000000-0005-0000-0000-00008E9A0000}"/>
    <cellStyle name="Percent 2 5 2 2 3" xfId="15208" xr:uid="{00000000-0005-0000-0000-00008F9A0000}"/>
    <cellStyle name="Percent 2 5 2 2 3 2" xfId="34608" xr:uid="{00000000-0005-0000-0000-0000909A0000}"/>
    <cellStyle name="Percent 2 5 2 2 4" xfId="24910" xr:uid="{00000000-0005-0000-0000-0000919A0000}"/>
    <cellStyle name="Percent 2 5 2 3" xfId="7439" xr:uid="{00000000-0005-0000-0000-0000929A0000}"/>
    <cellStyle name="Percent 2 5 2 3 2" xfId="17435" xr:uid="{00000000-0005-0000-0000-0000939A0000}"/>
    <cellStyle name="Percent 2 5 2 3 2 2" xfId="36835" xr:uid="{00000000-0005-0000-0000-0000949A0000}"/>
    <cellStyle name="Percent 2 5 2 3 3" xfId="27137" xr:uid="{00000000-0005-0000-0000-0000959A0000}"/>
    <cellStyle name="Percent 2 5 2 4" xfId="12980" xr:uid="{00000000-0005-0000-0000-0000969A0000}"/>
    <cellStyle name="Percent 2 5 2 4 2" xfId="32380" xr:uid="{00000000-0005-0000-0000-0000979A0000}"/>
    <cellStyle name="Percent 2 5 2 5" xfId="22682" xr:uid="{00000000-0005-0000-0000-0000989A0000}"/>
    <cellStyle name="Percent 2 5 3" xfId="3517" xr:uid="{00000000-0005-0000-0000-0000999A0000}"/>
    <cellStyle name="Percent 2 5 3 2" xfId="4647" xr:uid="{00000000-0005-0000-0000-00009A9A0000}"/>
    <cellStyle name="Percent 2 5 3 2 2" xfId="9111" xr:uid="{00000000-0005-0000-0000-00009B9A0000}"/>
    <cellStyle name="Percent 2 5 3 2 2 2" xfId="19107" xr:uid="{00000000-0005-0000-0000-00009C9A0000}"/>
    <cellStyle name="Percent 2 5 3 2 2 2 2" xfId="38507" xr:uid="{00000000-0005-0000-0000-00009D9A0000}"/>
    <cellStyle name="Percent 2 5 3 2 2 3" xfId="28809" xr:uid="{00000000-0005-0000-0000-00009E9A0000}"/>
    <cellStyle name="Percent 2 5 3 2 3" xfId="14652" xr:uid="{00000000-0005-0000-0000-00009F9A0000}"/>
    <cellStyle name="Percent 2 5 3 2 3 2" xfId="34052" xr:uid="{00000000-0005-0000-0000-0000A09A0000}"/>
    <cellStyle name="Percent 2 5 3 2 4" xfId="24354" xr:uid="{00000000-0005-0000-0000-0000A19A0000}"/>
    <cellStyle name="Percent 2 5 3 3" xfId="7996" xr:uid="{00000000-0005-0000-0000-0000A29A0000}"/>
    <cellStyle name="Percent 2 5 3 3 2" xfId="17992" xr:uid="{00000000-0005-0000-0000-0000A39A0000}"/>
    <cellStyle name="Percent 2 5 3 3 2 2" xfId="37392" xr:uid="{00000000-0005-0000-0000-0000A49A0000}"/>
    <cellStyle name="Percent 2 5 3 3 3" xfId="27694" xr:uid="{00000000-0005-0000-0000-0000A59A0000}"/>
    <cellStyle name="Percent 2 5 3 4" xfId="13537" xr:uid="{00000000-0005-0000-0000-0000A69A0000}"/>
    <cellStyle name="Percent 2 5 3 4 2" xfId="32937" xr:uid="{00000000-0005-0000-0000-0000A79A0000}"/>
    <cellStyle name="Percent 2 5 3 5" xfId="23239" xr:uid="{00000000-0005-0000-0000-0000A89A0000}"/>
    <cellStyle name="Percent 2 5 4" xfId="4090" xr:uid="{00000000-0005-0000-0000-0000A99A0000}"/>
    <cellStyle name="Percent 2 5 4 2" xfId="8554" xr:uid="{00000000-0005-0000-0000-0000AA9A0000}"/>
    <cellStyle name="Percent 2 5 4 2 2" xfId="18550" xr:uid="{00000000-0005-0000-0000-0000AB9A0000}"/>
    <cellStyle name="Percent 2 5 4 2 2 2" xfId="37950" xr:uid="{00000000-0005-0000-0000-0000AC9A0000}"/>
    <cellStyle name="Percent 2 5 4 2 3" xfId="28252" xr:uid="{00000000-0005-0000-0000-0000AD9A0000}"/>
    <cellStyle name="Percent 2 5 4 3" xfId="14095" xr:uid="{00000000-0005-0000-0000-0000AE9A0000}"/>
    <cellStyle name="Percent 2 5 4 3 2" xfId="33495" xr:uid="{00000000-0005-0000-0000-0000AF9A0000}"/>
    <cellStyle name="Percent 2 5 4 4" xfId="23797" xr:uid="{00000000-0005-0000-0000-0000B09A0000}"/>
    <cellStyle name="Percent 2 5 5" xfId="5760" xr:uid="{00000000-0005-0000-0000-0000B19A0000}"/>
    <cellStyle name="Percent 2 5 5 2" xfId="10224" xr:uid="{00000000-0005-0000-0000-0000B29A0000}"/>
    <cellStyle name="Percent 2 5 5 2 2" xfId="20220" xr:uid="{00000000-0005-0000-0000-0000B39A0000}"/>
    <cellStyle name="Percent 2 5 5 2 2 2" xfId="39620" xr:uid="{00000000-0005-0000-0000-0000B49A0000}"/>
    <cellStyle name="Percent 2 5 5 2 3" xfId="29922" xr:uid="{00000000-0005-0000-0000-0000B59A0000}"/>
    <cellStyle name="Percent 2 5 5 3" xfId="15765" xr:uid="{00000000-0005-0000-0000-0000B69A0000}"/>
    <cellStyle name="Percent 2 5 5 3 2" xfId="35165" xr:uid="{00000000-0005-0000-0000-0000B79A0000}"/>
    <cellStyle name="Percent 2 5 5 4" xfId="25467" xr:uid="{00000000-0005-0000-0000-0000B89A0000}"/>
    <cellStyle name="Percent 2 5 6" xfId="6326" xr:uid="{00000000-0005-0000-0000-0000B99A0000}"/>
    <cellStyle name="Percent 2 5 6 2" xfId="10781" xr:uid="{00000000-0005-0000-0000-0000BA9A0000}"/>
    <cellStyle name="Percent 2 5 6 2 2" xfId="20777" xr:uid="{00000000-0005-0000-0000-0000BB9A0000}"/>
    <cellStyle name="Percent 2 5 6 2 2 2" xfId="40177" xr:uid="{00000000-0005-0000-0000-0000BC9A0000}"/>
    <cellStyle name="Percent 2 5 6 2 3" xfId="30479" xr:uid="{00000000-0005-0000-0000-0000BD9A0000}"/>
    <cellStyle name="Percent 2 5 6 3" xfId="16322" xr:uid="{00000000-0005-0000-0000-0000BE9A0000}"/>
    <cellStyle name="Percent 2 5 6 3 2" xfId="35722" xr:uid="{00000000-0005-0000-0000-0000BF9A0000}"/>
    <cellStyle name="Percent 2 5 6 4" xfId="26024" xr:uid="{00000000-0005-0000-0000-0000C09A0000}"/>
    <cellStyle name="Percent 2 5 7" xfId="6883" xr:uid="{00000000-0005-0000-0000-0000C19A0000}"/>
    <cellStyle name="Percent 2 5 7 2" xfId="16879" xr:uid="{00000000-0005-0000-0000-0000C29A0000}"/>
    <cellStyle name="Percent 2 5 7 2 2" xfId="36279" xr:uid="{00000000-0005-0000-0000-0000C39A0000}"/>
    <cellStyle name="Percent 2 5 7 3" xfId="26581" xr:uid="{00000000-0005-0000-0000-0000C49A0000}"/>
    <cellStyle name="Percent 2 5 8" xfId="11856" xr:uid="{00000000-0005-0000-0000-0000C59A0000}"/>
    <cellStyle name="Percent 2 5 8 2" xfId="21560" xr:uid="{00000000-0005-0000-0000-0000C69A0000}"/>
    <cellStyle name="Percent 2 5 8 2 2" xfId="40960" xr:uid="{00000000-0005-0000-0000-0000C79A0000}"/>
    <cellStyle name="Percent 2 5 8 3" xfId="31262" xr:uid="{00000000-0005-0000-0000-0000C89A0000}"/>
    <cellStyle name="Percent 2 5 9" xfId="1925" xr:uid="{00000000-0005-0000-0000-0000C99A0000}"/>
    <cellStyle name="Percent 2 5 9 2" xfId="12423" xr:uid="{00000000-0005-0000-0000-0000CA9A0000}"/>
    <cellStyle name="Percent 2 5 9 2 2" xfId="31824" xr:uid="{00000000-0005-0000-0000-0000CB9A0000}"/>
    <cellStyle name="Percent 2 5 9 3" xfId="22126" xr:uid="{00000000-0005-0000-0000-0000CC9A0000}"/>
    <cellStyle name="Percent 2 6" xfId="1113" xr:uid="{00000000-0005-0000-0000-0000CD9A0000}"/>
    <cellStyle name="Percent 2 6 10" xfId="22039" xr:uid="{00000000-0005-0000-0000-0000CE9A0000}"/>
    <cellStyle name="Percent 2 6 2" xfId="4041" xr:uid="{00000000-0005-0000-0000-0000CF9A0000}"/>
    <cellStyle name="Percent 2 6 2 2" xfId="5711" xr:uid="{00000000-0005-0000-0000-0000D09A0000}"/>
    <cellStyle name="Percent 2 6 2 2 2" xfId="10175" xr:uid="{00000000-0005-0000-0000-0000D19A0000}"/>
    <cellStyle name="Percent 2 6 2 2 2 2" xfId="20171" xr:uid="{00000000-0005-0000-0000-0000D29A0000}"/>
    <cellStyle name="Percent 2 6 2 2 2 2 2" xfId="39571" xr:uid="{00000000-0005-0000-0000-0000D39A0000}"/>
    <cellStyle name="Percent 2 6 2 2 2 3" xfId="29873" xr:uid="{00000000-0005-0000-0000-0000D49A0000}"/>
    <cellStyle name="Percent 2 6 2 2 3" xfId="15716" xr:uid="{00000000-0005-0000-0000-0000D59A0000}"/>
    <cellStyle name="Percent 2 6 2 2 3 2" xfId="35116" xr:uid="{00000000-0005-0000-0000-0000D69A0000}"/>
    <cellStyle name="Percent 2 6 2 2 4" xfId="25418" xr:uid="{00000000-0005-0000-0000-0000D79A0000}"/>
    <cellStyle name="Percent 2 6 2 3" xfId="8505" xr:uid="{00000000-0005-0000-0000-0000D89A0000}"/>
    <cellStyle name="Percent 2 6 2 3 2" xfId="18501" xr:uid="{00000000-0005-0000-0000-0000D99A0000}"/>
    <cellStyle name="Percent 2 6 2 3 2 2" xfId="37901" xr:uid="{00000000-0005-0000-0000-0000DA9A0000}"/>
    <cellStyle name="Percent 2 6 2 3 3" xfId="28203" xr:uid="{00000000-0005-0000-0000-0000DB9A0000}"/>
    <cellStyle name="Percent 2 6 2 4" xfId="14046" xr:uid="{00000000-0005-0000-0000-0000DC9A0000}"/>
    <cellStyle name="Percent 2 6 2 4 2" xfId="33446" xr:uid="{00000000-0005-0000-0000-0000DD9A0000}"/>
    <cellStyle name="Percent 2 6 2 5" xfId="23748" xr:uid="{00000000-0005-0000-0000-0000DE9A0000}"/>
    <cellStyle name="Percent 2 6 3" xfId="4598" xr:uid="{00000000-0005-0000-0000-0000DF9A0000}"/>
    <cellStyle name="Percent 2 6 3 2" xfId="9062" xr:uid="{00000000-0005-0000-0000-0000E09A0000}"/>
    <cellStyle name="Percent 2 6 3 2 2" xfId="19058" xr:uid="{00000000-0005-0000-0000-0000E19A0000}"/>
    <cellStyle name="Percent 2 6 3 2 2 2" xfId="38458" xr:uid="{00000000-0005-0000-0000-0000E29A0000}"/>
    <cellStyle name="Percent 2 6 3 2 3" xfId="28760" xr:uid="{00000000-0005-0000-0000-0000E39A0000}"/>
    <cellStyle name="Percent 2 6 3 3" xfId="14603" xr:uid="{00000000-0005-0000-0000-0000E49A0000}"/>
    <cellStyle name="Percent 2 6 3 3 2" xfId="34003" xr:uid="{00000000-0005-0000-0000-0000E59A0000}"/>
    <cellStyle name="Percent 2 6 3 4" xfId="24305" xr:uid="{00000000-0005-0000-0000-0000E69A0000}"/>
    <cellStyle name="Percent 2 6 4" xfId="6277" xr:uid="{00000000-0005-0000-0000-0000E79A0000}"/>
    <cellStyle name="Percent 2 6 4 2" xfId="10732" xr:uid="{00000000-0005-0000-0000-0000E89A0000}"/>
    <cellStyle name="Percent 2 6 4 2 2" xfId="20728" xr:uid="{00000000-0005-0000-0000-0000E99A0000}"/>
    <cellStyle name="Percent 2 6 4 2 2 2" xfId="40128" xr:uid="{00000000-0005-0000-0000-0000EA9A0000}"/>
    <cellStyle name="Percent 2 6 4 2 3" xfId="30430" xr:uid="{00000000-0005-0000-0000-0000EB9A0000}"/>
    <cellStyle name="Percent 2 6 4 3" xfId="16273" xr:uid="{00000000-0005-0000-0000-0000EC9A0000}"/>
    <cellStyle name="Percent 2 6 4 3 2" xfId="35673" xr:uid="{00000000-0005-0000-0000-0000ED9A0000}"/>
    <cellStyle name="Percent 2 6 4 4" xfId="25975" xr:uid="{00000000-0005-0000-0000-0000EE9A0000}"/>
    <cellStyle name="Percent 2 6 5" xfId="6834" xr:uid="{00000000-0005-0000-0000-0000EF9A0000}"/>
    <cellStyle name="Percent 2 6 5 2" xfId="11289" xr:uid="{00000000-0005-0000-0000-0000F09A0000}"/>
    <cellStyle name="Percent 2 6 5 2 2" xfId="21285" xr:uid="{00000000-0005-0000-0000-0000F19A0000}"/>
    <cellStyle name="Percent 2 6 5 2 2 2" xfId="40685" xr:uid="{00000000-0005-0000-0000-0000F29A0000}"/>
    <cellStyle name="Percent 2 6 5 2 3" xfId="30987" xr:uid="{00000000-0005-0000-0000-0000F39A0000}"/>
    <cellStyle name="Percent 2 6 5 3" xfId="16830" xr:uid="{00000000-0005-0000-0000-0000F49A0000}"/>
    <cellStyle name="Percent 2 6 5 3 2" xfId="36230" xr:uid="{00000000-0005-0000-0000-0000F59A0000}"/>
    <cellStyle name="Percent 2 6 5 4" xfId="26532" xr:uid="{00000000-0005-0000-0000-0000F69A0000}"/>
    <cellStyle name="Percent 2 6 6" xfId="7947" xr:uid="{00000000-0005-0000-0000-0000F79A0000}"/>
    <cellStyle name="Percent 2 6 6 2" xfId="17943" xr:uid="{00000000-0005-0000-0000-0000F89A0000}"/>
    <cellStyle name="Percent 2 6 6 2 2" xfId="37343" xr:uid="{00000000-0005-0000-0000-0000F99A0000}"/>
    <cellStyle name="Percent 2 6 6 3" xfId="27645" xr:uid="{00000000-0005-0000-0000-0000FA9A0000}"/>
    <cellStyle name="Percent 2 6 7" xfId="11978" xr:uid="{00000000-0005-0000-0000-0000FB9A0000}"/>
    <cellStyle name="Percent 2 6 7 2" xfId="21682" xr:uid="{00000000-0005-0000-0000-0000FC9A0000}"/>
    <cellStyle name="Percent 2 6 7 2 2" xfId="41082" xr:uid="{00000000-0005-0000-0000-0000FD9A0000}"/>
    <cellStyle name="Percent 2 6 7 3" xfId="31384" xr:uid="{00000000-0005-0000-0000-0000FE9A0000}"/>
    <cellStyle name="Percent 2 6 8" xfId="3463" xr:uid="{00000000-0005-0000-0000-0000FF9A0000}"/>
    <cellStyle name="Percent 2 6 8 2" xfId="13488" xr:uid="{00000000-0005-0000-0000-0000009B0000}"/>
    <cellStyle name="Percent 2 6 8 2 2" xfId="32888" xr:uid="{00000000-0005-0000-0000-0000019B0000}"/>
    <cellStyle name="Percent 2 6 8 3" xfId="23190" xr:uid="{00000000-0005-0000-0000-0000029B0000}"/>
    <cellStyle name="Percent 2 6 9" xfId="12334" xr:uid="{00000000-0005-0000-0000-0000039B0000}"/>
    <cellStyle name="Percent 2 6 9 2" xfId="31737" xr:uid="{00000000-0005-0000-0000-0000049B0000}"/>
    <cellStyle name="Percent 2 7" xfId="11317" xr:uid="{00000000-0005-0000-0000-0000059B0000}"/>
    <cellStyle name="Percent 2 7 2" xfId="21302" xr:uid="{00000000-0005-0000-0000-0000069B0000}"/>
    <cellStyle name="Percent 2 7 2 2" xfId="40702" xr:uid="{00000000-0005-0000-0000-0000079B0000}"/>
    <cellStyle name="Percent 2 7 3" xfId="31004" xr:uid="{00000000-0005-0000-0000-0000089B0000}"/>
    <cellStyle name="Percent 2 8" xfId="11347" xr:uid="{00000000-0005-0000-0000-0000099B0000}"/>
    <cellStyle name="Percent 2 8 2" xfId="21329" xr:uid="{00000000-0005-0000-0000-00000A9B0000}"/>
    <cellStyle name="Percent 2 8 2 2" xfId="40729" xr:uid="{00000000-0005-0000-0000-00000B9B0000}"/>
    <cellStyle name="Percent 2 8 3" xfId="31031" xr:uid="{00000000-0005-0000-0000-00000C9B0000}"/>
    <cellStyle name="Percent 2 9" xfId="1587" xr:uid="{00000000-0005-0000-0000-00000D9B0000}"/>
    <cellStyle name="Percent 20" xfId="1036" xr:uid="{00000000-0005-0000-0000-00000E9B0000}"/>
    <cellStyle name="Percent 20 2" xfId="2517" xr:uid="{00000000-0005-0000-0000-00000F9B0000}"/>
    <cellStyle name="Percent 20 2 2" xfId="3406" xr:uid="{00000000-0005-0000-0000-0000109B0000}"/>
    <cellStyle name="Percent 20 2 2 2" xfId="5674" xr:uid="{00000000-0005-0000-0000-0000119B0000}"/>
    <cellStyle name="Percent 20 2 2 2 2" xfId="10138" xr:uid="{00000000-0005-0000-0000-0000129B0000}"/>
    <cellStyle name="Percent 20 2 2 2 2 2" xfId="20134" xr:uid="{00000000-0005-0000-0000-0000139B0000}"/>
    <cellStyle name="Percent 20 2 2 2 2 2 2" xfId="39534" xr:uid="{00000000-0005-0000-0000-0000149B0000}"/>
    <cellStyle name="Percent 20 2 2 2 2 3" xfId="29836" xr:uid="{00000000-0005-0000-0000-0000159B0000}"/>
    <cellStyle name="Percent 20 2 2 2 3" xfId="15679" xr:uid="{00000000-0005-0000-0000-0000169B0000}"/>
    <cellStyle name="Percent 20 2 2 2 3 2" xfId="35079" xr:uid="{00000000-0005-0000-0000-0000179B0000}"/>
    <cellStyle name="Percent 20 2 2 2 4" xfId="25381" xr:uid="{00000000-0005-0000-0000-0000189B0000}"/>
    <cellStyle name="Percent 20 2 2 3" xfId="7910" xr:uid="{00000000-0005-0000-0000-0000199B0000}"/>
    <cellStyle name="Percent 20 2 2 3 2" xfId="17906" xr:uid="{00000000-0005-0000-0000-00001A9B0000}"/>
    <cellStyle name="Percent 20 2 2 3 2 2" xfId="37306" xr:uid="{00000000-0005-0000-0000-00001B9B0000}"/>
    <cellStyle name="Percent 20 2 2 3 3" xfId="27608" xr:uid="{00000000-0005-0000-0000-00001C9B0000}"/>
    <cellStyle name="Percent 20 2 2 4" xfId="13451" xr:uid="{00000000-0005-0000-0000-00001D9B0000}"/>
    <cellStyle name="Percent 20 2 2 4 2" xfId="32851" xr:uid="{00000000-0005-0000-0000-00001E9B0000}"/>
    <cellStyle name="Percent 20 2 2 5" xfId="23153" xr:uid="{00000000-0005-0000-0000-00001F9B0000}"/>
    <cellStyle name="Percent 20 2 3" xfId="3989" xr:uid="{00000000-0005-0000-0000-0000209B0000}"/>
    <cellStyle name="Percent 20 2 3 2" xfId="5118" xr:uid="{00000000-0005-0000-0000-0000219B0000}"/>
    <cellStyle name="Percent 20 2 3 2 2" xfId="9582" xr:uid="{00000000-0005-0000-0000-0000229B0000}"/>
    <cellStyle name="Percent 20 2 3 2 2 2" xfId="19578" xr:uid="{00000000-0005-0000-0000-0000239B0000}"/>
    <cellStyle name="Percent 20 2 3 2 2 2 2" xfId="38978" xr:uid="{00000000-0005-0000-0000-0000249B0000}"/>
    <cellStyle name="Percent 20 2 3 2 2 3" xfId="29280" xr:uid="{00000000-0005-0000-0000-0000259B0000}"/>
    <cellStyle name="Percent 20 2 3 2 3" xfId="15123" xr:uid="{00000000-0005-0000-0000-0000269B0000}"/>
    <cellStyle name="Percent 20 2 3 2 3 2" xfId="34523" xr:uid="{00000000-0005-0000-0000-0000279B0000}"/>
    <cellStyle name="Percent 20 2 3 2 4" xfId="24825" xr:uid="{00000000-0005-0000-0000-0000289B0000}"/>
    <cellStyle name="Percent 20 2 3 3" xfId="8467" xr:uid="{00000000-0005-0000-0000-0000299B0000}"/>
    <cellStyle name="Percent 20 2 3 3 2" xfId="18463" xr:uid="{00000000-0005-0000-0000-00002A9B0000}"/>
    <cellStyle name="Percent 20 2 3 3 2 2" xfId="37863" xr:uid="{00000000-0005-0000-0000-00002B9B0000}"/>
    <cellStyle name="Percent 20 2 3 3 3" xfId="28165" xr:uid="{00000000-0005-0000-0000-00002C9B0000}"/>
    <cellStyle name="Percent 20 2 3 4" xfId="14008" xr:uid="{00000000-0005-0000-0000-00002D9B0000}"/>
    <cellStyle name="Percent 20 2 3 4 2" xfId="33408" xr:uid="{00000000-0005-0000-0000-00002E9B0000}"/>
    <cellStyle name="Percent 20 2 3 5" xfId="23710" xr:uid="{00000000-0005-0000-0000-00002F9B0000}"/>
    <cellStyle name="Percent 20 2 4" xfId="4561" xr:uid="{00000000-0005-0000-0000-0000309B0000}"/>
    <cellStyle name="Percent 20 2 4 2" xfId="9025" xr:uid="{00000000-0005-0000-0000-0000319B0000}"/>
    <cellStyle name="Percent 20 2 4 2 2" xfId="19021" xr:uid="{00000000-0005-0000-0000-0000329B0000}"/>
    <cellStyle name="Percent 20 2 4 2 2 2" xfId="38421" xr:uid="{00000000-0005-0000-0000-0000339B0000}"/>
    <cellStyle name="Percent 20 2 4 2 3" xfId="28723" xr:uid="{00000000-0005-0000-0000-0000349B0000}"/>
    <cellStyle name="Percent 20 2 4 3" xfId="14566" xr:uid="{00000000-0005-0000-0000-0000359B0000}"/>
    <cellStyle name="Percent 20 2 4 3 2" xfId="33966" xr:uid="{00000000-0005-0000-0000-0000369B0000}"/>
    <cellStyle name="Percent 20 2 4 4" xfId="24268" xr:uid="{00000000-0005-0000-0000-0000379B0000}"/>
    <cellStyle name="Percent 20 2 5" xfId="6231" xr:uid="{00000000-0005-0000-0000-0000389B0000}"/>
    <cellStyle name="Percent 20 2 5 2" xfId="10695" xr:uid="{00000000-0005-0000-0000-0000399B0000}"/>
    <cellStyle name="Percent 20 2 5 2 2" xfId="20691" xr:uid="{00000000-0005-0000-0000-00003A9B0000}"/>
    <cellStyle name="Percent 20 2 5 2 2 2" xfId="40091" xr:uid="{00000000-0005-0000-0000-00003B9B0000}"/>
    <cellStyle name="Percent 20 2 5 2 3" xfId="30393" xr:uid="{00000000-0005-0000-0000-00003C9B0000}"/>
    <cellStyle name="Percent 20 2 5 3" xfId="16236" xr:uid="{00000000-0005-0000-0000-00003D9B0000}"/>
    <cellStyle name="Percent 20 2 5 3 2" xfId="35636" xr:uid="{00000000-0005-0000-0000-00003E9B0000}"/>
    <cellStyle name="Percent 20 2 5 4" xfId="25938" xr:uid="{00000000-0005-0000-0000-00003F9B0000}"/>
    <cellStyle name="Percent 20 2 6" xfId="6797" xr:uid="{00000000-0005-0000-0000-0000409B0000}"/>
    <cellStyle name="Percent 20 2 6 2" xfId="11252" xr:uid="{00000000-0005-0000-0000-0000419B0000}"/>
    <cellStyle name="Percent 20 2 6 2 2" xfId="21248" xr:uid="{00000000-0005-0000-0000-0000429B0000}"/>
    <cellStyle name="Percent 20 2 6 2 2 2" xfId="40648" xr:uid="{00000000-0005-0000-0000-0000439B0000}"/>
    <cellStyle name="Percent 20 2 6 2 3" xfId="30950" xr:uid="{00000000-0005-0000-0000-0000449B0000}"/>
    <cellStyle name="Percent 20 2 6 3" xfId="16793" xr:uid="{00000000-0005-0000-0000-0000459B0000}"/>
    <cellStyle name="Percent 20 2 6 3 2" xfId="36193" xr:uid="{00000000-0005-0000-0000-0000469B0000}"/>
    <cellStyle name="Percent 20 2 6 4" xfId="26495" xr:uid="{00000000-0005-0000-0000-0000479B0000}"/>
    <cellStyle name="Percent 20 2 7" xfId="7354" xr:uid="{00000000-0005-0000-0000-0000489B0000}"/>
    <cellStyle name="Percent 20 2 7 2" xfId="17350" xr:uid="{00000000-0005-0000-0000-0000499B0000}"/>
    <cellStyle name="Percent 20 2 7 2 2" xfId="36750" xr:uid="{00000000-0005-0000-0000-00004A9B0000}"/>
    <cellStyle name="Percent 20 2 7 3" xfId="27052" xr:uid="{00000000-0005-0000-0000-00004B9B0000}"/>
    <cellStyle name="Percent 20 2 8" xfId="12894" xr:uid="{00000000-0005-0000-0000-00004C9B0000}"/>
    <cellStyle name="Percent 20 2 8 2" xfId="32295" xr:uid="{00000000-0005-0000-0000-00004D9B0000}"/>
    <cellStyle name="Percent 20 2 9" xfId="22597" xr:uid="{00000000-0005-0000-0000-00004E9B0000}"/>
    <cellStyle name="Percent 20 3" xfId="2738" xr:uid="{00000000-0005-0000-0000-00004F9B0000}"/>
    <cellStyle name="Percent 20 4" xfId="11907" xr:uid="{00000000-0005-0000-0000-0000509B0000}"/>
    <cellStyle name="Percent 20 4 2" xfId="21611" xr:uid="{00000000-0005-0000-0000-0000519B0000}"/>
    <cellStyle name="Percent 20 4 2 2" xfId="41011" xr:uid="{00000000-0005-0000-0000-0000529B0000}"/>
    <cellStyle name="Percent 20 4 3" xfId="31313" xr:uid="{00000000-0005-0000-0000-0000539B0000}"/>
    <cellStyle name="Percent 20 5" xfId="1590" xr:uid="{00000000-0005-0000-0000-0000549B0000}"/>
    <cellStyle name="Percent 20 6" xfId="12263" xr:uid="{00000000-0005-0000-0000-0000559B0000}"/>
    <cellStyle name="Percent 20 6 2" xfId="31666" xr:uid="{00000000-0005-0000-0000-0000569B0000}"/>
    <cellStyle name="Percent 20 7" xfId="21968" xr:uid="{00000000-0005-0000-0000-0000579B0000}"/>
    <cellStyle name="Percent 21" xfId="1038" xr:uid="{00000000-0005-0000-0000-0000589B0000}"/>
    <cellStyle name="Percent 21 2" xfId="2500" xr:uid="{00000000-0005-0000-0000-0000599B0000}"/>
    <cellStyle name="Percent 21 3" xfId="11909" xr:uid="{00000000-0005-0000-0000-00005A9B0000}"/>
    <cellStyle name="Percent 21 3 2" xfId="21613" xr:uid="{00000000-0005-0000-0000-00005B9B0000}"/>
    <cellStyle name="Percent 21 3 2 2" xfId="41013" xr:uid="{00000000-0005-0000-0000-00005C9B0000}"/>
    <cellStyle name="Percent 21 3 3" xfId="31315" xr:uid="{00000000-0005-0000-0000-00005D9B0000}"/>
    <cellStyle name="Percent 21 4" xfId="1591" xr:uid="{00000000-0005-0000-0000-00005E9B0000}"/>
    <cellStyle name="Percent 21 5" xfId="12265" xr:uid="{00000000-0005-0000-0000-00005F9B0000}"/>
    <cellStyle name="Percent 21 5 2" xfId="31668" xr:uid="{00000000-0005-0000-0000-0000609B0000}"/>
    <cellStyle name="Percent 21 6" xfId="21970" xr:uid="{00000000-0005-0000-0000-0000619B0000}"/>
    <cellStyle name="Percent 22" xfId="1017" xr:uid="{00000000-0005-0000-0000-0000629B0000}"/>
    <cellStyle name="Percent 22 2" xfId="2501" xr:uid="{00000000-0005-0000-0000-0000639B0000}"/>
    <cellStyle name="Percent 22 3" xfId="11888" xr:uid="{00000000-0005-0000-0000-0000649B0000}"/>
    <cellStyle name="Percent 22 3 2" xfId="21592" xr:uid="{00000000-0005-0000-0000-0000659B0000}"/>
    <cellStyle name="Percent 22 3 2 2" xfId="40992" xr:uid="{00000000-0005-0000-0000-0000669B0000}"/>
    <cellStyle name="Percent 22 3 3" xfId="31294" xr:uid="{00000000-0005-0000-0000-0000679B0000}"/>
    <cellStyle name="Percent 22 4" xfId="1592" xr:uid="{00000000-0005-0000-0000-0000689B0000}"/>
    <cellStyle name="Percent 22 5" xfId="12244" xr:uid="{00000000-0005-0000-0000-0000699B0000}"/>
    <cellStyle name="Percent 22 5 2" xfId="31647" xr:uid="{00000000-0005-0000-0000-00006A9B0000}"/>
    <cellStyle name="Percent 22 6" xfId="21949" xr:uid="{00000000-0005-0000-0000-00006B9B0000}"/>
    <cellStyle name="Percent 23" xfId="1016" xr:uid="{00000000-0005-0000-0000-00006C9B0000}"/>
    <cellStyle name="Percent 23 2" xfId="2481" xr:uid="{00000000-0005-0000-0000-00006D9B0000}"/>
    <cellStyle name="Percent 23 3" xfId="11887" xr:uid="{00000000-0005-0000-0000-00006E9B0000}"/>
    <cellStyle name="Percent 23 3 2" xfId="21591" xr:uid="{00000000-0005-0000-0000-00006F9B0000}"/>
    <cellStyle name="Percent 23 3 2 2" xfId="40991" xr:uid="{00000000-0005-0000-0000-0000709B0000}"/>
    <cellStyle name="Percent 23 3 3" xfId="31293" xr:uid="{00000000-0005-0000-0000-0000719B0000}"/>
    <cellStyle name="Percent 23 4" xfId="1593" xr:uid="{00000000-0005-0000-0000-0000729B0000}"/>
    <cellStyle name="Percent 23 5" xfId="12243" xr:uid="{00000000-0005-0000-0000-0000739B0000}"/>
    <cellStyle name="Percent 23 5 2" xfId="31646" xr:uid="{00000000-0005-0000-0000-0000749B0000}"/>
    <cellStyle name="Percent 23 6" xfId="21948" xr:uid="{00000000-0005-0000-0000-0000759B0000}"/>
    <cellStyle name="Percent 24" xfId="1020" xr:uid="{00000000-0005-0000-0000-0000769B0000}"/>
    <cellStyle name="Percent 24 2" xfId="2559" xr:uid="{00000000-0005-0000-0000-0000779B0000}"/>
    <cellStyle name="Percent 24 3" xfId="11891" xr:uid="{00000000-0005-0000-0000-0000789B0000}"/>
    <cellStyle name="Percent 24 3 2" xfId="21595" xr:uid="{00000000-0005-0000-0000-0000799B0000}"/>
    <cellStyle name="Percent 24 3 2 2" xfId="40995" xr:uid="{00000000-0005-0000-0000-00007A9B0000}"/>
    <cellStyle name="Percent 24 3 3" xfId="31297" xr:uid="{00000000-0005-0000-0000-00007B9B0000}"/>
    <cellStyle name="Percent 24 4" xfId="1594" xr:uid="{00000000-0005-0000-0000-00007C9B0000}"/>
    <cellStyle name="Percent 24 5" xfId="12247" xr:uid="{00000000-0005-0000-0000-00007D9B0000}"/>
    <cellStyle name="Percent 24 5 2" xfId="31650" xr:uid="{00000000-0005-0000-0000-00007E9B0000}"/>
    <cellStyle name="Percent 24 6" xfId="21952" xr:uid="{00000000-0005-0000-0000-00007F9B0000}"/>
    <cellStyle name="Percent 25" xfId="1034" xr:uid="{00000000-0005-0000-0000-0000809B0000}"/>
    <cellStyle name="Percent 25 2" xfId="2539" xr:uid="{00000000-0005-0000-0000-0000819B0000}"/>
    <cellStyle name="Percent 25 3" xfId="11905" xr:uid="{00000000-0005-0000-0000-0000829B0000}"/>
    <cellStyle name="Percent 25 3 2" xfId="21609" xr:uid="{00000000-0005-0000-0000-0000839B0000}"/>
    <cellStyle name="Percent 25 3 2 2" xfId="41009" xr:uid="{00000000-0005-0000-0000-0000849B0000}"/>
    <cellStyle name="Percent 25 3 3" xfId="31311" xr:uid="{00000000-0005-0000-0000-0000859B0000}"/>
    <cellStyle name="Percent 25 4" xfId="1595" xr:uid="{00000000-0005-0000-0000-0000869B0000}"/>
    <cellStyle name="Percent 25 5" xfId="12261" xr:uid="{00000000-0005-0000-0000-0000879B0000}"/>
    <cellStyle name="Percent 25 5 2" xfId="31664" xr:uid="{00000000-0005-0000-0000-0000889B0000}"/>
    <cellStyle name="Percent 25 6" xfId="21966" xr:uid="{00000000-0005-0000-0000-0000899B0000}"/>
    <cellStyle name="Percent 26" xfId="1037" xr:uid="{00000000-0005-0000-0000-00008A9B0000}"/>
    <cellStyle name="Percent 26 2" xfId="2483" xr:uid="{00000000-0005-0000-0000-00008B9B0000}"/>
    <cellStyle name="Percent 26 3" xfId="11908" xr:uid="{00000000-0005-0000-0000-00008C9B0000}"/>
    <cellStyle name="Percent 26 3 2" xfId="21612" xr:uid="{00000000-0005-0000-0000-00008D9B0000}"/>
    <cellStyle name="Percent 26 3 2 2" xfId="41012" xr:uid="{00000000-0005-0000-0000-00008E9B0000}"/>
    <cellStyle name="Percent 26 3 3" xfId="31314" xr:uid="{00000000-0005-0000-0000-00008F9B0000}"/>
    <cellStyle name="Percent 26 4" xfId="1596" xr:uid="{00000000-0005-0000-0000-0000909B0000}"/>
    <cellStyle name="Percent 26 5" xfId="12264" xr:uid="{00000000-0005-0000-0000-0000919B0000}"/>
    <cellStyle name="Percent 26 5 2" xfId="31667" xr:uid="{00000000-0005-0000-0000-0000929B0000}"/>
    <cellStyle name="Percent 26 6" xfId="21969" xr:uid="{00000000-0005-0000-0000-0000939B0000}"/>
    <cellStyle name="Percent 27" xfId="1035" xr:uid="{00000000-0005-0000-0000-0000949B0000}"/>
    <cellStyle name="Percent 27 2" xfId="2560" xr:uid="{00000000-0005-0000-0000-0000959B0000}"/>
    <cellStyle name="Percent 27 3" xfId="11906" xr:uid="{00000000-0005-0000-0000-0000969B0000}"/>
    <cellStyle name="Percent 27 3 2" xfId="21610" xr:uid="{00000000-0005-0000-0000-0000979B0000}"/>
    <cellStyle name="Percent 27 3 2 2" xfId="41010" xr:uid="{00000000-0005-0000-0000-0000989B0000}"/>
    <cellStyle name="Percent 27 3 3" xfId="31312" xr:uid="{00000000-0005-0000-0000-0000999B0000}"/>
    <cellStyle name="Percent 27 4" xfId="1597" xr:uid="{00000000-0005-0000-0000-00009A9B0000}"/>
    <cellStyle name="Percent 27 5" xfId="12262" xr:uid="{00000000-0005-0000-0000-00009B9B0000}"/>
    <cellStyle name="Percent 27 5 2" xfId="31665" xr:uid="{00000000-0005-0000-0000-00009C9B0000}"/>
    <cellStyle name="Percent 27 6" xfId="21967" xr:uid="{00000000-0005-0000-0000-00009D9B0000}"/>
    <cellStyle name="Percent 28" xfId="1033" xr:uid="{00000000-0005-0000-0000-00009E9B0000}"/>
    <cellStyle name="Percent 28 2" xfId="2496" xr:uid="{00000000-0005-0000-0000-00009F9B0000}"/>
    <cellStyle name="Percent 28 3" xfId="11904" xr:uid="{00000000-0005-0000-0000-0000A09B0000}"/>
    <cellStyle name="Percent 28 3 2" xfId="21608" xr:uid="{00000000-0005-0000-0000-0000A19B0000}"/>
    <cellStyle name="Percent 28 3 2 2" xfId="41008" xr:uid="{00000000-0005-0000-0000-0000A29B0000}"/>
    <cellStyle name="Percent 28 3 3" xfId="31310" xr:uid="{00000000-0005-0000-0000-0000A39B0000}"/>
    <cellStyle name="Percent 28 4" xfId="1598" xr:uid="{00000000-0005-0000-0000-0000A49B0000}"/>
    <cellStyle name="Percent 28 5" xfId="12260" xr:uid="{00000000-0005-0000-0000-0000A59B0000}"/>
    <cellStyle name="Percent 28 5 2" xfId="31663" xr:uid="{00000000-0005-0000-0000-0000A69B0000}"/>
    <cellStyle name="Percent 28 6" xfId="21965" xr:uid="{00000000-0005-0000-0000-0000A79B0000}"/>
    <cellStyle name="Percent 29" xfId="1040" xr:uid="{00000000-0005-0000-0000-0000A89B0000}"/>
    <cellStyle name="Percent 29 2" xfId="2475" xr:uid="{00000000-0005-0000-0000-0000A99B0000}"/>
    <cellStyle name="Percent 29 3" xfId="11911" xr:uid="{00000000-0005-0000-0000-0000AA9B0000}"/>
    <cellStyle name="Percent 29 3 2" xfId="21615" xr:uid="{00000000-0005-0000-0000-0000AB9B0000}"/>
    <cellStyle name="Percent 29 3 2 2" xfId="41015" xr:uid="{00000000-0005-0000-0000-0000AC9B0000}"/>
    <cellStyle name="Percent 29 3 3" xfId="31317" xr:uid="{00000000-0005-0000-0000-0000AD9B0000}"/>
    <cellStyle name="Percent 29 4" xfId="1599" xr:uid="{00000000-0005-0000-0000-0000AE9B0000}"/>
    <cellStyle name="Percent 29 5" xfId="12267" xr:uid="{00000000-0005-0000-0000-0000AF9B0000}"/>
    <cellStyle name="Percent 29 5 2" xfId="31670" xr:uid="{00000000-0005-0000-0000-0000B09B0000}"/>
    <cellStyle name="Percent 29 6" xfId="21972" xr:uid="{00000000-0005-0000-0000-0000B19B0000}"/>
    <cellStyle name="Percent 3" xfId="559" xr:uid="{00000000-0005-0000-0000-0000B29B0000}"/>
    <cellStyle name="Percent 3 10" xfId="1146" xr:uid="{00000000-0005-0000-0000-0000B39B0000}"/>
    <cellStyle name="Percent 3 10 2" xfId="12365" xr:uid="{00000000-0005-0000-0000-0000B49B0000}"/>
    <cellStyle name="Percent 3 10 2 2" xfId="31767" xr:uid="{00000000-0005-0000-0000-0000B59B0000}"/>
    <cellStyle name="Percent 3 10 3" xfId="22069" xr:uid="{00000000-0005-0000-0000-0000B69B0000}"/>
    <cellStyle name="Percent 3 2" xfId="612" xr:uid="{00000000-0005-0000-0000-0000B79B0000}"/>
    <cellStyle name="Percent 3 2 2" xfId="770" xr:uid="{00000000-0005-0000-0000-0000B89B0000}"/>
    <cellStyle name="Percent 3 2 2 10" xfId="12070" xr:uid="{00000000-0005-0000-0000-0000B99B0000}"/>
    <cellStyle name="Percent 3 2 2 10 2" xfId="31473" xr:uid="{00000000-0005-0000-0000-0000BA9B0000}"/>
    <cellStyle name="Percent 3 2 2 11" xfId="21775" xr:uid="{00000000-0005-0000-0000-0000BB9B0000}"/>
    <cellStyle name="Percent 3 2 2 2" xfId="3394" xr:uid="{00000000-0005-0000-0000-0000BC9B0000}"/>
    <cellStyle name="Percent 3 2 2 2 2" xfId="5662" xr:uid="{00000000-0005-0000-0000-0000BD9B0000}"/>
    <cellStyle name="Percent 3 2 2 2 2 2" xfId="10126" xr:uid="{00000000-0005-0000-0000-0000BE9B0000}"/>
    <cellStyle name="Percent 3 2 2 2 2 2 2" xfId="20122" xr:uid="{00000000-0005-0000-0000-0000BF9B0000}"/>
    <cellStyle name="Percent 3 2 2 2 2 2 2 2" xfId="39522" xr:uid="{00000000-0005-0000-0000-0000C09B0000}"/>
    <cellStyle name="Percent 3 2 2 2 2 2 3" xfId="29824" xr:uid="{00000000-0005-0000-0000-0000C19B0000}"/>
    <cellStyle name="Percent 3 2 2 2 2 3" xfId="15667" xr:uid="{00000000-0005-0000-0000-0000C29B0000}"/>
    <cellStyle name="Percent 3 2 2 2 2 3 2" xfId="35067" xr:uid="{00000000-0005-0000-0000-0000C39B0000}"/>
    <cellStyle name="Percent 3 2 2 2 2 4" xfId="25369" xr:uid="{00000000-0005-0000-0000-0000C49B0000}"/>
    <cellStyle name="Percent 3 2 2 2 3" xfId="7898" xr:uid="{00000000-0005-0000-0000-0000C59B0000}"/>
    <cellStyle name="Percent 3 2 2 2 3 2" xfId="17894" xr:uid="{00000000-0005-0000-0000-0000C69B0000}"/>
    <cellStyle name="Percent 3 2 2 2 3 2 2" xfId="37294" xr:uid="{00000000-0005-0000-0000-0000C79B0000}"/>
    <cellStyle name="Percent 3 2 2 2 3 3" xfId="27596" xr:uid="{00000000-0005-0000-0000-0000C89B0000}"/>
    <cellStyle name="Percent 3 2 2 2 4" xfId="13439" xr:uid="{00000000-0005-0000-0000-0000C99B0000}"/>
    <cellStyle name="Percent 3 2 2 2 4 2" xfId="32839" xr:uid="{00000000-0005-0000-0000-0000CA9B0000}"/>
    <cellStyle name="Percent 3 2 2 2 5" xfId="23141" xr:uid="{00000000-0005-0000-0000-0000CB9B0000}"/>
    <cellStyle name="Percent 3 2 2 3" xfId="3977" xr:uid="{00000000-0005-0000-0000-0000CC9B0000}"/>
    <cellStyle name="Percent 3 2 2 3 2" xfId="5106" xr:uid="{00000000-0005-0000-0000-0000CD9B0000}"/>
    <cellStyle name="Percent 3 2 2 3 2 2" xfId="9570" xr:uid="{00000000-0005-0000-0000-0000CE9B0000}"/>
    <cellStyle name="Percent 3 2 2 3 2 2 2" xfId="19566" xr:uid="{00000000-0005-0000-0000-0000CF9B0000}"/>
    <cellStyle name="Percent 3 2 2 3 2 2 2 2" xfId="38966" xr:uid="{00000000-0005-0000-0000-0000D09B0000}"/>
    <cellStyle name="Percent 3 2 2 3 2 2 3" xfId="29268" xr:uid="{00000000-0005-0000-0000-0000D19B0000}"/>
    <cellStyle name="Percent 3 2 2 3 2 3" xfId="15111" xr:uid="{00000000-0005-0000-0000-0000D29B0000}"/>
    <cellStyle name="Percent 3 2 2 3 2 3 2" xfId="34511" xr:uid="{00000000-0005-0000-0000-0000D39B0000}"/>
    <cellStyle name="Percent 3 2 2 3 2 4" xfId="24813" xr:uid="{00000000-0005-0000-0000-0000D49B0000}"/>
    <cellStyle name="Percent 3 2 2 3 3" xfId="8455" xr:uid="{00000000-0005-0000-0000-0000D59B0000}"/>
    <cellStyle name="Percent 3 2 2 3 3 2" xfId="18451" xr:uid="{00000000-0005-0000-0000-0000D69B0000}"/>
    <cellStyle name="Percent 3 2 2 3 3 2 2" xfId="37851" xr:uid="{00000000-0005-0000-0000-0000D79B0000}"/>
    <cellStyle name="Percent 3 2 2 3 3 3" xfId="28153" xr:uid="{00000000-0005-0000-0000-0000D89B0000}"/>
    <cellStyle name="Percent 3 2 2 3 4" xfId="13996" xr:uid="{00000000-0005-0000-0000-0000D99B0000}"/>
    <cellStyle name="Percent 3 2 2 3 4 2" xfId="33396" xr:uid="{00000000-0005-0000-0000-0000DA9B0000}"/>
    <cellStyle name="Percent 3 2 2 3 5" xfId="23698" xr:uid="{00000000-0005-0000-0000-0000DB9B0000}"/>
    <cellStyle name="Percent 3 2 2 4" xfId="4549" xr:uid="{00000000-0005-0000-0000-0000DC9B0000}"/>
    <cellStyle name="Percent 3 2 2 4 2" xfId="9013" xr:uid="{00000000-0005-0000-0000-0000DD9B0000}"/>
    <cellStyle name="Percent 3 2 2 4 2 2" xfId="19009" xr:uid="{00000000-0005-0000-0000-0000DE9B0000}"/>
    <cellStyle name="Percent 3 2 2 4 2 2 2" xfId="38409" xr:uid="{00000000-0005-0000-0000-0000DF9B0000}"/>
    <cellStyle name="Percent 3 2 2 4 2 3" xfId="28711" xr:uid="{00000000-0005-0000-0000-0000E09B0000}"/>
    <cellStyle name="Percent 3 2 2 4 3" xfId="14554" xr:uid="{00000000-0005-0000-0000-0000E19B0000}"/>
    <cellStyle name="Percent 3 2 2 4 3 2" xfId="33954" xr:uid="{00000000-0005-0000-0000-0000E29B0000}"/>
    <cellStyle name="Percent 3 2 2 4 4" xfId="24256" xr:uid="{00000000-0005-0000-0000-0000E39B0000}"/>
    <cellStyle name="Percent 3 2 2 5" xfId="6219" xr:uid="{00000000-0005-0000-0000-0000E49B0000}"/>
    <cellStyle name="Percent 3 2 2 5 2" xfId="10683" xr:uid="{00000000-0005-0000-0000-0000E59B0000}"/>
    <cellStyle name="Percent 3 2 2 5 2 2" xfId="20679" xr:uid="{00000000-0005-0000-0000-0000E69B0000}"/>
    <cellStyle name="Percent 3 2 2 5 2 2 2" xfId="40079" xr:uid="{00000000-0005-0000-0000-0000E79B0000}"/>
    <cellStyle name="Percent 3 2 2 5 2 3" xfId="30381" xr:uid="{00000000-0005-0000-0000-0000E89B0000}"/>
    <cellStyle name="Percent 3 2 2 5 3" xfId="16224" xr:uid="{00000000-0005-0000-0000-0000E99B0000}"/>
    <cellStyle name="Percent 3 2 2 5 3 2" xfId="35624" xr:uid="{00000000-0005-0000-0000-0000EA9B0000}"/>
    <cellStyle name="Percent 3 2 2 5 4" xfId="25926" xr:uid="{00000000-0005-0000-0000-0000EB9B0000}"/>
    <cellStyle name="Percent 3 2 2 6" xfId="6785" xr:uid="{00000000-0005-0000-0000-0000EC9B0000}"/>
    <cellStyle name="Percent 3 2 2 6 2" xfId="11240" xr:uid="{00000000-0005-0000-0000-0000ED9B0000}"/>
    <cellStyle name="Percent 3 2 2 6 2 2" xfId="21236" xr:uid="{00000000-0005-0000-0000-0000EE9B0000}"/>
    <cellStyle name="Percent 3 2 2 6 2 2 2" xfId="40636" xr:uid="{00000000-0005-0000-0000-0000EF9B0000}"/>
    <cellStyle name="Percent 3 2 2 6 2 3" xfId="30938" xr:uid="{00000000-0005-0000-0000-0000F09B0000}"/>
    <cellStyle name="Percent 3 2 2 6 3" xfId="16781" xr:uid="{00000000-0005-0000-0000-0000F19B0000}"/>
    <cellStyle name="Percent 3 2 2 6 3 2" xfId="36181" xr:uid="{00000000-0005-0000-0000-0000F29B0000}"/>
    <cellStyle name="Percent 3 2 2 6 4" xfId="26483" xr:uid="{00000000-0005-0000-0000-0000F39B0000}"/>
    <cellStyle name="Percent 3 2 2 7" xfId="7342" xr:uid="{00000000-0005-0000-0000-0000F49B0000}"/>
    <cellStyle name="Percent 3 2 2 7 2" xfId="17338" xr:uid="{00000000-0005-0000-0000-0000F59B0000}"/>
    <cellStyle name="Percent 3 2 2 7 2 2" xfId="36738" xr:uid="{00000000-0005-0000-0000-0000F69B0000}"/>
    <cellStyle name="Percent 3 2 2 7 3" xfId="27040" xr:uid="{00000000-0005-0000-0000-0000F79B0000}"/>
    <cellStyle name="Percent 3 2 2 8" xfId="11705" xr:uid="{00000000-0005-0000-0000-0000F89B0000}"/>
    <cellStyle name="Percent 3 2 2 8 2" xfId="21418" xr:uid="{00000000-0005-0000-0000-0000F99B0000}"/>
    <cellStyle name="Percent 3 2 2 8 2 2" xfId="40818" xr:uid="{00000000-0005-0000-0000-0000FA9B0000}"/>
    <cellStyle name="Percent 3 2 2 8 3" xfId="31120" xr:uid="{00000000-0005-0000-0000-0000FB9B0000}"/>
    <cellStyle name="Percent 3 2 2 9" xfId="2504" xr:uid="{00000000-0005-0000-0000-0000FC9B0000}"/>
    <cellStyle name="Percent 3 2 2 9 2" xfId="12882" xr:uid="{00000000-0005-0000-0000-0000FD9B0000}"/>
    <cellStyle name="Percent 3 2 2 9 2 2" xfId="32283" xr:uid="{00000000-0005-0000-0000-0000FE9B0000}"/>
    <cellStyle name="Percent 3 2 2 9 3" xfId="22585" xr:uid="{00000000-0005-0000-0000-0000FF9B0000}"/>
    <cellStyle name="Percent 3 2 3" xfId="1123" xr:uid="{00000000-0005-0000-0000-0000009C0000}"/>
    <cellStyle name="Percent 3 2 3 2" xfId="11988" xr:uid="{00000000-0005-0000-0000-0000019C0000}"/>
    <cellStyle name="Percent 3 2 3 2 2" xfId="21692" xr:uid="{00000000-0005-0000-0000-0000029C0000}"/>
    <cellStyle name="Percent 3 2 3 2 2 2" xfId="41092" xr:uid="{00000000-0005-0000-0000-0000039C0000}"/>
    <cellStyle name="Percent 3 2 3 2 3" xfId="31394" xr:uid="{00000000-0005-0000-0000-0000049C0000}"/>
    <cellStyle name="Percent 3 2 3 3" xfId="2689" xr:uid="{00000000-0005-0000-0000-0000059C0000}"/>
    <cellStyle name="Percent 3 2 3 4" xfId="12344" xr:uid="{00000000-0005-0000-0000-0000069C0000}"/>
    <cellStyle name="Percent 3 2 3 4 2" xfId="31747" xr:uid="{00000000-0005-0000-0000-0000079C0000}"/>
    <cellStyle name="Percent 3 2 3 5" xfId="22049" xr:uid="{00000000-0005-0000-0000-0000089C0000}"/>
    <cellStyle name="Percent 3 2 4" xfId="11327" xr:uid="{00000000-0005-0000-0000-0000099C0000}"/>
    <cellStyle name="Percent 3 2 4 2" xfId="21312" xr:uid="{00000000-0005-0000-0000-00000A9C0000}"/>
    <cellStyle name="Percent 3 2 4 2 2" xfId="40712" xr:uid="{00000000-0005-0000-0000-00000B9C0000}"/>
    <cellStyle name="Percent 3 2 4 3" xfId="31014" xr:uid="{00000000-0005-0000-0000-00000C9C0000}"/>
    <cellStyle name="Percent 3 2 5" xfId="11358" xr:uid="{00000000-0005-0000-0000-00000D9C0000}"/>
    <cellStyle name="Percent 3 2 5 2" xfId="21339" xr:uid="{00000000-0005-0000-0000-00000E9C0000}"/>
    <cellStyle name="Percent 3 2 5 2 2" xfId="40739" xr:uid="{00000000-0005-0000-0000-00000F9C0000}"/>
    <cellStyle name="Percent 3 2 5 3" xfId="31041" xr:uid="{00000000-0005-0000-0000-0000109C0000}"/>
    <cellStyle name="Percent 3 2 6" xfId="1601" xr:uid="{00000000-0005-0000-0000-0000119C0000}"/>
    <cellStyle name="Percent 3 2 7" xfId="11601" xr:uid="{00000000-0005-0000-0000-0000129C0000}"/>
    <cellStyle name="Percent 3 2 8" xfId="1153" xr:uid="{00000000-0005-0000-0000-0000139C0000}"/>
    <cellStyle name="Percent 3 2 8 2" xfId="12372" xr:uid="{00000000-0005-0000-0000-0000149C0000}"/>
    <cellStyle name="Percent 3 2 8 2 2" xfId="31774" xr:uid="{00000000-0005-0000-0000-0000159C0000}"/>
    <cellStyle name="Percent 3 2 8 3" xfId="22076" xr:uid="{00000000-0005-0000-0000-0000169C0000}"/>
    <cellStyle name="Percent 3 3" xfId="636" xr:uid="{00000000-0005-0000-0000-0000179C0000}"/>
    <cellStyle name="Percent 3 3 2" xfId="2708" xr:uid="{00000000-0005-0000-0000-0000189C0000}"/>
    <cellStyle name="Percent 3 3 2 2" xfId="3431" xr:uid="{00000000-0005-0000-0000-0000199C0000}"/>
    <cellStyle name="Percent 3 3 2 2 2" xfId="5699" xr:uid="{00000000-0005-0000-0000-00001A9C0000}"/>
    <cellStyle name="Percent 3 3 2 2 2 2" xfId="10163" xr:uid="{00000000-0005-0000-0000-00001B9C0000}"/>
    <cellStyle name="Percent 3 3 2 2 2 2 2" xfId="20159" xr:uid="{00000000-0005-0000-0000-00001C9C0000}"/>
    <cellStyle name="Percent 3 3 2 2 2 2 2 2" xfId="39559" xr:uid="{00000000-0005-0000-0000-00001D9C0000}"/>
    <cellStyle name="Percent 3 3 2 2 2 2 3" xfId="29861" xr:uid="{00000000-0005-0000-0000-00001E9C0000}"/>
    <cellStyle name="Percent 3 3 2 2 2 3" xfId="15704" xr:uid="{00000000-0005-0000-0000-00001F9C0000}"/>
    <cellStyle name="Percent 3 3 2 2 2 3 2" xfId="35104" xr:uid="{00000000-0005-0000-0000-0000209C0000}"/>
    <cellStyle name="Percent 3 3 2 2 2 4" xfId="25406" xr:uid="{00000000-0005-0000-0000-0000219C0000}"/>
    <cellStyle name="Percent 3 3 2 2 3" xfId="7935" xr:uid="{00000000-0005-0000-0000-0000229C0000}"/>
    <cellStyle name="Percent 3 3 2 2 3 2" xfId="17931" xr:uid="{00000000-0005-0000-0000-0000239C0000}"/>
    <cellStyle name="Percent 3 3 2 2 3 2 2" xfId="37331" xr:uid="{00000000-0005-0000-0000-0000249C0000}"/>
    <cellStyle name="Percent 3 3 2 2 3 3" xfId="27633" xr:uid="{00000000-0005-0000-0000-0000259C0000}"/>
    <cellStyle name="Percent 3 3 2 2 4" xfId="13476" xr:uid="{00000000-0005-0000-0000-0000269C0000}"/>
    <cellStyle name="Percent 3 3 2 2 4 2" xfId="32876" xr:uid="{00000000-0005-0000-0000-0000279C0000}"/>
    <cellStyle name="Percent 3 3 2 2 5" xfId="23178" xr:uid="{00000000-0005-0000-0000-0000289C0000}"/>
    <cellStyle name="Percent 3 3 2 3" xfId="4014" xr:uid="{00000000-0005-0000-0000-0000299C0000}"/>
    <cellStyle name="Percent 3 3 2 3 2" xfId="5143" xr:uid="{00000000-0005-0000-0000-00002A9C0000}"/>
    <cellStyle name="Percent 3 3 2 3 2 2" xfId="9607" xr:uid="{00000000-0005-0000-0000-00002B9C0000}"/>
    <cellStyle name="Percent 3 3 2 3 2 2 2" xfId="19603" xr:uid="{00000000-0005-0000-0000-00002C9C0000}"/>
    <cellStyle name="Percent 3 3 2 3 2 2 2 2" xfId="39003" xr:uid="{00000000-0005-0000-0000-00002D9C0000}"/>
    <cellStyle name="Percent 3 3 2 3 2 2 3" xfId="29305" xr:uid="{00000000-0005-0000-0000-00002E9C0000}"/>
    <cellStyle name="Percent 3 3 2 3 2 3" xfId="15148" xr:uid="{00000000-0005-0000-0000-00002F9C0000}"/>
    <cellStyle name="Percent 3 3 2 3 2 3 2" xfId="34548" xr:uid="{00000000-0005-0000-0000-0000309C0000}"/>
    <cellStyle name="Percent 3 3 2 3 2 4" xfId="24850" xr:uid="{00000000-0005-0000-0000-0000319C0000}"/>
    <cellStyle name="Percent 3 3 2 3 3" xfId="8492" xr:uid="{00000000-0005-0000-0000-0000329C0000}"/>
    <cellStyle name="Percent 3 3 2 3 3 2" xfId="18488" xr:uid="{00000000-0005-0000-0000-0000339C0000}"/>
    <cellStyle name="Percent 3 3 2 3 3 2 2" xfId="37888" xr:uid="{00000000-0005-0000-0000-0000349C0000}"/>
    <cellStyle name="Percent 3 3 2 3 3 3" xfId="28190" xr:uid="{00000000-0005-0000-0000-0000359C0000}"/>
    <cellStyle name="Percent 3 3 2 3 4" xfId="14033" xr:uid="{00000000-0005-0000-0000-0000369C0000}"/>
    <cellStyle name="Percent 3 3 2 3 4 2" xfId="33433" xr:uid="{00000000-0005-0000-0000-0000379C0000}"/>
    <cellStyle name="Percent 3 3 2 3 5" xfId="23735" xr:uid="{00000000-0005-0000-0000-0000389C0000}"/>
    <cellStyle name="Percent 3 3 2 4" xfId="4586" xr:uid="{00000000-0005-0000-0000-0000399C0000}"/>
    <cellStyle name="Percent 3 3 2 4 2" xfId="9050" xr:uid="{00000000-0005-0000-0000-00003A9C0000}"/>
    <cellStyle name="Percent 3 3 2 4 2 2" xfId="19046" xr:uid="{00000000-0005-0000-0000-00003B9C0000}"/>
    <cellStyle name="Percent 3 3 2 4 2 2 2" xfId="38446" xr:uid="{00000000-0005-0000-0000-00003C9C0000}"/>
    <cellStyle name="Percent 3 3 2 4 2 3" xfId="28748" xr:uid="{00000000-0005-0000-0000-00003D9C0000}"/>
    <cellStyle name="Percent 3 3 2 4 3" xfId="14591" xr:uid="{00000000-0005-0000-0000-00003E9C0000}"/>
    <cellStyle name="Percent 3 3 2 4 3 2" xfId="33991" xr:uid="{00000000-0005-0000-0000-00003F9C0000}"/>
    <cellStyle name="Percent 3 3 2 4 4" xfId="24293" xr:uid="{00000000-0005-0000-0000-0000409C0000}"/>
    <cellStyle name="Percent 3 3 2 5" xfId="6256" xr:uid="{00000000-0005-0000-0000-0000419C0000}"/>
    <cellStyle name="Percent 3 3 2 5 2" xfId="10720" xr:uid="{00000000-0005-0000-0000-0000429C0000}"/>
    <cellStyle name="Percent 3 3 2 5 2 2" xfId="20716" xr:uid="{00000000-0005-0000-0000-0000439C0000}"/>
    <cellStyle name="Percent 3 3 2 5 2 2 2" xfId="40116" xr:uid="{00000000-0005-0000-0000-0000449C0000}"/>
    <cellStyle name="Percent 3 3 2 5 2 3" xfId="30418" xr:uid="{00000000-0005-0000-0000-0000459C0000}"/>
    <cellStyle name="Percent 3 3 2 5 3" xfId="16261" xr:uid="{00000000-0005-0000-0000-0000469C0000}"/>
    <cellStyle name="Percent 3 3 2 5 3 2" xfId="35661" xr:uid="{00000000-0005-0000-0000-0000479C0000}"/>
    <cellStyle name="Percent 3 3 2 5 4" xfId="25963" xr:uid="{00000000-0005-0000-0000-0000489C0000}"/>
    <cellStyle name="Percent 3 3 2 6" xfId="6822" xr:uid="{00000000-0005-0000-0000-0000499C0000}"/>
    <cellStyle name="Percent 3 3 2 6 2" xfId="11277" xr:uid="{00000000-0005-0000-0000-00004A9C0000}"/>
    <cellStyle name="Percent 3 3 2 6 2 2" xfId="21273" xr:uid="{00000000-0005-0000-0000-00004B9C0000}"/>
    <cellStyle name="Percent 3 3 2 6 2 2 2" xfId="40673" xr:uid="{00000000-0005-0000-0000-00004C9C0000}"/>
    <cellStyle name="Percent 3 3 2 6 2 3" xfId="30975" xr:uid="{00000000-0005-0000-0000-00004D9C0000}"/>
    <cellStyle name="Percent 3 3 2 6 3" xfId="16818" xr:uid="{00000000-0005-0000-0000-00004E9C0000}"/>
    <cellStyle name="Percent 3 3 2 6 3 2" xfId="36218" xr:uid="{00000000-0005-0000-0000-00004F9C0000}"/>
    <cellStyle name="Percent 3 3 2 6 4" xfId="26520" xr:uid="{00000000-0005-0000-0000-0000509C0000}"/>
    <cellStyle name="Percent 3 3 2 7" xfId="7379" xr:uid="{00000000-0005-0000-0000-0000519C0000}"/>
    <cellStyle name="Percent 3 3 2 7 2" xfId="17375" xr:uid="{00000000-0005-0000-0000-0000529C0000}"/>
    <cellStyle name="Percent 3 3 2 7 2 2" xfId="36775" xr:uid="{00000000-0005-0000-0000-0000539C0000}"/>
    <cellStyle name="Percent 3 3 2 7 3" xfId="27077" xr:uid="{00000000-0005-0000-0000-0000549C0000}"/>
    <cellStyle name="Percent 3 3 2 8" xfId="12920" xr:uid="{00000000-0005-0000-0000-0000559C0000}"/>
    <cellStyle name="Percent 3 3 2 8 2" xfId="32320" xr:uid="{00000000-0005-0000-0000-0000569C0000}"/>
    <cellStyle name="Percent 3 3 2 9" xfId="22622" xr:uid="{00000000-0005-0000-0000-0000579C0000}"/>
    <cellStyle name="Percent 3 3 3" xfId="11622" xr:uid="{00000000-0005-0000-0000-0000589C0000}"/>
    <cellStyle name="Percent 3 3 4" xfId="1602" xr:uid="{00000000-0005-0000-0000-0000599C0000}"/>
    <cellStyle name="Percent 3 4" xfId="744" xr:uid="{00000000-0005-0000-0000-00005A9C0000}"/>
    <cellStyle name="Percent 3 4 2" xfId="2767" xr:uid="{00000000-0005-0000-0000-00005B9C0000}"/>
    <cellStyle name="Percent 3 4 3" xfId="11701" xr:uid="{00000000-0005-0000-0000-00005C9C0000}"/>
    <cellStyle name="Percent 3 4 3 2" xfId="21414" xr:uid="{00000000-0005-0000-0000-00005D9C0000}"/>
    <cellStyle name="Percent 3 4 3 2 2" xfId="40814" xr:uid="{00000000-0005-0000-0000-00005E9C0000}"/>
    <cellStyle name="Percent 3 4 3 3" xfId="31116" xr:uid="{00000000-0005-0000-0000-00005F9C0000}"/>
    <cellStyle name="Percent 3 4 4" xfId="1603" xr:uid="{00000000-0005-0000-0000-0000609C0000}"/>
    <cellStyle name="Percent 3 4 5" xfId="12066" xr:uid="{00000000-0005-0000-0000-0000619C0000}"/>
    <cellStyle name="Percent 3 4 5 2" xfId="31469" xr:uid="{00000000-0005-0000-0000-0000629C0000}"/>
    <cellStyle name="Percent 3 4 6" xfId="21771" xr:uid="{00000000-0005-0000-0000-0000639C0000}"/>
    <cellStyle name="Percent 3 5" xfId="1116" xr:uid="{00000000-0005-0000-0000-0000649C0000}"/>
    <cellStyle name="Percent 3 5 2" xfId="11981" xr:uid="{00000000-0005-0000-0000-0000659C0000}"/>
    <cellStyle name="Percent 3 5 2 2" xfId="21685" xr:uid="{00000000-0005-0000-0000-0000669C0000}"/>
    <cellStyle name="Percent 3 5 2 2 2" xfId="41085" xr:uid="{00000000-0005-0000-0000-0000679C0000}"/>
    <cellStyle name="Percent 3 5 2 3" xfId="31387" xr:uid="{00000000-0005-0000-0000-0000689C0000}"/>
    <cellStyle name="Percent 3 5 3" xfId="1803" xr:uid="{00000000-0005-0000-0000-0000699C0000}"/>
    <cellStyle name="Percent 3 5 4" xfId="12337" xr:uid="{00000000-0005-0000-0000-00006A9C0000}"/>
    <cellStyle name="Percent 3 5 4 2" xfId="31740" xr:uid="{00000000-0005-0000-0000-00006B9C0000}"/>
    <cellStyle name="Percent 3 5 5" xfId="22042" xr:uid="{00000000-0005-0000-0000-00006C9C0000}"/>
    <cellStyle name="Percent 3 6" xfId="1926" xr:uid="{00000000-0005-0000-0000-00006D9C0000}"/>
    <cellStyle name="Percent 3 6 2" xfId="2935" xr:uid="{00000000-0005-0000-0000-00006E9C0000}"/>
    <cellStyle name="Percent 3 6 2 2" xfId="5204" xr:uid="{00000000-0005-0000-0000-00006F9C0000}"/>
    <cellStyle name="Percent 3 6 2 2 2" xfId="9668" xr:uid="{00000000-0005-0000-0000-0000709C0000}"/>
    <cellStyle name="Percent 3 6 2 2 2 2" xfId="19664" xr:uid="{00000000-0005-0000-0000-0000719C0000}"/>
    <cellStyle name="Percent 3 6 2 2 2 2 2" xfId="39064" xr:uid="{00000000-0005-0000-0000-0000729C0000}"/>
    <cellStyle name="Percent 3 6 2 2 2 3" xfId="29366" xr:uid="{00000000-0005-0000-0000-0000739C0000}"/>
    <cellStyle name="Percent 3 6 2 2 3" xfId="15209" xr:uid="{00000000-0005-0000-0000-0000749C0000}"/>
    <cellStyle name="Percent 3 6 2 2 3 2" xfId="34609" xr:uid="{00000000-0005-0000-0000-0000759C0000}"/>
    <cellStyle name="Percent 3 6 2 2 4" xfId="24911" xr:uid="{00000000-0005-0000-0000-0000769C0000}"/>
    <cellStyle name="Percent 3 6 2 3" xfId="7440" xr:uid="{00000000-0005-0000-0000-0000779C0000}"/>
    <cellStyle name="Percent 3 6 2 3 2" xfId="17436" xr:uid="{00000000-0005-0000-0000-0000789C0000}"/>
    <cellStyle name="Percent 3 6 2 3 2 2" xfId="36836" xr:uid="{00000000-0005-0000-0000-0000799C0000}"/>
    <cellStyle name="Percent 3 6 2 3 3" xfId="27138" xr:uid="{00000000-0005-0000-0000-00007A9C0000}"/>
    <cellStyle name="Percent 3 6 2 4" xfId="12981" xr:uid="{00000000-0005-0000-0000-00007B9C0000}"/>
    <cellStyle name="Percent 3 6 2 4 2" xfId="32381" xr:uid="{00000000-0005-0000-0000-00007C9C0000}"/>
    <cellStyle name="Percent 3 6 2 5" xfId="22683" xr:uid="{00000000-0005-0000-0000-00007D9C0000}"/>
    <cellStyle name="Percent 3 6 3" xfId="3518" xr:uid="{00000000-0005-0000-0000-00007E9C0000}"/>
    <cellStyle name="Percent 3 6 3 2" xfId="4648" xr:uid="{00000000-0005-0000-0000-00007F9C0000}"/>
    <cellStyle name="Percent 3 6 3 2 2" xfId="9112" xr:uid="{00000000-0005-0000-0000-0000809C0000}"/>
    <cellStyle name="Percent 3 6 3 2 2 2" xfId="19108" xr:uid="{00000000-0005-0000-0000-0000819C0000}"/>
    <cellStyle name="Percent 3 6 3 2 2 2 2" xfId="38508" xr:uid="{00000000-0005-0000-0000-0000829C0000}"/>
    <cellStyle name="Percent 3 6 3 2 2 3" xfId="28810" xr:uid="{00000000-0005-0000-0000-0000839C0000}"/>
    <cellStyle name="Percent 3 6 3 2 3" xfId="14653" xr:uid="{00000000-0005-0000-0000-0000849C0000}"/>
    <cellStyle name="Percent 3 6 3 2 3 2" xfId="34053" xr:uid="{00000000-0005-0000-0000-0000859C0000}"/>
    <cellStyle name="Percent 3 6 3 2 4" xfId="24355" xr:uid="{00000000-0005-0000-0000-0000869C0000}"/>
    <cellStyle name="Percent 3 6 3 3" xfId="7997" xr:uid="{00000000-0005-0000-0000-0000879C0000}"/>
    <cellStyle name="Percent 3 6 3 3 2" xfId="17993" xr:uid="{00000000-0005-0000-0000-0000889C0000}"/>
    <cellStyle name="Percent 3 6 3 3 2 2" xfId="37393" xr:uid="{00000000-0005-0000-0000-0000899C0000}"/>
    <cellStyle name="Percent 3 6 3 3 3" xfId="27695" xr:uid="{00000000-0005-0000-0000-00008A9C0000}"/>
    <cellStyle name="Percent 3 6 3 4" xfId="13538" xr:uid="{00000000-0005-0000-0000-00008B9C0000}"/>
    <cellStyle name="Percent 3 6 3 4 2" xfId="32938" xr:uid="{00000000-0005-0000-0000-00008C9C0000}"/>
    <cellStyle name="Percent 3 6 3 5" xfId="23240" xr:uid="{00000000-0005-0000-0000-00008D9C0000}"/>
    <cellStyle name="Percent 3 6 4" xfId="4091" xr:uid="{00000000-0005-0000-0000-00008E9C0000}"/>
    <cellStyle name="Percent 3 6 4 2" xfId="8555" xr:uid="{00000000-0005-0000-0000-00008F9C0000}"/>
    <cellStyle name="Percent 3 6 4 2 2" xfId="18551" xr:uid="{00000000-0005-0000-0000-0000909C0000}"/>
    <cellStyle name="Percent 3 6 4 2 2 2" xfId="37951" xr:uid="{00000000-0005-0000-0000-0000919C0000}"/>
    <cellStyle name="Percent 3 6 4 2 3" xfId="28253" xr:uid="{00000000-0005-0000-0000-0000929C0000}"/>
    <cellStyle name="Percent 3 6 4 3" xfId="14096" xr:uid="{00000000-0005-0000-0000-0000939C0000}"/>
    <cellStyle name="Percent 3 6 4 3 2" xfId="33496" xr:uid="{00000000-0005-0000-0000-0000949C0000}"/>
    <cellStyle name="Percent 3 6 4 4" xfId="23798" xr:uid="{00000000-0005-0000-0000-0000959C0000}"/>
    <cellStyle name="Percent 3 6 5" xfId="5761" xr:uid="{00000000-0005-0000-0000-0000969C0000}"/>
    <cellStyle name="Percent 3 6 5 2" xfId="10225" xr:uid="{00000000-0005-0000-0000-0000979C0000}"/>
    <cellStyle name="Percent 3 6 5 2 2" xfId="20221" xr:uid="{00000000-0005-0000-0000-0000989C0000}"/>
    <cellStyle name="Percent 3 6 5 2 2 2" xfId="39621" xr:uid="{00000000-0005-0000-0000-0000999C0000}"/>
    <cellStyle name="Percent 3 6 5 2 3" xfId="29923" xr:uid="{00000000-0005-0000-0000-00009A9C0000}"/>
    <cellStyle name="Percent 3 6 5 3" xfId="15766" xr:uid="{00000000-0005-0000-0000-00009B9C0000}"/>
    <cellStyle name="Percent 3 6 5 3 2" xfId="35166" xr:uid="{00000000-0005-0000-0000-00009C9C0000}"/>
    <cellStyle name="Percent 3 6 5 4" xfId="25468" xr:uid="{00000000-0005-0000-0000-00009D9C0000}"/>
    <cellStyle name="Percent 3 6 6" xfId="6327" xr:uid="{00000000-0005-0000-0000-00009E9C0000}"/>
    <cellStyle name="Percent 3 6 6 2" xfId="10782" xr:uid="{00000000-0005-0000-0000-00009F9C0000}"/>
    <cellStyle name="Percent 3 6 6 2 2" xfId="20778" xr:uid="{00000000-0005-0000-0000-0000A09C0000}"/>
    <cellStyle name="Percent 3 6 6 2 2 2" xfId="40178" xr:uid="{00000000-0005-0000-0000-0000A19C0000}"/>
    <cellStyle name="Percent 3 6 6 2 3" xfId="30480" xr:uid="{00000000-0005-0000-0000-0000A29C0000}"/>
    <cellStyle name="Percent 3 6 6 3" xfId="16323" xr:uid="{00000000-0005-0000-0000-0000A39C0000}"/>
    <cellStyle name="Percent 3 6 6 3 2" xfId="35723" xr:uid="{00000000-0005-0000-0000-0000A49C0000}"/>
    <cellStyle name="Percent 3 6 6 4" xfId="26025" xr:uid="{00000000-0005-0000-0000-0000A59C0000}"/>
    <cellStyle name="Percent 3 6 7" xfId="6884" xr:uid="{00000000-0005-0000-0000-0000A69C0000}"/>
    <cellStyle name="Percent 3 6 7 2" xfId="16880" xr:uid="{00000000-0005-0000-0000-0000A79C0000}"/>
    <cellStyle name="Percent 3 6 7 2 2" xfId="36280" xr:uid="{00000000-0005-0000-0000-0000A89C0000}"/>
    <cellStyle name="Percent 3 6 7 3" xfId="26582" xr:uid="{00000000-0005-0000-0000-0000A99C0000}"/>
    <cellStyle name="Percent 3 6 8" xfId="12424" xr:uid="{00000000-0005-0000-0000-0000AA9C0000}"/>
    <cellStyle name="Percent 3 6 8 2" xfId="31825" xr:uid="{00000000-0005-0000-0000-0000AB9C0000}"/>
    <cellStyle name="Percent 3 6 9" xfId="22127" xr:uid="{00000000-0005-0000-0000-0000AC9C0000}"/>
    <cellStyle name="Percent 3 7" xfId="11320" xr:uid="{00000000-0005-0000-0000-0000AD9C0000}"/>
    <cellStyle name="Percent 3 7 2" xfId="21305" xr:uid="{00000000-0005-0000-0000-0000AE9C0000}"/>
    <cellStyle name="Percent 3 7 2 2" xfId="40705" xr:uid="{00000000-0005-0000-0000-0000AF9C0000}"/>
    <cellStyle name="Percent 3 7 3" xfId="31007" xr:uid="{00000000-0005-0000-0000-0000B09C0000}"/>
    <cellStyle name="Percent 3 8" xfId="11350" xr:uid="{00000000-0005-0000-0000-0000B19C0000}"/>
    <cellStyle name="Percent 3 8 2" xfId="21332" xr:uid="{00000000-0005-0000-0000-0000B29C0000}"/>
    <cellStyle name="Percent 3 8 2 2" xfId="40732" xr:uid="{00000000-0005-0000-0000-0000B39C0000}"/>
    <cellStyle name="Percent 3 8 3" xfId="31034" xr:uid="{00000000-0005-0000-0000-0000B49C0000}"/>
    <cellStyle name="Percent 3 9" xfId="1600" xr:uid="{00000000-0005-0000-0000-0000B59C0000}"/>
    <cellStyle name="Percent 30" xfId="1047" xr:uid="{00000000-0005-0000-0000-0000B69C0000}"/>
    <cellStyle name="Percent 30 2" xfId="2479" xr:uid="{00000000-0005-0000-0000-0000B79C0000}"/>
    <cellStyle name="Percent 30 3" xfId="11918" xr:uid="{00000000-0005-0000-0000-0000B89C0000}"/>
    <cellStyle name="Percent 30 3 2" xfId="21622" xr:uid="{00000000-0005-0000-0000-0000B99C0000}"/>
    <cellStyle name="Percent 30 3 2 2" xfId="41022" xr:uid="{00000000-0005-0000-0000-0000BA9C0000}"/>
    <cellStyle name="Percent 30 3 3" xfId="31324" xr:uid="{00000000-0005-0000-0000-0000BB9C0000}"/>
    <cellStyle name="Percent 30 4" xfId="1604" xr:uid="{00000000-0005-0000-0000-0000BC9C0000}"/>
    <cellStyle name="Percent 30 5" xfId="12274" xr:uid="{00000000-0005-0000-0000-0000BD9C0000}"/>
    <cellStyle name="Percent 30 5 2" xfId="31677" xr:uid="{00000000-0005-0000-0000-0000BE9C0000}"/>
    <cellStyle name="Percent 30 6" xfId="21979" xr:uid="{00000000-0005-0000-0000-0000BF9C0000}"/>
    <cellStyle name="Percent 31" xfId="1056" xr:uid="{00000000-0005-0000-0000-0000C09C0000}"/>
    <cellStyle name="Percent 31 2" xfId="2556" xr:uid="{00000000-0005-0000-0000-0000C19C0000}"/>
    <cellStyle name="Percent 31 3" xfId="11927" xr:uid="{00000000-0005-0000-0000-0000C29C0000}"/>
    <cellStyle name="Percent 31 3 2" xfId="21631" xr:uid="{00000000-0005-0000-0000-0000C39C0000}"/>
    <cellStyle name="Percent 31 3 2 2" xfId="41031" xr:uid="{00000000-0005-0000-0000-0000C49C0000}"/>
    <cellStyle name="Percent 31 3 3" xfId="31333" xr:uid="{00000000-0005-0000-0000-0000C59C0000}"/>
    <cellStyle name="Percent 31 4" xfId="1605" xr:uid="{00000000-0005-0000-0000-0000C69C0000}"/>
    <cellStyle name="Percent 31 5" xfId="12283" xr:uid="{00000000-0005-0000-0000-0000C79C0000}"/>
    <cellStyle name="Percent 31 5 2" xfId="31686" xr:uid="{00000000-0005-0000-0000-0000C89C0000}"/>
    <cellStyle name="Percent 31 6" xfId="21988" xr:uid="{00000000-0005-0000-0000-0000C99C0000}"/>
    <cellStyle name="Percent 32" xfId="1058" xr:uid="{00000000-0005-0000-0000-0000CA9C0000}"/>
    <cellStyle name="Percent 32 2" xfId="2540" xr:uid="{00000000-0005-0000-0000-0000CB9C0000}"/>
    <cellStyle name="Percent 32 3" xfId="11929" xr:uid="{00000000-0005-0000-0000-0000CC9C0000}"/>
    <cellStyle name="Percent 32 3 2" xfId="21633" xr:uid="{00000000-0005-0000-0000-0000CD9C0000}"/>
    <cellStyle name="Percent 32 3 2 2" xfId="41033" xr:uid="{00000000-0005-0000-0000-0000CE9C0000}"/>
    <cellStyle name="Percent 32 3 3" xfId="31335" xr:uid="{00000000-0005-0000-0000-0000CF9C0000}"/>
    <cellStyle name="Percent 32 4" xfId="1606" xr:uid="{00000000-0005-0000-0000-0000D09C0000}"/>
    <cellStyle name="Percent 32 5" xfId="12285" xr:uid="{00000000-0005-0000-0000-0000D19C0000}"/>
    <cellStyle name="Percent 32 5 2" xfId="31688" xr:uid="{00000000-0005-0000-0000-0000D29C0000}"/>
    <cellStyle name="Percent 32 6" xfId="21990" xr:uid="{00000000-0005-0000-0000-0000D39C0000}"/>
    <cellStyle name="Percent 33" xfId="1029" xr:uid="{00000000-0005-0000-0000-0000D49C0000}"/>
    <cellStyle name="Percent 33 2" xfId="2484" xr:uid="{00000000-0005-0000-0000-0000D59C0000}"/>
    <cellStyle name="Percent 33 3" xfId="11900" xr:uid="{00000000-0005-0000-0000-0000D69C0000}"/>
    <cellStyle name="Percent 33 3 2" xfId="21604" xr:uid="{00000000-0005-0000-0000-0000D79C0000}"/>
    <cellStyle name="Percent 33 3 2 2" xfId="41004" xr:uid="{00000000-0005-0000-0000-0000D89C0000}"/>
    <cellStyle name="Percent 33 3 3" xfId="31306" xr:uid="{00000000-0005-0000-0000-0000D99C0000}"/>
    <cellStyle name="Percent 33 4" xfId="1607" xr:uid="{00000000-0005-0000-0000-0000DA9C0000}"/>
    <cellStyle name="Percent 33 5" xfId="12256" xr:uid="{00000000-0005-0000-0000-0000DB9C0000}"/>
    <cellStyle name="Percent 33 5 2" xfId="31659" xr:uid="{00000000-0005-0000-0000-0000DC9C0000}"/>
    <cellStyle name="Percent 33 6" xfId="21961" xr:uid="{00000000-0005-0000-0000-0000DD9C0000}"/>
    <cellStyle name="Percent 34" xfId="1053" xr:uid="{00000000-0005-0000-0000-0000DE9C0000}"/>
    <cellStyle name="Percent 34 2" xfId="11924" xr:uid="{00000000-0005-0000-0000-0000DF9C0000}"/>
    <cellStyle name="Percent 34 2 2" xfId="21628" xr:uid="{00000000-0005-0000-0000-0000E09C0000}"/>
    <cellStyle name="Percent 34 2 2 2" xfId="41028" xr:uid="{00000000-0005-0000-0000-0000E19C0000}"/>
    <cellStyle name="Percent 34 2 3" xfId="31330" xr:uid="{00000000-0005-0000-0000-0000E29C0000}"/>
    <cellStyle name="Percent 34 3" xfId="1638" xr:uid="{00000000-0005-0000-0000-0000E39C0000}"/>
    <cellStyle name="Percent 34 4" xfId="12280" xr:uid="{00000000-0005-0000-0000-0000E49C0000}"/>
    <cellStyle name="Percent 34 4 2" xfId="31683" xr:uid="{00000000-0005-0000-0000-0000E59C0000}"/>
    <cellStyle name="Percent 34 5" xfId="21985" xr:uid="{00000000-0005-0000-0000-0000E69C0000}"/>
    <cellStyle name="Percent 35" xfId="1052" xr:uid="{00000000-0005-0000-0000-0000E79C0000}"/>
    <cellStyle name="Percent 35 2" xfId="2482" xr:uid="{00000000-0005-0000-0000-0000E89C0000}"/>
    <cellStyle name="Percent 35 3" xfId="11923" xr:uid="{00000000-0005-0000-0000-0000E99C0000}"/>
    <cellStyle name="Percent 35 3 2" xfId="21627" xr:uid="{00000000-0005-0000-0000-0000EA9C0000}"/>
    <cellStyle name="Percent 35 3 2 2" xfId="41027" xr:uid="{00000000-0005-0000-0000-0000EB9C0000}"/>
    <cellStyle name="Percent 35 3 3" xfId="31329" xr:uid="{00000000-0005-0000-0000-0000EC9C0000}"/>
    <cellStyle name="Percent 35 4" xfId="1641" xr:uid="{00000000-0005-0000-0000-0000ED9C0000}"/>
    <cellStyle name="Percent 35 5" xfId="12279" xr:uid="{00000000-0005-0000-0000-0000EE9C0000}"/>
    <cellStyle name="Percent 35 5 2" xfId="31682" xr:uid="{00000000-0005-0000-0000-0000EF9C0000}"/>
    <cellStyle name="Percent 35 6" xfId="21984" xr:uid="{00000000-0005-0000-0000-0000F09C0000}"/>
    <cellStyle name="Percent 36" xfId="1054" xr:uid="{00000000-0005-0000-0000-0000F19C0000}"/>
    <cellStyle name="Percent 36 2" xfId="11925" xr:uid="{00000000-0005-0000-0000-0000F29C0000}"/>
    <cellStyle name="Percent 36 2 2" xfId="21629" xr:uid="{00000000-0005-0000-0000-0000F39C0000}"/>
    <cellStyle name="Percent 36 2 2 2" xfId="41029" xr:uid="{00000000-0005-0000-0000-0000F49C0000}"/>
    <cellStyle name="Percent 36 2 3" xfId="31331" xr:uid="{00000000-0005-0000-0000-0000F59C0000}"/>
    <cellStyle name="Percent 36 3" xfId="1652" xr:uid="{00000000-0005-0000-0000-0000F69C0000}"/>
    <cellStyle name="Percent 36 4" xfId="12281" xr:uid="{00000000-0005-0000-0000-0000F79C0000}"/>
    <cellStyle name="Percent 36 4 2" xfId="31684" xr:uid="{00000000-0005-0000-0000-0000F89C0000}"/>
    <cellStyle name="Percent 36 5" xfId="21986" xr:uid="{00000000-0005-0000-0000-0000F99C0000}"/>
    <cellStyle name="Percent 37" xfId="1057" xr:uid="{00000000-0005-0000-0000-0000FA9C0000}"/>
    <cellStyle name="Percent 37 2" xfId="11928" xr:uid="{00000000-0005-0000-0000-0000FB9C0000}"/>
    <cellStyle name="Percent 37 2 2" xfId="21632" xr:uid="{00000000-0005-0000-0000-0000FC9C0000}"/>
    <cellStyle name="Percent 37 2 2 2" xfId="41032" xr:uid="{00000000-0005-0000-0000-0000FD9C0000}"/>
    <cellStyle name="Percent 37 2 3" xfId="31334" xr:uid="{00000000-0005-0000-0000-0000FE9C0000}"/>
    <cellStyle name="Percent 37 3" xfId="1660" xr:uid="{00000000-0005-0000-0000-0000FF9C0000}"/>
    <cellStyle name="Percent 37 4" xfId="12284" xr:uid="{00000000-0005-0000-0000-0000009D0000}"/>
    <cellStyle name="Percent 37 4 2" xfId="31687" xr:uid="{00000000-0005-0000-0000-0000019D0000}"/>
    <cellStyle name="Percent 37 5" xfId="21989" xr:uid="{00000000-0005-0000-0000-0000029D0000}"/>
    <cellStyle name="Percent 38" xfId="1055" xr:uid="{00000000-0005-0000-0000-0000039D0000}"/>
    <cellStyle name="Percent 38 2" xfId="11926" xr:uid="{00000000-0005-0000-0000-0000049D0000}"/>
    <cellStyle name="Percent 38 2 2" xfId="21630" xr:uid="{00000000-0005-0000-0000-0000059D0000}"/>
    <cellStyle name="Percent 38 2 2 2" xfId="41030" xr:uid="{00000000-0005-0000-0000-0000069D0000}"/>
    <cellStyle name="Percent 38 2 3" xfId="31332" xr:uid="{00000000-0005-0000-0000-0000079D0000}"/>
    <cellStyle name="Percent 38 3" xfId="1661" xr:uid="{00000000-0005-0000-0000-0000089D0000}"/>
    <cellStyle name="Percent 38 4" xfId="12282" xr:uid="{00000000-0005-0000-0000-0000099D0000}"/>
    <cellStyle name="Percent 38 4 2" xfId="31685" xr:uid="{00000000-0005-0000-0000-00000A9D0000}"/>
    <cellStyle name="Percent 38 5" xfId="21987" xr:uid="{00000000-0005-0000-0000-00000B9D0000}"/>
    <cellStyle name="Percent 39" xfId="1094" xr:uid="{00000000-0005-0000-0000-00000C9D0000}"/>
    <cellStyle name="Percent 4" xfId="613" xr:uid="{00000000-0005-0000-0000-00000D9D0000}"/>
    <cellStyle name="Percent 4 10" xfId="1148" xr:uid="{00000000-0005-0000-0000-00000E9D0000}"/>
    <cellStyle name="Percent 4 10 2" xfId="12367" xr:uid="{00000000-0005-0000-0000-00000F9D0000}"/>
    <cellStyle name="Percent 4 10 2 2" xfId="31769" xr:uid="{00000000-0005-0000-0000-0000109D0000}"/>
    <cellStyle name="Percent 4 10 3" xfId="22071" xr:uid="{00000000-0005-0000-0000-0000119D0000}"/>
    <cellStyle name="Percent 4 2" xfId="789" xr:uid="{00000000-0005-0000-0000-0000129D0000}"/>
    <cellStyle name="Percent 4 2 2" xfId="1805" xr:uid="{00000000-0005-0000-0000-0000139D0000}"/>
    <cellStyle name="Percent 4 2 3" xfId="11713" xr:uid="{00000000-0005-0000-0000-0000149D0000}"/>
    <cellStyle name="Percent 4 2 3 2" xfId="21424" xr:uid="{00000000-0005-0000-0000-0000159D0000}"/>
    <cellStyle name="Percent 4 2 3 2 2" xfId="40824" xr:uid="{00000000-0005-0000-0000-0000169D0000}"/>
    <cellStyle name="Percent 4 2 3 3" xfId="31126" xr:uid="{00000000-0005-0000-0000-0000179D0000}"/>
    <cellStyle name="Percent 4 2 4" xfId="1609" xr:uid="{00000000-0005-0000-0000-0000189D0000}"/>
    <cellStyle name="Percent 4 2 5" xfId="12076" xr:uid="{00000000-0005-0000-0000-0000199D0000}"/>
    <cellStyle name="Percent 4 2 5 2" xfId="31479" xr:uid="{00000000-0005-0000-0000-00001A9D0000}"/>
    <cellStyle name="Percent 4 2 6" xfId="21781" xr:uid="{00000000-0005-0000-0000-00001B9D0000}"/>
    <cellStyle name="Percent 4 3" xfId="1118" xr:uid="{00000000-0005-0000-0000-00001C9D0000}"/>
    <cellStyle name="Percent 4 3 2" xfId="2510" xr:uid="{00000000-0005-0000-0000-00001D9D0000}"/>
    <cellStyle name="Percent 4 3 2 2" xfId="3399" xr:uid="{00000000-0005-0000-0000-00001E9D0000}"/>
    <cellStyle name="Percent 4 3 2 2 2" xfId="5667" xr:uid="{00000000-0005-0000-0000-00001F9D0000}"/>
    <cellStyle name="Percent 4 3 2 2 2 2" xfId="10131" xr:uid="{00000000-0005-0000-0000-0000209D0000}"/>
    <cellStyle name="Percent 4 3 2 2 2 2 2" xfId="20127" xr:uid="{00000000-0005-0000-0000-0000219D0000}"/>
    <cellStyle name="Percent 4 3 2 2 2 2 2 2" xfId="39527" xr:uid="{00000000-0005-0000-0000-0000229D0000}"/>
    <cellStyle name="Percent 4 3 2 2 2 2 3" xfId="29829" xr:uid="{00000000-0005-0000-0000-0000239D0000}"/>
    <cellStyle name="Percent 4 3 2 2 2 3" xfId="15672" xr:uid="{00000000-0005-0000-0000-0000249D0000}"/>
    <cellStyle name="Percent 4 3 2 2 2 3 2" xfId="35072" xr:uid="{00000000-0005-0000-0000-0000259D0000}"/>
    <cellStyle name="Percent 4 3 2 2 2 4" xfId="25374" xr:uid="{00000000-0005-0000-0000-0000269D0000}"/>
    <cellStyle name="Percent 4 3 2 2 3" xfId="7903" xr:uid="{00000000-0005-0000-0000-0000279D0000}"/>
    <cellStyle name="Percent 4 3 2 2 3 2" xfId="17899" xr:uid="{00000000-0005-0000-0000-0000289D0000}"/>
    <cellStyle name="Percent 4 3 2 2 3 2 2" xfId="37299" xr:uid="{00000000-0005-0000-0000-0000299D0000}"/>
    <cellStyle name="Percent 4 3 2 2 3 3" xfId="27601" xr:uid="{00000000-0005-0000-0000-00002A9D0000}"/>
    <cellStyle name="Percent 4 3 2 2 4" xfId="13444" xr:uid="{00000000-0005-0000-0000-00002B9D0000}"/>
    <cellStyle name="Percent 4 3 2 2 4 2" xfId="32844" xr:uid="{00000000-0005-0000-0000-00002C9D0000}"/>
    <cellStyle name="Percent 4 3 2 2 5" xfId="23146" xr:uid="{00000000-0005-0000-0000-00002D9D0000}"/>
    <cellStyle name="Percent 4 3 2 3" xfId="3982" xr:uid="{00000000-0005-0000-0000-00002E9D0000}"/>
    <cellStyle name="Percent 4 3 2 3 2" xfId="5111" xr:uid="{00000000-0005-0000-0000-00002F9D0000}"/>
    <cellStyle name="Percent 4 3 2 3 2 2" xfId="9575" xr:uid="{00000000-0005-0000-0000-0000309D0000}"/>
    <cellStyle name="Percent 4 3 2 3 2 2 2" xfId="19571" xr:uid="{00000000-0005-0000-0000-0000319D0000}"/>
    <cellStyle name="Percent 4 3 2 3 2 2 2 2" xfId="38971" xr:uid="{00000000-0005-0000-0000-0000329D0000}"/>
    <cellStyle name="Percent 4 3 2 3 2 2 3" xfId="29273" xr:uid="{00000000-0005-0000-0000-0000339D0000}"/>
    <cellStyle name="Percent 4 3 2 3 2 3" xfId="15116" xr:uid="{00000000-0005-0000-0000-0000349D0000}"/>
    <cellStyle name="Percent 4 3 2 3 2 3 2" xfId="34516" xr:uid="{00000000-0005-0000-0000-0000359D0000}"/>
    <cellStyle name="Percent 4 3 2 3 2 4" xfId="24818" xr:uid="{00000000-0005-0000-0000-0000369D0000}"/>
    <cellStyle name="Percent 4 3 2 3 3" xfId="8460" xr:uid="{00000000-0005-0000-0000-0000379D0000}"/>
    <cellStyle name="Percent 4 3 2 3 3 2" xfId="18456" xr:uid="{00000000-0005-0000-0000-0000389D0000}"/>
    <cellStyle name="Percent 4 3 2 3 3 2 2" xfId="37856" xr:uid="{00000000-0005-0000-0000-0000399D0000}"/>
    <cellStyle name="Percent 4 3 2 3 3 3" xfId="28158" xr:uid="{00000000-0005-0000-0000-00003A9D0000}"/>
    <cellStyle name="Percent 4 3 2 3 4" xfId="14001" xr:uid="{00000000-0005-0000-0000-00003B9D0000}"/>
    <cellStyle name="Percent 4 3 2 3 4 2" xfId="33401" xr:uid="{00000000-0005-0000-0000-00003C9D0000}"/>
    <cellStyle name="Percent 4 3 2 3 5" xfId="23703" xr:uid="{00000000-0005-0000-0000-00003D9D0000}"/>
    <cellStyle name="Percent 4 3 2 4" xfId="4554" xr:uid="{00000000-0005-0000-0000-00003E9D0000}"/>
    <cellStyle name="Percent 4 3 2 4 2" xfId="9018" xr:uid="{00000000-0005-0000-0000-00003F9D0000}"/>
    <cellStyle name="Percent 4 3 2 4 2 2" xfId="19014" xr:uid="{00000000-0005-0000-0000-0000409D0000}"/>
    <cellStyle name="Percent 4 3 2 4 2 2 2" xfId="38414" xr:uid="{00000000-0005-0000-0000-0000419D0000}"/>
    <cellStyle name="Percent 4 3 2 4 2 3" xfId="28716" xr:uid="{00000000-0005-0000-0000-0000429D0000}"/>
    <cellStyle name="Percent 4 3 2 4 3" xfId="14559" xr:uid="{00000000-0005-0000-0000-0000439D0000}"/>
    <cellStyle name="Percent 4 3 2 4 3 2" xfId="33959" xr:uid="{00000000-0005-0000-0000-0000449D0000}"/>
    <cellStyle name="Percent 4 3 2 4 4" xfId="24261" xr:uid="{00000000-0005-0000-0000-0000459D0000}"/>
    <cellStyle name="Percent 4 3 2 5" xfId="6224" xr:uid="{00000000-0005-0000-0000-0000469D0000}"/>
    <cellStyle name="Percent 4 3 2 5 2" xfId="10688" xr:uid="{00000000-0005-0000-0000-0000479D0000}"/>
    <cellStyle name="Percent 4 3 2 5 2 2" xfId="20684" xr:uid="{00000000-0005-0000-0000-0000489D0000}"/>
    <cellStyle name="Percent 4 3 2 5 2 2 2" xfId="40084" xr:uid="{00000000-0005-0000-0000-0000499D0000}"/>
    <cellStyle name="Percent 4 3 2 5 2 3" xfId="30386" xr:uid="{00000000-0005-0000-0000-00004A9D0000}"/>
    <cellStyle name="Percent 4 3 2 5 3" xfId="16229" xr:uid="{00000000-0005-0000-0000-00004B9D0000}"/>
    <cellStyle name="Percent 4 3 2 5 3 2" xfId="35629" xr:uid="{00000000-0005-0000-0000-00004C9D0000}"/>
    <cellStyle name="Percent 4 3 2 5 4" xfId="25931" xr:uid="{00000000-0005-0000-0000-00004D9D0000}"/>
    <cellStyle name="Percent 4 3 2 6" xfId="6790" xr:uid="{00000000-0005-0000-0000-00004E9D0000}"/>
    <cellStyle name="Percent 4 3 2 6 2" xfId="11245" xr:uid="{00000000-0005-0000-0000-00004F9D0000}"/>
    <cellStyle name="Percent 4 3 2 6 2 2" xfId="21241" xr:uid="{00000000-0005-0000-0000-0000509D0000}"/>
    <cellStyle name="Percent 4 3 2 6 2 2 2" xfId="40641" xr:uid="{00000000-0005-0000-0000-0000519D0000}"/>
    <cellStyle name="Percent 4 3 2 6 2 3" xfId="30943" xr:uid="{00000000-0005-0000-0000-0000529D0000}"/>
    <cellStyle name="Percent 4 3 2 6 3" xfId="16786" xr:uid="{00000000-0005-0000-0000-0000539D0000}"/>
    <cellStyle name="Percent 4 3 2 6 3 2" xfId="36186" xr:uid="{00000000-0005-0000-0000-0000549D0000}"/>
    <cellStyle name="Percent 4 3 2 6 4" xfId="26488" xr:uid="{00000000-0005-0000-0000-0000559D0000}"/>
    <cellStyle name="Percent 4 3 2 7" xfId="7347" xr:uid="{00000000-0005-0000-0000-0000569D0000}"/>
    <cellStyle name="Percent 4 3 2 7 2" xfId="17343" xr:uid="{00000000-0005-0000-0000-0000579D0000}"/>
    <cellStyle name="Percent 4 3 2 7 2 2" xfId="36743" xr:uid="{00000000-0005-0000-0000-0000589D0000}"/>
    <cellStyle name="Percent 4 3 2 7 3" xfId="27045" xr:uid="{00000000-0005-0000-0000-0000599D0000}"/>
    <cellStyle name="Percent 4 3 2 8" xfId="12887" xr:uid="{00000000-0005-0000-0000-00005A9D0000}"/>
    <cellStyle name="Percent 4 3 2 8 2" xfId="32288" xr:uid="{00000000-0005-0000-0000-00005B9D0000}"/>
    <cellStyle name="Percent 4 3 2 9" xfId="22590" xr:uid="{00000000-0005-0000-0000-00005C9D0000}"/>
    <cellStyle name="Percent 4 3 3" xfId="2690" xr:uid="{00000000-0005-0000-0000-00005D9D0000}"/>
    <cellStyle name="Percent 4 3 4" xfId="11983" xr:uid="{00000000-0005-0000-0000-00005E9D0000}"/>
    <cellStyle name="Percent 4 3 4 2" xfId="21687" xr:uid="{00000000-0005-0000-0000-00005F9D0000}"/>
    <cellStyle name="Percent 4 3 4 2 2" xfId="41087" xr:uid="{00000000-0005-0000-0000-0000609D0000}"/>
    <cellStyle name="Percent 4 3 4 3" xfId="31389" xr:uid="{00000000-0005-0000-0000-0000619D0000}"/>
    <cellStyle name="Percent 4 3 5" xfId="1610" xr:uid="{00000000-0005-0000-0000-0000629D0000}"/>
    <cellStyle name="Percent 4 3 6" xfId="12339" xr:uid="{00000000-0005-0000-0000-0000639D0000}"/>
    <cellStyle name="Percent 4 3 6 2" xfId="31742" xr:uid="{00000000-0005-0000-0000-0000649D0000}"/>
    <cellStyle name="Percent 4 3 7" xfId="22044" xr:uid="{00000000-0005-0000-0000-0000659D0000}"/>
    <cellStyle name="Percent 4 4" xfId="1611" xr:uid="{00000000-0005-0000-0000-0000669D0000}"/>
    <cellStyle name="Percent 4 4 2" xfId="2709" xr:uid="{00000000-0005-0000-0000-0000679D0000}"/>
    <cellStyle name="Percent 4 4 2 2" xfId="3432" xr:uid="{00000000-0005-0000-0000-0000689D0000}"/>
    <cellStyle name="Percent 4 4 2 2 2" xfId="5700" xr:uid="{00000000-0005-0000-0000-0000699D0000}"/>
    <cellStyle name="Percent 4 4 2 2 2 2" xfId="10164" xr:uid="{00000000-0005-0000-0000-00006A9D0000}"/>
    <cellStyle name="Percent 4 4 2 2 2 2 2" xfId="20160" xr:uid="{00000000-0005-0000-0000-00006B9D0000}"/>
    <cellStyle name="Percent 4 4 2 2 2 2 2 2" xfId="39560" xr:uid="{00000000-0005-0000-0000-00006C9D0000}"/>
    <cellStyle name="Percent 4 4 2 2 2 2 3" xfId="29862" xr:uid="{00000000-0005-0000-0000-00006D9D0000}"/>
    <cellStyle name="Percent 4 4 2 2 2 3" xfId="15705" xr:uid="{00000000-0005-0000-0000-00006E9D0000}"/>
    <cellStyle name="Percent 4 4 2 2 2 3 2" xfId="35105" xr:uid="{00000000-0005-0000-0000-00006F9D0000}"/>
    <cellStyle name="Percent 4 4 2 2 2 4" xfId="25407" xr:uid="{00000000-0005-0000-0000-0000709D0000}"/>
    <cellStyle name="Percent 4 4 2 2 3" xfId="7936" xr:uid="{00000000-0005-0000-0000-0000719D0000}"/>
    <cellStyle name="Percent 4 4 2 2 3 2" xfId="17932" xr:uid="{00000000-0005-0000-0000-0000729D0000}"/>
    <cellStyle name="Percent 4 4 2 2 3 2 2" xfId="37332" xr:uid="{00000000-0005-0000-0000-0000739D0000}"/>
    <cellStyle name="Percent 4 4 2 2 3 3" xfId="27634" xr:uid="{00000000-0005-0000-0000-0000749D0000}"/>
    <cellStyle name="Percent 4 4 2 2 4" xfId="13477" xr:uid="{00000000-0005-0000-0000-0000759D0000}"/>
    <cellStyle name="Percent 4 4 2 2 4 2" xfId="32877" xr:uid="{00000000-0005-0000-0000-0000769D0000}"/>
    <cellStyle name="Percent 4 4 2 2 5" xfId="23179" xr:uid="{00000000-0005-0000-0000-0000779D0000}"/>
    <cellStyle name="Percent 4 4 2 3" xfId="4015" xr:uid="{00000000-0005-0000-0000-0000789D0000}"/>
    <cellStyle name="Percent 4 4 2 3 2" xfId="5144" xr:uid="{00000000-0005-0000-0000-0000799D0000}"/>
    <cellStyle name="Percent 4 4 2 3 2 2" xfId="9608" xr:uid="{00000000-0005-0000-0000-00007A9D0000}"/>
    <cellStyle name="Percent 4 4 2 3 2 2 2" xfId="19604" xr:uid="{00000000-0005-0000-0000-00007B9D0000}"/>
    <cellStyle name="Percent 4 4 2 3 2 2 2 2" xfId="39004" xr:uid="{00000000-0005-0000-0000-00007C9D0000}"/>
    <cellStyle name="Percent 4 4 2 3 2 2 3" xfId="29306" xr:uid="{00000000-0005-0000-0000-00007D9D0000}"/>
    <cellStyle name="Percent 4 4 2 3 2 3" xfId="15149" xr:uid="{00000000-0005-0000-0000-00007E9D0000}"/>
    <cellStyle name="Percent 4 4 2 3 2 3 2" xfId="34549" xr:uid="{00000000-0005-0000-0000-00007F9D0000}"/>
    <cellStyle name="Percent 4 4 2 3 2 4" xfId="24851" xr:uid="{00000000-0005-0000-0000-0000809D0000}"/>
    <cellStyle name="Percent 4 4 2 3 3" xfId="8493" xr:uid="{00000000-0005-0000-0000-0000819D0000}"/>
    <cellStyle name="Percent 4 4 2 3 3 2" xfId="18489" xr:uid="{00000000-0005-0000-0000-0000829D0000}"/>
    <cellStyle name="Percent 4 4 2 3 3 2 2" xfId="37889" xr:uid="{00000000-0005-0000-0000-0000839D0000}"/>
    <cellStyle name="Percent 4 4 2 3 3 3" xfId="28191" xr:uid="{00000000-0005-0000-0000-0000849D0000}"/>
    <cellStyle name="Percent 4 4 2 3 4" xfId="14034" xr:uid="{00000000-0005-0000-0000-0000859D0000}"/>
    <cellStyle name="Percent 4 4 2 3 4 2" xfId="33434" xr:uid="{00000000-0005-0000-0000-0000869D0000}"/>
    <cellStyle name="Percent 4 4 2 3 5" xfId="23736" xr:uid="{00000000-0005-0000-0000-0000879D0000}"/>
    <cellStyle name="Percent 4 4 2 4" xfId="4587" xr:uid="{00000000-0005-0000-0000-0000889D0000}"/>
    <cellStyle name="Percent 4 4 2 4 2" xfId="9051" xr:uid="{00000000-0005-0000-0000-0000899D0000}"/>
    <cellStyle name="Percent 4 4 2 4 2 2" xfId="19047" xr:uid="{00000000-0005-0000-0000-00008A9D0000}"/>
    <cellStyle name="Percent 4 4 2 4 2 2 2" xfId="38447" xr:uid="{00000000-0005-0000-0000-00008B9D0000}"/>
    <cellStyle name="Percent 4 4 2 4 2 3" xfId="28749" xr:uid="{00000000-0005-0000-0000-00008C9D0000}"/>
    <cellStyle name="Percent 4 4 2 4 3" xfId="14592" xr:uid="{00000000-0005-0000-0000-00008D9D0000}"/>
    <cellStyle name="Percent 4 4 2 4 3 2" xfId="33992" xr:uid="{00000000-0005-0000-0000-00008E9D0000}"/>
    <cellStyle name="Percent 4 4 2 4 4" xfId="24294" xr:uid="{00000000-0005-0000-0000-00008F9D0000}"/>
    <cellStyle name="Percent 4 4 2 5" xfId="6257" xr:uid="{00000000-0005-0000-0000-0000909D0000}"/>
    <cellStyle name="Percent 4 4 2 5 2" xfId="10721" xr:uid="{00000000-0005-0000-0000-0000919D0000}"/>
    <cellStyle name="Percent 4 4 2 5 2 2" xfId="20717" xr:uid="{00000000-0005-0000-0000-0000929D0000}"/>
    <cellStyle name="Percent 4 4 2 5 2 2 2" xfId="40117" xr:uid="{00000000-0005-0000-0000-0000939D0000}"/>
    <cellStyle name="Percent 4 4 2 5 2 3" xfId="30419" xr:uid="{00000000-0005-0000-0000-0000949D0000}"/>
    <cellStyle name="Percent 4 4 2 5 3" xfId="16262" xr:uid="{00000000-0005-0000-0000-0000959D0000}"/>
    <cellStyle name="Percent 4 4 2 5 3 2" xfId="35662" xr:uid="{00000000-0005-0000-0000-0000969D0000}"/>
    <cellStyle name="Percent 4 4 2 5 4" xfId="25964" xr:uid="{00000000-0005-0000-0000-0000979D0000}"/>
    <cellStyle name="Percent 4 4 2 6" xfId="6823" xr:uid="{00000000-0005-0000-0000-0000989D0000}"/>
    <cellStyle name="Percent 4 4 2 6 2" xfId="11278" xr:uid="{00000000-0005-0000-0000-0000999D0000}"/>
    <cellStyle name="Percent 4 4 2 6 2 2" xfId="21274" xr:uid="{00000000-0005-0000-0000-00009A9D0000}"/>
    <cellStyle name="Percent 4 4 2 6 2 2 2" xfId="40674" xr:uid="{00000000-0005-0000-0000-00009B9D0000}"/>
    <cellStyle name="Percent 4 4 2 6 2 3" xfId="30976" xr:uid="{00000000-0005-0000-0000-00009C9D0000}"/>
    <cellStyle name="Percent 4 4 2 6 3" xfId="16819" xr:uid="{00000000-0005-0000-0000-00009D9D0000}"/>
    <cellStyle name="Percent 4 4 2 6 3 2" xfId="36219" xr:uid="{00000000-0005-0000-0000-00009E9D0000}"/>
    <cellStyle name="Percent 4 4 2 6 4" xfId="26521" xr:uid="{00000000-0005-0000-0000-00009F9D0000}"/>
    <cellStyle name="Percent 4 4 2 7" xfId="7380" xr:uid="{00000000-0005-0000-0000-0000A09D0000}"/>
    <cellStyle name="Percent 4 4 2 7 2" xfId="17376" xr:uid="{00000000-0005-0000-0000-0000A19D0000}"/>
    <cellStyle name="Percent 4 4 2 7 2 2" xfId="36776" xr:uid="{00000000-0005-0000-0000-0000A29D0000}"/>
    <cellStyle name="Percent 4 4 2 7 3" xfId="27078" xr:uid="{00000000-0005-0000-0000-0000A39D0000}"/>
    <cellStyle name="Percent 4 4 2 8" xfId="12921" xr:uid="{00000000-0005-0000-0000-0000A49D0000}"/>
    <cellStyle name="Percent 4 4 2 8 2" xfId="32321" xr:uid="{00000000-0005-0000-0000-0000A59D0000}"/>
    <cellStyle name="Percent 4 4 2 9" xfId="22623" xr:uid="{00000000-0005-0000-0000-0000A69D0000}"/>
    <cellStyle name="Percent 4 5" xfId="1804" xr:uid="{00000000-0005-0000-0000-0000A79D0000}"/>
    <cellStyle name="Percent 4 6" xfId="1927" xr:uid="{00000000-0005-0000-0000-0000A89D0000}"/>
    <cellStyle name="Percent 4 6 2" xfId="2936" xr:uid="{00000000-0005-0000-0000-0000A99D0000}"/>
    <cellStyle name="Percent 4 6 2 2" xfId="5205" xr:uid="{00000000-0005-0000-0000-0000AA9D0000}"/>
    <cellStyle name="Percent 4 6 2 2 2" xfId="9669" xr:uid="{00000000-0005-0000-0000-0000AB9D0000}"/>
    <cellStyle name="Percent 4 6 2 2 2 2" xfId="19665" xr:uid="{00000000-0005-0000-0000-0000AC9D0000}"/>
    <cellStyle name="Percent 4 6 2 2 2 2 2" xfId="39065" xr:uid="{00000000-0005-0000-0000-0000AD9D0000}"/>
    <cellStyle name="Percent 4 6 2 2 2 3" xfId="29367" xr:uid="{00000000-0005-0000-0000-0000AE9D0000}"/>
    <cellStyle name="Percent 4 6 2 2 3" xfId="15210" xr:uid="{00000000-0005-0000-0000-0000AF9D0000}"/>
    <cellStyle name="Percent 4 6 2 2 3 2" xfId="34610" xr:uid="{00000000-0005-0000-0000-0000B09D0000}"/>
    <cellStyle name="Percent 4 6 2 2 4" xfId="24912" xr:uid="{00000000-0005-0000-0000-0000B19D0000}"/>
    <cellStyle name="Percent 4 6 2 3" xfId="7441" xr:uid="{00000000-0005-0000-0000-0000B29D0000}"/>
    <cellStyle name="Percent 4 6 2 3 2" xfId="17437" xr:uid="{00000000-0005-0000-0000-0000B39D0000}"/>
    <cellStyle name="Percent 4 6 2 3 2 2" xfId="36837" xr:uid="{00000000-0005-0000-0000-0000B49D0000}"/>
    <cellStyle name="Percent 4 6 2 3 3" xfId="27139" xr:uid="{00000000-0005-0000-0000-0000B59D0000}"/>
    <cellStyle name="Percent 4 6 2 4" xfId="12982" xr:uid="{00000000-0005-0000-0000-0000B69D0000}"/>
    <cellStyle name="Percent 4 6 2 4 2" xfId="32382" xr:uid="{00000000-0005-0000-0000-0000B79D0000}"/>
    <cellStyle name="Percent 4 6 2 5" xfId="22684" xr:uid="{00000000-0005-0000-0000-0000B89D0000}"/>
    <cellStyle name="Percent 4 6 3" xfId="3519" xr:uid="{00000000-0005-0000-0000-0000B99D0000}"/>
    <cellStyle name="Percent 4 6 3 2" xfId="4649" xr:uid="{00000000-0005-0000-0000-0000BA9D0000}"/>
    <cellStyle name="Percent 4 6 3 2 2" xfId="9113" xr:uid="{00000000-0005-0000-0000-0000BB9D0000}"/>
    <cellStyle name="Percent 4 6 3 2 2 2" xfId="19109" xr:uid="{00000000-0005-0000-0000-0000BC9D0000}"/>
    <cellStyle name="Percent 4 6 3 2 2 2 2" xfId="38509" xr:uid="{00000000-0005-0000-0000-0000BD9D0000}"/>
    <cellStyle name="Percent 4 6 3 2 2 3" xfId="28811" xr:uid="{00000000-0005-0000-0000-0000BE9D0000}"/>
    <cellStyle name="Percent 4 6 3 2 3" xfId="14654" xr:uid="{00000000-0005-0000-0000-0000BF9D0000}"/>
    <cellStyle name="Percent 4 6 3 2 3 2" xfId="34054" xr:uid="{00000000-0005-0000-0000-0000C09D0000}"/>
    <cellStyle name="Percent 4 6 3 2 4" xfId="24356" xr:uid="{00000000-0005-0000-0000-0000C19D0000}"/>
    <cellStyle name="Percent 4 6 3 3" xfId="7998" xr:uid="{00000000-0005-0000-0000-0000C29D0000}"/>
    <cellStyle name="Percent 4 6 3 3 2" xfId="17994" xr:uid="{00000000-0005-0000-0000-0000C39D0000}"/>
    <cellStyle name="Percent 4 6 3 3 2 2" xfId="37394" xr:uid="{00000000-0005-0000-0000-0000C49D0000}"/>
    <cellStyle name="Percent 4 6 3 3 3" xfId="27696" xr:uid="{00000000-0005-0000-0000-0000C59D0000}"/>
    <cellStyle name="Percent 4 6 3 4" xfId="13539" xr:uid="{00000000-0005-0000-0000-0000C69D0000}"/>
    <cellStyle name="Percent 4 6 3 4 2" xfId="32939" xr:uid="{00000000-0005-0000-0000-0000C79D0000}"/>
    <cellStyle name="Percent 4 6 3 5" xfId="23241" xr:uid="{00000000-0005-0000-0000-0000C89D0000}"/>
    <cellStyle name="Percent 4 6 4" xfId="4092" xr:uid="{00000000-0005-0000-0000-0000C99D0000}"/>
    <cellStyle name="Percent 4 6 4 2" xfId="8556" xr:uid="{00000000-0005-0000-0000-0000CA9D0000}"/>
    <cellStyle name="Percent 4 6 4 2 2" xfId="18552" xr:uid="{00000000-0005-0000-0000-0000CB9D0000}"/>
    <cellStyle name="Percent 4 6 4 2 2 2" xfId="37952" xr:uid="{00000000-0005-0000-0000-0000CC9D0000}"/>
    <cellStyle name="Percent 4 6 4 2 3" xfId="28254" xr:uid="{00000000-0005-0000-0000-0000CD9D0000}"/>
    <cellStyle name="Percent 4 6 4 3" xfId="14097" xr:uid="{00000000-0005-0000-0000-0000CE9D0000}"/>
    <cellStyle name="Percent 4 6 4 3 2" xfId="33497" xr:uid="{00000000-0005-0000-0000-0000CF9D0000}"/>
    <cellStyle name="Percent 4 6 4 4" xfId="23799" xr:uid="{00000000-0005-0000-0000-0000D09D0000}"/>
    <cellStyle name="Percent 4 6 5" xfId="5762" xr:uid="{00000000-0005-0000-0000-0000D19D0000}"/>
    <cellStyle name="Percent 4 6 5 2" xfId="10226" xr:uid="{00000000-0005-0000-0000-0000D29D0000}"/>
    <cellStyle name="Percent 4 6 5 2 2" xfId="20222" xr:uid="{00000000-0005-0000-0000-0000D39D0000}"/>
    <cellStyle name="Percent 4 6 5 2 2 2" xfId="39622" xr:uid="{00000000-0005-0000-0000-0000D49D0000}"/>
    <cellStyle name="Percent 4 6 5 2 3" xfId="29924" xr:uid="{00000000-0005-0000-0000-0000D59D0000}"/>
    <cellStyle name="Percent 4 6 5 3" xfId="15767" xr:uid="{00000000-0005-0000-0000-0000D69D0000}"/>
    <cellStyle name="Percent 4 6 5 3 2" xfId="35167" xr:uid="{00000000-0005-0000-0000-0000D79D0000}"/>
    <cellStyle name="Percent 4 6 5 4" xfId="25469" xr:uid="{00000000-0005-0000-0000-0000D89D0000}"/>
    <cellStyle name="Percent 4 6 6" xfId="6328" xr:uid="{00000000-0005-0000-0000-0000D99D0000}"/>
    <cellStyle name="Percent 4 6 6 2" xfId="10783" xr:uid="{00000000-0005-0000-0000-0000DA9D0000}"/>
    <cellStyle name="Percent 4 6 6 2 2" xfId="20779" xr:uid="{00000000-0005-0000-0000-0000DB9D0000}"/>
    <cellStyle name="Percent 4 6 6 2 2 2" xfId="40179" xr:uid="{00000000-0005-0000-0000-0000DC9D0000}"/>
    <cellStyle name="Percent 4 6 6 2 3" xfId="30481" xr:uid="{00000000-0005-0000-0000-0000DD9D0000}"/>
    <cellStyle name="Percent 4 6 6 3" xfId="16324" xr:uid="{00000000-0005-0000-0000-0000DE9D0000}"/>
    <cellStyle name="Percent 4 6 6 3 2" xfId="35724" xr:uid="{00000000-0005-0000-0000-0000DF9D0000}"/>
    <cellStyle name="Percent 4 6 6 4" xfId="26026" xr:uid="{00000000-0005-0000-0000-0000E09D0000}"/>
    <cellStyle name="Percent 4 6 7" xfId="6885" xr:uid="{00000000-0005-0000-0000-0000E19D0000}"/>
    <cellStyle name="Percent 4 6 7 2" xfId="16881" xr:uid="{00000000-0005-0000-0000-0000E29D0000}"/>
    <cellStyle name="Percent 4 6 7 2 2" xfId="36281" xr:uid="{00000000-0005-0000-0000-0000E39D0000}"/>
    <cellStyle name="Percent 4 6 7 3" xfId="26583" xr:uid="{00000000-0005-0000-0000-0000E49D0000}"/>
    <cellStyle name="Percent 4 6 8" xfId="12425" xr:uid="{00000000-0005-0000-0000-0000E59D0000}"/>
    <cellStyle name="Percent 4 6 8 2" xfId="31826" xr:uid="{00000000-0005-0000-0000-0000E69D0000}"/>
    <cellStyle name="Percent 4 6 9" xfId="22128" xr:uid="{00000000-0005-0000-0000-0000E79D0000}"/>
    <cellStyle name="Percent 4 7" xfId="11322" xr:uid="{00000000-0005-0000-0000-0000E89D0000}"/>
    <cellStyle name="Percent 4 7 2" xfId="21307" xr:uid="{00000000-0005-0000-0000-0000E99D0000}"/>
    <cellStyle name="Percent 4 7 2 2" xfId="40707" xr:uid="{00000000-0005-0000-0000-0000EA9D0000}"/>
    <cellStyle name="Percent 4 7 3" xfId="31009" xr:uid="{00000000-0005-0000-0000-0000EB9D0000}"/>
    <cellStyle name="Percent 4 8" xfId="11352" xr:uid="{00000000-0005-0000-0000-0000EC9D0000}"/>
    <cellStyle name="Percent 4 8 2" xfId="21334" xr:uid="{00000000-0005-0000-0000-0000ED9D0000}"/>
    <cellStyle name="Percent 4 8 2 2" xfId="40734" xr:uid="{00000000-0005-0000-0000-0000EE9D0000}"/>
    <cellStyle name="Percent 4 8 3" xfId="31036" xr:uid="{00000000-0005-0000-0000-0000EF9D0000}"/>
    <cellStyle name="Percent 4 9" xfId="1608" xr:uid="{00000000-0005-0000-0000-0000F09D0000}"/>
    <cellStyle name="Percent 40" xfId="1092" xr:uid="{00000000-0005-0000-0000-0000F19D0000}"/>
    <cellStyle name="Percent 41" xfId="2476" xr:uid="{00000000-0005-0000-0000-0000F29D0000}"/>
    <cellStyle name="Percent 42" xfId="2541" xr:uid="{00000000-0005-0000-0000-0000F39D0000}"/>
    <cellStyle name="Percent 43" xfId="2485" xr:uid="{00000000-0005-0000-0000-0000F49D0000}"/>
    <cellStyle name="Percent 44" xfId="2552" xr:uid="{00000000-0005-0000-0000-0000F59D0000}"/>
    <cellStyle name="Percent 45" xfId="2554" xr:uid="{00000000-0005-0000-0000-0000F69D0000}"/>
    <cellStyle name="Percent 46" xfId="2495" xr:uid="{00000000-0005-0000-0000-0000F79D0000}"/>
    <cellStyle name="Percent 47" xfId="2549" xr:uid="{00000000-0005-0000-0000-0000F89D0000}"/>
    <cellStyle name="Percent 48" xfId="2491" xr:uid="{00000000-0005-0000-0000-0000F99D0000}"/>
    <cellStyle name="Percent 49" xfId="2478" xr:uid="{00000000-0005-0000-0000-0000FA9D0000}"/>
    <cellStyle name="Percent 5" xfId="645" xr:uid="{00000000-0005-0000-0000-0000FB9D0000}"/>
    <cellStyle name="Percent 5 2" xfId="1806" xr:uid="{00000000-0005-0000-0000-0000FC9D0000}"/>
    <cellStyle name="Percent 5 2 2" xfId="2503" xr:uid="{00000000-0005-0000-0000-0000FD9D0000}"/>
    <cellStyle name="Percent 5 2 2 2" xfId="3393" xr:uid="{00000000-0005-0000-0000-0000FE9D0000}"/>
    <cellStyle name="Percent 5 2 2 2 2" xfId="5661" xr:uid="{00000000-0005-0000-0000-0000FF9D0000}"/>
    <cellStyle name="Percent 5 2 2 2 2 2" xfId="10125" xr:uid="{00000000-0005-0000-0000-0000009E0000}"/>
    <cellStyle name="Percent 5 2 2 2 2 2 2" xfId="20121" xr:uid="{00000000-0005-0000-0000-0000019E0000}"/>
    <cellStyle name="Percent 5 2 2 2 2 2 2 2" xfId="39521" xr:uid="{00000000-0005-0000-0000-0000029E0000}"/>
    <cellStyle name="Percent 5 2 2 2 2 2 3" xfId="29823" xr:uid="{00000000-0005-0000-0000-0000039E0000}"/>
    <cellStyle name="Percent 5 2 2 2 2 3" xfId="15666" xr:uid="{00000000-0005-0000-0000-0000049E0000}"/>
    <cellStyle name="Percent 5 2 2 2 2 3 2" xfId="35066" xr:uid="{00000000-0005-0000-0000-0000059E0000}"/>
    <cellStyle name="Percent 5 2 2 2 2 4" xfId="25368" xr:uid="{00000000-0005-0000-0000-0000069E0000}"/>
    <cellStyle name="Percent 5 2 2 2 3" xfId="7897" xr:uid="{00000000-0005-0000-0000-0000079E0000}"/>
    <cellStyle name="Percent 5 2 2 2 3 2" xfId="17893" xr:uid="{00000000-0005-0000-0000-0000089E0000}"/>
    <cellStyle name="Percent 5 2 2 2 3 2 2" xfId="37293" xr:uid="{00000000-0005-0000-0000-0000099E0000}"/>
    <cellStyle name="Percent 5 2 2 2 3 3" xfId="27595" xr:uid="{00000000-0005-0000-0000-00000A9E0000}"/>
    <cellStyle name="Percent 5 2 2 2 4" xfId="13438" xr:uid="{00000000-0005-0000-0000-00000B9E0000}"/>
    <cellStyle name="Percent 5 2 2 2 4 2" xfId="32838" xr:uid="{00000000-0005-0000-0000-00000C9E0000}"/>
    <cellStyle name="Percent 5 2 2 2 5" xfId="23140" xr:uid="{00000000-0005-0000-0000-00000D9E0000}"/>
    <cellStyle name="Percent 5 2 2 3" xfId="3976" xr:uid="{00000000-0005-0000-0000-00000E9E0000}"/>
    <cellStyle name="Percent 5 2 2 3 2" xfId="5105" xr:uid="{00000000-0005-0000-0000-00000F9E0000}"/>
    <cellStyle name="Percent 5 2 2 3 2 2" xfId="9569" xr:uid="{00000000-0005-0000-0000-0000109E0000}"/>
    <cellStyle name="Percent 5 2 2 3 2 2 2" xfId="19565" xr:uid="{00000000-0005-0000-0000-0000119E0000}"/>
    <cellStyle name="Percent 5 2 2 3 2 2 2 2" xfId="38965" xr:uid="{00000000-0005-0000-0000-0000129E0000}"/>
    <cellStyle name="Percent 5 2 2 3 2 2 3" xfId="29267" xr:uid="{00000000-0005-0000-0000-0000139E0000}"/>
    <cellStyle name="Percent 5 2 2 3 2 3" xfId="15110" xr:uid="{00000000-0005-0000-0000-0000149E0000}"/>
    <cellStyle name="Percent 5 2 2 3 2 3 2" xfId="34510" xr:uid="{00000000-0005-0000-0000-0000159E0000}"/>
    <cellStyle name="Percent 5 2 2 3 2 4" xfId="24812" xr:uid="{00000000-0005-0000-0000-0000169E0000}"/>
    <cellStyle name="Percent 5 2 2 3 3" xfId="8454" xr:uid="{00000000-0005-0000-0000-0000179E0000}"/>
    <cellStyle name="Percent 5 2 2 3 3 2" xfId="18450" xr:uid="{00000000-0005-0000-0000-0000189E0000}"/>
    <cellStyle name="Percent 5 2 2 3 3 2 2" xfId="37850" xr:uid="{00000000-0005-0000-0000-0000199E0000}"/>
    <cellStyle name="Percent 5 2 2 3 3 3" xfId="28152" xr:uid="{00000000-0005-0000-0000-00001A9E0000}"/>
    <cellStyle name="Percent 5 2 2 3 4" xfId="13995" xr:uid="{00000000-0005-0000-0000-00001B9E0000}"/>
    <cellStyle name="Percent 5 2 2 3 4 2" xfId="33395" xr:uid="{00000000-0005-0000-0000-00001C9E0000}"/>
    <cellStyle name="Percent 5 2 2 3 5" xfId="23697" xr:uid="{00000000-0005-0000-0000-00001D9E0000}"/>
    <cellStyle name="Percent 5 2 2 4" xfId="4548" xr:uid="{00000000-0005-0000-0000-00001E9E0000}"/>
    <cellStyle name="Percent 5 2 2 4 2" xfId="9012" xr:uid="{00000000-0005-0000-0000-00001F9E0000}"/>
    <cellStyle name="Percent 5 2 2 4 2 2" xfId="19008" xr:uid="{00000000-0005-0000-0000-0000209E0000}"/>
    <cellStyle name="Percent 5 2 2 4 2 2 2" xfId="38408" xr:uid="{00000000-0005-0000-0000-0000219E0000}"/>
    <cellStyle name="Percent 5 2 2 4 2 3" xfId="28710" xr:uid="{00000000-0005-0000-0000-0000229E0000}"/>
    <cellStyle name="Percent 5 2 2 4 3" xfId="14553" xr:uid="{00000000-0005-0000-0000-0000239E0000}"/>
    <cellStyle name="Percent 5 2 2 4 3 2" xfId="33953" xr:uid="{00000000-0005-0000-0000-0000249E0000}"/>
    <cellStyle name="Percent 5 2 2 4 4" xfId="24255" xr:uid="{00000000-0005-0000-0000-0000259E0000}"/>
    <cellStyle name="Percent 5 2 2 5" xfId="6218" xr:uid="{00000000-0005-0000-0000-0000269E0000}"/>
    <cellStyle name="Percent 5 2 2 5 2" xfId="10682" xr:uid="{00000000-0005-0000-0000-0000279E0000}"/>
    <cellStyle name="Percent 5 2 2 5 2 2" xfId="20678" xr:uid="{00000000-0005-0000-0000-0000289E0000}"/>
    <cellStyle name="Percent 5 2 2 5 2 2 2" xfId="40078" xr:uid="{00000000-0005-0000-0000-0000299E0000}"/>
    <cellStyle name="Percent 5 2 2 5 2 3" xfId="30380" xr:uid="{00000000-0005-0000-0000-00002A9E0000}"/>
    <cellStyle name="Percent 5 2 2 5 3" xfId="16223" xr:uid="{00000000-0005-0000-0000-00002B9E0000}"/>
    <cellStyle name="Percent 5 2 2 5 3 2" xfId="35623" xr:uid="{00000000-0005-0000-0000-00002C9E0000}"/>
    <cellStyle name="Percent 5 2 2 5 4" xfId="25925" xr:uid="{00000000-0005-0000-0000-00002D9E0000}"/>
    <cellStyle name="Percent 5 2 2 6" xfId="6784" xr:uid="{00000000-0005-0000-0000-00002E9E0000}"/>
    <cellStyle name="Percent 5 2 2 6 2" xfId="11239" xr:uid="{00000000-0005-0000-0000-00002F9E0000}"/>
    <cellStyle name="Percent 5 2 2 6 2 2" xfId="21235" xr:uid="{00000000-0005-0000-0000-0000309E0000}"/>
    <cellStyle name="Percent 5 2 2 6 2 2 2" xfId="40635" xr:uid="{00000000-0005-0000-0000-0000319E0000}"/>
    <cellStyle name="Percent 5 2 2 6 2 3" xfId="30937" xr:uid="{00000000-0005-0000-0000-0000329E0000}"/>
    <cellStyle name="Percent 5 2 2 6 3" xfId="16780" xr:uid="{00000000-0005-0000-0000-0000339E0000}"/>
    <cellStyle name="Percent 5 2 2 6 3 2" xfId="36180" xr:uid="{00000000-0005-0000-0000-0000349E0000}"/>
    <cellStyle name="Percent 5 2 2 6 4" xfId="26482" xr:uid="{00000000-0005-0000-0000-0000359E0000}"/>
    <cellStyle name="Percent 5 2 2 7" xfId="7341" xr:uid="{00000000-0005-0000-0000-0000369E0000}"/>
    <cellStyle name="Percent 5 2 2 7 2" xfId="17337" xr:uid="{00000000-0005-0000-0000-0000379E0000}"/>
    <cellStyle name="Percent 5 2 2 7 2 2" xfId="36737" xr:uid="{00000000-0005-0000-0000-0000389E0000}"/>
    <cellStyle name="Percent 5 2 2 7 3" xfId="27039" xr:uid="{00000000-0005-0000-0000-0000399E0000}"/>
    <cellStyle name="Percent 5 2 2 8" xfId="12881" xr:uid="{00000000-0005-0000-0000-00003A9E0000}"/>
    <cellStyle name="Percent 5 2 2 8 2" xfId="32282" xr:uid="{00000000-0005-0000-0000-00003B9E0000}"/>
    <cellStyle name="Percent 5 2 2 9" xfId="22584" xr:uid="{00000000-0005-0000-0000-00003C9E0000}"/>
    <cellStyle name="Percent 5 3" xfId="11631" xr:uid="{00000000-0005-0000-0000-00003D9E0000}"/>
    <cellStyle name="Percent 5 4" xfId="1612" xr:uid="{00000000-0005-0000-0000-00003E9E0000}"/>
    <cellStyle name="Percent 50" xfId="2543" xr:uid="{00000000-0005-0000-0000-00003F9E0000}"/>
    <cellStyle name="Percent 51" xfId="2570" xr:uid="{00000000-0005-0000-0000-0000409E0000}"/>
    <cellStyle name="Percent 52" xfId="2489" xr:uid="{00000000-0005-0000-0000-0000419E0000}"/>
    <cellStyle name="Percent 53" xfId="2571" xr:uid="{00000000-0005-0000-0000-0000429E0000}"/>
    <cellStyle name="Percent 54" xfId="2564" xr:uid="{00000000-0005-0000-0000-0000439E0000}"/>
    <cellStyle name="Percent 55" xfId="2545" xr:uid="{00000000-0005-0000-0000-0000449E0000}"/>
    <cellStyle name="Percent 56" xfId="2566" xr:uid="{00000000-0005-0000-0000-0000459E0000}"/>
    <cellStyle name="Percent 57" xfId="2562" xr:uid="{00000000-0005-0000-0000-0000469E0000}"/>
    <cellStyle name="Percent 58" xfId="2464" xr:uid="{00000000-0005-0000-0000-0000479E0000}"/>
    <cellStyle name="Percent 59" xfId="2575" xr:uid="{00000000-0005-0000-0000-0000489E0000}"/>
    <cellStyle name="Percent 6" xfId="640" xr:uid="{00000000-0005-0000-0000-0000499E0000}"/>
    <cellStyle name="Percent 6 2" xfId="821" xr:uid="{00000000-0005-0000-0000-00004A9E0000}"/>
    <cellStyle name="Percent 6 2 2" xfId="2756" xr:uid="{00000000-0005-0000-0000-00004B9E0000}"/>
    <cellStyle name="Percent 6 2 2 2" xfId="3437" xr:uid="{00000000-0005-0000-0000-00004C9E0000}"/>
    <cellStyle name="Percent 6 2 2 2 2" xfId="5705" xr:uid="{00000000-0005-0000-0000-00004D9E0000}"/>
    <cellStyle name="Percent 6 2 2 2 2 2" xfId="10169" xr:uid="{00000000-0005-0000-0000-00004E9E0000}"/>
    <cellStyle name="Percent 6 2 2 2 2 2 2" xfId="20165" xr:uid="{00000000-0005-0000-0000-00004F9E0000}"/>
    <cellStyle name="Percent 6 2 2 2 2 2 2 2" xfId="39565" xr:uid="{00000000-0005-0000-0000-0000509E0000}"/>
    <cellStyle name="Percent 6 2 2 2 2 2 3" xfId="29867" xr:uid="{00000000-0005-0000-0000-0000519E0000}"/>
    <cellStyle name="Percent 6 2 2 2 2 3" xfId="15710" xr:uid="{00000000-0005-0000-0000-0000529E0000}"/>
    <cellStyle name="Percent 6 2 2 2 2 3 2" xfId="35110" xr:uid="{00000000-0005-0000-0000-0000539E0000}"/>
    <cellStyle name="Percent 6 2 2 2 2 4" xfId="25412" xr:uid="{00000000-0005-0000-0000-0000549E0000}"/>
    <cellStyle name="Percent 6 2 2 2 3" xfId="7941" xr:uid="{00000000-0005-0000-0000-0000559E0000}"/>
    <cellStyle name="Percent 6 2 2 2 3 2" xfId="17937" xr:uid="{00000000-0005-0000-0000-0000569E0000}"/>
    <cellStyle name="Percent 6 2 2 2 3 2 2" xfId="37337" xr:uid="{00000000-0005-0000-0000-0000579E0000}"/>
    <cellStyle name="Percent 6 2 2 2 3 3" xfId="27639" xr:uid="{00000000-0005-0000-0000-0000589E0000}"/>
    <cellStyle name="Percent 6 2 2 2 4" xfId="13482" xr:uid="{00000000-0005-0000-0000-0000599E0000}"/>
    <cellStyle name="Percent 6 2 2 2 4 2" xfId="32882" xr:uid="{00000000-0005-0000-0000-00005A9E0000}"/>
    <cellStyle name="Percent 6 2 2 2 5" xfId="23184" xr:uid="{00000000-0005-0000-0000-00005B9E0000}"/>
    <cellStyle name="Percent 6 2 2 3" xfId="4020" xr:uid="{00000000-0005-0000-0000-00005C9E0000}"/>
    <cellStyle name="Percent 6 2 2 3 2" xfId="5149" xr:uid="{00000000-0005-0000-0000-00005D9E0000}"/>
    <cellStyle name="Percent 6 2 2 3 2 2" xfId="9613" xr:uid="{00000000-0005-0000-0000-00005E9E0000}"/>
    <cellStyle name="Percent 6 2 2 3 2 2 2" xfId="19609" xr:uid="{00000000-0005-0000-0000-00005F9E0000}"/>
    <cellStyle name="Percent 6 2 2 3 2 2 2 2" xfId="39009" xr:uid="{00000000-0005-0000-0000-0000609E0000}"/>
    <cellStyle name="Percent 6 2 2 3 2 2 3" xfId="29311" xr:uid="{00000000-0005-0000-0000-0000619E0000}"/>
    <cellStyle name="Percent 6 2 2 3 2 3" xfId="15154" xr:uid="{00000000-0005-0000-0000-0000629E0000}"/>
    <cellStyle name="Percent 6 2 2 3 2 3 2" xfId="34554" xr:uid="{00000000-0005-0000-0000-0000639E0000}"/>
    <cellStyle name="Percent 6 2 2 3 2 4" xfId="24856" xr:uid="{00000000-0005-0000-0000-0000649E0000}"/>
    <cellStyle name="Percent 6 2 2 3 3" xfId="8498" xr:uid="{00000000-0005-0000-0000-0000659E0000}"/>
    <cellStyle name="Percent 6 2 2 3 3 2" xfId="18494" xr:uid="{00000000-0005-0000-0000-0000669E0000}"/>
    <cellStyle name="Percent 6 2 2 3 3 2 2" xfId="37894" xr:uid="{00000000-0005-0000-0000-0000679E0000}"/>
    <cellStyle name="Percent 6 2 2 3 3 3" xfId="28196" xr:uid="{00000000-0005-0000-0000-0000689E0000}"/>
    <cellStyle name="Percent 6 2 2 3 4" xfId="14039" xr:uid="{00000000-0005-0000-0000-0000699E0000}"/>
    <cellStyle name="Percent 6 2 2 3 4 2" xfId="33439" xr:uid="{00000000-0005-0000-0000-00006A9E0000}"/>
    <cellStyle name="Percent 6 2 2 3 5" xfId="23741" xr:uid="{00000000-0005-0000-0000-00006B9E0000}"/>
    <cellStyle name="Percent 6 2 2 4" xfId="4592" xr:uid="{00000000-0005-0000-0000-00006C9E0000}"/>
    <cellStyle name="Percent 6 2 2 4 2" xfId="9056" xr:uid="{00000000-0005-0000-0000-00006D9E0000}"/>
    <cellStyle name="Percent 6 2 2 4 2 2" xfId="19052" xr:uid="{00000000-0005-0000-0000-00006E9E0000}"/>
    <cellStyle name="Percent 6 2 2 4 2 2 2" xfId="38452" xr:uid="{00000000-0005-0000-0000-00006F9E0000}"/>
    <cellStyle name="Percent 6 2 2 4 2 3" xfId="28754" xr:uid="{00000000-0005-0000-0000-0000709E0000}"/>
    <cellStyle name="Percent 6 2 2 4 3" xfId="14597" xr:uid="{00000000-0005-0000-0000-0000719E0000}"/>
    <cellStyle name="Percent 6 2 2 4 3 2" xfId="33997" xr:uid="{00000000-0005-0000-0000-0000729E0000}"/>
    <cellStyle name="Percent 6 2 2 4 4" xfId="24299" xr:uid="{00000000-0005-0000-0000-0000739E0000}"/>
    <cellStyle name="Percent 6 2 2 5" xfId="6262" xr:uid="{00000000-0005-0000-0000-0000749E0000}"/>
    <cellStyle name="Percent 6 2 2 5 2" xfId="10726" xr:uid="{00000000-0005-0000-0000-0000759E0000}"/>
    <cellStyle name="Percent 6 2 2 5 2 2" xfId="20722" xr:uid="{00000000-0005-0000-0000-0000769E0000}"/>
    <cellStyle name="Percent 6 2 2 5 2 2 2" xfId="40122" xr:uid="{00000000-0005-0000-0000-0000779E0000}"/>
    <cellStyle name="Percent 6 2 2 5 2 3" xfId="30424" xr:uid="{00000000-0005-0000-0000-0000789E0000}"/>
    <cellStyle name="Percent 6 2 2 5 3" xfId="16267" xr:uid="{00000000-0005-0000-0000-0000799E0000}"/>
    <cellStyle name="Percent 6 2 2 5 3 2" xfId="35667" xr:uid="{00000000-0005-0000-0000-00007A9E0000}"/>
    <cellStyle name="Percent 6 2 2 5 4" xfId="25969" xr:uid="{00000000-0005-0000-0000-00007B9E0000}"/>
    <cellStyle name="Percent 6 2 2 6" xfId="6828" xr:uid="{00000000-0005-0000-0000-00007C9E0000}"/>
    <cellStyle name="Percent 6 2 2 6 2" xfId="11283" xr:uid="{00000000-0005-0000-0000-00007D9E0000}"/>
    <cellStyle name="Percent 6 2 2 6 2 2" xfId="21279" xr:uid="{00000000-0005-0000-0000-00007E9E0000}"/>
    <cellStyle name="Percent 6 2 2 6 2 2 2" xfId="40679" xr:uid="{00000000-0005-0000-0000-00007F9E0000}"/>
    <cellStyle name="Percent 6 2 2 6 2 3" xfId="30981" xr:uid="{00000000-0005-0000-0000-0000809E0000}"/>
    <cellStyle name="Percent 6 2 2 6 3" xfId="16824" xr:uid="{00000000-0005-0000-0000-0000819E0000}"/>
    <cellStyle name="Percent 6 2 2 6 3 2" xfId="36224" xr:uid="{00000000-0005-0000-0000-0000829E0000}"/>
    <cellStyle name="Percent 6 2 2 6 4" xfId="26526" xr:uid="{00000000-0005-0000-0000-0000839E0000}"/>
    <cellStyle name="Percent 6 2 2 7" xfId="7385" xr:uid="{00000000-0005-0000-0000-0000849E0000}"/>
    <cellStyle name="Percent 6 2 2 7 2" xfId="17381" xr:uid="{00000000-0005-0000-0000-0000859E0000}"/>
    <cellStyle name="Percent 6 2 2 7 2 2" xfId="36781" xr:uid="{00000000-0005-0000-0000-0000869E0000}"/>
    <cellStyle name="Percent 6 2 2 7 3" xfId="27083" xr:uid="{00000000-0005-0000-0000-0000879E0000}"/>
    <cellStyle name="Percent 6 2 2 8" xfId="12926" xr:uid="{00000000-0005-0000-0000-0000889E0000}"/>
    <cellStyle name="Percent 6 2 2 8 2" xfId="32326" xr:uid="{00000000-0005-0000-0000-0000899E0000}"/>
    <cellStyle name="Percent 6 2 2 9" xfId="22628" xr:uid="{00000000-0005-0000-0000-00008A9E0000}"/>
    <cellStyle name="Percent 6 2 3" xfId="11741" xr:uid="{00000000-0005-0000-0000-00008B9E0000}"/>
    <cellStyle name="Percent 6 2 3 2" xfId="21450" xr:uid="{00000000-0005-0000-0000-00008C9E0000}"/>
    <cellStyle name="Percent 6 2 3 2 2" xfId="40850" xr:uid="{00000000-0005-0000-0000-00008D9E0000}"/>
    <cellStyle name="Percent 6 2 3 3" xfId="31152" xr:uid="{00000000-0005-0000-0000-00008E9E0000}"/>
    <cellStyle name="Percent 6 2 4" xfId="1614" xr:uid="{00000000-0005-0000-0000-00008F9E0000}"/>
    <cellStyle name="Percent 6 2 5" xfId="12102" xr:uid="{00000000-0005-0000-0000-0000909E0000}"/>
    <cellStyle name="Percent 6 2 5 2" xfId="31505" xr:uid="{00000000-0005-0000-0000-0000919E0000}"/>
    <cellStyle name="Percent 6 2 6" xfId="21807" xr:uid="{00000000-0005-0000-0000-0000929E0000}"/>
    <cellStyle name="Percent 6 3" xfId="892" xr:uid="{00000000-0005-0000-0000-0000939E0000}"/>
    <cellStyle name="Percent 6 3 2" xfId="2763" xr:uid="{00000000-0005-0000-0000-0000949E0000}"/>
    <cellStyle name="Percent 6 3 2 2" xfId="3440" xr:uid="{00000000-0005-0000-0000-0000959E0000}"/>
    <cellStyle name="Percent 6 3 2 2 2" xfId="5708" xr:uid="{00000000-0005-0000-0000-0000969E0000}"/>
    <cellStyle name="Percent 6 3 2 2 2 2" xfId="10172" xr:uid="{00000000-0005-0000-0000-0000979E0000}"/>
    <cellStyle name="Percent 6 3 2 2 2 2 2" xfId="20168" xr:uid="{00000000-0005-0000-0000-0000989E0000}"/>
    <cellStyle name="Percent 6 3 2 2 2 2 2 2" xfId="39568" xr:uid="{00000000-0005-0000-0000-0000999E0000}"/>
    <cellStyle name="Percent 6 3 2 2 2 2 3" xfId="29870" xr:uid="{00000000-0005-0000-0000-00009A9E0000}"/>
    <cellStyle name="Percent 6 3 2 2 2 3" xfId="15713" xr:uid="{00000000-0005-0000-0000-00009B9E0000}"/>
    <cellStyle name="Percent 6 3 2 2 2 3 2" xfId="35113" xr:uid="{00000000-0005-0000-0000-00009C9E0000}"/>
    <cellStyle name="Percent 6 3 2 2 2 4" xfId="25415" xr:uid="{00000000-0005-0000-0000-00009D9E0000}"/>
    <cellStyle name="Percent 6 3 2 2 3" xfId="7944" xr:uid="{00000000-0005-0000-0000-00009E9E0000}"/>
    <cellStyle name="Percent 6 3 2 2 3 2" xfId="17940" xr:uid="{00000000-0005-0000-0000-00009F9E0000}"/>
    <cellStyle name="Percent 6 3 2 2 3 2 2" xfId="37340" xr:uid="{00000000-0005-0000-0000-0000A09E0000}"/>
    <cellStyle name="Percent 6 3 2 2 3 3" xfId="27642" xr:uid="{00000000-0005-0000-0000-0000A19E0000}"/>
    <cellStyle name="Percent 6 3 2 2 4" xfId="13485" xr:uid="{00000000-0005-0000-0000-0000A29E0000}"/>
    <cellStyle name="Percent 6 3 2 2 4 2" xfId="32885" xr:uid="{00000000-0005-0000-0000-0000A39E0000}"/>
    <cellStyle name="Percent 6 3 2 2 5" xfId="23187" xr:uid="{00000000-0005-0000-0000-0000A49E0000}"/>
    <cellStyle name="Percent 6 3 2 3" xfId="4023" xr:uid="{00000000-0005-0000-0000-0000A59E0000}"/>
    <cellStyle name="Percent 6 3 2 3 2" xfId="5152" xr:uid="{00000000-0005-0000-0000-0000A69E0000}"/>
    <cellStyle name="Percent 6 3 2 3 2 2" xfId="9616" xr:uid="{00000000-0005-0000-0000-0000A79E0000}"/>
    <cellStyle name="Percent 6 3 2 3 2 2 2" xfId="19612" xr:uid="{00000000-0005-0000-0000-0000A89E0000}"/>
    <cellStyle name="Percent 6 3 2 3 2 2 2 2" xfId="39012" xr:uid="{00000000-0005-0000-0000-0000A99E0000}"/>
    <cellStyle name="Percent 6 3 2 3 2 2 3" xfId="29314" xr:uid="{00000000-0005-0000-0000-0000AA9E0000}"/>
    <cellStyle name="Percent 6 3 2 3 2 3" xfId="15157" xr:uid="{00000000-0005-0000-0000-0000AB9E0000}"/>
    <cellStyle name="Percent 6 3 2 3 2 3 2" xfId="34557" xr:uid="{00000000-0005-0000-0000-0000AC9E0000}"/>
    <cellStyle name="Percent 6 3 2 3 2 4" xfId="24859" xr:uid="{00000000-0005-0000-0000-0000AD9E0000}"/>
    <cellStyle name="Percent 6 3 2 3 3" xfId="8501" xr:uid="{00000000-0005-0000-0000-0000AE9E0000}"/>
    <cellStyle name="Percent 6 3 2 3 3 2" xfId="18497" xr:uid="{00000000-0005-0000-0000-0000AF9E0000}"/>
    <cellStyle name="Percent 6 3 2 3 3 2 2" xfId="37897" xr:uid="{00000000-0005-0000-0000-0000B09E0000}"/>
    <cellStyle name="Percent 6 3 2 3 3 3" xfId="28199" xr:uid="{00000000-0005-0000-0000-0000B19E0000}"/>
    <cellStyle name="Percent 6 3 2 3 4" xfId="14042" xr:uid="{00000000-0005-0000-0000-0000B29E0000}"/>
    <cellStyle name="Percent 6 3 2 3 4 2" xfId="33442" xr:uid="{00000000-0005-0000-0000-0000B39E0000}"/>
    <cellStyle name="Percent 6 3 2 3 5" xfId="23744" xr:uid="{00000000-0005-0000-0000-0000B49E0000}"/>
    <cellStyle name="Percent 6 3 2 4" xfId="4595" xr:uid="{00000000-0005-0000-0000-0000B59E0000}"/>
    <cellStyle name="Percent 6 3 2 4 2" xfId="9059" xr:uid="{00000000-0005-0000-0000-0000B69E0000}"/>
    <cellStyle name="Percent 6 3 2 4 2 2" xfId="19055" xr:uid="{00000000-0005-0000-0000-0000B79E0000}"/>
    <cellStyle name="Percent 6 3 2 4 2 2 2" xfId="38455" xr:uid="{00000000-0005-0000-0000-0000B89E0000}"/>
    <cellStyle name="Percent 6 3 2 4 2 3" xfId="28757" xr:uid="{00000000-0005-0000-0000-0000B99E0000}"/>
    <cellStyle name="Percent 6 3 2 4 3" xfId="14600" xr:uid="{00000000-0005-0000-0000-0000BA9E0000}"/>
    <cellStyle name="Percent 6 3 2 4 3 2" xfId="34000" xr:uid="{00000000-0005-0000-0000-0000BB9E0000}"/>
    <cellStyle name="Percent 6 3 2 4 4" xfId="24302" xr:uid="{00000000-0005-0000-0000-0000BC9E0000}"/>
    <cellStyle name="Percent 6 3 2 5" xfId="6265" xr:uid="{00000000-0005-0000-0000-0000BD9E0000}"/>
    <cellStyle name="Percent 6 3 2 5 2" xfId="10729" xr:uid="{00000000-0005-0000-0000-0000BE9E0000}"/>
    <cellStyle name="Percent 6 3 2 5 2 2" xfId="20725" xr:uid="{00000000-0005-0000-0000-0000BF9E0000}"/>
    <cellStyle name="Percent 6 3 2 5 2 2 2" xfId="40125" xr:uid="{00000000-0005-0000-0000-0000C09E0000}"/>
    <cellStyle name="Percent 6 3 2 5 2 3" xfId="30427" xr:uid="{00000000-0005-0000-0000-0000C19E0000}"/>
    <cellStyle name="Percent 6 3 2 5 3" xfId="16270" xr:uid="{00000000-0005-0000-0000-0000C29E0000}"/>
    <cellStyle name="Percent 6 3 2 5 3 2" xfId="35670" xr:uid="{00000000-0005-0000-0000-0000C39E0000}"/>
    <cellStyle name="Percent 6 3 2 5 4" xfId="25972" xr:uid="{00000000-0005-0000-0000-0000C49E0000}"/>
    <cellStyle name="Percent 6 3 2 6" xfId="6831" xr:uid="{00000000-0005-0000-0000-0000C59E0000}"/>
    <cellStyle name="Percent 6 3 2 6 2" xfId="11286" xr:uid="{00000000-0005-0000-0000-0000C69E0000}"/>
    <cellStyle name="Percent 6 3 2 6 2 2" xfId="21282" xr:uid="{00000000-0005-0000-0000-0000C79E0000}"/>
    <cellStyle name="Percent 6 3 2 6 2 2 2" xfId="40682" xr:uid="{00000000-0005-0000-0000-0000C89E0000}"/>
    <cellStyle name="Percent 6 3 2 6 2 3" xfId="30984" xr:uid="{00000000-0005-0000-0000-0000C99E0000}"/>
    <cellStyle name="Percent 6 3 2 6 3" xfId="16827" xr:uid="{00000000-0005-0000-0000-0000CA9E0000}"/>
    <cellStyle name="Percent 6 3 2 6 3 2" xfId="36227" xr:uid="{00000000-0005-0000-0000-0000CB9E0000}"/>
    <cellStyle name="Percent 6 3 2 6 4" xfId="26529" xr:uid="{00000000-0005-0000-0000-0000CC9E0000}"/>
    <cellStyle name="Percent 6 3 2 7" xfId="7388" xr:uid="{00000000-0005-0000-0000-0000CD9E0000}"/>
    <cellStyle name="Percent 6 3 2 7 2" xfId="17384" xr:uid="{00000000-0005-0000-0000-0000CE9E0000}"/>
    <cellStyle name="Percent 6 3 2 7 2 2" xfId="36784" xr:uid="{00000000-0005-0000-0000-0000CF9E0000}"/>
    <cellStyle name="Percent 6 3 2 7 3" xfId="27086" xr:uid="{00000000-0005-0000-0000-0000D09E0000}"/>
    <cellStyle name="Percent 6 3 2 8" xfId="12929" xr:uid="{00000000-0005-0000-0000-0000D19E0000}"/>
    <cellStyle name="Percent 6 3 2 8 2" xfId="32329" xr:uid="{00000000-0005-0000-0000-0000D29E0000}"/>
    <cellStyle name="Percent 6 3 2 9" xfId="22631" xr:uid="{00000000-0005-0000-0000-0000D39E0000}"/>
    <cellStyle name="Percent 6 3 3" xfId="11799" xr:uid="{00000000-0005-0000-0000-0000D49E0000}"/>
    <cellStyle name="Percent 6 3 3 2" xfId="21506" xr:uid="{00000000-0005-0000-0000-0000D59E0000}"/>
    <cellStyle name="Percent 6 3 3 2 2" xfId="40906" xr:uid="{00000000-0005-0000-0000-0000D69E0000}"/>
    <cellStyle name="Percent 6 3 3 3" xfId="31208" xr:uid="{00000000-0005-0000-0000-0000D79E0000}"/>
    <cellStyle name="Percent 6 3 4" xfId="1615" xr:uid="{00000000-0005-0000-0000-0000D89E0000}"/>
    <cellStyle name="Percent 6 3 5" xfId="12158" xr:uid="{00000000-0005-0000-0000-0000D99E0000}"/>
    <cellStyle name="Percent 6 3 5 2" xfId="31561" xr:uid="{00000000-0005-0000-0000-0000DA9E0000}"/>
    <cellStyle name="Percent 6 3 6" xfId="21863" xr:uid="{00000000-0005-0000-0000-0000DB9E0000}"/>
    <cellStyle name="Percent 6 4" xfId="1616" xr:uid="{00000000-0005-0000-0000-0000DC9E0000}"/>
    <cellStyle name="Percent 6 4 2" xfId="2811" xr:uid="{00000000-0005-0000-0000-0000DD9E0000}"/>
    <cellStyle name="Percent 6 5" xfId="2511" xr:uid="{00000000-0005-0000-0000-0000DE9E0000}"/>
    <cellStyle name="Percent 6 5 2" xfId="3400" xr:uid="{00000000-0005-0000-0000-0000DF9E0000}"/>
    <cellStyle name="Percent 6 5 2 2" xfId="5668" xr:uid="{00000000-0005-0000-0000-0000E09E0000}"/>
    <cellStyle name="Percent 6 5 2 2 2" xfId="10132" xr:uid="{00000000-0005-0000-0000-0000E19E0000}"/>
    <cellStyle name="Percent 6 5 2 2 2 2" xfId="20128" xr:uid="{00000000-0005-0000-0000-0000E29E0000}"/>
    <cellStyle name="Percent 6 5 2 2 2 2 2" xfId="39528" xr:uid="{00000000-0005-0000-0000-0000E39E0000}"/>
    <cellStyle name="Percent 6 5 2 2 2 3" xfId="29830" xr:uid="{00000000-0005-0000-0000-0000E49E0000}"/>
    <cellStyle name="Percent 6 5 2 2 3" xfId="15673" xr:uid="{00000000-0005-0000-0000-0000E59E0000}"/>
    <cellStyle name="Percent 6 5 2 2 3 2" xfId="35073" xr:uid="{00000000-0005-0000-0000-0000E69E0000}"/>
    <cellStyle name="Percent 6 5 2 2 4" xfId="25375" xr:uid="{00000000-0005-0000-0000-0000E79E0000}"/>
    <cellStyle name="Percent 6 5 2 3" xfId="7904" xr:uid="{00000000-0005-0000-0000-0000E89E0000}"/>
    <cellStyle name="Percent 6 5 2 3 2" xfId="17900" xr:uid="{00000000-0005-0000-0000-0000E99E0000}"/>
    <cellStyle name="Percent 6 5 2 3 2 2" xfId="37300" xr:uid="{00000000-0005-0000-0000-0000EA9E0000}"/>
    <cellStyle name="Percent 6 5 2 3 3" xfId="27602" xr:uid="{00000000-0005-0000-0000-0000EB9E0000}"/>
    <cellStyle name="Percent 6 5 2 4" xfId="13445" xr:uid="{00000000-0005-0000-0000-0000EC9E0000}"/>
    <cellStyle name="Percent 6 5 2 4 2" xfId="32845" xr:uid="{00000000-0005-0000-0000-0000ED9E0000}"/>
    <cellStyle name="Percent 6 5 2 5" xfId="23147" xr:uid="{00000000-0005-0000-0000-0000EE9E0000}"/>
    <cellStyle name="Percent 6 5 3" xfId="3983" xr:uid="{00000000-0005-0000-0000-0000EF9E0000}"/>
    <cellStyle name="Percent 6 5 3 2" xfId="5112" xr:uid="{00000000-0005-0000-0000-0000F09E0000}"/>
    <cellStyle name="Percent 6 5 3 2 2" xfId="9576" xr:uid="{00000000-0005-0000-0000-0000F19E0000}"/>
    <cellStyle name="Percent 6 5 3 2 2 2" xfId="19572" xr:uid="{00000000-0005-0000-0000-0000F29E0000}"/>
    <cellStyle name="Percent 6 5 3 2 2 2 2" xfId="38972" xr:uid="{00000000-0005-0000-0000-0000F39E0000}"/>
    <cellStyle name="Percent 6 5 3 2 2 3" xfId="29274" xr:uid="{00000000-0005-0000-0000-0000F49E0000}"/>
    <cellStyle name="Percent 6 5 3 2 3" xfId="15117" xr:uid="{00000000-0005-0000-0000-0000F59E0000}"/>
    <cellStyle name="Percent 6 5 3 2 3 2" xfId="34517" xr:uid="{00000000-0005-0000-0000-0000F69E0000}"/>
    <cellStyle name="Percent 6 5 3 2 4" xfId="24819" xr:uid="{00000000-0005-0000-0000-0000F79E0000}"/>
    <cellStyle name="Percent 6 5 3 3" xfId="8461" xr:uid="{00000000-0005-0000-0000-0000F89E0000}"/>
    <cellStyle name="Percent 6 5 3 3 2" xfId="18457" xr:uid="{00000000-0005-0000-0000-0000F99E0000}"/>
    <cellStyle name="Percent 6 5 3 3 2 2" xfId="37857" xr:uid="{00000000-0005-0000-0000-0000FA9E0000}"/>
    <cellStyle name="Percent 6 5 3 3 3" xfId="28159" xr:uid="{00000000-0005-0000-0000-0000FB9E0000}"/>
    <cellStyle name="Percent 6 5 3 4" xfId="14002" xr:uid="{00000000-0005-0000-0000-0000FC9E0000}"/>
    <cellStyle name="Percent 6 5 3 4 2" xfId="33402" xr:uid="{00000000-0005-0000-0000-0000FD9E0000}"/>
    <cellStyle name="Percent 6 5 3 5" xfId="23704" xr:uid="{00000000-0005-0000-0000-0000FE9E0000}"/>
    <cellStyle name="Percent 6 5 4" xfId="4555" xr:uid="{00000000-0005-0000-0000-0000FF9E0000}"/>
    <cellStyle name="Percent 6 5 4 2" xfId="9019" xr:uid="{00000000-0005-0000-0000-0000009F0000}"/>
    <cellStyle name="Percent 6 5 4 2 2" xfId="19015" xr:uid="{00000000-0005-0000-0000-0000019F0000}"/>
    <cellStyle name="Percent 6 5 4 2 2 2" xfId="38415" xr:uid="{00000000-0005-0000-0000-0000029F0000}"/>
    <cellStyle name="Percent 6 5 4 2 3" xfId="28717" xr:uid="{00000000-0005-0000-0000-0000039F0000}"/>
    <cellStyle name="Percent 6 5 4 3" xfId="14560" xr:uid="{00000000-0005-0000-0000-0000049F0000}"/>
    <cellStyle name="Percent 6 5 4 3 2" xfId="33960" xr:uid="{00000000-0005-0000-0000-0000059F0000}"/>
    <cellStyle name="Percent 6 5 4 4" xfId="24262" xr:uid="{00000000-0005-0000-0000-0000069F0000}"/>
    <cellStyle name="Percent 6 5 5" xfId="6225" xr:uid="{00000000-0005-0000-0000-0000079F0000}"/>
    <cellStyle name="Percent 6 5 5 2" xfId="10689" xr:uid="{00000000-0005-0000-0000-0000089F0000}"/>
    <cellStyle name="Percent 6 5 5 2 2" xfId="20685" xr:uid="{00000000-0005-0000-0000-0000099F0000}"/>
    <cellStyle name="Percent 6 5 5 2 2 2" xfId="40085" xr:uid="{00000000-0005-0000-0000-00000A9F0000}"/>
    <cellStyle name="Percent 6 5 5 2 3" xfId="30387" xr:uid="{00000000-0005-0000-0000-00000B9F0000}"/>
    <cellStyle name="Percent 6 5 5 3" xfId="16230" xr:uid="{00000000-0005-0000-0000-00000C9F0000}"/>
    <cellStyle name="Percent 6 5 5 3 2" xfId="35630" xr:uid="{00000000-0005-0000-0000-00000D9F0000}"/>
    <cellStyle name="Percent 6 5 5 4" xfId="25932" xr:uid="{00000000-0005-0000-0000-00000E9F0000}"/>
    <cellStyle name="Percent 6 5 6" xfId="6791" xr:uid="{00000000-0005-0000-0000-00000F9F0000}"/>
    <cellStyle name="Percent 6 5 6 2" xfId="11246" xr:uid="{00000000-0005-0000-0000-0000109F0000}"/>
    <cellStyle name="Percent 6 5 6 2 2" xfId="21242" xr:uid="{00000000-0005-0000-0000-0000119F0000}"/>
    <cellStyle name="Percent 6 5 6 2 2 2" xfId="40642" xr:uid="{00000000-0005-0000-0000-0000129F0000}"/>
    <cellStyle name="Percent 6 5 6 2 3" xfId="30944" xr:uid="{00000000-0005-0000-0000-0000139F0000}"/>
    <cellStyle name="Percent 6 5 6 3" xfId="16787" xr:uid="{00000000-0005-0000-0000-0000149F0000}"/>
    <cellStyle name="Percent 6 5 6 3 2" xfId="36187" xr:uid="{00000000-0005-0000-0000-0000159F0000}"/>
    <cellStyle name="Percent 6 5 6 4" xfId="26489" xr:uid="{00000000-0005-0000-0000-0000169F0000}"/>
    <cellStyle name="Percent 6 5 7" xfId="7348" xr:uid="{00000000-0005-0000-0000-0000179F0000}"/>
    <cellStyle name="Percent 6 5 7 2" xfId="17344" xr:uid="{00000000-0005-0000-0000-0000189F0000}"/>
    <cellStyle name="Percent 6 5 7 2 2" xfId="36744" xr:uid="{00000000-0005-0000-0000-0000199F0000}"/>
    <cellStyle name="Percent 6 5 7 3" xfId="27046" xr:uid="{00000000-0005-0000-0000-00001A9F0000}"/>
    <cellStyle name="Percent 6 5 8" xfId="12888" xr:uid="{00000000-0005-0000-0000-00001B9F0000}"/>
    <cellStyle name="Percent 6 5 8 2" xfId="32289" xr:uid="{00000000-0005-0000-0000-00001C9F0000}"/>
    <cellStyle name="Percent 6 5 9" xfId="22591" xr:uid="{00000000-0005-0000-0000-00001D9F0000}"/>
    <cellStyle name="Percent 6 6" xfId="11626" xr:uid="{00000000-0005-0000-0000-00001E9F0000}"/>
    <cellStyle name="Percent 6 6 2" xfId="21369" xr:uid="{00000000-0005-0000-0000-00001F9F0000}"/>
    <cellStyle name="Percent 6 6 2 2" xfId="40769" xr:uid="{00000000-0005-0000-0000-0000209F0000}"/>
    <cellStyle name="Percent 6 6 3" xfId="31071" xr:uid="{00000000-0005-0000-0000-0000219F0000}"/>
    <cellStyle name="Percent 6 7" xfId="1613" xr:uid="{00000000-0005-0000-0000-0000229F0000}"/>
    <cellStyle name="Percent 6 8" xfId="12021" xr:uid="{00000000-0005-0000-0000-0000239F0000}"/>
    <cellStyle name="Percent 6 8 2" xfId="31424" xr:uid="{00000000-0005-0000-0000-0000249F0000}"/>
    <cellStyle name="Percent 6 9" xfId="21726" xr:uid="{00000000-0005-0000-0000-0000259F0000}"/>
    <cellStyle name="Percent 60" xfId="2691" xr:uid="{00000000-0005-0000-0000-0000269F0000}"/>
    <cellStyle name="Percent 61" xfId="2812" xr:uid="{00000000-0005-0000-0000-0000279F0000}"/>
    <cellStyle name="Percent 62" xfId="2599" xr:uid="{00000000-0005-0000-0000-0000289F0000}"/>
    <cellStyle name="Percent 63" xfId="2816" xr:uid="{00000000-0005-0000-0000-0000299F0000}"/>
    <cellStyle name="Percent 64" xfId="2744" xr:uid="{00000000-0005-0000-0000-00002A9F0000}"/>
    <cellStyle name="Percent 65" xfId="2817" xr:uid="{00000000-0005-0000-0000-00002B9F0000}"/>
    <cellStyle name="Percent 66" xfId="2602" xr:uid="{00000000-0005-0000-0000-00002C9F0000}"/>
    <cellStyle name="Percent 67" xfId="2822" xr:uid="{00000000-0005-0000-0000-00002D9F0000}"/>
    <cellStyle name="Percent 68" xfId="2813" xr:uid="{00000000-0005-0000-0000-00002E9F0000}"/>
    <cellStyle name="Percent 69" xfId="2704" xr:uid="{00000000-0005-0000-0000-00002F9F0000}"/>
    <cellStyle name="Percent 7" xfId="854" xr:uid="{00000000-0005-0000-0000-0000309F0000}"/>
    <cellStyle name="Percent 7 2" xfId="2526" xr:uid="{00000000-0005-0000-0000-0000319F0000}"/>
    <cellStyle name="Percent 7 2 2" xfId="3415" xr:uid="{00000000-0005-0000-0000-0000329F0000}"/>
    <cellStyle name="Percent 7 2 2 2" xfId="5683" xr:uid="{00000000-0005-0000-0000-0000339F0000}"/>
    <cellStyle name="Percent 7 2 2 2 2" xfId="10147" xr:uid="{00000000-0005-0000-0000-0000349F0000}"/>
    <cellStyle name="Percent 7 2 2 2 2 2" xfId="20143" xr:uid="{00000000-0005-0000-0000-0000359F0000}"/>
    <cellStyle name="Percent 7 2 2 2 2 2 2" xfId="39543" xr:uid="{00000000-0005-0000-0000-0000369F0000}"/>
    <cellStyle name="Percent 7 2 2 2 2 3" xfId="29845" xr:uid="{00000000-0005-0000-0000-0000379F0000}"/>
    <cellStyle name="Percent 7 2 2 2 3" xfId="15688" xr:uid="{00000000-0005-0000-0000-0000389F0000}"/>
    <cellStyle name="Percent 7 2 2 2 3 2" xfId="35088" xr:uid="{00000000-0005-0000-0000-0000399F0000}"/>
    <cellStyle name="Percent 7 2 2 2 4" xfId="25390" xr:uid="{00000000-0005-0000-0000-00003A9F0000}"/>
    <cellStyle name="Percent 7 2 2 3" xfId="7919" xr:uid="{00000000-0005-0000-0000-00003B9F0000}"/>
    <cellStyle name="Percent 7 2 2 3 2" xfId="17915" xr:uid="{00000000-0005-0000-0000-00003C9F0000}"/>
    <cellStyle name="Percent 7 2 2 3 2 2" xfId="37315" xr:uid="{00000000-0005-0000-0000-00003D9F0000}"/>
    <cellStyle name="Percent 7 2 2 3 3" xfId="27617" xr:uid="{00000000-0005-0000-0000-00003E9F0000}"/>
    <cellStyle name="Percent 7 2 2 4" xfId="13460" xr:uid="{00000000-0005-0000-0000-00003F9F0000}"/>
    <cellStyle name="Percent 7 2 2 4 2" xfId="32860" xr:uid="{00000000-0005-0000-0000-0000409F0000}"/>
    <cellStyle name="Percent 7 2 2 5" xfId="23162" xr:uid="{00000000-0005-0000-0000-0000419F0000}"/>
    <cellStyle name="Percent 7 2 3" xfId="3998" xr:uid="{00000000-0005-0000-0000-0000429F0000}"/>
    <cellStyle name="Percent 7 2 3 2" xfId="5127" xr:uid="{00000000-0005-0000-0000-0000439F0000}"/>
    <cellStyle name="Percent 7 2 3 2 2" xfId="9591" xr:uid="{00000000-0005-0000-0000-0000449F0000}"/>
    <cellStyle name="Percent 7 2 3 2 2 2" xfId="19587" xr:uid="{00000000-0005-0000-0000-0000459F0000}"/>
    <cellStyle name="Percent 7 2 3 2 2 2 2" xfId="38987" xr:uid="{00000000-0005-0000-0000-0000469F0000}"/>
    <cellStyle name="Percent 7 2 3 2 2 3" xfId="29289" xr:uid="{00000000-0005-0000-0000-0000479F0000}"/>
    <cellStyle name="Percent 7 2 3 2 3" xfId="15132" xr:uid="{00000000-0005-0000-0000-0000489F0000}"/>
    <cellStyle name="Percent 7 2 3 2 3 2" xfId="34532" xr:uid="{00000000-0005-0000-0000-0000499F0000}"/>
    <cellStyle name="Percent 7 2 3 2 4" xfId="24834" xr:uid="{00000000-0005-0000-0000-00004A9F0000}"/>
    <cellStyle name="Percent 7 2 3 3" xfId="8476" xr:uid="{00000000-0005-0000-0000-00004B9F0000}"/>
    <cellStyle name="Percent 7 2 3 3 2" xfId="18472" xr:uid="{00000000-0005-0000-0000-00004C9F0000}"/>
    <cellStyle name="Percent 7 2 3 3 2 2" xfId="37872" xr:uid="{00000000-0005-0000-0000-00004D9F0000}"/>
    <cellStyle name="Percent 7 2 3 3 3" xfId="28174" xr:uid="{00000000-0005-0000-0000-00004E9F0000}"/>
    <cellStyle name="Percent 7 2 3 4" xfId="14017" xr:uid="{00000000-0005-0000-0000-00004F9F0000}"/>
    <cellStyle name="Percent 7 2 3 4 2" xfId="33417" xr:uid="{00000000-0005-0000-0000-0000509F0000}"/>
    <cellStyle name="Percent 7 2 3 5" xfId="23719" xr:uid="{00000000-0005-0000-0000-0000519F0000}"/>
    <cellStyle name="Percent 7 2 4" xfId="4570" xr:uid="{00000000-0005-0000-0000-0000529F0000}"/>
    <cellStyle name="Percent 7 2 4 2" xfId="9034" xr:uid="{00000000-0005-0000-0000-0000539F0000}"/>
    <cellStyle name="Percent 7 2 4 2 2" xfId="19030" xr:uid="{00000000-0005-0000-0000-0000549F0000}"/>
    <cellStyle name="Percent 7 2 4 2 2 2" xfId="38430" xr:uid="{00000000-0005-0000-0000-0000559F0000}"/>
    <cellStyle name="Percent 7 2 4 2 3" xfId="28732" xr:uid="{00000000-0005-0000-0000-0000569F0000}"/>
    <cellStyle name="Percent 7 2 4 3" xfId="14575" xr:uid="{00000000-0005-0000-0000-0000579F0000}"/>
    <cellStyle name="Percent 7 2 4 3 2" xfId="33975" xr:uid="{00000000-0005-0000-0000-0000589F0000}"/>
    <cellStyle name="Percent 7 2 4 4" xfId="24277" xr:uid="{00000000-0005-0000-0000-0000599F0000}"/>
    <cellStyle name="Percent 7 2 5" xfId="6240" xr:uid="{00000000-0005-0000-0000-00005A9F0000}"/>
    <cellStyle name="Percent 7 2 5 2" xfId="10704" xr:uid="{00000000-0005-0000-0000-00005B9F0000}"/>
    <cellStyle name="Percent 7 2 5 2 2" xfId="20700" xr:uid="{00000000-0005-0000-0000-00005C9F0000}"/>
    <cellStyle name="Percent 7 2 5 2 2 2" xfId="40100" xr:uid="{00000000-0005-0000-0000-00005D9F0000}"/>
    <cellStyle name="Percent 7 2 5 2 3" xfId="30402" xr:uid="{00000000-0005-0000-0000-00005E9F0000}"/>
    <cellStyle name="Percent 7 2 5 3" xfId="16245" xr:uid="{00000000-0005-0000-0000-00005F9F0000}"/>
    <cellStyle name="Percent 7 2 5 3 2" xfId="35645" xr:uid="{00000000-0005-0000-0000-0000609F0000}"/>
    <cellStyle name="Percent 7 2 5 4" xfId="25947" xr:uid="{00000000-0005-0000-0000-0000619F0000}"/>
    <cellStyle name="Percent 7 2 6" xfId="6806" xr:uid="{00000000-0005-0000-0000-0000629F0000}"/>
    <cellStyle name="Percent 7 2 6 2" xfId="11261" xr:uid="{00000000-0005-0000-0000-0000639F0000}"/>
    <cellStyle name="Percent 7 2 6 2 2" xfId="21257" xr:uid="{00000000-0005-0000-0000-0000649F0000}"/>
    <cellStyle name="Percent 7 2 6 2 2 2" xfId="40657" xr:uid="{00000000-0005-0000-0000-0000659F0000}"/>
    <cellStyle name="Percent 7 2 6 2 3" xfId="30959" xr:uid="{00000000-0005-0000-0000-0000669F0000}"/>
    <cellStyle name="Percent 7 2 6 3" xfId="16802" xr:uid="{00000000-0005-0000-0000-0000679F0000}"/>
    <cellStyle name="Percent 7 2 6 3 2" xfId="36202" xr:uid="{00000000-0005-0000-0000-0000689F0000}"/>
    <cellStyle name="Percent 7 2 6 4" xfId="26504" xr:uid="{00000000-0005-0000-0000-0000699F0000}"/>
    <cellStyle name="Percent 7 2 7" xfId="7363" xr:uid="{00000000-0005-0000-0000-00006A9F0000}"/>
    <cellStyle name="Percent 7 2 7 2" xfId="17359" xr:uid="{00000000-0005-0000-0000-00006B9F0000}"/>
    <cellStyle name="Percent 7 2 7 2 2" xfId="36759" xr:uid="{00000000-0005-0000-0000-00006C9F0000}"/>
    <cellStyle name="Percent 7 2 7 3" xfId="27061" xr:uid="{00000000-0005-0000-0000-00006D9F0000}"/>
    <cellStyle name="Percent 7 2 8" xfId="12903" xr:uid="{00000000-0005-0000-0000-00006E9F0000}"/>
    <cellStyle name="Percent 7 2 8 2" xfId="32304" xr:uid="{00000000-0005-0000-0000-00006F9F0000}"/>
    <cellStyle name="Percent 7 2 9" xfId="22606" xr:uid="{00000000-0005-0000-0000-0000709F0000}"/>
    <cellStyle name="Percent 7 3" xfId="2645" xr:uid="{00000000-0005-0000-0000-0000719F0000}"/>
    <cellStyle name="Percent 7 4" xfId="1617" xr:uid="{00000000-0005-0000-0000-0000729F0000}"/>
    <cellStyle name="Percent 70" xfId="2814" xr:uid="{00000000-0005-0000-0000-0000739F0000}"/>
    <cellStyle name="Percent 71" xfId="2678" xr:uid="{00000000-0005-0000-0000-0000749F0000}"/>
    <cellStyle name="Percent 72" xfId="2679" xr:uid="{00000000-0005-0000-0000-0000759F0000}"/>
    <cellStyle name="Percent 73" xfId="2815" xr:uid="{00000000-0005-0000-0000-0000769F0000}"/>
    <cellStyle name="Percent 74" xfId="2760" xr:uid="{00000000-0005-0000-0000-0000779F0000}"/>
    <cellStyle name="Percent 75" xfId="2818" xr:uid="{00000000-0005-0000-0000-0000789F0000}"/>
    <cellStyle name="Percent 76" xfId="2819" xr:uid="{00000000-0005-0000-0000-0000799F0000}"/>
    <cellStyle name="Percent 77" xfId="2821" xr:uid="{00000000-0005-0000-0000-00007A9F0000}"/>
    <cellStyle name="Percent 78" xfId="2820" xr:uid="{00000000-0005-0000-0000-00007B9F0000}"/>
    <cellStyle name="Percent 79" xfId="2824" xr:uid="{00000000-0005-0000-0000-00007C9F0000}"/>
    <cellStyle name="Percent 8" xfId="855" xr:uid="{00000000-0005-0000-0000-00007D9F0000}"/>
    <cellStyle name="Percent 8 2" xfId="2518" xr:uid="{00000000-0005-0000-0000-00007E9F0000}"/>
    <cellStyle name="Percent 8 2 2" xfId="3407" xr:uid="{00000000-0005-0000-0000-00007F9F0000}"/>
    <cellStyle name="Percent 8 2 2 2" xfId="5675" xr:uid="{00000000-0005-0000-0000-0000809F0000}"/>
    <cellStyle name="Percent 8 2 2 2 2" xfId="10139" xr:uid="{00000000-0005-0000-0000-0000819F0000}"/>
    <cellStyle name="Percent 8 2 2 2 2 2" xfId="20135" xr:uid="{00000000-0005-0000-0000-0000829F0000}"/>
    <cellStyle name="Percent 8 2 2 2 2 2 2" xfId="39535" xr:uid="{00000000-0005-0000-0000-0000839F0000}"/>
    <cellStyle name="Percent 8 2 2 2 2 3" xfId="29837" xr:uid="{00000000-0005-0000-0000-0000849F0000}"/>
    <cellStyle name="Percent 8 2 2 2 3" xfId="15680" xr:uid="{00000000-0005-0000-0000-0000859F0000}"/>
    <cellStyle name="Percent 8 2 2 2 3 2" xfId="35080" xr:uid="{00000000-0005-0000-0000-0000869F0000}"/>
    <cellStyle name="Percent 8 2 2 2 4" xfId="25382" xr:uid="{00000000-0005-0000-0000-0000879F0000}"/>
    <cellStyle name="Percent 8 2 2 3" xfId="7911" xr:uid="{00000000-0005-0000-0000-0000889F0000}"/>
    <cellStyle name="Percent 8 2 2 3 2" xfId="17907" xr:uid="{00000000-0005-0000-0000-0000899F0000}"/>
    <cellStyle name="Percent 8 2 2 3 2 2" xfId="37307" xr:uid="{00000000-0005-0000-0000-00008A9F0000}"/>
    <cellStyle name="Percent 8 2 2 3 3" xfId="27609" xr:uid="{00000000-0005-0000-0000-00008B9F0000}"/>
    <cellStyle name="Percent 8 2 2 4" xfId="13452" xr:uid="{00000000-0005-0000-0000-00008C9F0000}"/>
    <cellStyle name="Percent 8 2 2 4 2" xfId="32852" xr:uid="{00000000-0005-0000-0000-00008D9F0000}"/>
    <cellStyle name="Percent 8 2 2 5" xfId="23154" xr:uid="{00000000-0005-0000-0000-00008E9F0000}"/>
    <cellStyle name="Percent 8 2 3" xfId="3990" xr:uid="{00000000-0005-0000-0000-00008F9F0000}"/>
    <cellStyle name="Percent 8 2 3 2" xfId="5119" xr:uid="{00000000-0005-0000-0000-0000909F0000}"/>
    <cellStyle name="Percent 8 2 3 2 2" xfId="9583" xr:uid="{00000000-0005-0000-0000-0000919F0000}"/>
    <cellStyle name="Percent 8 2 3 2 2 2" xfId="19579" xr:uid="{00000000-0005-0000-0000-0000929F0000}"/>
    <cellStyle name="Percent 8 2 3 2 2 2 2" xfId="38979" xr:uid="{00000000-0005-0000-0000-0000939F0000}"/>
    <cellStyle name="Percent 8 2 3 2 2 3" xfId="29281" xr:uid="{00000000-0005-0000-0000-0000949F0000}"/>
    <cellStyle name="Percent 8 2 3 2 3" xfId="15124" xr:uid="{00000000-0005-0000-0000-0000959F0000}"/>
    <cellStyle name="Percent 8 2 3 2 3 2" xfId="34524" xr:uid="{00000000-0005-0000-0000-0000969F0000}"/>
    <cellStyle name="Percent 8 2 3 2 4" xfId="24826" xr:uid="{00000000-0005-0000-0000-0000979F0000}"/>
    <cellStyle name="Percent 8 2 3 3" xfId="8468" xr:uid="{00000000-0005-0000-0000-0000989F0000}"/>
    <cellStyle name="Percent 8 2 3 3 2" xfId="18464" xr:uid="{00000000-0005-0000-0000-0000999F0000}"/>
    <cellStyle name="Percent 8 2 3 3 2 2" xfId="37864" xr:uid="{00000000-0005-0000-0000-00009A9F0000}"/>
    <cellStyle name="Percent 8 2 3 3 3" xfId="28166" xr:uid="{00000000-0005-0000-0000-00009B9F0000}"/>
    <cellStyle name="Percent 8 2 3 4" xfId="14009" xr:uid="{00000000-0005-0000-0000-00009C9F0000}"/>
    <cellStyle name="Percent 8 2 3 4 2" xfId="33409" xr:uid="{00000000-0005-0000-0000-00009D9F0000}"/>
    <cellStyle name="Percent 8 2 3 5" xfId="23711" xr:uid="{00000000-0005-0000-0000-00009E9F0000}"/>
    <cellStyle name="Percent 8 2 4" xfId="4562" xr:uid="{00000000-0005-0000-0000-00009F9F0000}"/>
    <cellStyle name="Percent 8 2 4 2" xfId="9026" xr:uid="{00000000-0005-0000-0000-0000A09F0000}"/>
    <cellStyle name="Percent 8 2 4 2 2" xfId="19022" xr:uid="{00000000-0005-0000-0000-0000A19F0000}"/>
    <cellStyle name="Percent 8 2 4 2 2 2" xfId="38422" xr:uid="{00000000-0005-0000-0000-0000A29F0000}"/>
    <cellStyle name="Percent 8 2 4 2 3" xfId="28724" xr:uid="{00000000-0005-0000-0000-0000A39F0000}"/>
    <cellStyle name="Percent 8 2 4 3" xfId="14567" xr:uid="{00000000-0005-0000-0000-0000A49F0000}"/>
    <cellStyle name="Percent 8 2 4 3 2" xfId="33967" xr:uid="{00000000-0005-0000-0000-0000A59F0000}"/>
    <cellStyle name="Percent 8 2 4 4" xfId="24269" xr:uid="{00000000-0005-0000-0000-0000A69F0000}"/>
    <cellStyle name="Percent 8 2 5" xfId="6232" xr:uid="{00000000-0005-0000-0000-0000A79F0000}"/>
    <cellStyle name="Percent 8 2 5 2" xfId="10696" xr:uid="{00000000-0005-0000-0000-0000A89F0000}"/>
    <cellStyle name="Percent 8 2 5 2 2" xfId="20692" xr:uid="{00000000-0005-0000-0000-0000A99F0000}"/>
    <cellStyle name="Percent 8 2 5 2 2 2" xfId="40092" xr:uid="{00000000-0005-0000-0000-0000AA9F0000}"/>
    <cellStyle name="Percent 8 2 5 2 3" xfId="30394" xr:uid="{00000000-0005-0000-0000-0000AB9F0000}"/>
    <cellStyle name="Percent 8 2 5 3" xfId="16237" xr:uid="{00000000-0005-0000-0000-0000AC9F0000}"/>
    <cellStyle name="Percent 8 2 5 3 2" xfId="35637" xr:uid="{00000000-0005-0000-0000-0000AD9F0000}"/>
    <cellStyle name="Percent 8 2 5 4" xfId="25939" xr:uid="{00000000-0005-0000-0000-0000AE9F0000}"/>
    <cellStyle name="Percent 8 2 6" xfId="6798" xr:uid="{00000000-0005-0000-0000-0000AF9F0000}"/>
    <cellStyle name="Percent 8 2 6 2" xfId="11253" xr:uid="{00000000-0005-0000-0000-0000B09F0000}"/>
    <cellStyle name="Percent 8 2 6 2 2" xfId="21249" xr:uid="{00000000-0005-0000-0000-0000B19F0000}"/>
    <cellStyle name="Percent 8 2 6 2 2 2" xfId="40649" xr:uid="{00000000-0005-0000-0000-0000B29F0000}"/>
    <cellStyle name="Percent 8 2 6 2 3" xfId="30951" xr:uid="{00000000-0005-0000-0000-0000B39F0000}"/>
    <cellStyle name="Percent 8 2 6 3" xfId="16794" xr:uid="{00000000-0005-0000-0000-0000B49F0000}"/>
    <cellStyle name="Percent 8 2 6 3 2" xfId="36194" xr:uid="{00000000-0005-0000-0000-0000B59F0000}"/>
    <cellStyle name="Percent 8 2 6 4" xfId="26496" xr:uid="{00000000-0005-0000-0000-0000B69F0000}"/>
    <cellStyle name="Percent 8 2 7" xfId="7355" xr:uid="{00000000-0005-0000-0000-0000B79F0000}"/>
    <cellStyle name="Percent 8 2 7 2" xfId="17351" xr:uid="{00000000-0005-0000-0000-0000B89F0000}"/>
    <cellStyle name="Percent 8 2 7 2 2" xfId="36751" xr:uid="{00000000-0005-0000-0000-0000B99F0000}"/>
    <cellStyle name="Percent 8 2 7 3" xfId="27053" xr:uid="{00000000-0005-0000-0000-0000BA9F0000}"/>
    <cellStyle name="Percent 8 2 8" xfId="12895" xr:uid="{00000000-0005-0000-0000-0000BB9F0000}"/>
    <cellStyle name="Percent 8 2 8 2" xfId="32296" xr:uid="{00000000-0005-0000-0000-0000BC9F0000}"/>
    <cellStyle name="Percent 8 2 9" xfId="22598" xr:uid="{00000000-0005-0000-0000-0000BD9F0000}"/>
    <cellStyle name="Percent 8 3" xfId="2694" xr:uid="{00000000-0005-0000-0000-0000BE9F0000}"/>
    <cellStyle name="Percent 8 4" xfId="1618" xr:uid="{00000000-0005-0000-0000-0000BF9F0000}"/>
    <cellStyle name="Percent 80" xfId="2827" xr:uid="{00000000-0005-0000-0000-0000C09F0000}"/>
    <cellStyle name="Percent 81" xfId="2826" xr:uid="{00000000-0005-0000-0000-0000C19F0000}"/>
    <cellStyle name="Percent 82" xfId="2830" xr:uid="{00000000-0005-0000-0000-0000C29F0000}"/>
    <cellStyle name="Percent 83" xfId="2832" xr:uid="{00000000-0005-0000-0000-0000C39F0000}"/>
    <cellStyle name="Percent 84" xfId="2829" xr:uid="{00000000-0005-0000-0000-0000C49F0000}"/>
    <cellStyle name="Percent 85" xfId="2828" xr:uid="{00000000-0005-0000-0000-0000C59F0000}"/>
    <cellStyle name="Percent 86" xfId="2831" xr:uid="{00000000-0005-0000-0000-0000C69F0000}"/>
    <cellStyle name="Percent 87" xfId="2825" xr:uid="{00000000-0005-0000-0000-0000C79F0000}"/>
    <cellStyle name="Percent 88" xfId="2823" xr:uid="{00000000-0005-0000-0000-0000C89F0000}"/>
    <cellStyle name="Percent 89" xfId="2833" xr:uid="{00000000-0005-0000-0000-0000C99F0000}"/>
    <cellStyle name="Percent 9" xfId="858" xr:uid="{00000000-0005-0000-0000-0000CA9F0000}"/>
    <cellStyle name="Percent 9 2" xfId="2509" xr:uid="{00000000-0005-0000-0000-0000CB9F0000}"/>
    <cellStyle name="Percent 9 2 2" xfId="3398" xr:uid="{00000000-0005-0000-0000-0000CC9F0000}"/>
    <cellStyle name="Percent 9 2 2 2" xfId="5666" xr:uid="{00000000-0005-0000-0000-0000CD9F0000}"/>
    <cellStyle name="Percent 9 2 2 2 2" xfId="10130" xr:uid="{00000000-0005-0000-0000-0000CE9F0000}"/>
    <cellStyle name="Percent 9 2 2 2 2 2" xfId="20126" xr:uid="{00000000-0005-0000-0000-0000CF9F0000}"/>
    <cellStyle name="Percent 9 2 2 2 2 2 2" xfId="39526" xr:uid="{00000000-0005-0000-0000-0000D09F0000}"/>
    <cellStyle name="Percent 9 2 2 2 2 3" xfId="29828" xr:uid="{00000000-0005-0000-0000-0000D19F0000}"/>
    <cellStyle name="Percent 9 2 2 2 3" xfId="15671" xr:uid="{00000000-0005-0000-0000-0000D29F0000}"/>
    <cellStyle name="Percent 9 2 2 2 3 2" xfId="35071" xr:uid="{00000000-0005-0000-0000-0000D39F0000}"/>
    <cellStyle name="Percent 9 2 2 2 4" xfId="25373" xr:uid="{00000000-0005-0000-0000-0000D49F0000}"/>
    <cellStyle name="Percent 9 2 2 3" xfId="7902" xr:uid="{00000000-0005-0000-0000-0000D59F0000}"/>
    <cellStyle name="Percent 9 2 2 3 2" xfId="17898" xr:uid="{00000000-0005-0000-0000-0000D69F0000}"/>
    <cellStyle name="Percent 9 2 2 3 2 2" xfId="37298" xr:uid="{00000000-0005-0000-0000-0000D79F0000}"/>
    <cellStyle name="Percent 9 2 2 3 3" xfId="27600" xr:uid="{00000000-0005-0000-0000-0000D89F0000}"/>
    <cellStyle name="Percent 9 2 2 4" xfId="13443" xr:uid="{00000000-0005-0000-0000-0000D99F0000}"/>
    <cellStyle name="Percent 9 2 2 4 2" xfId="32843" xr:uid="{00000000-0005-0000-0000-0000DA9F0000}"/>
    <cellStyle name="Percent 9 2 2 5" xfId="23145" xr:uid="{00000000-0005-0000-0000-0000DB9F0000}"/>
    <cellStyle name="Percent 9 2 3" xfId="3981" xr:uid="{00000000-0005-0000-0000-0000DC9F0000}"/>
    <cellStyle name="Percent 9 2 3 2" xfId="5110" xr:uid="{00000000-0005-0000-0000-0000DD9F0000}"/>
    <cellStyle name="Percent 9 2 3 2 2" xfId="9574" xr:uid="{00000000-0005-0000-0000-0000DE9F0000}"/>
    <cellStyle name="Percent 9 2 3 2 2 2" xfId="19570" xr:uid="{00000000-0005-0000-0000-0000DF9F0000}"/>
    <cellStyle name="Percent 9 2 3 2 2 2 2" xfId="38970" xr:uid="{00000000-0005-0000-0000-0000E09F0000}"/>
    <cellStyle name="Percent 9 2 3 2 2 3" xfId="29272" xr:uid="{00000000-0005-0000-0000-0000E19F0000}"/>
    <cellStyle name="Percent 9 2 3 2 3" xfId="15115" xr:uid="{00000000-0005-0000-0000-0000E29F0000}"/>
    <cellStyle name="Percent 9 2 3 2 3 2" xfId="34515" xr:uid="{00000000-0005-0000-0000-0000E39F0000}"/>
    <cellStyle name="Percent 9 2 3 2 4" xfId="24817" xr:uid="{00000000-0005-0000-0000-0000E49F0000}"/>
    <cellStyle name="Percent 9 2 3 3" xfId="8459" xr:uid="{00000000-0005-0000-0000-0000E59F0000}"/>
    <cellStyle name="Percent 9 2 3 3 2" xfId="18455" xr:uid="{00000000-0005-0000-0000-0000E69F0000}"/>
    <cellStyle name="Percent 9 2 3 3 2 2" xfId="37855" xr:uid="{00000000-0005-0000-0000-0000E79F0000}"/>
    <cellStyle name="Percent 9 2 3 3 3" xfId="28157" xr:uid="{00000000-0005-0000-0000-0000E89F0000}"/>
    <cellStyle name="Percent 9 2 3 4" xfId="14000" xr:uid="{00000000-0005-0000-0000-0000E99F0000}"/>
    <cellStyle name="Percent 9 2 3 4 2" xfId="33400" xr:uid="{00000000-0005-0000-0000-0000EA9F0000}"/>
    <cellStyle name="Percent 9 2 3 5" xfId="23702" xr:uid="{00000000-0005-0000-0000-0000EB9F0000}"/>
    <cellStyle name="Percent 9 2 4" xfId="4553" xr:uid="{00000000-0005-0000-0000-0000EC9F0000}"/>
    <cellStyle name="Percent 9 2 4 2" xfId="9017" xr:uid="{00000000-0005-0000-0000-0000ED9F0000}"/>
    <cellStyle name="Percent 9 2 4 2 2" xfId="19013" xr:uid="{00000000-0005-0000-0000-0000EE9F0000}"/>
    <cellStyle name="Percent 9 2 4 2 2 2" xfId="38413" xr:uid="{00000000-0005-0000-0000-0000EF9F0000}"/>
    <cellStyle name="Percent 9 2 4 2 3" xfId="28715" xr:uid="{00000000-0005-0000-0000-0000F09F0000}"/>
    <cellStyle name="Percent 9 2 4 3" xfId="14558" xr:uid="{00000000-0005-0000-0000-0000F19F0000}"/>
    <cellStyle name="Percent 9 2 4 3 2" xfId="33958" xr:uid="{00000000-0005-0000-0000-0000F29F0000}"/>
    <cellStyle name="Percent 9 2 4 4" xfId="24260" xr:uid="{00000000-0005-0000-0000-0000F39F0000}"/>
    <cellStyle name="Percent 9 2 5" xfId="6223" xr:uid="{00000000-0005-0000-0000-0000F49F0000}"/>
    <cellStyle name="Percent 9 2 5 2" xfId="10687" xr:uid="{00000000-0005-0000-0000-0000F59F0000}"/>
    <cellStyle name="Percent 9 2 5 2 2" xfId="20683" xr:uid="{00000000-0005-0000-0000-0000F69F0000}"/>
    <cellStyle name="Percent 9 2 5 2 2 2" xfId="40083" xr:uid="{00000000-0005-0000-0000-0000F79F0000}"/>
    <cellStyle name="Percent 9 2 5 2 3" xfId="30385" xr:uid="{00000000-0005-0000-0000-0000F89F0000}"/>
    <cellStyle name="Percent 9 2 5 3" xfId="16228" xr:uid="{00000000-0005-0000-0000-0000F99F0000}"/>
    <cellStyle name="Percent 9 2 5 3 2" xfId="35628" xr:uid="{00000000-0005-0000-0000-0000FA9F0000}"/>
    <cellStyle name="Percent 9 2 5 4" xfId="25930" xr:uid="{00000000-0005-0000-0000-0000FB9F0000}"/>
    <cellStyle name="Percent 9 2 6" xfId="6789" xr:uid="{00000000-0005-0000-0000-0000FC9F0000}"/>
    <cellStyle name="Percent 9 2 6 2" xfId="11244" xr:uid="{00000000-0005-0000-0000-0000FD9F0000}"/>
    <cellStyle name="Percent 9 2 6 2 2" xfId="21240" xr:uid="{00000000-0005-0000-0000-0000FE9F0000}"/>
    <cellStyle name="Percent 9 2 6 2 2 2" xfId="40640" xr:uid="{00000000-0005-0000-0000-0000FF9F0000}"/>
    <cellStyle name="Percent 9 2 6 2 3" xfId="30942" xr:uid="{00000000-0005-0000-0000-000000A00000}"/>
    <cellStyle name="Percent 9 2 6 3" xfId="16785" xr:uid="{00000000-0005-0000-0000-000001A00000}"/>
    <cellStyle name="Percent 9 2 6 3 2" xfId="36185" xr:uid="{00000000-0005-0000-0000-000002A00000}"/>
    <cellStyle name="Percent 9 2 6 4" xfId="26487" xr:uid="{00000000-0005-0000-0000-000003A00000}"/>
    <cellStyle name="Percent 9 2 7" xfId="7346" xr:uid="{00000000-0005-0000-0000-000004A00000}"/>
    <cellStyle name="Percent 9 2 7 2" xfId="17342" xr:uid="{00000000-0005-0000-0000-000005A00000}"/>
    <cellStyle name="Percent 9 2 7 2 2" xfId="36742" xr:uid="{00000000-0005-0000-0000-000006A00000}"/>
    <cellStyle name="Percent 9 2 7 3" xfId="27044" xr:uid="{00000000-0005-0000-0000-000007A00000}"/>
    <cellStyle name="Percent 9 2 8" xfId="12886" xr:uid="{00000000-0005-0000-0000-000008A00000}"/>
    <cellStyle name="Percent 9 2 8 2" xfId="32287" xr:uid="{00000000-0005-0000-0000-000009A00000}"/>
    <cellStyle name="Percent 9 2 9" xfId="22589" xr:uid="{00000000-0005-0000-0000-00000AA00000}"/>
    <cellStyle name="Percent 9 3" xfId="2695" xr:uid="{00000000-0005-0000-0000-00000BA00000}"/>
    <cellStyle name="Percent 9 4" xfId="1619" xr:uid="{00000000-0005-0000-0000-00000CA00000}"/>
    <cellStyle name="Percent 90" xfId="2849" xr:uid="{00000000-0005-0000-0000-00000DA00000}"/>
    <cellStyle name="Percent 91" xfId="2840" xr:uid="{00000000-0005-0000-0000-00000EA00000}"/>
    <cellStyle name="Percent 92" xfId="2853" xr:uid="{00000000-0005-0000-0000-00000FA00000}"/>
    <cellStyle name="Percent 93" xfId="2858" xr:uid="{00000000-0005-0000-0000-000010A00000}"/>
    <cellStyle name="Percent 94" xfId="2851" xr:uid="{00000000-0005-0000-0000-000011A00000}"/>
    <cellStyle name="Percent 95" xfId="2843" xr:uid="{00000000-0005-0000-0000-000012A00000}"/>
    <cellStyle name="Percent 96" xfId="2860" xr:uid="{00000000-0005-0000-0000-000013A00000}"/>
    <cellStyle name="Percent 97" xfId="2834" xr:uid="{00000000-0005-0000-0000-000014A00000}"/>
    <cellStyle name="Percent 98" xfId="2839" xr:uid="{00000000-0005-0000-0000-000015A00000}"/>
    <cellStyle name="Percent 99" xfId="2859" xr:uid="{00000000-0005-0000-0000-000016A00000}"/>
    <cellStyle name="PSChar" xfId="1620" xr:uid="{00000000-0005-0000-0000-000017A00000}"/>
    <cellStyle name="PSChar 2" xfId="1807" xr:uid="{00000000-0005-0000-0000-000018A00000}"/>
    <cellStyle name="Style 23" xfId="614" xr:uid="{00000000-0005-0000-0000-000019A00000}"/>
    <cellStyle name="Style 23 2" xfId="615" xr:uid="{00000000-0005-0000-0000-00001AA00000}"/>
    <cellStyle name="Style 23 3" xfId="924" xr:uid="{00000000-0005-0000-0000-00001BA00000}"/>
    <cellStyle name="Style 23 3 2" xfId="11831" xr:uid="{00000000-0005-0000-0000-00001CA00000}"/>
    <cellStyle name="STYLE1" xfId="1659" xr:uid="{00000000-0005-0000-0000-00001DA00000}"/>
    <cellStyle name="STYLE2" xfId="1658" xr:uid="{00000000-0005-0000-0000-00001EA00000}"/>
    <cellStyle name="STYLE3" xfId="1653" xr:uid="{00000000-0005-0000-0000-00001FA00000}"/>
    <cellStyle name="Title" xfId="560" builtinId="15" customBuiltin="1"/>
    <cellStyle name="Title 2" xfId="698" xr:uid="{00000000-0005-0000-0000-000021A00000}"/>
    <cellStyle name="Title 2 2" xfId="1244" xr:uid="{00000000-0005-0000-0000-000022A00000}"/>
    <cellStyle name="Title 2 2 2" xfId="1808" xr:uid="{00000000-0005-0000-0000-000023A00000}"/>
    <cellStyle name="Title 2 2 3" xfId="1622" xr:uid="{00000000-0005-0000-0000-000024A00000}"/>
    <cellStyle name="Title 2 3" xfId="1623" xr:uid="{00000000-0005-0000-0000-000025A00000}"/>
    <cellStyle name="Title 2 3 2" xfId="2650" xr:uid="{00000000-0005-0000-0000-000026A00000}"/>
    <cellStyle name="Title 2 4" xfId="1703" xr:uid="{00000000-0005-0000-0000-000027A00000}"/>
    <cellStyle name="Title 2 5" xfId="1929" xr:uid="{00000000-0005-0000-0000-000028A00000}"/>
    <cellStyle name="Title 2 6" xfId="1621" xr:uid="{00000000-0005-0000-0000-000029A00000}"/>
    <cellStyle name="Title 3" xfId="694" xr:uid="{00000000-0005-0000-0000-00002AA00000}"/>
    <cellStyle name="Title 3 2" xfId="2646" xr:uid="{00000000-0005-0000-0000-00002BA00000}"/>
    <cellStyle name="Title 3 3" xfId="1624" xr:uid="{00000000-0005-0000-0000-00002CA00000}"/>
    <cellStyle name="Title 4" xfId="1700" xr:uid="{00000000-0005-0000-0000-00002DA00000}"/>
    <cellStyle name="Title 5" xfId="1928" xr:uid="{00000000-0005-0000-0000-00002EA00000}"/>
    <cellStyle name="Total" xfId="939" builtinId="25" customBuiltin="1"/>
    <cellStyle name="Total 10" xfId="561" xr:uid="{00000000-0005-0000-0000-000030A00000}"/>
    <cellStyle name="Total 11" xfId="562" xr:uid="{00000000-0005-0000-0000-000031A00000}"/>
    <cellStyle name="Total 12" xfId="563" xr:uid="{00000000-0005-0000-0000-000032A00000}"/>
    <cellStyle name="Total 13" xfId="564" xr:uid="{00000000-0005-0000-0000-000033A00000}"/>
    <cellStyle name="Total 14" xfId="565" xr:uid="{00000000-0005-0000-0000-000034A00000}"/>
    <cellStyle name="Total 15" xfId="566" xr:uid="{00000000-0005-0000-0000-000035A00000}"/>
    <cellStyle name="Total 16" xfId="695" xr:uid="{00000000-0005-0000-0000-000036A00000}"/>
    <cellStyle name="Total 16 2" xfId="4039" xr:uid="{00000000-0005-0000-0000-000037A00000}"/>
    <cellStyle name="Total 16 3" xfId="6275" xr:uid="{00000000-0005-0000-0000-000038A00000}"/>
    <cellStyle name="Total 16 4" xfId="11656" xr:uid="{00000000-0005-0000-0000-000039A00000}"/>
    <cellStyle name="Total 16 5" xfId="3458" xr:uid="{00000000-0005-0000-0000-00003AA00000}"/>
    <cellStyle name="Total 17" xfId="11298" xr:uid="{00000000-0005-0000-0000-00003BA00000}"/>
    <cellStyle name="Total 2" xfId="567" xr:uid="{00000000-0005-0000-0000-00003CA00000}"/>
    <cellStyle name="Total 2 2" xfId="715" xr:uid="{00000000-0005-0000-0000-00003DA00000}"/>
    <cellStyle name="Total 2 2 2" xfId="1810" xr:uid="{00000000-0005-0000-0000-00003EA00000}"/>
    <cellStyle name="Total 2 2 3" xfId="1626" xr:uid="{00000000-0005-0000-0000-00003FA00000}"/>
    <cellStyle name="Total 2 2 4" xfId="11672" xr:uid="{00000000-0005-0000-0000-000040A00000}"/>
    <cellStyle name="Total 2 2 5" xfId="1246" xr:uid="{00000000-0005-0000-0000-000041A00000}"/>
    <cellStyle name="Total 2 3" xfId="1627" xr:uid="{00000000-0005-0000-0000-000042A00000}"/>
    <cellStyle name="Total 2 3 2" xfId="2665" xr:uid="{00000000-0005-0000-0000-000043A00000}"/>
    <cellStyle name="Total 2 4" xfId="1628" xr:uid="{00000000-0005-0000-0000-000044A00000}"/>
    <cellStyle name="Total 2 4 2" xfId="2766" xr:uid="{00000000-0005-0000-0000-000045A00000}"/>
    <cellStyle name="Total 2 5" xfId="1719" xr:uid="{00000000-0005-0000-0000-000046A00000}"/>
    <cellStyle name="Total 2 6" xfId="1931" xr:uid="{00000000-0005-0000-0000-000047A00000}"/>
    <cellStyle name="Total 2 7" xfId="1625" xr:uid="{00000000-0005-0000-0000-000048A00000}"/>
    <cellStyle name="Total 2 8" xfId="11576" xr:uid="{00000000-0005-0000-0000-000049A00000}"/>
    <cellStyle name="Total 3" xfId="568" xr:uid="{00000000-0005-0000-0000-00004AA00000}"/>
    <cellStyle name="Total 3 2" xfId="1809" xr:uid="{00000000-0005-0000-0000-00004BA00000}"/>
    <cellStyle name="Total 3 3" xfId="11577" xr:uid="{00000000-0005-0000-0000-00004CA00000}"/>
    <cellStyle name="Total 3 4" xfId="1629" xr:uid="{00000000-0005-0000-0000-00004DA00000}"/>
    <cellStyle name="Total 4" xfId="569" xr:uid="{00000000-0005-0000-0000-00004EA00000}"/>
    <cellStyle name="Total 4 2" xfId="2458" xr:uid="{00000000-0005-0000-0000-00004FA00000}"/>
    <cellStyle name="Total 4 3" xfId="2647" xr:uid="{00000000-0005-0000-0000-000050A00000}"/>
    <cellStyle name="Total 4 4" xfId="3459" xr:uid="{00000000-0005-0000-0000-000051A00000}"/>
    <cellStyle name="Total 4 5" xfId="11578" xr:uid="{00000000-0005-0000-0000-000052A00000}"/>
    <cellStyle name="Total 4 6" xfId="1630" xr:uid="{00000000-0005-0000-0000-000053A00000}"/>
    <cellStyle name="Total 5" xfId="570" xr:uid="{00000000-0005-0000-0000-000054A00000}"/>
    <cellStyle name="Total 5 2" xfId="11579" xr:uid="{00000000-0005-0000-0000-000055A00000}"/>
    <cellStyle name="Total 5 3" xfId="1654" xr:uid="{00000000-0005-0000-0000-000056A00000}"/>
    <cellStyle name="Total 6" xfId="571" xr:uid="{00000000-0005-0000-0000-000057A00000}"/>
    <cellStyle name="Total 6 2" xfId="11580" xr:uid="{00000000-0005-0000-0000-000058A00000}"/>
    <cellStyle name="Total 6 3" xfId="1701" xr:uid="{00000000-0005-0000-0000-000059A00000}"/>
    <cellStyle name="Total 7" xfId="572" xr:uid="{00000000-0005-0000-0000-00005AA00000}"/>
    <cellStyle name="Total 7 2" xfId="11581" xr:uid="{00000000-0005-0000-0000-00005BA00000}"/>
    <cellStyle name="Total 7 3" xfId="1930" xr:uid="{00000000-0005-0000-0000-00005CA00000}"/>
    <cellStyle name="Total 8" xfId="573" xr:uid="{00000000-0005-0000-0000-00005DA00000}"/>
    <cellStyle name="Total 9" xfId="574" xr:uid="{00000000-0005-0000-0000-00005EA00000}"/>
    <cellStyle name="Warning Text" xfId="937" builtinId="11" customBuiltin="1"/>
    <cellStyle name="Warning Text 10" xfId="575" xr:uid="{00000000-0005-0000-0000-000060A00000}"/>
    <cellStyle name="Warning Text 11" xfId="576" xr:uid="{00000000-0005-0000-0000-000061A00000}"/>
    <cellStyle name="Warning Text 12" xfId="577" xr:uid="{00000000-0005-0000-0000-000062A00000}"/>
    <cellStyle name="Warning Text 13" xfId="578" xr:uid="{00000000-0005-0000-0000-000063A00000}"/>
    <cellStyle name="Warning Text 14" xfId="579" xr:uid="{00000000-0005-0000-0000-000064A00000}"/>
    <cellStyle name="Warning Text 15" xfId="580" xr:uid="{00000000-0005-0000-0000-000065A00000}"/>
    <cellStyle name="Warning Text 16" xfId="696" xr:uid="{00000000-0005-0000-0000-000066A00000}"/>
    <cellStyle name="Warning Text 2" xfId="581" xr:uid="{00000000-0005-0000-0000-000067A00000}"/>
    <cellStyle name="Warning Text 2 2" xfId="712" xr:uid="{00000000-0005-0000-0000-000068A00000}"/>
    <cellStyle name="Warning Text 2 2 2" xfId="1811" xr:uid="{00000000-0005-0000-0000-000069A00000}"/>
    <cellStyle name="Warning Text 2 2 3" xfId="1632" xr:uid="{00000000-0005-0000-0000-00006AA00000}"/>
    <cellStyle name="Warning Text 2 2 4" xfId="11669" xr:uid="{00000000-0005-0000-0000-00006BA00000}"/>
    <cellStyle name="Warning Text 2 2 5" xfId="1248" xr:uid="{00000000-0005-0000-0000-00006CA00000}"/>
    <cellStyle name="Warning Text 2 3" xfId="1633" xr:uid="{00000000-0005-0000-0000-00006DA00000}"/>
    <cellStyle name="Warning Text 2 3 2" xfId="2663" xr:uid="{00000000-0005-0000-0000-00006EA00000}"/>
    <cellStyle name="Warning Text 2 4" xfId="1716" xr:uid="{00000000-0005-0000-0000-00006FA00000}"/>
    <cellStyle name="Warning Text 2 5" xfId="1933" xr:uid="{00000000-0005-0000-0000-000070A00000}"/>
    <cellStyle name="Warning Text 2 6" xfId="1631" xr:uid="{00000000-0005-0000-0000-000071A00000}"/>
    <cellStyle name="Warning Text 2 7" xfId="11582" xr:uid="{00000000-0005-0000-0000-000072A00000}"/>
    <cellStyle name="Warning Text 3" xfId="582" xr:uid="{00000000-0005-0000-0000-000073A00000}"/>
    <cellStyle name="Warning Text 3 2" xfId="2459" xr:uid="{00000000-0005-0000-0000-000074A00000}"/>
    <cellStyle name="Warning Text 3 3" xfId="2648" xr:uid="{00000000-0005-0000-0000-000075A00000}"/>
    <cellStyle name="Warning Text 3 4" xfId="11583" xr:uid="{00000000-0005-0000-0000-000076A00000}"/>
    <cellStyle name="Warning Text 3 5" xfId="1634" xr:uid="{00000000-0005-0000-0000-000077A00000}"/>
    <cellStyle name="Warning Text 4" xfId="583" xr:uid="{00000000-0005-0000-0000-000078A00000}"/>
    <cellStyle name="Warning Text 4 2" xfId="2805" xr:uid="{00000000-0005-0000-0000-000079A00000}"/>
    <cellStyle name="Warning Text 4 3" xfId="11584" xr:uid="{00000000-0005-0000-0000-00007AA00000}"/>
    <cellStyle name="Warning Text 4 4" xfId="1635" xr:uid="{00000000-0005-0000-0000-00007BA00000}"/>
    <cellStyle name="Warning Text 5" xfId="584" xr:uid="{00000000-0005-0000-0000-00007CA00000}"/>
    <cellStyle name="Warning Text 5 2" xfId="11585" xr:uid="{00000000-0005-0000-0000-00007DA00000}"/>
    <cellStyle name="Warning Text 5 3" xfId="1702" xr:uid="{00000000-0005-0000-0000-00007EA00000}"/>
    <cellStyle name="Warning Text 6" xfId="585" xr:uid="{00000000-0005-0000-0000-00007FA00000}"/>
    <cellStyle name="Warning Text 6 2" xfId="11586" xr:uid="{00000000-0005-0000-0000-000080A00000}"/>
    <cellStyle name="Warning Text 6 3" xfId="1932" xr:uid="{00000000-0005-0000-0000-000081A00000}"/>
    <cellStyle name="Warning Text 7" xfId="586" xr:uid="{00000000-0005-0000-0000-000082A00000}"/>
    <cellStyle name="Warning Text 8" xfId="587" xr:uid="{00000000-0005-0000-0000-000083A00000}"/>
    <cellStyle name="Warning Text 9" xfId="588" xr:uid="{00000000-0005-0000-0000-000084A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CA"/>
              <a:t>KWH Predicated Verss Actual</a:t>
            </a:r>
          </a:p>
        </c:rich>
      </c:tx>
      <c:overlay val="0"/>
    </c:title>
    <c:autoTitleDeleted val="0"/>
    <c:plotArea>
      <c:layout/>
      <c:barChart>
        <c:barDir val="col"/>
        <c:grouping val="clustered"/>
        <c:varyColors val="0"/>
        <c:ser>
          <c:idx val="0"/>
          <c:order val="0"/>
          <c:tx>
            <c:strRef>
              <c:f>'6. WS Regression Analysis'!$Y$62</c:f>
              <c:strCache>
                <c:ptCount val="1"/>
                <c:pt idx="0">
                  <c:v>Year</c:v>
                </c:pt>
              </c:strCache>
            </c:strRef>
          </c:tx>
          <c:invertIfNegative val="0"/>
          <c:cat>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val>
          <c:extLst>
            <c:ext xmlns:c16="http://schemas.microsoft.com/office/drawing/2014/chart" uri="{C3380CC4-5D6E-409C-BE32-E72D297353CC}">
              <c16:uniqueId val="{00000000-2156-4655-9579-FBCAB222BE20}"/>
            </c:ext>
          </c:extLst>
        </c:ser>
        <c:ser>
          <c:idx val="1"/>
          <c:order val="1"/>
          <c:tx>
            <c:strRef>
              <c:f>'6. WS Regression Analysis'!$Z$62</c:f>
              <c:strCache>
                <c:ptCount val="1"/>
                <c:pt idx="0">
                  <c:v>kWh Purchased</c:v>
                </c:pt>
              </c:strCache>
            </c:strRef>
          </c:tx>
          <c:invertIfNegative val="0"/>
          <c:cat>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Analysis'!$Z$63:$Z$72</c:f>
              <c:numCache>
                <c:formatCode>_-* #,##0_-;\-* #,##0_-;_-* "-"??_-;_-@_-</c:formatCode>
                <c:ptCount val="10"/>
                <c:pt idx="0">
                  <c:v>136652392.50999999</c:v>
                </c:pt>
                <c:pt idx="1">
                  <c:v>137567233.44999999</c:v>
                </c:pt>
                <c:pt idx="2">
                  <c:v>137993374.59999999</c:v>
                </c:pt>
                <c:pt idx="3">
                  <c:v>137727428.06999999</c:v>
                </c:pt>
                <c:pt idx="4">
                  <c:v>134234594</c:v>
                </c:pt>
                <c:pt idx="5">
                  <c:v>144593587.54000002</c:v>
                </c:pt>
                <c:pt idx="6">
                  <c:v>144125560.60999998</c:v>
                </c:pt>
                <c:pt idx="7">
                  <c:v>150603831.59</c:v>
                </c:pt>
                <c:pt idx="8">
                  <c:v>154199190.50999999</c:v>
                </c:pt>
                <c:pt idx="9">
                  <c:v>157082097.17000002</c:v>
                </c:pt>
              </c:numCache>
            </c:numRef>
          </c:val>
          <c:extLst>
            <c:ext xmlns:c16="http://schemas.microsoft.com/office/drawing/2014/chart" uri="{C3380CC4-5D6E-409C-BE32-E72D297353CC}">
              <c16:uniqueId val="{00000001-2156-4655-9579-FBCAB222BE20}"/>
            </c:ext>
          </c:extLst>
        </c:ser>
        <c:ser>
          <c:idx val="3"/>
          <c:order val="2"/>
          <c:tx>
            <c:strRef>
              <c:f>'6. WS Regression Analysis'!$AD$62</c:f>
              <c:strCache>
                <c:ptCount val="1"/>
                <c:pt idx="0">
                  <c:v>Weather Normalized kWh</c:v>
                </c:pt>
              </c:strCache>
            </c:strRef>
          </c:tx>
          <c:invertIfNegative val="0"/>
          <c:cat>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Analysis'!$AD$63:$AD$72</c:f>
              <c:numCache>
                <c:formatCode>#,##0</c:formatCode>
                <c:ptCount val="10"/>
                <c:pt idx="0">
                  <c:v>136638837.10143891</c:v>
                </c:pt>
                <c:pt idx="1">
                  <c:v>138847385.74999535</c:v>
                </c:pt>
                <c:pt idx="2">
                  <c:v>137759492.49652126</c:v>
                </c:pt>
                <c:pt idx="3">
                  <c:v>137131414.94081908</c:v>
                </c:pt>
                <c:pt idx="4">
                  <c:v>136986366.91437399</c:v>
                </c:pt>
                <c:pt idx="5">
                  <c:v>140544492.40871233</c:v>
                </c:pt>
                <c:pt idx="6">
                  <c:v>145329634.88216186</c:v>
                </c:pt>
                <c:pt idx="7">
                  <c:v>151709224.20613581</c:v>
                </c:pt>
                <c:pt idx="8">
                  <c:v>155206961.49635202</c:v>
                </c:pt>
                <c:pt idx="9">
                  <c:v>157201772.51039681</c:v>
                </c:pt>
              </c:numCache>
            </c:numRef>
          </c:val>
          <c:extLst>
            <c:ext xmlns:c16="http://schemas.microsoft.com/office/drawing/2014/chart" uri="{C3380CC4-5D6E-409C-BE32-E72D297353CC}">
              <c16:uniqueId val="{00000002-2156-4655-9579-FBCAB222BE20}"/>
            </c:ext>
          </c:extLst>
        </c:ser>
        <c:dLbls>
          <c:showLegendKey val="0"/>
          <c:showVal val="0"/>
          <c:showCatName val="0"/>
          <c:showSerName val="0"/>
          <c:showPercent val="0"/>
          <c:showBubbleSize val="0"/>
        </c:dLbls>
        <c:gapWidth val="0"/>
        <c:axId val="137208960"/>
        <c:axId val="137210880"/>
      </c:barChart>
      <c:catAx>
        <c:axId val="137208960"/>
        <c:scaling>
          <c:orientation val="minMax"/>
        </c:scaling>
        <c:delete val="0"/>
        <c:axPos val="b"/>
        <c:title>
          <c:tx>
            <c:rich>
              <a:bodyPr/>
              <a:lstStyle/>
              <a:p>
                <a:pPr>
                  <a:defRPr/>
                </a:pPr>
                <a:r>
                  <a:rPr lang="en-CA"/>
                  <a:t>Year</a:t>
                </a:r>
              </a:p>
            </c:rich>
          </c:tx>
          <c:overlay val="0"/>
        </c:title>
        <c:numFmt formatCode="@" sourceLinked="1"/>
        <c:majorTickMark val="none"/>
        <c:minorTickMark val="none"/>
        <c:tickLblPos val="nextTo"/>
        <c:crossAx val="137210880"/>
        <c:crosses val="autoZero"/>
        <c:auto val="1"/>
        <c:lblAlgn val="ctr"/>
        <c:lblOffset val="100"/>
        <c:noMultiLvlLbl val="0"/>
      </c:catAx>
      <c:valAx>
        <c:axId val="137210880"/>
        <c:scaling>
          <c:orientation val="minMax"/>
        </c:scaling>
        <c:delete val="0"/>
        <c:axPos val="l"/>
        <c:title>
          <c:tx>
            <c:rich>
              <a:bodyPr/>
              <a:lstStyle/>
              <a:p>
                <a:pPr>
                  <a:defRPr/>
                </a:pPr>
                <a:r>
                  <a:rPr lang="en-CA"/>
                  <a:t>KWH;s</a:t>
                </a:r>
              </a:p>
            </c:rich>
          </c:tx>
          <c:overlay val="0"/>
        </c:title>
        <c:numFmt formatCode="@" sourceLinked="1"/>
        <c:majorTickMark val="out"/>
        <c:minorTickMark val="none"/>
        <c:tickLblPos val="nextTo"/>
        <c:crossAx val="1372089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114300</xdr:colOff>
      <xdr:row>7</xdr:row>
      <xdr:rowOff>9525</xdr:rowOff>
    </xdr:from>
    <xdr:to>
      <xdr:col>4</xdr:col>
      <xdr:colOff>209550</xdr:colOff>
      <xdr:row>10</xdr:row>
      <xdr:rowOff>123825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133351</xdr:colOff>
      <xdr:row>11</xdr:row>
      <xdr:rowOff>47626</xdr:rowOff>
    </xdr:from>
    <xdr:to>
      <xdr:col>4</xdr:col>
      <xdr:colOff>247651</xdr:colOff>
      <xdr:row>14</xdr:row>
      <xdr:rowOff>38101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4591051" y="239077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285750</xdr:colOff>
      <xdr:row>0</xdr:row>
      <xdr:rowOff>104775</xdr:rowOff>
    </xdr:from>
    <xdr:to>
      <xdr:col>9</xdr:col>
      <xdr:colOff>56403</xdr:colOff>
      <xdr:row>3</xdr:row>
      <xdr:rowOff>211615</xdr:rowOff>
    </xdr:to>
    <xdr:grpSp>
      <xdr:nvGrpSpPr>
        <xdr:cNvPr id="4" name="Group 33">
          <a:extLst>
            <a:ext uri="{FF2B5EF4-FFF2-40B4-BE49-F238E27FC236}">
              <a16:creationId xmlns:a16="http://schemas.microsoft.com/office/drawing/2014/main" id="{00000000-0008-0000-0100-000004000000}"/>
            </a:ext>
          </a:extLst>
        </xdr:cNvPr>
        <xdr:cNvGrpSpPr>
          <a:grpSpLocks/>
        </xdr:cNvGrpSpPr>
      </xdr:nvGrpSpPr>
      <xdr:grpSpPr bwMode="auto">
        <a:xfrm>
          <a:off x="285750" y="104775"/>
          <a:ext cx="11099053" cy="697390"/>
          <a:chOff x="11" y="147"/>
          <a:chExt cx="521" cy="77"/>
        </a:xfrm>
      </xdr:grpSpPr>
      <xdr:sp macro="" textlink="">
        <xdr:nvSpPr>
          <xdr:cNvPr id="5" name="AutoShape 34">
            <a:extLst>
              <a:ext uri="{FF2B5EF4-FFF2-40B4-BE49-F238E27FC236}">
                <a16:creationId xmlns:a16="http://schemas.microsoft.com/office/drawing/2014/main" id="{00000000-0008-0000-0100-000005000000}"/>
              </a:ext>
            </a:extLst>
          </xdr:cNvPr>
          <xdr:cNvSpPr>
            <a:spLocks noChangeArrowheads="1"/>
          </xdr:cNvSpPr>
        </xdr:nvSpPr>
        <xdr:spPr bwMode="auto">
          <a:xfrm>
            <a:off x="11" y="147"/>
            <a:ext cx="521" cy="5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35">
            <a:extLst>
              <a:ext uri="{FF2B5EF4-FFF2-40B4-BE49-F238E27FC236}">
                <a16:creationId xmlns:a16="http://schemas.microsoft.com/office/drawing/2014/main" id="{00000000-0008-0000-0100-000006000000}"/>
              </a:ext>
            </a:extLst>
          </xdr:cNvPr>
          <xdr:cNvSpPr txBox="1">
            <a:spLocks noChangeArrowheads="1"/>
          </xdr:cNvSpPr>
        </xdr:nvSpPr>
        <xdr:spPr bwMode="auto">
          <a:xfrm>
            <a:off x="24" y="161"/>
            <a:ext cx="498" cy="63"/>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This page will be overwrite by utilities specific classes</a:t>
            </a:r>
            <a:endParaRPr lang="en-CA" sz="1000" b="1" i="1" u="none" strike="noStrike" baseline="0">
              <a:solidFill>
                <a:srgbClr val="FF0000"/>
              </a:solidFill>
              <a:latin typeface="Arial"/>
              <a:cs typeface="Aria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428625</xdr:colOff>
      <xdr:row>7</xdr:row>
      <xdr:rowOff>104775</xdr:rowOff>
    </xdr:from>
    <xdr:to>
      <xdr:col>13</xdr:col>
      <xdr:colOff>676275</xdr:colOff>
      <xdr:row>7</xdr:row>
      <xdr:rowOff>333375</xdr:rowOff>
    </xdr:to>
    <xdr:sp macro="" textlink="">
      <xdr:nvSpPr>
        <xdr:cNvPr id="3" name="5-Point Star 2">
          <a:extLst>
            <a:ext uri="{FF2B5EF4-FFF2-40B4-BE49-F238E27FC236}">
              <a16:creationId xmlns:a16="http://schemas.microsoft.com/office/drawing/2014/main" id="{00000000-0008-0000-0A00-000003000000}"/>
            </a:ext>
          </a:extLst>
        </xdr:cNvPr>
        <xdr:cNvSpPr/>
      </xdr:nvSpPr>
      <xdr:spPr>
        <a:xfrm>
          <a:off x="15430500" y="19240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168088</xdr:colOff>
      <xdr:row>8</xdr:row>
      <xdr:rowOff>302557</xdr:rowOff>
    </xdr:from>
    <xdr:to>
      <xdr:col>13</xdr:col>
      <xdr:colOff>257734</xdr:colOff>
      <xdr:row>8</xdr:row>
      <xdr:rowOff>348276</xdr:rowOff>
    </xdr:to>
    <xdr:sp macro="" textlink="">
      <xdr:nvSpPr>
        <xdr:cNvPr id="4" name="Right Arrow 3">
          <a:extLst>
            <a:ext uri="{FF2B5EF4-FFF2-40B4-BE49-F238E27FC236}">
              <a16:creationId xmlns:a16="http://schemas.microsoft.com/office/drawing/2014/main" id="{00000000-0008-0000-0A00-000004000000}"/>
            </a:ext>
          </a:extLst>
        </xdr:cNvPr>
        <xdr:cNvSpPr/>
      </xdr:nvSpPr>
      <xdr:spPr>
        <a:xfrm rot="10800000">
          <a:off x="14931838" y="3074332"/>
          <a:ext cx="327771"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537882</xdr:colOff>
      <xdr:row>8</xdr:row>
      <xdr:rowOff>302559</xdr:rowOff>
    </xdr:from>
    <xdr:to>
      <xdr:col>5</xdr:col>
      <xdr:colOff>862852</xdr:colOff>
      <xdr:row>8</xdr:row>
      <xdr:rowOff>348278</xdr:rowOff>
    </xdr:to>
    <xdr:sp macro="" textlink="">
      <xdr:nvSpPr>
        <xdr:cNvPr id="5" name="Right Arrow 4">
          <a:extLst>
            <a:ext uri="{FF2B5EF4-FFF2-40B4-BE49-F238E27FC236}">
              <a16:creationId xmlns:a16="http://schemas.microsoft.com/office/drawing/2014/main" id="{00000000-0008-0000-0A00-000005000000}"/>
            </a:ext>
          </a:extLst>
        </xdr:cNvPr>
        <xdr:cNvSpPr/>
      </xdr:nvSpPr>
      <xdr:spPr>
        <a:xfrm>
          <a:off x="9281832" y="3074334"/>
          <a:ext cx="32497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515470</xdr:colOff>
      <xdr:row>1</xdr:row>
      <xdr:rowOff>156881</xdr:rowOff>
    </xdr:from>
    <xdr:to>
      <xdr:col>6</xdr:col>
      <xdr:colOff>216086</xdr:colOff>
      <xdr:row>5</xdr:row>
      <xdr:rowOff>559</xdr:rowOff>
    </xdr:to>
    <xdr:grpSp>
      <xdr:nvGrpSpPr>
        <xdr:cNvPr id="6" name="Group 33">
          <a:extLst>
            <a:ext uri="{FF2B5EF4-FFF2-40B4-BE49-F238E27FC236}">
              <a16:creationId xmlns:a16="http://schemas.microsoft.com/office/drawing/2014/main" id="{00000000-0008-0000-0A00-000006000000}"/>
            </a:ext>
          </a:extLst>
        </xdr:cNvPr>
        <xdr:cNvGrpSpPr>
          <a:grpSpLocks/>
        </xdr:cNvGrpSpPr>
      </xdr:nvGrpSpPr>
      <xdr:grpSpPr bwMode="auto">
        <a:xfrm>
          <a:off x="515470" y="455331"/>
          <a:ext cx="5764866" cy="891428"/>
          <a:chOff x="11" y="147"/>
          <a:chExt cx="521" cy="83"/>
        </a:xfrm>
      </xdr:grpSpPr>
      <xdr:sp macro="" textlink="">
        <xdr:nvSpPr>
          <xdr:cNvPr id="7" name="AutoShape 34">
            <a:extLst>
              <a:ext uri="{FF2B5EF4-FFF2-40B4-BE49-F238E27FC236}">
                <a16:creationId xmlns:a16="http://schemas.microsoft.com/office/drawing/2014/main" id="{00000000-0008-0000-0A00-000007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35">
            <a:extLst>
              <a:ext uri="{FF2B5EF4-FFF2-40B4-BE49-F238E27FC236}">
                <a16:creationId xmlns:a16="http://schemas.microsoft.com/office/drawing/2014/main" id="{00000000-0008-0000-0A00-000008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Update Wholesale Purchases,</a:t>
            </a:r>
          </a:p>
          <a:p>
            <a:pPr algn="l" rtl="0">
              <a:defRPr sz="1000"/>
            </a:pPr>
            <a:r>
              <a:rPr lang="en-CA" sz="1000" b="1" i="0" u="none" strike="noStrike" baseline="0">
                <a:solidFill>
                  <a:srgbClr val="FF0000"/>
                </a:solidFill>
                <a:latin typeface="Arial"/>
                <a:cs typeface="Arial"/>
              </a:rPr>
              <a:t>2. Use drop down lists to select the variables inputted from 5.Variable Worksheet and  Select Forecast Methodology</a:t>
            </a:r>
          </a:p>
          <a:p>
            <a:pPr algn="l" rtl="0">
              <a:defRPr sz="1000"/>
            </a:pPr>
            <a:r>
              <a:rPr lang="en-CA" sz="1000" b="1" i="0" u="none" strike="noStrike" baseline="0">
                <a:solidFill>
                  <a:srgbClr val="FF0000"/>
                </a:solidFill>
                <a:latin typeface="Arial"/>
                <a:cs typeface="Arial"/>
              </a:rPr>
              <a:t>3. Run Regression -&gt; Data -&gt; Data Analysis - &gt; Regression</a:t>
            </a:r>
            <a:endParaRPr lang="en-CA" sz="1000" b="1" i="1" u="none" strike="noStrike" baseline="0">
              <a:solidFill>
                <a:srgbClr val="FF0000"/>
              </a:solidFill>
              <a:latin typeface="Arial"/>
              <a:cs typeface="Arial"/>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190500</xdr:colOff>
      <xdr:row>0</xdr:row>
      <xdr:rowOff>1</xdr:rowOff>
    </xdr:from>
    <xdr:to>
      <xdr:col>15</xdr:col>
      <xdr:colOff>800100</xdr:colOff>
      <xdr:row>3</xdr:row>
      <xdr:rowOff>47626</xdr:rowOff>
    </xdr:to>
    <xdr:grpSp>
      <xdr:nvGrpSpPr>
        <xdr:cNvPr id="2" name="Group 33">
          <a:extLst>
            <a:ext uri="{FF2B5EF4-FFF2-40B4-BE49-F238E27FC236}">
              <a16:creationId xmlns:a16="http://schemas.microsoft.com/office/drawing/2014/main" id="{00000000-0008-0000-0B00-000002000000}"/>
            </a:ext>
          </a:extLst>
        </xdr:cNvPr>
        <xdr:cNvGrpSpPr>
          <a:grpSpLocks/>
        </xdr:cNvGrpSpPr>
      </xdr:nvGrpSpPr>
      <xdr:grpSpPr bwMode="auto">
        <a:xfrm>
          <a:off x="317500" y="1"/>
          <a:ext cx="13921509" cy="676852"/>
          <a:chOff x="11" y="147"/>
          <a:chExt cx="521" cy="83"/>
        </a:xfrm>
      </xdr:grpSpPr>
      <xdr:sp macro="" textlink="">
        <xdr:nvSpPr>
          <xdr:cNvPr id="3" name="AutoShape 34">
            <a:extLst>
              <a:ext uri="{FF2B5EF4-FFF2-40B4-BE49-F238E27FC236}">
                <a16:creationId xmlns:a16="http://schemas.microsoft.com/office/drawing/2014/main" id="{00000000-0008-0000-0B00-000003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35">
            <a:extLst>
              <a:ext uri="{FF2B5EF4-FFF2-40B4-BE49-F238E27FC236}">
                <a16:creationId xmlns:a16="http://schemas.microsoft.com/office/drawing/2014/main" id="{00000000-0008-0000-0B00-000004000000}"/>
              </a:ext>
            </a:extLst>
          </xdr:cNvPr>
          <xdr:cNvSpPr txBox="1">
            <a:spLocks noChangeArrowheads="1"/>
          </xdr:cNvSpPr>
        </xdr:nvSpPr>
        <xdr:spPr bwMode="auto">
          <a:xfrm>
            <a:off x="24" y="151"/>
            <a:ext cx="498" cy="48"/>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Use the drop down selections to select the appropriate customer classes.  </a:t>
            </a:r>
            <a:r>
              <a:rPr lang="en-CA" sz="1000" b="0" i="0" u="none" strike="noStrike">
                <a:effectLst/>
                <a:latin typeface="+mn-lt"/>
                <a:ea typeface="+mn-ea"/>
                <a:cs typeface="+mn-cs"/>
              </a:rPr>
              <a:t> </a:t>
            </a:r>
            <a:r>
              <a:rPr lang="en-CA"/>
              <a:t> </a:t>
            </a:r>
            <a:endParaRPr lang="en-CA" sz="1000" b="1" i="0" u="none" strike="noStrike" baseline="0">
              <a:solidFill>
                <a:srgbClr val="FF0000"/>
              </a:solidFill>
              <a:latin typeface="Arial"/>
              <a:cs typeface="Arial"/>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352425</xdr:colOff>
      <xdr:row>1</xdr:row>
      <xdr:rowOff>180975</xdr:rowOff>
    </xdr:from>
    <xdr:to>
      <xdr:col>8</xdr:col>
      <xdr:colOff>752475</xdr:colOff>
      <xdr:row>1</xdr:row>
      <xdr:rowOff>180975</xdr:rowOff>
    </xdr:to>
    <xdr:cxnSp macro="">
      <xdr:nvCxnSpPr>
        <xdr:cNvPr id="3" name="Straight Arrow Connector 2">
          <a:extLst>
            <a:ext uri="{FF2B5EF4-FFF2-40B4-BE49-F238E27FC236}">
              <a16:creationId xmlns:a16="http://schemas.microsoft.com/office/drawing/2014/main" id="{00000000-0008-0000-0E00-000003000000}"/>
            </a:ext>
          </a:extLst>
        </xdr:cNvPr>
        <xdr:cNvCxnSpPr/>
      </xdr:nvCxnSpPr>
      <xdr:spPr>
        <a:xfrm>
          <a:off x="5791200" y="180975"/>
          <a:ext cx="4210050" cy="0"/>
        </a:xfrm>
        <a:prstGeom prst="straightConnector1">
          <a:avLst/>
        </a:prstGeom>
        <a:ln>
          <a:tailEnd type="arrow"/>
        </a:ln>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3</xdr:row>
      <xdr:rowOff>28575</xdr:rowOff>
    </xdr:from>
    <xdr:to>
      <xdr:col>1</xdr:col>
      <xdr:colOff>838200</xdr:colOff>
      <xdr:row>3</xdr:row>
      <xdr:rowOff>161925</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a:off x="1228725" y="6762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xdr:col>
      <xdr:colOff>685800</xdr:colOff>
      <xdr:row>5</xdr:row>
      <xdr:rowOff>56648</xdr:rowOff>
    </xdr:from>
    <xdr:to>
      <xdr:col>1</xdr:col>
      <xdr:colOff>838200</xdr:colOff>
      <xdr:row>6</xdr:row>
      <xdr:rowOff>9023</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1219200" y="1066298"/>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xdr:col>
      <xdr:colOff>699336</xdr:colOff>
      <xdr:row>4</xdr:row>
      <xdr:rowOff>44617</xdr:rowOff>
    </xdr:from>
    <xdr:to>
      <xdr:col>1</xdr:col>
      <xdr:colOff>829678</xdr:colOff>
      <xdr:row>4</xdr:row>
      <xdr:rowOff>169946</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1232736" y="873292"/>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542635</xdr:colOff>
      <xdr:row>14</xdr:row>
      <xdr:rowOff>28223</xdr:rowOff>
    </xdr:from>
    <xdr:to>
      <xdr:col>3</xdr:col>
      <xdr:colOff>680860</xdr:colOff>
      <xdr:row>14</xdr:row>
      <xdr:rowOff>172475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2669885" y="2599973"/>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388695</xdr:colOff>
      <xdr:row>14</xdr:row>
      <xdr:rowOff>17318</xdr:rowOff>
    </xdr:from>
    <xdr:to>
      <xdr:col>5</xdr:col>
      <xdr:colOff>529164</xdr:colOff>
      <xdr:row>14</xdr:row>
      <xdr:rowOff>162277</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4653778" y="2589068"/>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847629</xdr:colOff>
      <xdr:row>14</xdr:row>
      <xdr:rowOff>8659</xdr:rowOff>
    </xdr:from>
    <xdr:to>
      <xdr:col>11</xdr:col>
      <xdr:colOff>991307</xdr:colOff>
      <xdr:row>14</xdr:row>
      <xdr:rowOff>151694</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10277379" y="2580409"/>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14</xdr:row>
      <xdr:rowOff>8659</xdr:rowOff>
    </xdr:from>
    <xdr:to>
      <xdr:col>12</xdr:col>
      <xdr:colOff>481262</xdr:colOff>
      <xdr:row>14</xdr:row>
      <xdr:rowOff>155408</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14</xdr:row>
      <xdr:rowOff>7056</xdr:rowOff>
    </xdr:from>
    <xdr:to>
      <xdr:col>17</xdr:col>
      <xdr:colOff>493888</xdr:colOff>
      <xdr:row>14</xdr:row>
      <xdr:rowOff>151694</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14</xdr:row>
      <xdr:rowOff>11866</xdr:rowOff>
    </xdr:from>
    <xdr:to>
      <xdr:col>18</xdr:col>
      <xdr:colOff>490361</xdr:colOff>
      <xdr:row>14</xdr:row>
      <xdr:rowOff>151694</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14</xdr:row>
      <xdr:rowOff>7056</xdr:rowOff>
    </xdr:from>
    <xdr:to>
      <xdr:col>14</xdr:col>
      <xdr:colOff>493888</xdr:colOff>
      <xdr:row>14</xdr:row>
      <xdr:rowOff>151694</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14</xdr:row>
      <xdr:rowOff>11866</xdr:rowOff>
    </xdr:from>
    <xdr:to>
      <xdr:col>15</xdr:col>
      <xdr:colOff>490361</xdr:colOff>
      <xdr:row>14</xdr:row>
      <xdr:rowOff>151694</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14</xdr:row>
      <xdr:rowOff>6735</xdr:rowOff>
    </xdr:from>
    <xdr:to>
      <xdr:col>20</xdr:col>
      <xdr:colOff>483304</xdr:colOff>
      <xdr:row>14</xdr:row>
      <xdr:rowOff>148167</xdr:rowOff>
    </xdr:to>
    <xdr:sp macro="" textlink="">
      <xdr:nvSpPr>
        <xdr:cNvPr id="15" name="Rectangle 14">
          <a:extLst>
            <a:ext uri="{FF2B5EF4-FFF2-40B4-BE49-F238E27FC236}">
              <a16:creationId xmlns:a16="http://schemas.microsoft.com/office/drawing/2014/main" id="{00000000-0008-0000-0200-00000F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22</xdr:col>
      <xdr:colOff>346363</xdr:colOff>
      <xdr:row>14</xdr:row>
      <xdr:rowOff>6735</xdr:rowOff>
    </xdr:from>
    <xdr:to>
      <xdr:col>22</xdr:col>
      <xdr:colOff>483304</xdr:colOff>
      <xdr:row>14</xdr:row>
      <xdr:rowOff>148167</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24</xdr:col>
      <xdr:colOff>346363</xdr:colOff>
      <xdr:row>14</xdr:row>
      <xdr:rowOff>6735</xdr:rowOff>
    </xdr:from>
    <xdr:to>
      <xdr:col>24</xdr:col>
      <xdr:colOff>483304</xdr:colOff>
      <xdr:row>14</xdr:row>
      <xdr:rowOff>148167</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346363</xdr:colOff>
      <xdr:row>14</xdr:row>
      <xdr:rowOff>6735</xdr:rowOff>
    </xdr:from>
    <xdr:to>
      <xdr:col>26</xdr:col>
      <xdr:colOff>483304</xdr:colOff>
      <xdr:row>14</xdr:row>
      <xdr:rowOff>148167</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14</xdr:row>
      <xdr:rowOff>6735</xdr:rowOff>
    </xdr:from>
    <xdr:to>
      <xdr:col>7</xdr:col>
      <xdr:colOff>483304</xdr:colOff>
      <xdr:row>14</xdr:row>
      <xdr:rowOff>148167</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14</xdr:row>
      <xdr:rowOff>6735</xdr:rowOff>
    </xdr:from>
    <xdr:to>
      <xdr:col>9</xdr:col>
      <xdr:colOff>483304</xdr:colOff>
      <xdr:row>14</xdr:row>
      <xdr:rowOff>148167</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2</xdr:row>
      <xdr:rowOff>85725</xdr:rowOff>
    </xdr:from>
    <xdr:to>
      <xdr:col>11</xdr:col>
      <xdr:colOff>418353</xdr:colOff>
      <xdr:row>4</xdr:row>
      <xdr:rowOff>152400</xdr:rowOff>
    </xdr:to>
    <xdr:grpSp>
      <xdr:nvGrpSpPr>
        <xdr:cNvPr id="5" name="Group 33">
          <a:extLst>
            <a:ext uri="{FF2B5EF4-FFF2-40B4-BE49-F238E27FC236}">
              <a16:creationId xmlns:a16="http://schemas.microsoft.com/office/drawing/2014/main" id="{00000000-0008-0000-0300-000005000000}"/>
            </a:ext>
          </a:extLst>
        </xdr:cNvPr>
        <xdr:cNvGrpSpPr>
          <a:grpSpLocks/>
        </xdr:cNvGrpSpPr>
      </xdr:nvGrpSpPr>
      <xdr:grpSpPr bwMode="auto">
        <a:xfrm>
          <a:off x="523875" y="549275"/>
          <a:ext cx="9419478" cy="650875"/>
          <a:chOff x="11" y="147"/>
          <a:chExt cx="521" cy="83"/>
        </a:xfrm>
      </xdr:grpSpPr>
      <xdr:sp macro="" textlink="">
        <xdr:nvSpPr>
          <xdr:cNvPr id="6" name="AutoShape 34">
            <a:extLst>
              <a:ext uri="{FF2B5EF4-FFF2-40B4-BE49-F238E27FC236}">
                <a16:creationId xmlns:a16="http://schemas.microsoft.com/office/drawing/2014/main" id="{00000000-0008-0000-0300-000006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35">
            <a:extLst>
              <a:ext uri="{FF2B5EF4-FFF2-40B4-BE49-F238E27FC236}">
                <a16:creationId xmlns:a16="http://schemas.microsoft.com/office/drawing/2014/main" id="{00000000-0008-0000-0300-000007000000}"/>
              </a:ext>
            </a:extLst>
          </xdr:cNvPr>
          <xdr:cNvSpPr txBox="1">
            <a:spLocks noChangeArrowheads="1"/>
          </xdr:cNvSpPr>
        </xdr:nvSpPr>
        <xdr:spPr bwMode="auto">
          <a:xfrm>
            <a:off x="24" y="151"/>
            <a:ext cx="498" cy="6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Utilities will have the choice to manually adjust the projected growth in the bridge and test years if it is felt that the Geomean average does not represent forecasted growth</a:t>
            </a:r>
          </a:p>
        </xdr:txBody>
      </xdr:sp>
    </xdr:grpSp>
    <xdr:clientData/>
  </xdr:twoCellAnchor>
  <xdr:twoCellAnchor>
    <xdr:from>
      <xdr:col>2</xdr:col>
      <xdr:colOff>66675</xdr:colOff>
      <xdr:row>25</xdr:row>
      <xdr:rowOff>19050</xdr:rowOff>
    </xdr:from>
    <xdr:to>
      <xdr:col>2</xdr:col>
      <xdr:colOff>112394</xdr:colOff>
      <xdr:row>25</xdr:row>
      <xdr:rowOff>114300</xdr:rowOff>
    </xdr:to>
    <xdr:sp macro="" textlink="">
      <xdr:nvSpPr>
        <xdr:cNvPr id="8" name="Down Arrow 7">
          <a:extLst>
            <a:ext uri="{FF2B5EF4-FFF2-40B4-BE49-F238E27FC236}">
              <a16:creationId xmlns:a16="http://schemas.microsoft.com/office/drawing/2014/main" id="{00000000-0008-0000-0300-000008000000}"/>
            </a:ext>
          </a:extLst>
        </xdr:cNvPr>
        <xdr:cNvSpPr/>
      </xdr:nvSpPr>
      <xdr:spPr>
        <a:xfrm>
          <a:off x="1743075" y="5124450"/>
          <a:ext cx="45719"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14</xdr:col>
      <xdr:colOff>0</xdr:colOff>
      <xdr:row>25</xdr:row>
      <xdr:rowOff>0</xdr:rowOff>
    </xdr:from>
    <xdr:to>
      <xdr:col>14</xdr:col>
      <xdr:colOff>45719</xdr:colOff>
      <xdr:row>25</xdr:row>
      <xdr:rowOff>95250</xdr:rowOff>
    </xdr:to>
    <xdr:sp macro="" textlink="">
      <xdr:nvSpPr>
        <xdr:cNvPr id="10" name="Down Arrow 9">
          <a:extLst>
            <a:ext uri="{FF2B5EF4-FFF2-40B4-BE49-F238E27FC236}">
              <a16:creationId xmlns:a16="http://schemas.microsoft.com/office/drawing/2014/main" id="{00000000-0008-0000-0300-00000A000000}"/>
            </a:ext>
          </a:extLst>
        </xdr:cNvPr>
        <xdr:cNvSpPr/>
      </xdr:nvSpPr>
      <xdr:spPr>
        <a:xfrm>
          <a:off x="10953750" y="5105400"/>
          <a:ext cx="45719"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285003</xdr:colOff>
      <xdr:row>8</xdr:row>
      <xdr:rowOff>42022</xdr:rowOff>
    </xdr:to>
    <xdr:grpSp>
      <xdr:nvGrpSpPr>
        <xdr:cNvPr id="5" name="Group 33">
          <a:extLst>
            <a:ext uri="{FF2B5EF4-FFF2-40B4-BE49-F238E27FC236}">
              <a16:creationId xmlns:a16="http://schemas.microsoft.com/office/drawing/2014/main" id="{00000000-0008-0000-0400-000005000000}"/>
            </a:ext>
          </a:extLst>
        </xdr:cNvPr>
        <xdr:cNvGrpSpPr>
          <a:grpSpLocks/>
        </xdr:cNvGrpSpPr>
      </xdr:nvGrpSpPr>
      <xdr:grpSpPr bwMode="auto">
        <a:xfrm>
          <a:off x="592667" y="620889"/>
          <a:ext cx="9365503" cy="853411"/>
          <a:chOff x="11" y="147"/>
          <a:chExt cx="521" cy="83"/>
        </a:xfrm>
      </xdr:grpSpPr>
      <xdr:sp macro="" textlink="">
        <xdr:nvSpPr>
          <xdr:cNvPr id="6" name="AutoShape 34">
            <a:extLst>
              <a:ext uri="{FF2B5EF4-FFF2-40B4-BE49-F238E27FC236}">
                <a16:creationId xmlns:a16="http://schemas.microsoft.com/office/drawing/2014/main" id="{00000000-0008-0000-0400-000006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35">
            <a:extLst>
              <a:ext uri="{FF2B5EF4-FFF2-40B4-BE49-F238E27FC236}">
                <a16:creationId xmlns:a16="http://schemas.microsoft.com/office/drawing/2014/main" id="{00000000-0008-0000-0400-000007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Enter Variables here that will be used to run the regression analysis in worksheet 6. WS Regression Analysis ( Maximum 6 variables)</a:t>
            </a:r>
          </a:p>
          <a:p>
            <a:pPr algn="l" rtl="0">
              <a:defRPr sz="1000"/>
            </a:pPr>
            <a:r>
              <a:rPr lang="en-CA" sz="1000" b="1" i="1" u="none" strike="noStrike" baseline="0">
                <a:solidFill>
                  <a:srgbClr val="FF0000"/>
                </a:solidFill>
                <a:latin typeface="Arial"/>
                <a:cs typeface="Arial"/>
              </a:rPr>
              <a:t>Note: Your final regression analysis </a:t>
            </a:r>
            <a:r>
              <a:rPr lang="en-CA" sz="1000" b="1" i="1" u="sng" strike="noStrike" baseline="0">
                <a:solidFill>
                  <a:srgbClr val="FF0000"/>
                </a:solidFill>
                <a:latin typeface="Arial"/>
                <a:cs typeface="Arial"/>
              </a:rPr>
              <a:t>does not </a:t>
            </a:r>
            <a:r>
              <a:rPr lang="en-CA" sz="1000" b="1" i="1" u="none" strike="noStrike" baseline="0">
                <a:solidFill>
                  <a:srgbClr val="FF0000"/>
                </a:solidFill>
                <a:latin typeface="Arial"/>
                <a:cs typeface="Arial"/>
              </a:rPr>
              <a:t>need to include all six of the variables </a:t>
            </a:r>
            <a:endParaRPr lang="en-CA" sz="1000" b="1" i="0" u="none" strike="noStrike" baseline="0">
              <a:solidFill>
                <a:srgbClr val="FF0000"/>
              </a:solidFill>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406213</xdr:colOff>
      <xdr:row>8</xdr:row>
      <xdr:rowOff>87406</xdr:rowOff>
    </xdr:from>
    <xdr:to>
      <xdr:col>2</xdr:col>
      <xdr:colOff>587188</xdr:colOff>
      <xdr:row>8</xdr:row>
      <xdr:rowOff>258856</xdr:rowOff>
    </xdr:to>
    <xdr:sp macro="" textlink="">
      <xdr:nvSpPr>
        <xdr:cNvPr id="3" name="Isosceles Triangle 2">
          <a:extLst>
            <a:ext uri="{FF2B5EF4-FFF2-40B4-BE49-F238E27FC236}">
              <a16:creationId xmlns:a16="http://schemas.microsoft.com/office/drawing/2014/main" id="{00000000-0008-0000-0500-000003000000}"/>
            </a:ext>
          </a:extLst>
        </xdr:cNvPr>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428625</xdr:colOff>
      <xdr:row>8</xdr:row>
      <xdr:rowOff>104775</xdr:rowOff>
    </xdr:from>
    <xdr:to>
      <xdr:col>20</xdr:col>
      <xdr:colOff>676275</xdr:colOff>
      <xdr:row>8</xdr:row>
      <xdr:rowOff>333375</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537882</xdr:colOff>
      <xdr:row>9</xdr:row>
      <xdr:rowOff>302559</xdr:rowOff>
    </xdr:from>
    <xdr:to>
      <xdr:col>9</xdr:col>
      <xdr:colOff>862852</xdr:colOff>
      <xdr:row>9</xdr:row>
      <xdr:rowOff>348278</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7911353" y="2017059"/>
          <a:ext cx="32497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515470</xdr:colOff>
      <xdr:row>1</xdr:row>
      <xdr:rowOff>156881</xdr:rowOff>
    </xdr:from>
    <xdr:to>
      <xdr:col>10</xdr:col>
      <xdr:colOff>216086</xdr:colOff>
      <xdr:row>4</xdr:row>
      <xdr:rowOff>257734</xdr:rowOff>
    </xdr:to>
    <xdr:grpSp>
      <xdr:nvGrpSpPr>
        <xdr:cNvPr id="7" name="Group 33">
          <a:extLst>
            <a:ext uri="{FF2B5EF4-FFF2-40B4-BE49-F238E27FC236}">
              <a16:creationId xmlns:a16="http://schemas.microsoft.com/office/drawing/2014/main" id="{00000000-0008-0000-0500-000007000000}"/>
            </a:ext>
          </a:extLst>
        </xdr:cNvPr>
        <xdr:cNvGrpSpPr>
          <a:grpSpLocks/>
        </xdr:cNvGrpSpPr>
      </xdr:nvGrpSpPr>
      <xdr:grpSpPr bwMode="auto">
        <a:xfrm>
          <a:off x="515470" y="455331"/>
          <a:ext cx="10508316" cy="856503"/>
          <a:chOff x="11" y="147"/>
          <a:chExt cx="521" cy="83"/>
        </a:xfrm>
      </xdr:grpSpPr>
      <xdr:sp macro="" textlink="">
        <xdr:nvSpPr>
          <xdr:cNvPr id="8" name="AutoShape 34">
            <a:extLst>
              <a:ext uri="{FF2B5EF4-FFF2-40B4-BE49-F238E27FC236}">
                <a16:creationId xmlns:a16="http://schemas.microsoft.com/office/drawing/2014/main" id="{00000000-0008-0000-0500-000008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Text Box 35">
            <a:extLst>
              <a:ext uri="{FF2B5EF4-FFF2-40B4-BE49-F238E27FC236}">
                <a16:creationId xmlns:a16="http://schemas.microsoft.com/office/drawing/2014/main" id="{00000000-0008-0000-0500-000009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Update Wholesale Purchases,</a:t>
            </a:r>
          </a:p>
          <a:p>
            <a:pPr algn="l" rtl="0">
              <a:defRPr sz="1000"/>
            </a:pPr>
            <a:r>
              <a:rPr lang="en-CA" sz="1000" b="1" i="0" u="none" strike="noStrike" baseline="0">
                <a:solidFill>
                  <a:srgbClr val="FF0000"/>
                </a:solidFill>
                <a:latin typeface="Arial"/>
                <a:cs typeface="Arial"/>
              </a:rPr>
              <a:t>2. Use drop down lists to select the variables inputted from 5.Variable Worksheet and  Select Forecast Methodology</a:t>
            </a:r>
          </a:p>
          <a:p>
            <a:pPr algn="l" rtl="0">
              <a:defRPr sz="1000"/>
            </a:pPr>
            <a:r>
              <a:rPr lang="en-CA" sz="1000" b="1" i="0" u="none" strike="noStrike" baseline="0">
                <a:solidFill>
                  <a:srgbClr val="FF0000"/>
                </a:solidFill>
                <a:latin typeface="Arial"/>
                <a:cs typeface="Arial"/>
              </a:rPr>
              <a:t>3. Run Regression -&gt; Data -&gt; Data Analysis - &gt; Regression</a:t>
            </a:r>
            <a:endParaRPr lang="en-CA" sz="1000" b="1" i="1" u="none" strike="noStrike" baseline="0">
              <a:solidFill>
                <a:srgbClr val="FF0000"/>
              </a:solidFill>
              <a:latin typeface="Arial"/>
              <a:cs typeface="Arial"/>
            </a:endParaRPr>
          </a:p>
        </xdr:txBody>
      </xdr:sp>
    </xdr:grpSp>
    <xdr:clientData/>
  </xdr:twoCellAnchor>
  <xdr:twoCellAnchor>
    <xdr:from>
      <xdr:col>16</xdr:col>
      <xdr:colOff>142875</xdr:colOff>
      <xdr:row>9</xdr:row>
      <xdr:rowOff>295275</xdr:rowOff>
    </xdr:from>
    <xdr:to>
      <xdr:col>17</xdr:col>
      <xdr:colOff>143995</xdr:colOff>
      <xdr:row>9</xdr:row>
      <xdr:rowOff>340994</xdr:rowOff>
    </xdr:to>
    <xdr:sp macro="" textlink="">
      <xdr:nvSpPr>
        <xdr:cNvPr id="11" name="Right Arrow 10">
          <a:extLst>
            <a:ext uri="{FF2B5EF4-FFF2-40B4-BE49-F238E27FC236}">
              <a16:creationId xmlns:a16="http://schemas.microsoft.com/office/drawing/2014/main" id="{00000000-0008-0000-0500-00000B000000}"/>
            </a:ext>
          </a:extLst>
        </xdr:cNvPr>
        <xdr:cNvSpPr/>
      </xdr:nvSpPr>
      <xdr:spPr>
        <a:xfrm rot="10800000">
          <a:off x="15382875" y="3571875"/>
          <a:ext cx="32497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24</xdr:col>
      <xdr:colOff>9524</xdr:colOff>
      <xdr:row>90</xdr:row>
      <xdr:rowOff>38100</xdr:rowOff>
    </xdr:from>
    <xdr:to>
      <xdr:col>29</xdr:col>
      <xdr:colOff>447674</xdr:colOff>
      <xdr:row>107</xdr:row>
      <xdr:rowOff>28575</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9</xdr:row>
      <xdr:rowOff>19050</xdr:rowOff>
    </xdr:from>
    <xdr:to>
      <xdr:col>1</xdr:col>
      <xdr:colOff>533399</xdr:colOff>
      <xdr:row>32</xdr:row>
      <xdr:rowOff>0</xdr:rowOff>
    </xdr:to>
    <xdr:sp macro="" textlink="">
      <xdr:nvSpPr>
        <xdr:cNvPr id="2" name="Left Brace 1">
          <a:extLst>
            <a:ext uri="{FF2B5EF4-FFF2-40B4-BE49-F238E27FC236}">
              <a16:creationId xmlns:a16="http://schemas.microsoft.com/office/drawing/2014/main" id="{00000000-0008-0000-0600-000002000000}"/>
            </a:ext>
          </a:extLst>
        </xdr:cNvPr>
        <xdr:cNvSpPr/>
      </xdr:nvSpPr>
      <xdr:spPr>
        <a:xfrm>
          <a:off x="190500" y="504825"/>
          <a:ext cx="342899" cy="5124450"/>
        </a:xfrm>
        <a:prstGeom prst="leftBrace">
          <a:avLst>
            <a:gd name="adj1" fmla="val 8333"/>
            <a:gd name="adj2" fmla="val 4981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2</xdr:col>
      <xdr:colOff>0</xdr:colOff>
      <xdr:row>2</xdr:row>
      <xdr:rowOff>0</xdr:rowOff>
    </xdr:from>
    <xdr:to>
      <xdr:col>9</xdr:col>
      <xdr:colOff>799353</xdr:colOff>
      <xdr:row>7</xdr:row>
      <xdr:rowOff>0</xdr:rowOff>
    </xdr:to>
    <xdr:grpSp>
      <xdr:nvGrpSpPr>
        <xdr:cNvPr id="6" name="Group 33">
          <a:extLst>
            <a:ext uri="{FF2B5EF4-FFF2-40B4-BE49-F238E27FC236}">
              <a16:creationId xmlns:a16="http://schemas.microsoft.com/office/drawing/2014/main" id="{00000000-0008-0000-0600-000006000000}"/>
            </a:ext>
          </a:extLst>
        </xdr:cNvPr>
        <xdr:cNvGrpSpPr>
          <a:grpSpLocks/>
        </xdr:cNvGrpSpPr>
      </xdr:nvGrpSpPr>
      <xdr:grpSpPr bwMode="auto">
        <a:xfrm>
          <a:off x="768350" y="450850"/>
          <a:ext cx="10991103" cy="793750"/>
          <a:chOff x="11" y="147"/>
          <a:chExt cx="521" cy="83"/>
        </a:xfrm>
      </xdr:grpSpPr>
      <xdr:sp macro="" textlink="">
        <xdr:nvSpPr>
          <xdr:cNvPr id="7" name="AutoShape 34">
            <a:extLst>
              <a:ext uri="{FF2B5EF4-FFF2-40B4-BE49-F238E27FC236}">
                <a16:creationId xmlns:a16="http://schemas.microsoft.com/office/drawing/2014/main" id="{00000000-0008-0000-0600-000007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35">
            <a:extLst>
              <a:ext uri="{FF2B5EF4-FFF2-40B4-BE49-F238E27FC236}">
                <a16:creationId xmlns:a16="http://schemas.microsoft.com/office/drawing/2014/main" id="{00000000-0008-0000-0600-000008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Examples of Correlation and Regression Results can be copied over from worksheet 6. WS Regression Analysis</a:t>
            </a:r>
          </a:p>
          <a:p>
            <a:pPr algn="l" rtl="0">
              <a:defRPr sz="1000"/>
            </a:pPr>
            <a:r>
              <a:rPr lang="en-CA" sz="1000" b="1" i="0" u="none" strike="noStrike" baseline="0">
                <a:solidFill>
                  <a:srgbClr val="FF0000"/>
                </a:solidFill>
                <a:latin typeface="Arial"/>
                <a:cs typeface="Arial"/>
              </a:rPr>
              <a:t>2. This page will be overwrite by utilities specific studies</a:t>
            </a:r>
            <a:endParaRPr lang="en-CA" sz="1000" b="1" i="1" u="none" strike="noStrike" baseline="0">
              <a:solidFill>
                <a:srgbClr val="FF0000"/>
              </a:solidFill>
              <a:latin typeface="Arial"/>
              <a:cs typeface="Aria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3</xdr:row>
      <xdr:rowOff>161925</xdr:rowOff>
    </xdr:from>
    <xdr:to>
      <xdr:col>9</xdr:col>
      <xdr:colOff>1095375</xdr:colOff>
      <xdr:row>6</xdr:row>
      <xdr:rowOff>238125</xdr:rowOff>
    </xdr:to>
    <xdr:grpSp>
      <xdr:nvGrpSpPr>
        <xdr:cNvPr id="5" name="Group 33">
          <a:extLst>
            <a:ext uri="{FF2B5EF4-FFF2-40B4-BE49-F238E27FC236}">
              <a16:creationId xmlns:a16="http://schemas.microsoft.com/office/drawing/2014/main" id="{00000000-0008-0000-0700-000005000000}"/>
            </a:ext>
          </a:extLst>
        </xdr:cNvPr>
        <xdr:cNvGrpSpPr>
          <a:grpSpLocks/>
        </xdr:cNvGrpSpPr>
      </xdr:nvGrpSpPr>
      <xdr:grpSpPr bwMode="auto">
        <a:xfrm>
          <a:off x="190501" y="822325"/>
          <a:ext cx="11858624" cy="952500"/>
          <a:chOff x="11" y="147"/>
          <a:chExt cx="521" cy="83"/>
        </a:xfrm>
      </xdr:grpSpPr>
      <xdr:sp macro="" textlink="">
        <xdr:nvSpPr>
          <xdr:cNvPr id="6" name="AutoShape 34">
            <a:extLst>
              <a:ext uri="{FF2B5EF4-FFF2-40B4-BE49-F238E27FC236}">
                <a16:creationId xmlns:a16="http://schemas.microsoft.com/office/drawing/2014/main" id="{00000000-0008-0000-0700-000006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35">
            <a:extLst>
              <a:ext uri="{FF2B5EF4-FFF2-40B4-BE49-F238E27FC236}">
                <a16:creationId xmlns:a16="http://schemas.microsoft.com/office/drawing/2014/main" id="{00000000-0008-0000-0700-000007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Please make sure all customers are included </a:t>
            </a:r>
          </a:p>
          <a:p>
            <a:pPr algn="l" rtl="0">
              <a:defRPr sz="1000"/>
            </a:pPr>
            <a:r>
              <a:rPr lang="en-CA" sz="1000" b="1" i="1" u="none" strike="noStrike" baseline="0">
                <a:solidFill>
                  <a:srgbClr val="FF0000"/>
                </a:solidFill>
                <a:latin typeface="Arial"/>
                <a:cs typeface="Arial"/>
              </a:rPr>
              <a:t>2. </a:t>
            </a:r>
            <a:r>
              <a:rPr lang="en-CA" sz="1000" b="1" i="0" u="none" strike="noStrike" baseline="0">
                <a:solidFill>
                  <a:srgbClr val="FF0000"/>
                </a:solidFill>
                <a:latin typeface="Arial"/>
                <a:cs typeface="Arial"/>
              </a:rPr>
              <a:t>Please update the % of Weather Sensitivity as per the Hydro One study </a:t>
            </a:r>
          </a:p>
          <a:p>
            <a:pPr algn="l" rtl="0">
              <a:defRPr sz="1000"/>
            </a:pPr>
            <a:r>
              <a:rPr lang="en-CA" sz="1000" b="1" i="0" u="none" strike="noStrike" baseline="0">
                <a:solidFill>
                  <a:srgbClr val="FF0000"/>
                </a:solidFill>
                <a:latin typeface="Arial"/>
                <a:cs typeface="Arial"/>
              </a:rPr>
              <a:t>3. If required, adjust for CDM per customer class on consumption</a:t>
            </a:r>
            <a:endParaRPr lang="en-CA">
              <a:solidFill>
                <a:srgbClr val="FF0000"/>
              </a:solidFill>
              <a:effectLst/>
              <a:latin typeface="Arial" panose="020B0604020202020204" pitchFamily="34" charset="0"/>
              <a:cs typeface="Arial" panose="020B0604020202020204"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34</xdr:row>
      <xdr:rowOff>34636</xdr:rowOff>
    </xdr:from>
    <xdr:to>
      <xdr:col>0</xdr:col>
      <xdr:colOff>536863</xdr:colOff>
      <xdr:row>37</xdr:row>
      <xdr:rowOff>164521</xdr:rowOff>
    </xdr:to>
    <xdr:sp macro="" textlink="">
      <xdr:nvSpPr>
        <xdr:cNvPr id="2" name="Right Brace 1">
          <a:extLst>
            <a:ext uri="{FF2B5EF4-FFF2-40B4-BE49-F238E27FC236}">
              <a16:creationId xmlns:a16="http://schemas.microsoft.com/office/drawing/2014/main" id="{00000000-0008-0000-08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189633</xdr:colOff>
      <xdr:row>28</xdr:row>
      <xdr:rowOff>57150</xdr:rowOff>
    </xdr:from>
    <xdr:to>
      <xdr:col>4</xdr:col>
      <xdr:colOff>445077</xdr:colOff>
      <xdr:row>32</xdr:row>
      <xdr:rowOff>36368</xdr:rowOff>
    </xdr:to>
    <xdr:sp macro="" textlink="">
      <xdr:nvSpPr>
        <xdr:cNvPr id="3" name="Down Arrow 2">
          <a:extLst>
            <a:ext uri="{FF2B5EF4-FFF2-40B4-BE49-F238E27FC236}">
              <a16:creationId xmlns:a16="http://schemas.microsoft.com/office/drawing/2014/main" id="{00000000-0008-0000-0800-000003000000}"/>
            </a:ext>
          </a:extLst>
        </xdr:cNvPr>
        <xdr:cNvSpPr/>
      </xdr:nvSpPr>
      <xdr:spPr>
        <a:xfrm>
          <a:off x="3485283" y="38290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213013</xdr:colOff>
      <xdr:row>28</xdr:row>
      <xdr:rowOff>47625</xdr:rowOff>
    </xdr:from>
    <xdr:to>
      <xdr:col>12</xdr:col>
      <xdr:colOff>477982</xdr:colOff>
      <xdr:row>32</xdr:row>
      <xdr:rowOff>8659</xdr:rowOff>
    </xdr:to>
    <xdr:sp macro="" textlink="">
      <xdr:nvSpPr>
        <xdr:cNvPr id="4" name="Down Arrow 3">
          <a:extLst>
            <a:ext uri="{FF2B5EF4-FFF2-40B4-BE49-F238E27FC236}">
              <a16:creationId xmlns:a16="http://schemas.microsoft.com/office/drawing/2014/main" id="{00000000-0008-0000-0800-000004000000}"/>
            </a:ext>
          </a:extLst>
        </xdr:cNvPr>
        <xdr:cNvSpPr/>
      </xdr:nvSpPr>
      <xdr:spPr>
        <a:xfrm>
          <a:off x="9699913" y="3819525"/>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185303</xdr:colOff>
      <xdr:row>28</xdr:row>
      <xdr:rowOff>47624</xdr:rowOff>
    </xdr:from>
    <xdr:to>
      <xdr:col>20</xdr:col>
      <xdr:colOff>450272</xdr:colOff>
      <xdr:row>32</xdr:row>
      <xdr:rowOff>19915</xdr:rowOff>
    </xdr:to>
    <xdr:sp macro="" textlink="">
      <xdr:nvSpPr>
        <xdr:cNvPr id="5" name="Down Arrow 4">
          <a:extLst>
            <a:ext uri="{FF2B5EF4-FFF2-40B4-BE49-F238E27FC236}">
              <a16:creationId xmlns:a16="http://schemas.microsoft.com/office/drawing/2014/main" id="{00000000-0008-0000-0800-000005000000}"/>
            </a:ext>
          </a:extLst>
        </xdr:cNvPr>
        <xdr:cNvSpPr/>
      </xdr:nvSpPr>
      <xdr:spPr>
        <a:xfrm>
          <a:off x="15853928" y="38195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285750</xdr:colOff>
      <xdr:row>14</xdr:row>
      <xdr:rowOff>38100</xdr:rowOff>
    </xdr:from>
    <xdr:to>
      <xdr:col>4</xdr:col>
      <xdr:colOff>533400</xdr:colOff>
      <xdr:row>14</xdr:row>
      <xdr:rowOff>266700</xdr:rowOff>
    </xdr:to>
    <xdr:sp macro="" textlink="">
      <xdr:nvSpPr>
        <xdr:cNvPr id="6" name="5-Point Star 5">
          <a:extLst>
            <a:ext uri="{FF2B5EF4-FFF2-40B4-BE49-F238E27FC236}">
              <a16:creationId xmlns:a16="http://schemas.microsoft.com/office/drawing/2014/main" id="{00000000-0008-0000-0800-000006000000}"/>
            </a:ext>
          </a:extLst>
        </xdr:cNvPr>
        <xdr:cNvSpPr/>
      </xdr:nvSpPr>
      <xdr:spPr>
        <a:xfrm>
          <a:off x="3524250" y="742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276225</xdr:colOff>
      <xdr:row>14</xdr:row>
      <xdr:rowOff>47625</xdr:rowOff>
    </xdr:from>
    <xdr:to>
      <xdr:col>12</xdr:col>
      <xdr:colOff>523875</xdr:colOff>
      <xdr:row>14</xdr:row>
      <xdr:rowOff>276225</xdr:rowOff>
    </xdr:to>
    <xdr:sp macro="" textlink="">
      <xdr:nvSpPr>
        <xdr:cNvPr id="7" name="5-Point Star 6">
          <a:extLst>
            <a:ext uri="{FF2B5EF4-FFF2-40B4-BE49-F238E27FC236}">
              <a16:creationId xmlns:a16="http://schemas.microsoft.com/office/drawing/2014/main" id="{00000000-0008-0000-0800-000007000000}"/>
            </a:ext>
          </a:extLst>
        </xdr:cNvPr>
        <xdr:cNvSpPr/>
      </xdr:nvSpPr>
      <xdr:spPr>
        <a:xfrm>
          <a:off x="9705975" y="752475"/>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276225</xdr:colOff>
      <xdr:row>14</xdr:row>
      <xdr:rowOff>38100</xdr:rowOff>
    </xdr:from>
    <xdr:to>
      <xdr:col>20</xdr:col>
      <xdr:colOff>523875</xdr:colOff>
      <xdr:row>14</xdr:row>
      <xdr:rowOff>266700</xdr:rowOff>
    </xdr:to>
    <xdr:sp macro="" textlink="">
      <xdr:nvSpPr>
        <xdr:cNvPr id="8" name="5-Point Star 7">
          <a:extLst>
            <a:ext uri="{FF2B5EF4-FFF2-40B4-BE49-F238E27FC236}">
              <a16:creationId xmlns:a16="http://schemas.microsoft.com/office/drawing/2014/main" id="{00000000-0008-0000-0800-000008000000}"/>
            </a:ext>
          </a:extLst>
        </xdr:cNvPr>
        <xdr:cNvSpPr/>
      </xdr:nvSpPr>
      <xdr:spPr>
        <a:xfrm>
          <a:off x="15887700" y="742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371475</xdr:colOff>
      <xdr:row>14</xdr:row>
      <xdr:rowOff>57149</xdr:rowOff>
    </xdr:from>
    <xdr:to>
      <xdr:col>2</xdr:col>
      <xdr:colOff>571500</xdr:colOff>
      <xdr:row>14</xdr:row>
      <xdr:rowOff>238124</xdr:rowOff>
    </xdr:to>
    <xdr:sp macro="" textlink="">
      <xdr:nvSpPr>
        <xdr:cNvPr id="10" name="Rectangle 9">
          <a:extLst>
            <a:ext uri="{FF2B5EF4-FFF2-40B4-BE49-F238E27FC236}">
              <a16:creationId xmlns:a16="http://schemas.microsoft.com/office/drawing/2014/main" id="{00000000-0008-0000-0800-00000A000000}"/>
            </a:ext>
          </a:extLst>
        </xdr:cNvPr>
        <xdr:cNvSpPr/>
      </xdr:nvSpPr>
      <xdr:spPr>
        <a:xfrm>
          <a:off x="1895475" y="923924"/>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333375</xdr:colOff>
      <xdr:row>14</xdr:row>
      <xdr:rowOff>66675</xdr:rowOff>
    </xdr:from>
    <xdr:to>
      <xdr:col>10</xdr:col>
      <xdr:colOff>533400</xdr:colOff>
      <xdr:row>14</xdr:row>
      <xdr:rowOff>247650</xdr:rowOff>
    </xdr:to>
    <xdr:sp macro="" textlink="">
      <xdr:nvSpPr>
        <xdr:cNvPr id="11" name="Rectangle 10">
          <a:extLst>
            <a:ext uri="{FF2B5EF4-FFF2-40B4-BE49-F238E27FC236}">
              <a16:creationId xmlns:a16="http://schemas.microsoft.com/office/drawing/2014/main" id="{00000000-0008-0000-0800-00000B000000}"/>
            </a:ext>
          </a:extLst>
        </xdr:cNvPr>
        <xdr:cNvSpPr/>
      </xdr:nvSpPr>
      <xdr:spPr>
        <a:xfrm>
          <a:off x="8105775" y="933450"/>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14</xdr:row>
      <xdr:rowOff>76200</xdr:rowOff>
    </xdr:from>
    <xdr:to>
      <xdr:col>18</xdr:col>
      <xdr:colOff>514350</xdr:colOff>
      <xdr:row>14</xdr:row>
      <xdr:rowOff>257175</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14268450" y="942975"/>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276225</xdr:colOff>
      <xdr:row>14</xdr:row>
      <xdr:rowOff>76199</xdr:rowOff>
    </xdr:from>
    <xdr:to>
      <xdr:col>19</xdr:col>
      <xdr:colOff>476250</xdr:colOff>
      <xdr:row>14</xdr:row>
      <xdr:rowOff>257174</xdr:rowOff>
    </xdr:to>
    <xdr:sp macro="" textlink="">
      <xdr:nvSpPr>
        <xdr:cNvPr id="13" name="Isosceles Triangle 12">
          <a:extLst>
            <a:ext uri="{FF2B5EF4-FFF2-40B4-BE49-F238E27FC236}">
              <a16:creationId xmlns:a16="http://schemas.microsoft.com/office/drawing/2014/main" id="{00000000-0008-0000-0800-00000D000000}"/>
            </a:ext>
          </a:extLst>
        </xdr:cNvPr>
        <xdr:cNvSpPr/>
      </xdr:nvSpPr>
      <xdr:spPr>
        <a:xfrm>
          <a:off x="15030450" y="942974"/>
          <a:ext cx="200025" cy="1809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266700</xdr:colOff>
      <xdr:row>14</xdr:row>
      <xdr:rowOff>38100</xdr:rowOff>
    </xdr:from>
    <xdr:to>
      <xdr:col>11</xdr:col>
      <xdr:colOff>504825</xdr:colOff>
      <xdr:row>14</xdr:row>
      <xdr:rowOff>257175</xdr:rowOff>
    </xdr:to>
    <xdr:sp macro="" textlink="">
      <xdr:nvSpPr>
        <xdr:cNvPr id="14" name="Isosceles Triangle 13">
          <a:extLst>
            <a:ext uri="{FF2B5EF4-FFF2-40B4-BE49-F238E27FC236}">
              <a16:creationId xmlns:a16="http://schemas.microsoft.com/office/drawing/2014/main" id="{00000000-0008-0000-0800-00000E000000}"/>
            </a:ext>
          </a:extLst>
        </xdr:cNvPr>
        <xdr:cNvSpPr/>
      </xdr:nvSpPr>
      <xdr:spPr>
        <a:xfrm>
          <a:off x="8839200" y="904875"/>
          <a:ext cx="238125"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266700</xdr:colOff>
      <xdr:row>14</xdr:row>
      <xdr:rowOff>28575</xdr:rowOff>
    </xdr:from>
    <xdr:to>
      <xdr:col>3</xdr:col>
      <xdr:colOff>495300</xdr:colOff>
      <xdr:row>14</xdr:row>
      <xdr:rowOff>247650</xdr:rowOff>
    </xdr:to>
    <xdr:sp macro="" textlink="">
      <xdr:nvSpPr>
        <xdr:cNvPr id="15" name="Isosceles Triangle 14">
          <a:extLst>
            <a:ext uri="{FF2B5EF4-FFF2-40B4-BE49-F238E27FC236}">
              <a16:creationId xmlns:a16="http://schemas.microsoft.com/office/drawing/2014/main" id="{00000000-0008-0000-0800-00000F000000}"/>
            </a:ext>
          </a:extLst>
        </xdr:cNvPr>
        <xdr:cNvSpPr/>
      </xdr:nvSpPr>
      <xdr:spPr>
        <a:xfrm>
          <a:off x="2647950" y="895350"/>
          <a:ext cx="228600"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185303</xdr:colOff>
      <xdr:row>28</xdr:row>
      <xdr:rowOff>47624</xdr:rowOff>
    </xdr:from>
    <xdr:to>
      <xdr:col>28</xdr:col>
      <xdr:colOff>450272</xdr:colOff>
      <xdr:row>32</xdr:row>
      <xdr:rowOff>19915</xdr:rowOff>
    </xdr:to>
    <xdr:sp macro="" textlink="">
      <xdr:nvSpPr>
        <xdr:cNvPr id="16" name="Down Arrow 15">
          <a:extLst>
            <a:ext uri="{FF2B5EF4-FFF2-40B4-BE49-F238E27FC236}">
              <a16:creationId xmlns:a16="http://schemas.microsoft.com/office/drawing/2014/main" id="{00000000-0008-0000-0800-000010000000}"/>
            </a:ext>
          </a:extLst>
        </xdr:cNvPr>
        <xdr:cNvSpPr/>
      </xdr:nvSpPr>
      <xdr:spPr>
        <a:xfrm>
          <a:off x="15853928" y="38195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276225</xdr:colOff>
      <xdr:row>14</xdr:row>
      <xdr:rowOff>38100</xdr:rowOff>
    </xdr:from>
    <xdr:to>
      <xdr:col>28</xdr:col>
      <xdr:colOff>523875</xdr:colOff>
      <xdr:row>14</xdr:row>
      <xdr:rowOff>266700</xdr:rowOff>
    </xdr:to>
    <xdr:sp macro="" textlink="">
      <xdr:nvSpPr>
        <xdr:cNvPr id="17" name="5-Point Star 16">
          <a:extLst>
            <a:ext uri="{FF2B5EF4-FFF2-40B4-BE49-F238E27FC236}">
              <a16:creationId xmlns:a16="http://schemas.microsoft.com/office/drawing/2014/main" id="{00000000-0008-0000-0800-000011000000}"/>
            </a:ext>
          </a:extLst>
        </xdr:cNvPr>
        <xdr:cNvSpPr/>
      </xdr:nvSpPr>
      <xdr:spPr>
        <a:xfrm>
          <a:off x="15944850" y="904875"/>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314325</xdr:colOff>
      <xdr:row>14</xdr:row>
      <xdr:rowOff>76200</xdr:rowOff>
    </xdr:from>
    <xdr:to>
      <xdr:col>26</xdr:col>
      <xdr:colOff>514350</xdr:colOff>
      <xdr:row>14</xdr:row>
      <xdr:rowOff>257175</xdr:rowOff>
    </xdr:to>
    <xdr:sp macro="" textlink="">
      <xdr:nvSpPr>
        <xdr:cNvPr id="18" name="Rectangle 17">
          <a:extLst>
            <a:ext uri="{FF2B5EF4-FFF2-40B4-BE49-F238E27FC236}">
              <a16:creationId xmlns:a16="http://schemas.microsoft.com/office/drawing/2014/main" id="{00000000-0008-0000-0800-000012000000}"/>
            </a:ext>
          </a:extLst>
        </xdr:cNvPr>
        <xdr:cNvSpPr/>
      </xdr:nvSpPr>
      <xdr:spPr>
        <a:xfrm>
          <a:off x="14268450" y="942975"/>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276225</xdr:colOff>
      <xdr:row>14</xdr:row>
      <xdr:rowOff>76199</xdr:rowOff>
    </xdr:from>
    <xdr:to>
      <xdr:col>27</xdr:col>
      <xdr:colOff>476250</xdr:colOff>
      <xdr:row>14</xdr:row>
      <xdr:rowOff>257174</xdr:rowOff>
    </xdr:to>
    <xdr:sp macro="" textlink="">
      <xdr:nvSpPr>
        <xdr:cNvPr id="19" name="Isosceles Triangle 18">
          <a:extLst>
            <a:ext uri="{FF2B5EF4-FFF2-40B4-BE49-F238E27FC236}">
              <a16:creationId xmlns:a16="http://schemas.microsoft.com/office/drawing/2014/main" id="{00000000-0008-0000-0800-000013000000}"/>
            </a:ext>
          </a:extLst>
        </xdr:cNvPr>
        <xdr:cNvSpPr/>
      </xdr:nvSpPr>
      <xdr:spPr>
        <a:xfrm>
          <a:off x="15087600" y="942974"/>
          <a:ext cx="200025" cy="1809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xdr:col>
      <xdr:colOff>9525</xdr:colOff>
      <xdr:row>3</xdr:row>
      <xdr:rowOff>142875</xdr:rowOff>
    </xdr:from>
    <xdr:to>
      <xdr:col>11</xdr:col>
      <xdr:colOff>50800</xdr:colOff>
      <xdr:row>9</xdr:row>
      <xdr:rowOff>9525</xdr:rowOff>
    </xdr:to>
    <xdr:grpSp>
      <xdr:nvGrpSpPr>
        <xdr:cNvPr id="20" name="Group 33">
          <a:extLst>
            <a:ext uri="{FF2B5EF4-FFF2-40B4-BE49-F238E27FC236}">
              <a16:creationId xmlns:a16="http://schemas.microsoft.com/office/drawing/2014/main" id="{00000000-0008-0000-0800-000014000000}"/>
            </a:ext>
          </a:extLst>
        </xdr:cNvPr>
        <xdr:cNvGrpSpPr>
          <a:grpSpLocks/>
        </xdr:cNvGrpSpPr>
      </xdr:nvGrpSpPr>
      <xdr:grpSpPr bwMode="auto">
        <a:xfrm>
          <a:off x="221192" y="664986"/>
          <a:ext cx="9164108" cy="981428"/>
          <a:chOff x="11" y="147"/>
          <a:chExt cx="521" cy="83"/>
        </a:xfrm>
      </xdr:grpSpPr>
      <xdr:sp macro="" textlink="">
        <xdr:nvSpPr>
          <xdr:cNvPr id="21" name="AutoShape 34">
            <a:extLst>
              <a:ext uri="{FF2B5EF4-FFF2-40B4-BE49-F238E27FC236}">
                <a16:creationId xmlns:a16="http://schemas.microsoft.com/office/drawing/2014/main" id="{00000000-0008-0000-0800-000015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Text Box 35">
            <a:extLst>
              <a:ext uri="{FF2B5EF4-FFF2-40B4-BE49-F238E27FC236}">
                <a16:creationId xmlns:a16="http://schemas.microsoft.com/office/drawing/2014/main" id="{00000000-0008-0000-0800-000016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Please Select </a:t>
            </a:r>
            <a:r>
              <a:rPr lang="en-CA" sz="1000" b="1" i="0" u="sng" strike="noStrike" baseline="0">
                <a:solidFill>
                  <a:srgbClr val="FF0000"/>
                </a:solidFill>
                <a:latin typeface="Arial"/>
                <a:cs typeface="Arial"/>
              </a:rPr>
              <a:t>Only</a:t>
            </a:r>
            <a:r>
              <a:rPr lang="en-CA" sz="1000" b="1" i="0" u="none" strike="noStrike" baseline="0">
                <a:solidFill>
                  <a:srgbClr val="FF0000"/>
                </a:solidFill>
                <a:latin typeface="Arial"/>
                <a:cs typeface="Arial"/>
              </a:rPr>
              <a:t> the billed kWh Customer Classes from the Drop Down List ( Include GS&gt;50 kW customers)</a:t>
            </a:r>
          </a:p>
          <a:p>
            <a:pPr algn="l" rtl="0">
              <a:defRPr sz="1000"/>
            </a:pPr>
            <a:r>
              <a:rPr lang="en-CA" sz="1000" b="1" i="0" u="none" strike="noStrike" baseline="0">
                <a:solidFill>
                  <a:srgbClr val="FF0000"/>
                </a:solidFill>
                <a:latin typeface="Arial"/>
                <a:cs typeface="Arial"/>
              </a:rPr>
              <a:t>2. Select if you need to manually adjust for Load Growth or not - i.e. if this was not captured through the regression analysis (this can be verified by a quick calculation, comparing weather normal kwh purchases/forecasted customer totals for the forecast year)-</a:t>
            </a:r>
            <a:endParaRPr lang="en-CA" sz="1000" b="1" i="1" u="none" strike="noStrike" baseline="0">
              <a:solidFill>
                <a:srgbClr val="FF0000"/>
              </a:solidFill>
              <a:latin typeface="Arial"/>
              <a:cs typeface="Arial"/>
            </a:endParaRPr>
          </a:p>
        </xdr:txBody>
      </xdr:sp>
    </xdr:grpSp>
    <xdr:clientData/>
  </xdr:twoCellAnchor>
  <xdr:twoCellAnchor>
    <xdr:from>
      <xdr:col>36</xdr:col>
      <xdr:colOff>185303</xdr:colOff>
      <xdr:row>28</xdr:row>
      <xdr:rowOff>47624</xdr:rowOff>
    </xdr:from>
    <xdr:to>
      <xdr:col>36</xdr:col>
      <xdr:colOff>450272</xdr:colOff>
      <xdr:row>32</xdr:row>
      <xdr:rowOff>19915</xdr:rowOff>
    </xdr:to>
    <xdr:sp macro="" textlink="">
      <xdr:nvSpPr>
        <xdr:cNvPr id="23" name="Down Arrow 22">
          <a:extLst>
            <a:ext uri="{FF2B5EF4-FFF2-40B4-BE49-F238E27FC236}">
              <a16:creationId xmlns:a16="http://schemas.microsoft.com/office/drawing/2014/main" id="{00000000-0008-0000-0800-000017000000}"/>
            </a:ext>
          </a:extLst>
        </xdr:cNvPr>
        <xdr:cNvSpPr/>
      </xdr:nvSpPr>
      <xdr:spPr>
        <a:xfrm>
          <a:off x="22026128" y="46196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276225</xdr:colOff>
      <xdr:row>14</xdr:row>
      <xdr:rowOff>38100</xdr:rowOff>
    </xdr:from>
    <xdr:to>
      <xdr:col>36</xdr:col>
      <xdr:colOff>523875</xdr:colOff>
      <xdr:row>14</xdr:row>
      <xdr:rowOff>266700</xdr:rowOff>
    </xdr:to>
    <xdr:sp macro="" textlink="">
      <xdr:nvSpPr>
        <xdr:cNvPr id="24" name="5-Point Star 23">
          <a:extLst>
            <a:ext uri="{FF2B5EF4-FFF2-40B4-BE49-F238E27FC236}">
              <a16:creationId xmlns:a16="http://schemas.microsoft.com/office/drawing/2014/main" id="{00000000-0008-0000-0800-000018000000}"/>
            </a:ext>
          </a:extLst>
        </xdr:cNvPr>
        <xdr:cNvSpPr/>
      </xdr:nvSpPr>
      <xdr:spPr>
        <a:xfrm>
          <a:off x="22117050" y="1704975"/>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314325</xdr:colOff>
      <xdr:row>14</xdr:row>
      <xdr:rowOff>76200</xdr:rowOff>
    </xdr:from>
    <xdr:to>
      <xdr:col>34</xdr:col>
      <xdr:colOff>514350</xdr:colOff>
      <xdr:row>14</xdr:row>
      <xdr:rowOff>257175</xdr:rowOff>
    </xdr:to>
    <xdr:sp macro="" textlink="">
      <xdr:nvSpPr>
        <xdr:cNvPr id="25" name="Rectangle 24">
          <a:extLst>
            <a:ext uri="{FF2B5EF4-FFF2-40B4-BE49-F238E27FC236}">
              <a16:creationId xmlns:a16="http://schemas.microsoft.com/office/drawing/2014/main" id="{00000000-0008-0000-0800-000019000000}"/>
            </a:ext>
          </a:extLst>
        </xdr:cNvPr>
        <xdr:cNvSpPr/>
      </xdr:nvSpPr>
      <xdr:spPr>
        <a:xfrm>
          <a:off x="20440650" y="1743075"/>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276225</xdr:colOff>
      <xdr:row>14</xdr:row>
      <xdr:rowOff>76199</xdr:rowOff>
    </xdr:from>
    <xdr:to>
      <xdr:col>35</xdr:col>
      <xdr:colOff>476250</xdr:colOff>
      <xdr:row>14</xdr:row>
      <xdr:rowOff>257174</xdr:rowOff>
    </xdr:to>
    <xdr:sp macro="" textlink="">
      <xdr:nvSpPr>
        <xdr:cNvPr id="26" name="Isosceles Triangle 25">
          <a:extLst>
            <a:ext uri="{FF2B5EF4-FFF2-40B4-BE49-F238E27FC236}">
              <a16:creationId xmlns:a16="http://schemas.microsoft.com/office/drawing/2014/main" id="{00000000-0008-0000-0800-00001A000000}"/>
            </a:ext>
          </a:extLst>
        </xdr:cNvPr>
        <xdr:cNvSpPr/>
      </xdr:nvSpPr>
      <xdr:spPr>
        <a:xfrm>
          <a:off x="21259800" y="1743074"/>
          <a:ext cx="200025" cy="1809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285750</xdr:colOff>
      <xdr:row>14</xdr:row>
      <xdr:rowOff>38100</xdr:rowOff>
    </xdr:from>
    <xdr:to>
      <xdr:col>12</xdr:col>
      <xdr:colOff>533400</xdr:colOff>
      <xdr:row>14</xdr:row>
      <xdr:rowOff>266700</xdr:rowOff>
    </xdr:to>
    <xdr:sp macro="" textlink="">
      <xdr:nvSpPr>
        <xdr:cNvPr id="27" name="5-Point Star 26">
          <a:extLst>
            <a:ext uri="{FF2B5EF4-FFF2-40B4-BE49-F238E27FC236}">
              <a16:creationId xmlns:a16="http://schemas.microsoft.com/office/drawing/2014/main" id="{00000000-0008-0000-0800-00001B000000}"/>
            </a:ext>
          </a:extLst>
        </xdr:cNvPr>
        <xdr:cNvSpPr/>
      </xdr:nvSpPr>
      <xdr:spPr>
        <a:xfrm>
          <a:off x="3581400" y="2647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28</xdr:col>
      <xdr:colOff>285750</xdr:colOff>
      <xdr:row>14</xdr:row>
      <xdr:rowOff>38100</xdr:rowOff>
    </xdr:from>
    <xdr:to>
      <xdr:col>28</xdr:col>
      <xdr:colOff>533400</xdr:colOff>
      <xdr:row>14</xdr:row>
      <xdr:rowOff>266700</xdr:rowOff>
    </xdr:to>
    <xdr:sp macro="" textlink="">
      <xdr:nvSpPr>
        <xdr:cNvPr id="28" name="5-Point Star 27">
          <a:extLst>
            <a:ext uri="{FF2B5EF4-FFF2-40B4-BE49-F238E27FC236}">
              <a16:creationId xmlns:a16="http://schemas.microsoft.com/office/drawing/2014/main" id="{00000000-0008-0000-0800-00001C000000}"/>
            </a:ext>
          </a:extLst>
        </xdr:cNvPr>
        <xdr:cNvSpPr/>
      </xdr:nvSpPr>
      <xdr:spPr>
        <a:xfrm>
          <a:off x="3581400" y="2647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36</xdr:col>
      <xdr:colOff>285750</xdr:colOff>
      <xdr:row>14</xdr:row>
      <xdr:rowOff>38100</xdr:rowOff>
    </xdr:from>
    <xdr:to>
      <xdr:col>36</xdr:col>
      <xdr:colOff>533400</xdr:colOff>
      <xdr:row>14</xdr:row>
      <xdr:rowOff>266700</xdr:rowOff>
    </xdr:to>
    <xdr:sp macro="" textlink="">
      <xdr:nvSpPr>
        <xdr:cNvPr id="29" name="5-Point Star 28">
          <a:extLst>
            <a:ext uri="{FF2B5EF4-FFF2-40B4-BE49-F238E27FC236}">
              <a16:creationId xmlns:a16="http://schemas.microsoft.com/office/drawing/2014/main" id="{00000000-0008-0000-0800-00001D000000}"/>
            </a:ext>
          </a:extLst>
        </xdr:cNvPr>
        <xdr:cNvSpPr/>
      </xdr:nvSpPr>
      <xdr:spPr>
        <a:xfrm>
          <a:off x="3581400" y="2647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371475</xdr:colOff>
      <xdr:row>14</xdr:row>
      <xdr:rowOff>57149</xdr:rowOff>
    </xdr:from>
    <xdr:to>
      <xdr:col>26</xdr:col>
      <xdr:colOff>571500</xdr:colOff>
      <xdr:row>14</xdr:row>
      <xdr:rowOff>238124</xdr:rowOff>
    </xdr:to>
    <xdr:sp macro="" textlink="">
      <xdr:nvSpPr>
        <xdr:cNvPr id="33" name="Rectangle 32">
          <a:extLst>
            <a:ext uri="{FF2B5EF4-FFF2-40B4-BE49-F238E27FC236}">
              <a16:creationId xmlns:a16="http://schemas.microsoft.com/office/drawing/2014/main" id="{00000000-0008-0000-0800-000021000000}"/>
            </a:ext>
          </a:extLst>
        </xdr:cNvPr>
        <xdr:cNvSpPr/>
      </xdr:nvSpPr>
      <xdr:spPr>
        <a:xfrm>
          <a:off x="1895475" y="2666999"/>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34</xdr:col>
      <xdr:colOff>371475</xdr:colOff>
      <xdr:row>14</xdr:row>
      <xdr:rowOff>57149</xdr:rowOff>
    </xdr:from>
    <xdr:to>
      <xdr:col>34</xdr:col>
      <xdr:colOff>571500</xdr:colOff>
      <xdr:row>14</xdr:row>
      <xdr:rowOff>238124</xdr:rowOff>
    </xdr:to>
    <xdr:sp macro="" textlink="">
      <xdr:nvSpPr>
        <xdr:cNvPr id="34" name="Rectangle 33">
          <a:extLst>
            <a:ext uri="{FF2B5EF4-FFF2-40B4-BE49-F238E27FC236}">
              <a16:creationId xmlns:a16="http://schemas.microsoft.com/office/drawing/2014/main" id="{00000000-0008-0000-0800-000022000000}"/>
            </a:ext>
          </a:extLst>
        </xdr:cNvPr>
        <xdr:cNvSpPr/>
      </xdr:nvSpPr>
      <xdr:spPr>
        <a:xfrm>
          <a:off x="1895475" y="2666999"/>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285750</xdr:colOff>
      <xdr:row>14</xdr:row>
      <xdr:rowOff>38100</xdr:rowOff>
    </xdr:from>
    <xdr:to>
      <xdr:col>12</xdr:col>
      <xdr:colOff>533400</xdr:colOff>
      <xdr:row>14</xdr:row>
      <xdr:rowOff>266700</xdr:rowOff>
    </xdr:to>
    <xdr:sp macro="" textlink="">
      <xdr:nvSpPr>
        <xdr:cNvPr id="31" name="5-Point Star 30">
          <a:extLst>
            <a:ext uri="{FF2B5EF4-FFF2-40B4-BE49-F238E27FC236}">
              <a16:creationId xmlns:a16="http://schemas.microsoft.com/office/drawing/2014/main" id="{00000000-0008-0000-0800-00001F000000}"/>
            </a:ext>
          </a:extLst>
        </xdr:cNvPr>
        <xdr:cNvSpPr/>
      </xdr:nvSpPr>
      <xdr:spPr>
        <a:xfrm>
          <a:off x="3661833" y="2631017"/>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285750</xdr:colOff>
      <xdr:row>14</xdr:row>
      <xdr:rowOff>38100</xdr:rowOff>
    </xdr:from>
    <xdr:to>
      <xdr:col>20</xdr:col>
      <xdr:colOff>533400</xdr:colOff>
      <xdr:row>14</xdr:row>
      <xdr:rowOff>266700</xdr:rowOff>
    </xdr:to>
    <xdr:sp macro="" textlink="">
      <xdr:nvSpPr>
        <xdr:cNvPr id="32" name="5-Point Star 31">
          <a:extLst>
            <a:ext uri="{FF2B5EF4-FFF2-40B4-BE49-F238E27FC236}">
              <a16:creationId xmlns:a16="http://schemas.microsoft.com/office/drawing/2014/main" id="{00000000-0008-0000-0800-000020000000}"/>
            </a:ext>
          </a:extLst>
        </xdr:cNvPr>
        <xdr:cNvSpPr/>
      </xdr:nvSpPr>
      <xdr:spPr>
        <a:xfrm>
          <a:off x="3661833" y="2631017"/>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161925</xdr:rowOff>
    </xdr:from>
    <xdr:to>
      <xdr:col>22</xdr:col>
      <xdr:colOff>574675</xdr:colOff>
      <xdr:row>6</xdr:row>
      <xdr:rowOff>230717</xdr:rowOff>
    </xdr:to>
    <xdr:grpSp>
      <xdr:nvGrpSpPr>
        <xdr:cNvPr id="3" name="Group 33">
          <a:extLst>
            <a:ext uri="{FF2B5EF4-FFF2-40B4-BE49-F238E27FC236}">
              <a16:creationId xmlns:a16="http://schemas.microsoft.com/office/drawing/2014/main" id="{00000000-0008-0000-0900-000003000000}"/>
            </a:ext>
          </a:extLst>
        </xdr:cNvPr>
        <xdr:cNvGrpSpPr>
          <a:grpSpLocks/>
        </xdr:cNvGrpSpPr>
      </xdr:nvGrpSpPr>
      <xdr:grpSpPr bwMode="auto">
        <a:xfrm>
          <a:off x="177800" y="784225"/>
          <a:ext cx="19205575" cy="945092"/>
          <a:chOff x="11" y="147"/>
          <a:chExt cx="521" cy="83"/>
        </a:xfrm>
      </xdr:grpSpPr>
      <xdr:sp macro="" textlink="">
        <xdr:nvSpPr>
          <xdr:cNvPr id="4" name="AutoShape 34">
            <a:extLst>
              <a:ext uri="{FF2B5EF4-FFF2-40B4-BE49-F238E27FC236}">
                <a16:creationId xmlns:a16="http://schemas.microsoft.com/office/drawing/2014/main" id="{00000000-0008-0000-0900-000004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35">
            <a:extLst>
              <a:ext uri="{FF2B5EF4-FFF2-40B4-BE49-F238E27FC236}">
                <a16:creationId xmlns:a16="http://schemas.microsoft.com/office/drawing/2014/main" id="{00000000-0008-0000-0900-000005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Please Select </a:t>
            </a:r>
            <a:r>
              <a:rPr lang="en-CA" sz="1000" b="1" i="0" u="sng" strike="noStrike" baseline="0">
                <a:solidFill>
                  <a:srgbClr val="FF0000"/>
                </a:solidFill>
                <a:latin typeface="Arial"/>
                <a:cs typeface="Arial"/>
              </a:rPr>
              <a:t>All </a:t>
            </a:r>
            <a:r>
              <a:rPr lang="en-CA" sz="1000" b="1" i="0" u="none" strike="noStrike" baseline="0">
                <a:solidFill>
                  <a:srgbClr val="FF0000"/>
                </a:solidFill>
                <a:latin typeface="Arial"/>
                <a:cs typeface="Arial"/>
              </a:rPr>
              <a:t>Customers billed Distribution Volumetric Rates by kW</a:t>
            </a:r>
            <a:r>
              <a:rPr lang="en-CA" sz="1000" b="0" i="0" u="none" strike="noStrike">
                <a:effectLst/>
                <a:latin typeface="+mn-lt"/>
                <a:ea typeface="+mn-ea"/>
                <a:cs typeface="+mn-cs"/>
              </a:rPr>
              <a:t> </a:t>
            </a:r>
            <a:r>
              <a:rPr lang="en-CA"/>
              <a:t> </a:t>
            </a:r>
            <a:endParaRPr lang="en-CA" sz="1000" b="1" i="0" u="none" strike="noStrike" baseline="0">
              <a:solidFill>
                <a:srgbClr val="FF0000"/>
              </a:solidFill>
              <a:latin typeface="Arial"/>
              <a:cs typeface="Arial"/>
            </a:endParaRPr>
          </a:p>
          <a:p>
            <a:pPr algn="l" rtl="0">
              <a:defRPr sz="1000"/>
            </a:pPr>
            <a:r>
              <a:rPr lang="en-CA" sz="1000" b="1" i="1" u="none" strike="noStrike" baseline="0">
                <a:solidFill>
                  <a:srgbClr val="FF0000"/>
                </a:solidFill>
                <a:latin typeface="Arial"/>
                <a:cs typeface="Arial"/>
              </a:rPr>
              <a:t>2. </a:t>
            </a:r>
            <a:r>
              <a:rPr lang="en-CA" sz="1000" b="1" i="0" u="none" strike="noStrike" baseline="0">
                <a:solidFill>
                  <a:srgbClr val="FF0000"/>
                </a:solidFill>
                <a:latin typeface="Arial"/>
                <a:cs typeface="Arial"/>
              </a:rPr>
              <a:t>Please update the Average Years that is used to calculate an average kW/kWh ratio and forecast kW's</a:t>
            </a:r>
          </a:p>
          <a:p>
            <a:pPr algn="l" rtl="0">
              <a:defRPr sz="1000"/>
            </a:pPr>
            <a:r>
              <a:rPr lang="en-CA" sz="1000" b="1" i="0" u="none" strike="noStrike" baseline="0">
                <a:solidFill>
                  <a:srgbClr val="FF0000"/>
                </a:solidFill>
                <a:latin typeface="Arial"/>
                <a:cs typeface="Arial"/>
              </a:rPr>
              <a:t>3. If required, A Distributor may manually adjust kWh's - i.e. Wholesale Market Participant might not have been reflected through Regression for Large Customers ( Distributor must support decision)</a:t>
            </a: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0" u="none" strike="noStrike" baseline="0">
                <a:solidFill>
                  <a:srgbClr val="FF0000"/>
                </a:solidFill>
                <a:latin typeface="Arial"/>
                <a:cs typeface="Arial"/>
              </a:rPr>
              <a:t>4. </a:t>
            </a:r>
            <a:r>
              <a:rPr lang="en-CA" sz="1000" b="1" i="0" baseline="0">
                <a:solidFill>
                  <a:srgbClr val="FF0000"/>
                </a:solidFill>
                <a:effectLst/>
                <a:latin typeface="Arial" panose="020B0604020202020204" pitchFamily="34" charset="0"/>
                <a:ea typeface="+mn-ea"/>
                <a:cs typeface="Arial" panose="020B0604020202020204" pitchFamily="34" charset="0"/>
              </a:rPr>
              <a:t>Select if you need to manually adjust for Load Growth or not - i.e. if this was not captured through the regression analysis (Distributor must support decision)</a:t>
            </a:r>
            <a:endParaRPr lang="en-CA">
              <a:solidFill>
                <a:srgbClr val="FF0000"/>
              </a:solidFill>
              <a:effectLst/>
              <a:latin typeface="Arial" panose="020B0604020202020204" pitchFamily="34" charset="0"/>
              <a:cs typeface="Arial" panose="020B0604020202020204" pitchFamily="34" charset="0"/>
            </a:endParaRPr>
          </a:p>
        </xdr:txBody>
      </xdr:sp>
    </xdr:grpSp>
    <xdr:clientData/>
  </xdr:twoCellAnchor>
  <xdr:twoCellAnchor>
    <xdr:from>
      <xdr:col>6</xdr:col>
      <xdr:colOff>189633</xdr:colOff>
      <xdr:row>27</xdr:row>
      <xdr:rowOff>57150</xdr:rowOff>
    </xdr:from>
    <xdr:to>
      <xdr:col>6</xdr:col>
      <xdr:colOff>445077</xdr:colOff>
      <xdr:row>31</xdr:row>
      <xdr:rowOff>36368</xdr:rowOff>
    </xdr:to>
    <xdr:sp macro="" textlink="">
      <xdr:nvSpPr>
        <xdr:cNvPr id="8" name="Down Arrow 7">
          <a:extLst>
            <a:ext uri="{FF2B5EF4-FFF2-40B4-BE49-F238E27FC236}">
              <a16:creationId xmlns:a16="http://schemas.microsoft.com/office/drawing/2014/main" id="{00000000-0008-0000-0900-000008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189633</xdr:colOff>
      <xdr:row>27</xdr:row>
      <xdr:rowOff>57150</xdr:rowOff>
    </xdr:from>
    <xdr:to>
      <xdr:col>17</xdr:col>
      <xdr:colOff>445077</xdr:colOff>
      <xdr:row>31</xdr:row>
      <xdr:rowOff>36368</xdr:rowOff>
    </xdr:to>
    <xdr:sp macro="" textlink="">
      <xdr:nvSpPr>
        <xdr:cNvPr id="9" name="Down Arrow 8">
          <a:extLst>
            <a:ext uri="{FF2B5EF4-FFF2-40B4-BE49-F238E27FC236}">
              <a16:creationId xmlns:a16="http://schemas.microsoft.com/office/drawing/2014/main" id="{00000000-0008-0000-0900-000009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189633</xdr:colOff>
      <xdr:row>27</xdr:row>
      <xdr:rowOff>57150</xdr:rowOff>
    </xdr:from>
    <xdr:to>
      <xdr:col>27</xdr:col>
      <xdr:colOff>445077</xdr:colOff>
      <xdr:row>31</xdr:row>
      <xdr:rowOff>36368</xdr:rowOff>
    </xdr:to>
    <xdr:sp macro="" textlink="">
      <xdr:nvSpPr>
        <xdr:cNvPr id="10" name="Down Arrow 9">
          <a:extLst>
            <a:ext uri="{FF2B5EF4-FFF2-40B4-BE49-F238E27FC236}">
              <a16:creationId xmlns:a16="http://schemas.microsoft.com/office/drawing/2014/main" id="{00000000-0008-0000-0900-00000A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189633</xdr:colOff>
      <xdr:row>27</xdr:row>
      <xdr:rowOff>57150</xdr:rowOff>
    </xdr:from>
    <xdr:to>
      <xdr:col>37</xdr:col>
      <xdr:colOff>445077</xdr:colOff>
      <xdr:row>31</xdr:row>
      <xdr:rowOff>36368</xdr:rowOff>
    </xdr:to>
    <xdr:sp macro="" textlink="">
      <xdr:nvSpPr>
        <xdr:cNvPr id="11" name="Down Arrow 10">
          <a:extLst>
            <a:ext uri="{FF2B5EF4-FFF2-40B4-BE49-F238E27FC236}">
              <a16:creationId xmlns:a16="http://schemas.microsoft.com/office/drawing/2014/main" id="{00000000-0008-0000-0900-00000B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47</xdr:col>
      <xdr:colOff>189633</xdr:colOff>
      <xdr:row>27</xdr:row>
      <xdr:rowOff>57150</xdr:rowOff>
    </xdr:from>
    <xdr:to>
      <xdr:col>47</xdr:col>
      <xdr:colOff>445077</xdr:colOff>
      <xdr:row>31</xdr:row>
      <xdr:rowOff>36368</xdr:rowOff>
    </xdr:to>
    <xdr:sp macro="" textlink="">
      <xdr:nvSpPr>
        <xdr:cNvPr id="12" name="Down Arrow 11">
          <a:extLst>
            <a:ext uri="{FF2B5EF4-FFF2-40B4-BE49-F238E27FC236}">
              <a16:creationId xmlns:a16="http://schemas.microsoft.com/office/drawing/2014/main" id="{00000000-0008-0000-0900-00000C000000}"/>
            </a:ext>
          </a:extLst>
        </xdr:cNvPr>
        <xdr:cNvSpPr/>
      </xdr:nvSpPr>
      <xdr:spPr>
        <a:xfrm>
          <a:off x="22916283" y="5610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karamatic@wasagadist.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climate.weather.gc.ca/prods_servs/cdn_climate_summary_e.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AB34"/>
  <sheetViews>
    <sheetView showGridLines="0" tabSelected="1" workbookViewId="0">
      <selection activeCell="F8" sqref="F8:J8"/>
    </sheetView>
  </sheetViews>
  <sheetFormatPr defaultColWidth="9.296875" defaultRowHeight="12.5" x14ac:dyDescent="0.25"/>
  <cols>
    <col min="1" max="3" width="9.296875" style="1"/>
    <col min="4" max="4" width="16" style="1" customWidth="1"/>
    <col min="5" max="5" width="9.296875" style="1"/>
    <col min="6" max="6" width="51.69921875" style="1" customWidth="1"/>
    <col min="7" max="16384" width="9.296875" style="1"/>
  </cols>
  <sheetData>
    <row r="1" spans="1:28" customFormat="1" ht="12.75" customHeight="1" x14ac:dyDescent="0.35">
      <c r="A1" s="608"/>
      <c r="B1" s="777"/>
      <c r="C1" s="777"/>
      <c r="D1" s="777"/>
      <c r="E1" s="777"/>
      <c r="F1" s="777"/>
      <c r="G1" s="777"/>
      <c r="H1" s="777"/>
      <c r="I1" s="777"/>
      <c r="J1" s="626"/>
      <c r="K1" s="626"/>
      <c r="L1" s="626"/>
      <c r="M1" s="88"/>
    </row>
    <row r="2" spans="1:28" customFormat="1" ht="18" x14ac:dyDescent="0.35">
      <c r="A2" s="608"/>
      <c r="B2" s="778" t="s">
        <v>295</v>
      </c>
      <c r="C2" s="779"/>
      <c r="D2" s="779"/>
      <c r="E2" s="779"/>
      <c r="F2" s="779"/>
      <c r="G2" s="779"/>
      <c r="H2" s="779"/>
      <c r="I2" s="779"/>
      <c r="J2" s="780"/>
      <c r="K2" s="626"/>
      <c r="L2" s="626"/>
      <c r="M2" s="88"/>
    </row>
    <row r="3" spans="1:28" ht="15.5" x14ac:dyDescent="0.35">
      <c r="A3" s="608"/>
      <c r="B3" s="608"/>
      <c r="C3" s="608"/>
      <c r="D3" s="608"/>
      <c r="E3" s="608"/>
      <c r="F3" s="608"/>
      <c r="G3" s="608"/>
      <c r="H3" s="608"/>
      <c r="I3" s="608"/>
      <c r="J3" s="608"/>
      <c r="K3" s="608"/>
      <c r="L3" s="608"/>
      <c r="M3"/>
    </row>
    <row r="4" spans="1:28" ht="15.5" x14ac:dyDescent="0.35">
      <c r="A4" s="608"/>
      <c r="B4" s="773" t="s">
        <v>55</v>
      </c>
      <c r="C4" s="773"/>
      <c r="D4" s="773"/>
      <c r="E4" s="608"/>
      <c r="F4" s="781" t="s">
        <v>118</v>
      </c>
      <c r="G4" s="781"/>
      <c r="H4" s="781"/>
      <c r="I4" s="781"/>
      <c r="J4" s="781"/>
      <c r="K4" s="712"/>
      <c r="L4" s="712"/>
      <c r="AB4" s="87"/>
    </row>
    <row r="5" spans="1:28" ht="15.5" x14ac:dyDescent="0.35">
      <c r="A5" s="608"/>
      <c r="B5" s="713"/>
      <c r="C5" s="608"/>
      <c r="D5" s="608"/>
      <c r="E5" s="608"/>
      <c r="F5" s="692"/>
      <c r="G5" s="692"/>
      <c r="H5" s="692"/>
      <c r="I5" s="692"/>
      <c r="J5" s="692"/>
      <c r="K5" s="608"/>
      <c r="L5" s="608"/>
      <c r="AB5" s="87"/>
    </row>
    <row r="6" spans="1:28" ht="15.5" x14ac:dyDescent="0.35">
      <c r="A6" s="608"/>
      <c r="B6" s="773" t="s">
        <v>56</v>
      </c>
      <c r="C6" s="773"/>
      <c r="D6" s="773"/>
      <c r="E6" s="608"/>
      <c r="F6" s="775" t="s">
        <v>466</v>
      </c>
      <c r="G6" s="775"/>
      <c r="H6" s="775"/>
      <c r="I6" s="775"/>
      <c r="J6" s="775"/>
      <c r="K6" s="608"/>
      <c r="L6" s="608"/>
      <c r="AB6" s="87"/>
    </row>
    <row r="7" spans="1:28" ht="15.5" x14ac:dyDescent="0.35">
      <c r="A7" s="608"/>
      <c r="B7" s="714"/>
      <c r="C7" s="608"/>
      <c r="D7" s="608"/>
      <c r="E7" s="608"/>
      <c r="F7" s="608"/>
      <c r="G7" s="608"/>
      <c r="H7" s="608"/>
      <c r="I7" s="608"/>
      <c r="J7" s="608"/>
      <c r="K7" s="608"/>
      <c r="L7" s="608"/>
      <c r="AB7" s="87"/>
    </row>
    <row r="8" spans="1:28" ht="15.5" x14ac:dyDescent="0.35">
      <c r="A8" s="608"/>
      <c r="B8" s="773" t="s">
        <v>57</v>
      </c>
      <c r="C8" s="773"/>
      <c r="D8" s="773"/>
      <c r="E8" s="608"/>
      <c r="F8" s="775" t="s">
        <v>467</v>
      </c>
      <c r="G8" s="775"/>
      <c r="H8" s="775"/>
      <c r="I8" s="775"/>
      <c r="J8" s="775"/>
      <c r="K8" s="608"/>
      <c r="L8" s="608"/>
      <c r="AB8" s="87"/>
    </row>
    <row r="9" spans="1:28" ht="15.5" x14ac:dyDescent="0.35">
      <c r="A9" s="608"/>
      <c r="B9" s="714"/>
      <c r="C9" s="608"/>
      <c r="D9" s="608"/>
      <c r="E9" s="608"/>
      <c r="F9" s="608"/>
      <c r="G9" s="608"/>
      <c r="H9" s="608"/>
      <c r="I9" s="608"/>
      <c r="J9" s="608"/>
      <c r="K9" s="608"/>
      <c r="L9" s="608"/>
      <c r="AB9" s="87"/>
    </row>
    <row r="10" spans="1:28" ht="15.5" x14ac:dyDescent="0.35">
      <c r="A10" s="608"/>
      <c r="B10" s="773" t="s">
        <v>58</v>
      </c>
      <c r="C10" s="773"/>
      <c r="D10" s="773"/>
      <c r="E10" s="608"/>
      <c r="F10" s="775" t="s">
        <v>303</v>
      </c>
      <c r="G10" s="775"/>
      <c r="H10" s="775"/>
      <c r="I10" s="775"/>
      <c r="J10" s="775"/>
      <c r="K10" s="774"/>
      <c r="L10" s="774"/>
      <c r="AB10" s="87"/>
    </row>
    <row r="11" spans="1:28" ht="15.5" x14ac:dyDescent="0.35">
      <c r="A11" s="608"/>
      <c r="B11" s="713"/>
      <c r="C11" s="608"/>
      <c r="D11" s="608"/>
      <c r="E11" s="608"/>
      <c r="F11" s="692"/>
      <c r="G11" s="692"/>
      <c r="H11" s="692"/>
      <c r="I11" s="692"/>
      <c r="J11" s="692"/>
      <c r="K11" s="608"/>
      <c r="L11" s="608"/>
      <c r="AB11" s="87"/>
    </row>
    <row r="12" spans="1:28" ht="15.5" x14ac:dyDescent="0.35">
      <c r="A12" s="608"/>
      <c r="B12" s="773" t="s">
        <v>59</v>
      </c>
      <c r="C12" s="773"/>
      <c r="D12" s="773"/>
      <c r="E12" s="608"/>
      <c r="F12" s="775" t="s">
        <v>119</v>
      </c>
      <c r="G12" s="775"/>
      <c r="H12" s="775"/>
      <c r="I12" s="775"/>
      <c r="J12" s="775"/>
      <c r="K12" s="608"/>
      <c r="L12" s="608"/>
      <c r="AB12" s="87"/>
    </row>
    <row r="13" spans="1:28" ht="15.5" x14ac:dyDescent="0.35">
      <c r="A13" s="608"/>
      <c r="B13" s="713"/>
      <c r="C13" s="608"/>
      <c r="D13" s="608"/>
      <c r="E13" s="608"/>
      <c r="F13" s="692"/>
      <c r="G13" s="692"/>
      <c r="H13" s="692"/>
      <c r="I13" s="692"/>
      <c r="J13" s="692"/>
      <c r="K13" s="608"/>
      <c r="L13" s="608"/>
      <c r="AB13" s="87"/>
    </row>
    <row r="14" spans="1:28" ht="15.5" x14ac:dyDescent="0.35">
      <c r="A14" s="608"/>
      <c r="B14" s="773" t="s">
        <v>60</v>
      </c>
      <c r="C14" s="773"/>
      <c r="D14" s="773"/>
      <c r="E14" s="608"/>
      <c r="F14" s="776" t="s">
        <v>288</v>
      </c>
      <c r="G14" s="775"/>
      <c r="H14" s="775"/>
      <c r="I14" s="775"/>
      <c r="J14" s="775"/>
      <c r="K14" s="608"/>
      <c r="L14" s="608"/>
      <c r="AB14" s="87"/>
    </row>
    <row r="15" spans="1:28" ht="15.5" x14ac:dyDescent="0.35">
      <c r="A15" s="608"/>
      <c r="B15" s="713"/>
      <c r="C15" s="608"/>
      <c r="D15" s="608"/>
      <c r="E15" s="608"/>
      <c r="F15" s="692"/>
      <c r="G15" s="692"/>
      <c r="H15" s="692"/>
      <c r="I15" s="692"/>
      <c r="J15" s="692"/>
      <c r="K15" s="608"/>
      <c r="L15" s="608"/>
      <c r="AB15" s="87"/>
    </row>
    <row r="16" spans="1:28" ht="15.5" x14ac:dyDescent="0.35">
      <c r="A16" s="608"/>
      <c r="B16" s="773" t="s">
        <v>61</v>
      </c>
      <c r="C16" s="773"/>
      <c r="D16" s="773"/>
      <c r="E16" s="608"/>
      <c r="F16" s="755" t="s">
        <v>281</v>
      </c>
      <c r="G16" s="693"/>
      <c r="H16" s="693"/>
      <c r="I16" s="692"/>
      <c r="J16" s="692"/>
      <c r="K16" s="608"/>
      <c r="L16" s="608"/>
      <c r="AB16" s="87"/>
    </row>
    <row r="17" spans="1:28" ht="15.5" x14ac:dyDescent="0.35">
      <c r="A17" s="608"/>
      <c r="B17" s="714"/>
      <c r="C17" s="608"/>
      <c r="D17" s="608"/>
      <c r="E17" s="608"/>
      <c r="F17" s="635"/>
      <c r="G17" s="635"/>
      <c r="H17" s="635"/>
      <c r="I17" s="608"/>
      <c r="J17" s="608"/>
      <c r="K17" s="608"/>
      <c r="L17" s="608"/>
      <c r="AB17" s="87"/>
    </row>
    <row r="18" spans="1:28" ht="15.5" x14ac:dyDescent="0.35">
      <c r="A18" s="608"/>
      <c r="B18" s="773" t="s">
        <v>62</v>
      </c>
      <c r="C18" s="773"/>
      <c r="D18" s="773"/>
      <c r="E18" s="608"/>
      <c r="F18" s="755" t="s">
        <v>285</v>
      </c>
      <c r="G18" s="693"/>
      <c r="H18" s="693"/>
      <c r="I18" s="608"/>
      <c r="J18" s="608"/>
      <c r="K18" s="608"/>
      <c r="L18" s="608"/>
      <c r="AB18" s="87"/>
    </row>
    <row r="19" spans="1:28" ht="15.5" x14ac:dyDescent="0.35">
      <c r="A19" s="608"/>
      <c r="B19" s="715"/>
      <c r="C19" s="608"/>
      <c r="D19" s="608"/>
      <c r="E19" s="608"/>
      <c r="F19" s="635"/>
      <c r="G19" s="635"/>
      <c r="H19" s="635"/>
      <c r="I19" s="608"/>
      <c r="J19" s="608"/>
      <c r="K19" s="608"/>
      <c r="L19" s="608"/>
      <c r="AB19" s="87"/>
    </row>
    <row r="20" spans="1:28" ht="15.5" x14ac:dyDescent="0.35">
      <c r="A20" s="608"/>
      <c r="B20" s="773" t="s">
        <v>63</v>
      </c>
      <c r="C20" s="773"/>
      <c r="D20" s="773"/>
      <c r="E20" s="608"/>
      <c r="F20" s="755" t="s">
        <v>170</v>
      </c>
      <c r="G20" s="693"/>
      <c r="H20" s="693"/>
      <c r="I20" s="608"/>
      <c r="J20" s="608"/>
      <c r="K20" s="608"/>
      <c r="L20" s="608"/>
      <c r="AB20" s="87"/>
    </row>
    <row r="21" spans="1:28" ht="15.5" x14ac:dyDescent="0.35">
      <c r="A21" s="608"/>
      <c r="B21" s="608"/>
      <c r="C21" s="608"/>
      <c r="D21" s="608"/>
      <c r="E21" s="608"/>
      <c r="F21" s="608"/>
      <c r="G21" s="608"/>
      <c r="H21" s="608"/>
      <c r="I21" s="608"/>
      <c r="J21" s="608"/>
      <c r="K21" s="608"/>
      <c r="L21" s="608"/>
      <c r="AB21" s="87"/>
    </row>
    <row r="22" spans="1:28" ht="15.5" x14ac:dyDescent="0.35">
      <c r="A22" s="608"/>
      <c r="B22" s="608"/>
      <c r="C22" s="608"/>
      <c r="D22" s="608"/>
      <c r="E22" s="608"/>
      <c r="F22" s="608"/>
      <c r="G22" s="608"/>
      <c r="H22" s="608"/>
      <c r="I22" s="608"/>
      <c r="J22" s="608"/>
      <c r="K22" s="608"/>
      <c r="L22" s="608"/>
    </row>
    <row r="23" spans="1:28" ht="15.5" x14ac:dyDescent="0.35">
      <c r="A23" s="608"/>
      <c r="B23" s="608"/>
      <c r="C23" s="608"/>
      <c r="D23" s="608"/>
      <c r="E23" s="608"/>
      <c r="F23" s="608"/>
      <c r="G23" s="608"/>
      <c r="H23" s="608"/>
      <c r="I23" s="608"/>
      <c r="J23" s="608"/>
      <c r="K23" s="608"/>
      <c r="L23" s="608"/>
    </row>
    <row r="24" spans="1:28" ht="15.5" x14ac:dyDescent="0.35">
      <c r="A24" s="608"/>
      <c r="B24" s="608"/>
      <c r="C24" s="608"/>
      <c r="D24" s="608"/>
      <c r="E24" s="608"/>
      <c r="F24" s="608"/>
      <c r="G24" s="608"/>
      <c r="H24" s="608"/>
      <c r="I24" s="608"/>
      <c r="J24" s="608"/>
      <c r="K24" s="608"/>
      <c r="L24" s="608"/>
    </row>
    <row r="25" spans="1:28" ht="15.5" x14ac:dyDescent="0.35">
      <c r="A25" s="608"/>
      <c r="B25" s="608"/>
      <c r="C25" s="608"/>
      <c r="D25" s="608"/>
      <c r="E25" s="608"/>
      <c r="F25" s="608"/>
      <c r="G25" s="608"/>
      <c r="H25" s="608"/>
      <c r="I25" s="608"/>
      <c r="J25" s="608"/>
      <c r="K25" s="608"/>
      <c r="L25" s="608"/>
    </row>
    <row r="26" spans="1:28" ht="14" x14ac:dyDescent="0.3">
      <c r="A26" s="396"/>
      <c r="B26" s="396"/>
      <c r="C26" s="396"/>
      <c r="D26" s="396"/>
      <c r="E26" s="396"/>
      <c r="F26" s="396"/>
      <c r="G26" s="396"/>
      <c r="H26" s="396"/>
      <c r="I26" s="396"/>
      <c r="J26" s="396"/>
      <c r="K26" s="396"/>
      <c r="L26" s="396"/>
    </row>
    <row r="27" spans="1:28" ht="14" x14ac:dyDescent="0.3">
      <c r="A27" s="396"/>
      <c r="B27" s="396"/>
      <c r="C27" s="396"/>
      <c r="D27" s="396"/>
      <c r="E27" s="396"/>
      <c r="F27" s="396"/>
      <c r="G27" s="396"/>
      <c r="H27" s="396"/>
      <c r="I27" s="396"/>
      <c r="J27" s="396"/>
      <c r="K27" s="396"/>
      <c r="L27" s="396"/>
    </row>
    <row r="28" spans="1:28" ht="14" x14ac:dyDescent="0.3">
      <c r="A28" s="396"/>
      <c r="B28" s="396"/>
      <c r="C28" s="396"/>
      <c r="D28" s="396"/>
      <c r="E28" s="396"/>
      <c r="F28" s="396"/>
      <c r="G28" s="396"/>
      <c r="H28" s="396"/>
      <c r="I28" s="396"/>
      <c r="J28" s="396"/>
      <c r="K28" s="396"/>
      <c r="L28" s="396"/>
    </row>
    <row r="29" spans="1:28" ht="14" x14ac:dyDescent="0.3">
      <c r="A29" s="396"/>
      <c r="B29" s="396"/>
      <c r="C29" s="396"/>
      <c r="D29" s="396"/>
      <c r="E29" s="396"/>
      <c r="F29" s="396"/>
      <c r="G29" s="396"/>
      <c r="H29" s="396"/>
      <c r="I29" s="396"/>
      <c r="J29" s="396"/>
      <c r="K29" s="396"/>
      <c r="L29" s="396"/>
    </row>
    <row r="30" spans="1:28" ht="14" x14ac:dyDescent="0.3">
      <c r="A30" s="396"/>
      <c r="B30" s="396"/>
      <c r="C30" s="396"/>
      <c r="D30" s="396"/>
      <c r="E30" s="396"/>
      <c r="F30" s="396"/>
      <c r="G30" s="396"/>
      <c r="H30" s="396"/>
      <c r="I30" s="396"/>
      <c r="J30" s="396"/>
      <c r="K30" s="396"/>
      <c r="L30" s="396"/>
    </row>
    <row r="31" spans="1:28" ht="14" x14ac:dyDescent="0.3">
      <c r="A31" s="396"/>
      <c r="B31" s="396"/>
      <c r="C31" s="396"/>
      <c r="D31" s="396"/>
      <c r="E31" s="396"/>
      <c r="F31" s="396"/>
      <c r="G31" s="396"/>
      <c r="H31" s="396"/>
      <c r="I31" s="396"/>
      <c r="J31" s="396"/>
      <c r="K31" s="396"/>
      <c r="L31" s="396"/>
    </row>
    <row r="32" spans="1:28" ht="14" x14ac:dyDescent="0.3">
      <c r="A32" s="396"/>
      <c r="B32" s="396"/>
      <c r="C32" s="396"/>
      <c r="D32" s="396"/>
      <c r="E32" s="396"/>
      <c r="F32" s="396"/>
      <c r="G32" s="396"/>
      <c r="H32" s="396"/>
      <c r="I32" s="396"/>
      <c r="J32" s="396"/>
      <c r="K32" s="396"/>
      <c r="L32" s="396"/>
    </row>
    <row r="33" spans="1:12" ht="14" x14ac:dyDescent="0.3">
      <c r="A33" s="396"/>
      <c r="B33" s="396"/>
      <c r="C33" s="396"/>
      <c r="D33" s="396"/>
      <c r="E33" s="396"/>
      <c r="F33" s="396"/>
      <c r="G33" s="396"/>
      <c r="H33" s="396"/>
      <c r="I33" s="396"/>
      <c r="J33" s="396"/>
      <c r="K33" s="396"/>
      <c r="L33" s="396"/>
    </row>
    <row r="34" spans="1:12" ht="14" x14ac:dyDescent="0.3">
      <c r="A34" s="396"/>
      <c r="B34" s="396"/>
      <c r="C34" s="396"/>
      <c r="D34" s="396"/>
      <c r="E34" s="396"/>
      <c r="F34" s="396"/>
      <c r="G34" s="396"/>
      <c r="H34" s="396"/>
      <c r="I34" s="396"/>
      <c r="J34" s="396"/>
      <c r="K34" s="396"/>
      <c r="L34" s="396"/>
    </row>
  </sheetData>
  <mergeCells count="18">
    <mergeCell ref="B1:I1"/>
    <mergeCell ref="F6:J6"/>
    <mergeCell ref="F8:J8"/>
    <mergeCell ref="F10:J10"/>
    <mergeCell ref="B2:J2"/>
    <mergeCell ref="F4:J4"/>
    <mergeCell ref="B4:D4"/>
    <mergeCell ref="B6:D6"/>
    <mergeCell ref="B8:D8"/>
    <mergeCell ref="B10:D10"/>
    <mergeCell ref="B14:D14"/>
    <mergeCell ref="B16:D16"/>
    <mergeCell ref="B18:D18"/>
    <mergeCell ref="B20:D20"/>
    <mergeCell ref="K10:L10"/>
    <mergeCell ref="F12:J12"/>
    <mergeCell ref="F14:J14"/>
    <mergeCell ref="B12:D12"/>
  </mergeCells>
  <hyperlinks>
    <hyperlink ref="F14" r:id="rId1" xr:uid="{434C197B-EE45-46FB-BF38-8CEB5B7DC889}"/>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Y59"/>
  <sheetViews>
    <sheetView showGridLines="0" workbookViewId="0"/>
  </sheetViews>
  <sheetFormatPr defaultColWidth="11.19921875" defaultRowHeight="12.5" x14ac:dyDescent="0.25"/>
  <cols>
    <col min="1" max="1" width="2.796875" style="1" customWidth="1"/>
    <col min="2" max="6" width="15.19921875" style="30" customWidth="1"/>
    <col min="7" max="7" width="17" style="30" customWidth="1"/>
    <col min="8" max="8" width="16.69921875" style="30" customWidth="1"/>
    <col min="9" max="9" width="17.796875" style="30" customWidth="1"/>
    <col min="10" max="10" width="16.19921875" style="30" customWidth="1"/>
    <col min="11" max="12" width="4.296875" style="30" customWidth="1"/>
    <col min="13" max="16" width="15.19921875" style="30" customWidth="1"/>
    <col min="17" max="21" width="15.19921875" style="1" customWidth="1"/>
    <col min="22" max="22" width="4.296875" style="1" customWidth="1"/>
    <col min="23" max="29" width="15.19921875" style="1" customWidth="1"/>
    <col min="30" max="31" width="13.796875" style="1" customWidth="1"/>
    <col min="32" max="32" width="2.296875" style="1" customWidth="1"/>
    <col min="33" max="40" width="15.19921875" style="1" hidden="1" customWidth="1"/>
    <col min="41" max="41" width="20.296875" style="1" hidden="1" customWidth="1"/>
    <col min="42" max="42" width="3.296875" style="1" hidden="1" customWidth="1"/>
    <col min="43" max="51" width="15.19921875" style="1" hidden="1" customWidth="1"/>
    <col min="52" max="16384" width="11.19921875" style="1"/>
  </cols>
  <sheetData>
    <row r="2" spans="2:51" ht="13" thickBot="1" x14ac:dyDescent="0.3"/>
    <row r="3" spans="2:51" ht="23.5" thickBot="1" x14ac:dyDescent="0.3">
      <c r="B3" s="86" t="s">
        <v>277</v>
      </c>
      <c r="C3" s="86"/>
      <c r="D3" s="86"/>
      <c r="Q3" s="204"/>
      <c r="R3" s="227" t="s">
        <v>162</v>
      </c>
    </row>
    <row r="4" spans="2:51" ht="23" x14ac:dyDescent="0.25">
      <c r="B4" s="86"/>
      <c r="C4" s="86"/>
      <c r="D4" s="86"/>
    </row>
    <row r="5" spans="2:51" ht="23" x14ac:dyDescent="0.25">
      <c r="B5" s="86"/>
      <c r="C5" s="86"/>
      <c r="D5" s="86"/>
    </row>
    <row r="6" spans="2:51" ht="23" x14ac:dyDescent="0.25">
      <c r="B6" s="86"/>
      <c r="C6" s="86"/>
      <c r="D6" s="86"/>
    </row>
    <row r="7" spans="2:51" ht="23" x14ac:dyDescent="0.25">
      <c r="B7" s="86"/>
      <c r="C7" s="86"/>
      <c r="D7" s="86"/>
    </row>
    <row r="8" spans="2:51" ht="13" thickBot="1" x14ac:dyDescent="0.3">
      <c r="Q8" s="30"/>
      <c r="R8" s="30"/>
      <c r="S8" s="30"/>
      <c r="T8" s="30"/>
      <c r="U8" s="30"/>
      <c r="V8" s="30"/>
      <c r="W8" s="30"/>
      <c r="X8" s="30"/>
      <c r="Y8" s="30"/>
      <c r="Z8" s="30"/>
      <c r="AA8" s="30"/>
      <c r="AB8" s="30"/>
    </row>
    <row r="9" spans="2:51" ht="12.75" customHeight="1" thickBot="1" x14ac:dyDescent="0.3">
      <c r="B9" s="835" t="s">
        <v>240</v>
      </c>
      <c r="C9" s="836"/>
      <c r="D9" s="836"/>
      <c r="E9" s="836"/>
      <c r="F9" s="836"/>
      <c r="G9" s="836"/>
      <c r="H9" s="836"/>
      <c r="I9" s="836"/>
      <c r="J9" s="837"/>
      <c r="K9" s="116"/>
      <c r="L9" s="116"/>
      <c r="M9" s="835" t="s">
        <v>241</v>
      </c>
      <c r="N9" s="836"/>
      <c r="O9" s="836"/>
      <c r="P9" s="836"/>
      <c r="Q9" s="836"/>
      <c r="R9" s="836"/>
      <c r="S9" s="836"/>
      <c r="T9" s="836"/>
      <c r="U9" s="837"/>
      <c r="V9" s="116"/>
      <c r="W9" s="835" t="s">
        <v>68</v>
      </c>
      <c r="X9" s="836"/>
      <c r="Y9" s="836"/>
      <c r="Z9" s="836"/>
      <c r="AA9" s="836"/>
      <c r="AB9" s="836"/>
      <c r="AC9" s="836"/>
      <c r="AD9" s="836"/>
      <c r="AE9" s="837"/>
      <c r="AG9" s="835" t="s">
        <v>169</v>
      </c>
      <c r="AH9" s="836"/>
      <c r="AI9" s="836"/>
      <c r="AJ9" s="836"/>
      <c r="AK9" s="836"/>
      <c r="AL9" s="836"/>
      <c r="AM9" s="836"/>
      <c r="AN9" s="836"/>
      <c r="AO9" s="837"/>
      <c r="AQ9" s="835" t="s">
        <v>169</v>
      </c>
      <c r="AR9" s="836"/>
      <c r="AS9" s="836"/>
      <c r="AT9" s="836"/>
      <c r="AU9" s="836"/>
      <c r="AV9" s="836"/>
      <c r="AW9" s="836"/>
      <c r="AX9" s="836"/>
      <c r="AY9" s="837"/>
    </row>
    <row r="10" spans="2:51" ht="46.5" customHeight="1" x14ac:dyDescent="0.25">
      <c r="B10" s="295" t="s">
        <v>33</v>
      </c>
      <c r="C10" s="326" t="s">
        <v>35</v>
      </c>
      <c r="D10" s="326" t="s">
        <v>161</v>
      </c>
      <c r="E10" s="293" t="s">
        <v>35</v>
      </c>
      <c r="F10" s="293" t="s">
        <v>36</v>
      </c>
      <c r="G10" s="293" t="s">
        <v>148</v>
      </c>
      <c r="H10" s="293" t="s">
        <v>146</v>
      </c>
      <c r="I10" s="293" t="s">
        <v>147</v>
      </c>
      <c r="J10" s="294" t="s">
        <v>40</v>
      </c>
      <c r="K10" s="116"/>
      <c r="L10" s="116"/>
      <c r="M10" s="295" t="s">
        <v>33</v>
      </c>
      <c r="N10" s="326" t="s">
        <v>35</v>
      </c>
      <c r="O10" s="326" t="s">
        <v>161</v>
      </c>
      <c r="P10" s="293" t="s">
        <v>35</v>
      </c>
      <c r="Q10" s="293" t="s">
        <v>36</v>
      </c>
      <c r="R10" s="293" t="s">
        <v>148</v>
      </c>
      <c r="S10" s="293" t="s">
        <v>146</v>
      </c>
      <c r="T10" s="293" t="s">
        <v>147</v>
      </c>
      <c r="U10" s="294" t="s">
        <v>40</v>
      </c>
      <c r="W10" s="287" t="s">
        <v>33</v>
      </c>
      <c r="X10" s="326" t="s">
        <v>35</v>
      </c>
      <c r="Y10" s="326" t="s">
        <v>161</v>
      </c>
      <c r="Z10" s="282" t="s">
        <v>35</v>
      </c>
      <c r="AA10" s="282" t="s">
        <v>36</v>
      </c>
      <c r="AB10" s="282" t="s">
        <v>148</v>
      </c>
      <c r="AC10" s="282" t="s">
        <v>146</v>
      </c>
      <c r="AD10" s="282" t="s">
        <v>147</v>
      </c>
      <c r="AE10" s="245" t="s">
        <v>40</v>
      </c>
      <c r="AG10" s="295" t="s">
        <v>33</v>
      </c>
      <c r="AH10" s="326" t="s">
        <v>35</v>
      </c>
      <c r="AI10" s="326" t="s">
        <v>161</v>
      </c>
      <c r="AJ10" s="282" t="s">
        <v>35</v>
      </c>
      <c r="AK10" s="293" t="s">
        <v>36</v>
      </c>
      <c r="AL10" s="293" t="s">
        <v>148</v>
      </c>
      <c r="AM10" s="293" t="s">
        <v>146</v>
      </c>
      <c r="AN10" s="293" t="s">
        <v>147</v>
      </c>
      <c r="AO10" s="294" t="s">
        <v>40</v>
      </c>
      <c r="AQ10" s="295" t="s">
        <v>33</v>
      </c>
      <c r="AR10" s="326" t="s">
        <v>35</v>
      </c>
      <c r="AS10" s="326" t="s">
        <v>161</v>
      </c>
      <c r="AT10" s="282" t="s">
        <v>35</v>
      </c>
      <c r="AU10" s="293" t="s">
        <v>36</v>
      </c>
      <c r="AV10" s="293" t="s">
        <v>148</v>
      </c>
      <c r="AW10" s="293" t="s">
        <v>146</v>
      </c>
      <c r="AX10" s="293" t="s">
        <v>147</v>
      </c>
      <c r="AY10" s="294" t="s">
        <v>40</v>
      </c>
    </row>
    <row r="11" spans="2:51" x14ac:dyDescent="0.25">
      <c r="B11" s="79" t="s">
        <v>30</v>
      </c>
      <c r="C11" s="327"/>
      <c r="D11" s="327"/>
      <c r="E11" s="394"/>
      <c r="F11" s="80"/>
      <c r="G11" s="239"/>
      <c r="H11" s="239"/>
      <c r="I11" s="60"/>
      <c r="J11" s="284"/>
      <c r="K11" s="89"/>
      <c r="L11" s="89"/>
      <c r="M11" s="79" t="s">
        <v>30</v>
      </c>
      <c r="N11" s="327"/>
      <c r="O11" s="327"/>
      <c r="P11" s="80"/>
      <c r="Q11" s="80"/>
      <c r="R11" s="80"/>
      <c r="S11" s="80"/>
      <c r="T11" s="80"/>
      <c r="U11" s="81"/>
      <c r="W11" s="79" t="s">
        <v>30</v>
      </c>
      <c r="X11" s="327"/>
      <c r="Y11" s="327"/>
      <c r="Z11" s="80"/>
      <c r="AA11" s="80"/>
      <c r="AB11" s="80"/>
      <c r="AC11" s="80"/>
      <c r="AD11" s="80"/>
      <c r="AE11" s="140"/>
      <c r="AG11" s="79" t="s">
        <v>30</v>
      </c>
      <c r="AH11" s="327"/>
      <c r="AI11" s="327"/>
      <c r="AJ11" s="80"/>
      <c r="AK11" s="80"/>
      <c r="AL11" s="80"/>
      <c r="AM11" s="80"/>
      <c r="AN11" s="80"/>
      <c r="AO11" s="140"/>
      <c r="AQ11" s="79" t="s">
        <v>30</v>
      </c>
      <c r="AR11" s="327"/>
      <c r="AS11" s="327"/>
      <c r="AT11" s="80"/>
      <c r="AU11" s="80"/>
      <c r="AV11" s="80"/>
      <c r="AW11" s="80"/>
      <c r="AX11" s="80"/>
      <c r="AY11" s="140"/>
    </row>
    <row r="12" spans="2:51" ht="12.75" customHeight="1" x14ac:dyDescent="0.25">
      <c r="B12" s="121">
        <f>'4. Customer Growth'!B9</f>
        <v>2013</v>
      </c>
      <c r="C12" s="58">
        <f>IF($B$9='2. Customer Classes'!$B$8,+SUM('3. Consumption by Rate Class'!$D$16:$D$27),+IF($B$9='2. Customer Classes'!$B$9,+SUM('3. Consumption by Rate Class'!$F$16:$F$27),+IF($B$9='2. Customer Classes'!$B$10,+SUM('3. Consumption by Rate Class'!$H$16:$H$27),+IF($B$9='2. Customer Classes'!$B$11,+SUM('3. Consumption by Rate Class'!$J$16:$J$27),+IF($B$9='2. Customer Classes'!$B$12,+SUM('3. Consumption by Rate Class'!$L$16:$L$27),+IF($B$9='2. Customer Classes'!$B$13,+SUM('3. Consumption by Rate Class'!$O$16:$O$27),IF($B$9='2. Customer Classes'!$B$14,+SUM('3. Consumption by Rate Class'!$R$16:$R$27),0)))))))</f>
        <v>17691775</v>
      </c>
      <c r="D12" s="310"/>
      <c r="E12" s="395">
        <f>+D12+C12</f>
        <v>17691775</v>
      </c>
      <c r="F12" s="58">
        <f>+IF($B$9='2. Customer Classes'!$B$12,+SUM('3. Consumption by Rate Class'!$M$16:$M$27),+IF($B$9='2. Customer Classes'!$B$13,+SUM('3. Consumption by Rate Class'!$P$16:$P$27),IF($B$9='2. Customer Classes'!$B$14,+SUM('3. Consumption by Rate Class'!$S$16:$S$27),0)))</f>
        <v>46868</v>
      </c>
      <c r="G12" s="58">
        <f>IF($B$9='2. Customer Classes'!$B$8,+'4. Customer Growth'!$C9,+IF($B$9='2. Customer Classes'!$B$9,+'4. Customer Growth'!$E9,+IF($B$9='2. Customer Classes'!$B$10,+'4. Customer Growth'!$G9,+IF($B$9='2. Customer Classes'!$B$11,+'4. Customer Growth'!$I9,+IF($B$9='2. Customer Classes'!$B$12,+'4. Customer Growth'!$K9,+IF($B$9='2. Customer Classes'!$B$13,+'4. Customer Growth'!$M9,IF($B$9='2. Customer Classes'!$B$14,+'4. Customer Growth'!$O9,0)))))))</f>
        <v>35</v>
      </c>
      <c r="H12" s="283">
        <f>IF(F12&gt;0,+E12/G12,0)</f>
        <v>505479.28571428574</v>
      </c>
      <c r="I12" s="286">
        <f>IF(F12&gt;0,+F12/G12,0)</f>
        <v>1339.0857142857142</v>
      </c>
      <c r="J12" s="250">
        <f>IF(F12&gt;0,+F12/E12,0)</f>
        <v>2.6491406317342382E-3</v>
      </c>
      <c r="K12" s="114"/>
      <c r="L12" s="114"/>
      <c r="M12" s="121">
        <f t="shared" ref="M12:M23" si="0">B12</f>
        <v>2013</v>
      </c>
      <c r="N12" s="58">
        <f>IF($M$9='2. Customer Classes'!$B$8,+SUM('3. Consumption by Rate Class'!$D$16:$D$27),+IF($M$9='2. Customer Classes'!$B$9,+SUM('3. Consumption by Rate Class'!$F$16:$F$27),+IF($M$9='2. Customer Classes'!$B$10,+SUM('3. Consumption by Rate Class'!$H$16:$H$27),+IF($M$9='2. Customer Classes'!$B$11,+SUM('3. Consumption by Rate Class'!$J$16:$J$27),+IF($M$9='2. Customer Classes'!$B$12,+SUM('3. Consumption by Rate Class'!$L$16:$L$27),+IF($M$9='2. Customer Classes'!$B$13,+SUM('3. Consumption by Rate Class'!$O$16:$O$27),IF($M$9='2. Customer Classes'!$B$14,+SUM('3. Consumption by Rate Class'!$R$16:$R$27),0)))))))</f>
        <v>3594883</v>
      </c>
      <c r="O12" s="310"/>
      <c r="P12" s="58">
        <f>+N12+O12</f>
        <v>3594883</v>
      </c>
      <c r="Q12" s="60">
        <f>+IF($M$9='2. Customer Classes'!$B$12,+SUM('3. Consumption by Rate Class'!$M$16:$M$27),+IF($M$9='2. Customer Classes'!$B$13,+SUM('3. Consumption by Rate Class'!$P$16:$P$27),IF($M$9='2. Customer Classes'!$B$14,+SUM('3. Consumption by Rate Class'!$S$16:$S$27),0)))</f>
        <v>6556</v>
      </c>
      <c r="R12" s="60">
        <f>IF($M$9='2. Customer Classes'!$B$8,+'4. Customer Growth'!$C9,+IF($M$9='2. Customer Classes'!$B$9,+'4. Customer Growth'!$E9,+IF($M$9='2. Customer Classes'!$B$10,+'4. Customer Growth'!$G9,+IF($M$9='2. Customer Classes'!$B$11,+'4. Customer Growth'!$I9,+IF($M$9='2. Customer Classes'!$B$12,+'4. Customer Growth'!$K9,+IF($M$9='2. Customer Classes'!$B$13,+'4. Customer Growth'!$M9,IF($M$9='2. Customer Classes'!$B$14,+'4. Customer Growth'!$O9,0)))))))</f>
        <v>1</v>
      </c>
      <c r="S12" s="283">
        <f>IF(Q12&gt;0,+P12/R12,0)</f>
        <v>3594883</v>
      </c>
      <c r="T12" s="286">
        <f>IF(Q12&gt;0,+Q12/R12,0)</f>
        <v>6556</v>
      </c>
      <c r="U12" s="250">
        <f>IF(Q12&gt;0,+Q12/P12,0)</f>
        <v>1.8237033027222304E-3</v>
      </c>
      <c r="W12" s="121">
        <f t="shared" ref="W12:W23" si="1">B12</f>
        <v>2013</v>
      </c>
      <c r="X12" s="58">
        <f>IF($W$9='2. Customer Classes'!$B$8,+SUM('3. Consumption by Rate Class'!$D$16:$D$27),+IF($W$9='2. Customer Classes'!$B$9,+SUM('3. Consumption by Rate Class'!$F$16:$F$27),+IF($W$9='2. Customer Classes'!$B$10,+SUM('3. Consumption by Rate Class'!$H$16:$H$27),+IF($W$9='2. Customer Classes'!$B$11,+SUM('3. Consumption by Rate Class'!$J$16:$J$27),+IF($W$9='2. Customer Classes'!$B$12,+SUM('3. Consumption by Rate Class'!$L$16:$L$27),+IF($W$9='2. Customer Classes'!$B$13,+SUM('3. Consumption by Rate Class'!$O$16:$O$27),IF($W$9='2. Customer Classes'!$B$14,+SUM('3. Consumption by Rate Class'!$R$16:$R$27),0)))))))</f>
        <v>1796176</v>
      </c>
      <c r="Y12" s="310"/>
      <c r="Z12" s="58">
        <f>+X12+Y12</f>
        <v>1796176</v>
      </c>
      <c r="AA12" s="60">
        <f>+IF($W$9='2. Customer Classes'!$B$12,+SUM('3. Consumption by Rate Class'!$M$16:$M$27),+IF($W$9='2. Customer Classes'!$B$13,+SUM('3. Consumption by Rate Class'!$P$16:$P$27),IF($W$9='2. Customer Classes'!$B$14,+SUM('3. Consumption by Rate Class'!$S$16:$S$27),0)))</f>
        <v>5310</v>
      </c>
      <c r="AB12" s="60">
        <f>IF($W$9='2. Customer Classes'!$B$8,+'4. Customer Growth'!$C9,+IF($W$9='2. Customer Classes'!$B$9,+'4. Customer Growth'!$E9,+IF($W$9='2. Customer Classes'!$B$10,+'4. Customer Growth'!$G9,+IF($W$9='2. Customer Classes'!$B$11,+'4. Customer Growth'!$I9,+IF($W$9='2. Customer Classes'!$B$12,+'4. Customer Growth'!$K9,+IF($W$9='2. Customer Classes'!$B$13,+'4. Customer Growth'!$M9,IF($W$9='2. Customer Classes'!$B$14,+'4. Customer Growth'!$O9,0)))))))</f>
        <v>2693.5</v>
      </c>
      <c r="AC12" s="283">
        <f>IF(AA12&gt;0,+Z12/AB12,0)</f>
        <v>666.85576387599781</v>
      </c>
      <c r="AD12" s="286">
        <f>IF(AA12&gt;0,+AA12/AB12,0)</f>
        <v>1.9714126601076667</v>
      </c>
      <c r="AE12" s="250">
        <f t="shared" ref="AE12:AE21" si="2">IF(AA12&gt;0,+AA12/Z12,0)</f>
        <v>2.9562804535858403E-3</v>
      </c>
      <c r="AG12" s="263">
        <f>+B12</f>
        <v>2013</v>
      </c>
      <c r="AH12" s="58">
        <f>IF($AG$9='2. Customer Classes'!$B$8,+SUM('3. Consumption by Rate Class'!$D$16:$D$27),+IF($AG$9='2. Customer Classes'!$B$9,+SUM('3. Consumption by Rate Class'!$F$16:$F$27),+IF($AG$9='2. Customer Classes'!$B$10,+SUM('3. Consumption by Rate Class'!$H$16:$H$27),+IF($AG$9='2. Customer Classes'!$B$11,+SUM('3. Consumption by Rate Class'!$J$16:$J$27),+IF($AG$9='2. Customer Classes'!$B$12,+SUM('3. Consumption by Rate Class'!$L$16:$L$27),+IF($AG$9='2. Customer Classes'!$B$13,+SUM('3. Consumption by Rate Class'!$O$16:$O$27),IF($AG$9='2. Customer Classes'!$B$14,+SUM('3. Consumption by Rate Class'!$R$16:$R$27),0)))))))</f>
        <v>0</v>
      </c>
      <c r="AI12" s="310"/>
      <c r="AJ12" s="58">
        <f>+AH12+AI12</f>
        <v>0</v>
      </c>
      <c r="AK12" s="60">
        <f>+IF($AG$9='2. Customer Classes'!$B$12,+SUM('3. Consumption by Rate Class'!$M$16:$M$27),+IF($AG$9='2. Customer Classes'!$B$13,+SUM('3. Consumption by Rate Class'!$P$16:$P$27),IF($AG$9='2. Customer Classes'!$B$14,+SUM('3. Consumption by Rate Class'!$S$16:$S$27),0)))</f>
        <v>0</v>
      </c>
      <c r="AL12" s="60">
        <f>IF($AG$9='2. Customer Classes'!$B$8,+'4. Customer Growth'!$C9,+IF($AG$9='2. Customer Classes'!$B$9,+'4. Customer Growth'!$E9,+IF($AG$9='2. Customer Classes'!$B$10,+'4. Customer Growth'!$G9,+IF($AG$9='2. Customer Classes'!$B$11,+'4. Customer Growth'!$I9,+IF($AG$9='2. Customer Classes'!$B$12,+'4. Customer Growth'!$K9,+IF($AG$9='2. Customer Classes'!$B$13,+'4. Customer Growth'!$M9,IF($AG$9='2. Customer Classes'!$B$14,+'4. Customer Growth'!$O9,0)))))))</f>
        <v>0</v>
      </c>
      <c r="AM12" s="283">
        <f>IF(AK12&gt;0,+AJ12/AL12,0)</f>
        <v>0</v>
      </c>
      <c r="AN12" s="286">
        <f>IF(AK12&gt;0,+AK12/AL12,0)</f>
        <v>0</v>
      </c>
      <c r="AO12" s="250">
        <f>IF(AK12&gt;0,+AK12/AJ12,0)</f>
        <v>0</v>
      </c>
      <c r="AQ12" s="263">
        <f>+B12</f>
        <v>2013</v>
      </c>
      <c r="AR12" s="58">
        <f>IF($AQ$9='2. Customer Classes'!$B$8,+SUM('3. Consumption by Rate Class'!$D$16:$D$27),+IF($AQ$9='2. Customer Classes'!$B$9,+SUM('3. Consumption by Rate Class'!$F$16:$F$27),+IF($AQ$9='2. Customer Classes'!$B$10,+SUM('3. Consumption by Rate Class'!$H$16:$H$27),+IF($AQ$9='2. Customer Classes'!$B$11,+SUM('3. Consumption by Rate Class'!$J$16:$J$27),+IF($AQ$9='2. Customer Classes'!$B$12,+SUM('3. Consumption by Rate Class'!$L$16:$L$27),+IF($AQ$9='2. Customer Classes'!$B$13,+SUM('3. Consumption by Rate Class'!$O$16:$O$27),IF($AQ$9='2. Customer Classes'!$B$14,+SUM('3. Consumption by Rate Class'!$R$16:$R$27),0)))))))</f>
        <v>0</v>
      </c>
      <c r="AS12" s="310"/>
      <c r="AT12" s="58">
        <f>+AR12+AS12</f>
        <v>0</v>
      </c>
      <c r="AU12" s="60">
        <f>+IF($AQ$9='2. Customer Classes'!$B$12,+SUM('3. Consumption by Rate Class'!$M$16:$M$27),+IF($AQ$9='2. Customer Classes'!$B$13,+SUM('3. Consumption by Rate Class'!$P$16:$P$27),IF($AQ$9='2. Customer Classes'!$B$14,+SUM('3. Consumption by Rate Class'!$S$16:$S$27),0)))</f>
        <v>0</v>
      </c>
      <c r="AV12" s="60">
        <f>IF($AQ$9='2. Customer Classes'!$B$8,+'4. Customer Growth'!$C9,+IF($AQ$9='2. Customer Classes'!$B$9,+'4. Customer Growth'!$E9,+IF($AQ$9='2. Customer Classes'!$B$10,+'4. Customer Growth'!$G9,+IF($AQ$9='2. Customer Classes'!$B$11,+'4. Customer Growth'!$I9,+IF($AQ$9='2. Customer Classes'!$B$12,+'4. Customer Growth'!$K9,+IF($AQ$9='2. Customer Classes'!$B$13,+'4. Customer Growth'!$M9,IF($AQ$9='2. Customer Classes'!$B$14,+'4. Customer Growth'!$O9,0)))))))</f>
        <v>0</v>
      </c>
      <c r="AW12" s="283">
        <f>IF(AU12&gt;0,+AT12/AV12,0)</f>
        <v>0</v>
      </c>
      <c r="AX12" s="286">
        <f>IF(AU12&gt;0,+AU12/AV12,0)</f>
        <v>0</v>
      </c>
      <c r="AY12" s="250">
        <f>IF(AU12&gt;0,+AU12/AT12,0)</f>
        <v>0</v>
      </c>
    </row>
    <row r="13" spans="2:51" ht="12.75" customHeight="1" x14ac:dyDescent="0.25">
      <c r="B13" s="121">
        <f>'4. Customer Growth'!B10</f>
        <v>2014</v>
      </c>
      <c r="C13" s="58">
        <f>IF($B$9='2. Customer Classes'!$B$8,+SUM('3. Consumption by Rate Class'!$D$28:$D$39),+IF($B$9='2. Customer Classes'!$B$9,+SUM('3. Consumption by Rate Class'!$F$28:$F$39),+IF($B$9='2. Customer Classes'!$B$10,+SUM('3. Consumption by Rate Class'!$H$28:$H$39),+IF($B$9='2. Customer Classes'!$B$11,+SUM('3. Consumption by Rate Class'!$J$28:$J$39),+IF($B$9='2. Customer Classes'!$B$12,+SUM('3. Consumption by Rate Class'!$L$28:$L$39),+IF($B$9='2. Customer Classes'!$B$13,+SUM('3. Consumption by Rate Class'!$O$28:$O$39),IF($B$9='2. Customer Classes'!$B$14,+SUM('3. Consumption by Rate Class'!$R$28:$R$39),0)))))))</f>
        <v>17311423</v>
      </c>
      <c r="D13" s="310"/>
      <c r="E13" s="395">
        <f t="shared" ref="E13:E23" si="3">+D13+C13</f>
        <v>17311423</v>
      </c>
      <c r="F13" s="58">
        <f>+IF($B$9='2. Customer Classes'!$B$12,+SUM('3. Consumption by Rate Class'!$M$28:$M$39),+IF($B$9='2. Customer Classes'!$B$13,+SUM('3. Consumption by Rate Class'!$P$28:$P$39),IF($B$9='2. Customer Classes'!$B$14,+SUM('3. Consumption by Rate Class'!$S$28:$S$39),0)))</f>
        <v>45990</v>
      </c>
      <c r="G13" s="58">
        <f>IF($B$9='2. Customer Classes'!$B$8,+'4. Customer Growth'!$C10,+IF($B$9='2. Customer Classes'!$B$9,+'4. Customer Growth'!$E10,+IF($B$9='2. Customer Classes'!$B$10,+'4. Customer Growth'!$G10,+IF($B$9='2. Customer Classes'!$B$11,+'4. Customer Growth'!$I10,+IF($B$9='2. Customer Classes'!$B$12,+'4. Customer Growth'!$K10,+IF($B$9='2. Customer Classes'!$B$13,+'4. Customer Growth'!$M10,IF($B$9='2. Customer Classes'!$B$14,+'4. Customer Growth'!$O10,0)))))))</f>
        <v>36</v>
      </c>
      <c r="H13" s="283">
        <f t="shared" ref="H13:H20" si="4">IF(F13&gt;0,+E13/G13,0)</f>
        <v>480872.86111111112</v>
      </c>
      <c r="I13" s="286">
        <f t="shared" ref="I13:I23" si="5">IF(F13&gt;0,+F13/G13,0)</f>
        <v>1277.5</v>
      </c>
      <c r="J13" s="250">
        <f t="shared" ref="J13:J20" si="6">IF(F13&gt;0,+F13/E13,0)</f>
        <v>2.6566273610205238E-3</v>
      </c>
      <c r="K13" s="114"/>
      <c r="L13" s="114"/>
      <c r="M13" s="121">
        <f t="shared" si="0"/>
        <v>2014</v>
      </c>
      <c r="N13" s="58">
        <f>IF($M$9='2. Customer Classes'!$B$8,+SUM('3. Consumption by Rate Class'!$D$28:$D$39),+IF($M$9='2. Customer Classes'!$B$9,+SUM('3. Consumption by Rate Class'!$F$28:$F$39),+IF($M$9='2. Customer Classes'!$B$10,+SUM('3. Consumption by Rate Class'!$H$28:$H$39),+IF($M$9='2. Customer Classes'!$B$11,+SUM('3. Consumption by Rate Class'!$J$28:$J$39),+IF($M$9='2. Customer Classes'!$B$12,+SUM('3. Consumption by Rate Class'!$L$28:$L$39),+IF($M$9='2. Customer Classes'!$B$13,+SUM('3. Consumption by Rate Class'!$O$28:$O$39),IF($M$9='2. Customer Classes'!$B$14,+SUM('3. Consumption by Rate Class'!$R$28:$R$39),0)))))))</f>
        <v>3453199</v>
      </c>
      <c r="O13" s="310"/>
      <c r="P13" s="58">
        <f t="shared" ref="P13:P23" si="7">+N13+O13</f>
        <v>3453199</v>
      </c>
      <c r="Q13" s="60">
        <f>+IF($M$9='2. Customer Classes'!$B$12,+SUM('3. Consumption by Rate Class'!$M$28:$M$39),+IF($M$9='2. Customer Classes'!$B$13,+SUM('3. Consumption by Rate Class'!$P$28:$P$39),IF($M$9='2. Customer Classes'!$B$14,+SUM('3. Consumption by Rate Class'!$S$28:$S$39),0)))</f>
        <v>6080</v>
      </c>
      <c r="R13" s="60">
        <f>IF($M$9='2. Customer Classes'!$B$8,+'4. Customer Growth'!$C10,+IF($M$9='2. Customer Classes'!$B$9,+'4. Customer Growth'!$E10,+IF($M$9='2. Customer Classes'!$B$10,+'4. Customer Growth'!$G10,+IF($M$9='2. Customer Classes'!$B$11,+'4. Customer Growth'!$I10,+IF($M$9='2. Customer Classes'!$B$12,+'4. Customer Growth'!$K10,+IF($M$9='2. Customer Classes'!$B$13,+'4. Customer Growth'!$M10,IF($M$9='2. Customer Classes'!$B$14,+'4. Customer Growth'!$O10,0)))))))</f>
        <v>1</v>
      </c>
      <c r="S13" s="283">
        <f t="shared" ref="S13:S23" si="8">IF(Q13&gt;0,+P13/R13,0)</f>
        <v>3453199</v>
      </c>
      <c r="T13" s="286">
        <f t="shared" ref="T13:T23" si="9">IF(Q13&gt;0,+Q13/R13,0)</f>
        <v>6080</v>
      </c>
      <c r="U13" s="250">
        <f t="shared" ref="U13:U21" si="10">IF(Q13&gt;0,+Q13/P13,0)</f>
        <v>1.7606862506331087E-3</v>
      </c>
      <c r="W13" s="121">
        <f t="shared" si="1"/>
        <v>2014</v>
      </c>
      <c r="X13" s="58">
        <f>IF($W$9='2. Customer Classes'!$B$8,+SUM('3. Consumption by Rate Class'!$D$28:$D$39),+IF($W$9='2. Customer Classes'!$B$9,+SUM('3. Consumption by Rate Class'!$F$28:$F$39),+IF($W$9='2. Customer Classes'!$B$10,+SUM('3. Consumption by Rate Class'!$H$28:$H$39),+IF($W$9='2. Customer Classes'!$B$11,+SUM('3. Consumption by Rate Class'!$J$28:$J$39),+IF($W$9='2. Customer Classes'!$B$12,+SUM('3. Consumption by Rate Class'!$L$28:$L$39),+IF($W$9='2. Customer Classes'!$B$13,+SUM('3. Consumption by Rate Class'!$O$28:$O$39),IF($W$9='2. Customer Classes'!$B$14,+SUM('3. Consumption by Rate Class'!$R$28:$R$39),0)))))))</f>
        <v>1834665</v>
      </c>
      <c r="Y13" s="310"/>
      <c r="Z13" s="58">
        <f t="shared" ref="Z13:Z23" si="11">+X13+Y13</f>
        <v>1834665</v>
      </c>
      <c r="AA13" s="60">
        <f>+IF($W$9='2. Customer Classes'!$B$12,+SUM('3. Consumption by Rate Class'!$M$28:$M$39),+IF($W$9='2. Customer Classes'!$B$13,+SUM('3. Consumption by Rate Class'!$P$28:$P$39),IF($W$9='2. Customer Classes'!$B$14,+SUM('3. Consumption by Rate Class'!$S$28:$S$39),0)))</f>
        <v>5425</v>
      </c>
      <c r="AB13" s="60">
        <f>IF($W$9='2. Customer Classes'!$B$8,+'4. Customer Growth'!$C10,+IF($W$9='2. Customer Classes'!$B$9,+'4. Customer Growth'!$E10,+IF($W$9='2. Customer Classes'!$B$10,+'4. Customer Growth'!$G10,+IF($W$9='2. Customer Classes'!$B$11,+'4. Customer Growth'!$I10,+IF($W$9='2. Customer Classes'!$B$12,+'4. Customer Growth'!$K10,+IF($W$9='2. Customer Classes'!$B$13,+'4. Customer Growth'!$M10,IF($W$9='2. Customer Classes'!$B$14,+'4. Customer Growth'!$O10,0)))))))</f>
        <v>2738</v>
      </c>
      <c r="AC13" s="283">
        <f t="shared" ref="AC13:AC23" si="12">IF(AA13&gt;0,+Z13/AB13,0)</f>
        <v>670.07487216946674</v>
      </c>
      <c r="AD13" s="286">
        <f t="shared" ref="AD13:AD23" si="13">IF(AA13&gt;0,+AA13/AB13,0)</f>
        <v>1.981373265157049</v>
      </c>
      <c r="AE13" s="250">
        <f t="shared" si="2"/>
        <v>2.956943093153246E-3</v>
      </c>
      <c r="AG13" s="263">
        <f t="shared" ref="AG13:AG23" si="14">+B13</f>
        <v>2014</v>
      </c>
      <c r="AH13" s="58">
        <f>IF($AG$9='2. Customer Classes'!$B$8,+SUM('3. Consumption by Rate Class'!$D$28:$D$39),+IF($AG$9='2. Customer Classes'!$B$9,+SUM('3. Consumption by Rate Class'!$F$28:$F$39),+IF($AG$9='2. Customer Classes'!$B$10,+SUM('3. Consumption by Rate Class'!$H$28:$H$39),+IF($AG$9='2. Customer Classes'!$B$11,+SUM('3. Consumption by Rate Class'!$J$28:$J$39),+IF($AG$9='2. Customer Classes'!$B$12,+SUM('3. Consumption by Rate Class'!$L$28:$L$39),+IF($AG$9='2. Customer Classes'!$B$13,+SUM('3. Consumption by Rate Class'!$O$28:$O$39),IF($AG$9='2. Customer Classes'!$B$14,+SUM('3. Consumption by Rate Class'!$R$28:$R$39),0)))))))</f>
        <v>0</v>
      </c>
      <c r="AI13" s="310"/>
      <c r="AJ13" s="58">
        <f t="shared" ref="AJ13:AJ23" si="15">+AH13+AI13</f>
        <v>0</v>
      </c>
      <c r="AK13" s="60">
        <f>+IF($AG$9='2. Customer Classes'!$B$12,+SUM('3. Consumption by Rate Class'!$M$28:$M$39),+IF($AG$9='2. Customer Classes'!$B$13,+SUM('3. Consumption by Rate Class'!$P$28:$P$39),IF($AG$9='2. Customer Classes'!$B$14,+SUM('3. Consumption by Rate Class'!$S$28:$S$39),0)))</f>
        <v>0</v>
      </c>
      <c r="AL13" s="60">
        <f>IF($AG$9='2. Customer Classes'!$B$8,+'4. Customer Growth'!$C10,+IF($AG$9='2. Customer Classes'!$B$9,+'4. Customer Growth'!$E10,+IF($AG$9='2. Customer Classes'!$B$10,+'4. Customer Growth'!$G10,+IF($AG$9='2. Customer Classes'!$B$11,+'4. Customer Growth'!$I10,+IF($AG$9='2. Customer Classes'!$B$12,+'4. Customer Growth'!$K10,+IF($AG$9='2. Customer Classes'!$B$13,+'4. Customer Growth'!$M10,IF($AG$9='2. Customer Classes'!$B$14,+'4. Customer Growth'!$O10,0)))))))</f>
        <v>0</v>
      </c>
      <c r="AM13" s="283">
        <f t="shared" ref="AM13:AM23" si="16">IF(AK13&gt;0,+AJ13/AL13,0)</f>
        <v>0</v>
      </c>
      <c r="AN13" s="286">
        <f t="shared" ref="AN13:AN23" si="17">IF(AK13&gt;0,+AK13/AL13,0)</f>
        <v>0</v>
      </c>
      <c r="AO13" s="250">
        <f t="shared" ref="AO13:AO21" si="18">IF(AK13&gt;0,+AK13/AJ13,0)</f>
        <v>0</v>
      </c>
      <c r="AQ13" s="263">
        <f t="shared" ref="AQ13:AQ23" si="19">+B13</f>
        <v>2014</v>
      </c>
      <c r="AR13" s="58">
        <f>IF($AQ$9='2. Customer Classes'!$B$8,+SUM('3. Consumption by Rate Class'!$D$28:$D$39),+IF($AQ$9='2. Customer Classes'!$B$9,+SUM('3. Consumption by Rate Class'!$F$28:$F$39),+IF($AQ$9='2. Customer Classes'!$B$10,+SUM('3. Consumption by Rate Class'!$H$28:$H$39),+IF($AQ$9='2. Customer Classes'!$B$11,+SUM('3. Consumption by Rate Class'!$J$28:$J$39),+IF($AQ$9='2. Customer Classes'!$B$12,+SUM('3. Consumption by Rate Class'!$L$28:$L$39),+IF($AQ$9='2. Customer Classes'!$B$13,+SUM('3. Consumption by Rate Class'!$O$28:$O$39),IF($AQ$9='2. Customer Classes'!$B$14,+SUM('3. Consumption by Rate Class'!$R$28:$R$39),0)))))))</f>
        <v>0</v>
      </c>
      <c r="AS13" s="310"/>
      <c r="AT13" s="58">
        <f t="shared" ref="AT13:AT23" si="20">+AR13+AS13</f>
        <v>0</v>
      </c>
      <c r="AU13" s="60">
        <f>+IF($AQ$9='2. Customer Classes'!$B$12,+SUM('3. Consumption by Rate Class'!$M$28:$M$39),+IF($AQ$9='2. Customer Classes'!$B$13,+SUM('3. Consumption by Rate Class'!$P$28:$P$39),IF($AQ$9='2. Customer Classes'!$B$14,+SUM('3. Consumption by Rate Class'!$S$28:$S$39),0)))</f>
        <v>0</v>
      </c>
      <c r="AV13" s="60">
        <f>IF($AQ$9='2. Customer Classes'!$B$8,+'4. Customer Growth'!$C10,+IF($AQ$9='2. Customer Classes'!$B$9,+'4. Customer Growth'!$E10,+IF($AQ$9='2. Customer Classes'!$B$10,+'4. Customer Growth'!$G10,+IF($AQ$9='2. Customer Classes'!$B$11,+'4. Customer Growth'!$I10,+IF($AQ$9='2. Customer Classes'!$B$12,+'4. Customer Growth'!$K10,+IF($AQ$9='2. Customer Classes'!$B$13,+'4. Customer Growth'!$M10,IF($AQ$9='2. Customer Classes'!$B$14,+'4. Customer Growth'!$O10,0)))))))</f>
        <v>0</v>
      </c>
      <c r="AW13" s="283">
        <f t="shared" ref="AW13:AW23" si="21">IF(AU13&gt;0,+AT13/AV13,0)</f>
        <v>0</v>
      </c>
      <c r="AX13" s="286">
        <f t="shared" ref="AX13:AX23" si="22">IF(AU13&gt;0,+AU13/AV13,0)</f>
        <v>0</v>
      </c>
      <c r="AY13" s="250">
        <f t="shared" ref="AY13:AY21" si="23">IF(AU13&gt;0,+AU13/AT13,0)</f>
        <v>0</v>
      </c>
    </row>
    <row r="14" spans="2:51" ht="12.75" customHeight="1" x14ac:dyDescent="0.25">
      <c r="B14" s="121">
        <f>'4. Customer Growth'!B11</f>
        <v>2015</v>
      </c>
      <c r="C14" s="58">
        <f>IF($B$9='2. Customer Classes'!$B$8,+SUM('3. Consumption by Rate Class'!$D$40:$D$51),+IF($B$9='2. Customer Classes'!$B$9,+SUM('3. Consumption by Rate Class'!$F$40:$F$51),+IF($B$9='2. Customer Classes'!$B$10,+SUM('3. Consumption by Rate Class'!$H$40:$H$51),+IF($B$9='2. Customer Classes'!$B$11,+SUM('3. Consumption by Rate Class'!$J$40:$J$51),+IF($B$9='2. Customer Classes'!$B$12,+SUM('3. Consumption by Rate Class'!$L$40:$L$51),+IF($B$9='2. Customer Classes'!$B$13,+SUM('3. Consumption by Rate Class'!$O$40:$O$51),IF($B$9='2. Customer Classes'!$B$14,+SUM('3. Consumption by Rate Class'!$R$40:$R$51),0)))))))</f>
        <v>17836299.185938943</v>
      </c>
      <c r="D14" s="310"/>
      <c r="E14" s="395">
        <f t="shared" si="3"/>
        <v>17836299.185938943</v>
      </c>
      <c r="F14" s="58">
        <f>+IF($B$9='2. Customer Classes'!$B$12,+SUM('3. Consumption by Rate Class'!$M$40:$M$51),+IF($B$9='2. Customer Classes'!$B$13,+SUM('3. Consumption by Rate Class'!$P$40:$P$51),IF($B$9='2. Customer Classes'!$B$14,+SUM('3. Consumption by Rate Class'!$S$40:$S$51),0)))</f>
        <v>46298.799999999996</v>
      </c>
      <c r="G14" s="58">
        <f>IF($B$9='2. Customer Classes'!$B$8,+'4. Customer Growth'!$C11,+IF($B$9='2. Customer Classes'!$B$9,+'4. Customer Growth'!$E11,+IF($B$9='2. Customer Classes'!$B$10,+'4. Customer Growth'!$G11,+IF($B$9='2. Customer Classes'!$B$11,+'4. Customer Growth'!$I11,+IF($B$9='2. Customer Classes'!$B$12,+'4. Customer Growth'!$K11,+IF($B$9='2. Customer Classes'!$B$13,+'4. Customer Growth'!$M11,IF($B$9='2. Customer Classes'!$B$14,+'4. Customer Growth'!$O11,0)))))))</f>
        <v>37</v>
      </c>
      <c r="H14" s="283">
        <f t="shared" si="4"/>
        <v>482062.140160512</v>
      </c>
      <c r="I14" s="286">
        <f t="shared" si="5"/>
        <v>1251.3189189189188</v>
      </c>
      <c r="J14" s="250">
        <f t="shared" si="6"/>
        <v>2.5957626925488648E-3</v>
      </c>
      <c r="K14" s="114"/>
      <c r="L14" s="114"/>
      <c r="M14" s="121">
        <f t="shared" si="0"/>
        <v>2015</v>
      </c>
      <c r="N14" s="58">
        <f>IF($M$9='2. Customer Classes'!$B$8,+SUM('3. Consumption by Rate Class'!$D$40:$D$51),+IF($M$9='2. Customer Classes'!$B$9,+SUM('3. Consumption by Rate Class'!$F$40:$F$51),+IF($M$9='2. Customer Classes'!$B$10,+SUM('3. Consumption by Rate Class'!$H$40:$H$51),+IF($M$9='2. Customer Classes'!$B$11,+SUM('3. Consumption by Rate Class'!$J$40:$J$51),+IF($M$9='2. Customer Classes'!$B$12,+SUM('3. Consumption by Rate Class'!$L$40:$L$51),+IF($M$9='2. Customer Classes'!$B$13,+SUM('3. Consumption by Rate Class'!$O$40:$O$51),IF($M$9='2. Customer Classes'!$B$14,+SUM('3. Consumption by Rate Class'!$R$40:$R$51),0)))))))</f>
        <v>3423047.21</v>
      </c>
      <c r="O14" s="310"/>
      <c r="P14" s="58">
        <f t="shared" si="7"/>
        <v>3423047.21</v>
      </c>
      <c r="Q14" s="60">
        <f>+IF($M$9='2. Customer Classes'!$B$12,+SUM('3. Consumption by Rate Class'!$M$40:$M$51),+IF($M$9='2. Customer Classes'!$B$13,+SUM('3. Consumption by Rate Class'!$P$40:$P$51),IF($M$9='2. Customer Classes'!$B$14,+SUM('3. Consumption by Rate Class'!$S$40:$S$51),0)))</f>
        <v>6214.5300000000007</v>
      </c>
      <c r="R14" s="60">
        <f>IF($M$9='2. Customer Classes'!$B$8,+'4. Customer Growth'!$C11,+IF($M$9='2. Customer Classes'!$B$9,+'4. Customer Growth'!$E11,+IF($M$9='2. Customer Classes'!$B$10,+'4. Customer Growth'!$G11,+IF($M$9='2. Customer Classes'!$B$11,+'4. Customer Growth'!$I11,+IF($M$9='2. Customer Classes'!$B$12,+'4. Customer Growth'!$K11,+IF($M$9='2. Customer Classes'!$B$13,+'4. Customer Growth'!$M11,IF($M$9='2. Customer Classes'!$B$14,+'4. Customer Growth'!$O11,0)))))))</f>
        <v>1</v>
      </c>
      <c r="S14" s="283">
        <f t="shared" si="8"/>
        <v>3423047.21</v>
      </c>
      <c r="T14" s="286">
        <f t="shared" si="9"/>
        <v>6214.5300000000007</v>
      </c>
      <c r="U14" s="250">
        <f t="shared" si="10"/>
        <v>1.8154964330743195E-3</v>
      </c>
      <c r="W14" s="121">
        <f t="shared" si="1"/>
        <v>2015</v>
      </c>
      <c r="X14" s="58">
        <f>IF($W$9='2. Customer Classes'!$B$8,+SUM('3. Consumption by Rate Class'!$D$40:$D$51),+IF($W$9='2. Customer Classes'!$B$9,+SUM('3. Consumption by Rate Class'!$F$40:$F$51),+IF($W$9='2. Customer Classes'!$B$10,+SUM('3. Consumption by Rate Class'!$H$40:$H$51),+IF($W$9='2. Customer Classes'!$B$11,+SUM('3. Consumption by Rate Class'!$J$40:$J$51),+IF($W$9='2. Customer Classes'!$B$12,+SUM('3. Consumption by Rate Class'!$L$40:$L$51),+IF($W$9='2. Customer Classes'!$B$13,+SUM('3. Consumption by Rate Class'!$O$40:$O$51),IF($W$9='2. Customer Classes'!$B$14,+SUM('3. Consumption by Rate Class'!$R$40:$R$51),0)))))))</f>
        <v>1811343.3900000001</v>
      </c>
      <c r="Y14" s="310"/>
      <c r="Z14" s="58">
        <f t="shared" si="11"/>
        <v>1811343.3900000001</v>
      </c>
      <c r="AA14" s="60">
        <f>+IF($W$9='2. Customer Classes'!$B$12,+SUM('3. Consumption by Rate Class'!$M$40:$M$51),+IF($W$9='2. Customer Classes'!$B$13,+SUM('3. Consumption by Rate Class'!$P$40:$P$51),IF($W$9='2. Customer Classes'!$B$14,+SUM('3. Consumption by Rate Class'!$S$40:$S$51),0)))</f>
        <v>5476.170000000001</v>
      </c>
      <c r="AB14" s="60">
        <f>IF($W$9='2. Customer Classes'!$B$8,+'4. Customer Growth'!$C11,+IF($W$9='2. Customer Classes'!$B$9,+'4. Customer Growth'!$E11,+IF($W$9='2. Customer Classes'!$B$10,+'4. Customer Growth'!$G11,+IF($W$9='2. Customer Classes'!$B$11,+'4. Customer Growth'!$I11,+IF($W$9='2. Customer Classes'!$B$12,+'4. Customer Growth'!$K11,+IF($W$9='2. Customer Classes'!$B$13,+'4. Customer Growth'!$M11,IF($W$9='2. Customer Classes'!$B$14,+'4. Customer Growth'!$O11,0)))))))</f>
        <v>2835</v>
      </c>
      <c r="AC14" s="283">
        <f t="shared" si="12"/>
        <v>638.92183068783072</v>
      </c>
      <c r="AD14" s="286">
        <f t="shared" si="13"/>
        <v>1.93162962962963</v>
      </c>
      <c r="AE14" s="250">
        <f t="shared" si="2"/>
        <v>3.0232644070873832E-3</v>
      </c>
      <c r="AG14" s="263">
        <f t="shared" si="14"/>
        <v>2015</v>
      </c>
      <c r="AH14" s="58">
        <f>IF($AG$9='2. Customer Classes'!$B$8,+SUM('3. Consumption by Rate Class'!$D$40:$D$51),+IF($AG$9='2. Customer Classes'!$B$9,+SUM('3. Consumption by Rate Class'!$F$40:$F$51),+IF($AG$9='2. Customer Classes'!$B$10,+SUM('3. Consumption by Rate Class'!$H$40:$H$51),+IF($AG$9='2. Customer Classes'!$B$11,+SUM('3. Consumption by Rate Class'!$J$40:$J$51),+IF($AG$9='2. Customer Classes'!$B$12,+SUM('3. Consumption by Rate Class'!$L$40:$L$51),+IF($AG$9='2. Customer Classes'!$B$13,+SUM('3. Consumption by Rate Class'!$O$40:$O$51),IF($AG$9='2. Customer Classes'!$B$14,+SUM('3. Consumption by Rate Class'!$R$40:$R$51),0)))))))</f>
        <v>0</v>
      </c>
      <c r="AI14" s="310"/>
      <c r="AJ14" s="58">
        <f t="shared" si="15"/>
        <v>0</v>
      </c>
      <c r="AK14" s="60">
        <f>+IF($AG$9='2. Customer Classes'!$B$12,+SUM('3. Consumption by Rate Class'!$M$40:$M$51),+IF($AG$9='2. Customer Classes'!$B$13,+SUM('3. Consumption by Rate Class'!$P$40:$P$51),IF($AG$9='2. Customer Classes'!$B$14,+SUM('3. Consumption by Rate Class'!$S$40:$S$51),0)))</f>
        <v>0</v>
      </c>
      <c r="AL14" s="60">
        <f>IF($AG$9='2. Customer Classes'!$B$8,+'4. Customer Growth'!$C11,+IF($AG$9='2. Customer Classes'!$B$9,+'4. Customer Growth'!$E11,+IF($AG$9='2. Customer Classes'!$B$10,+'4. Customer Growth'!$G11,+IF($AG$9='2. Customer Classes'!$B$11,+'4. Customer Growth'!$I11,+IF($AG$9='2. Customer Classes'!$B$12,+'4. Customer Growth'!$K11,+IF($AG$9='2. Customer Classes'!$B$13,+'4. Customer Growth'!$M11,IF($AG$9='2. Customer Classes'!$B$14,+'4. Customer Growth'!$O11,0)))))))</f>
        <v>0</v>
      </c>
      <c r="AM14" s="283">
        <f t="shared" si="16"/>
        <v>0</v>
      </c>
      <c r="AN14" s="286">
        <f t="shared" si="17"/>
        <v>0</v>
      </c>
      <c r="AO14" s="250">
        <f t="shared" si="18"/>
        <v>0</v>
      </c>
      <c r="AQ14" s="263">
        <f t="shared" si="19"/>
        <v>2015</v>
      </c>
      <c r="AR14" s="58">
        <f>IF($AQ$9='2. Customer Classes'!$B$8,+SUM('3. Consumption by Rate Class'!$D$40:$D$51),+IF($AQ$9='2. Customer Classes'!$B$9,+SUM('3. Consumption by Rate Class'!$F$40:$F$51),+IF($AQ$9='2. Customer Classes'!$B$10,+SUM('3. Consumption by Rate Class'!$H$40:$H$51),+IF($AQ$9='2. Customer Classes'!$B$11,+SUM('3. Consumption by Rate Class'!$J$40:$J$51),+IF($AQ$9='2. Customer Classes'!$B$12,+SUM('3. Consumption by Rate Class'!$L$40:$L$51),+IF($AQ$9='2. Customer Classes'!$B$13,+SUM('3. Consumption by Rate Class'!$O$40:$O$51),IF($AQ$9='2. Customer Classes'!$B$14,+SUM('3. Consumption by Rate Class'!$R$40:$R$51),0)))))))</f>
        <v>0</v>
      </c>
      <c r="AS14" s="310"/>
      <c r="AT14" s="58">
        <f t="shared" si="20"/>
        <v>0</v>
      </c>
      <c r="AU14" s="60">
        <f>+IF($AQ$9='2. Customer Classes'!$B$12,+SUM('3. Consumption by Rate Class'!$M$40:$M$51),+IF($AQ$9='2. Customer Classes'!$B$13,+SUM('3. Consumption by Rate Class'!$P$40:$P$51),IF($AQ$9='2. Customer Classes'!$B$14,+SUM('3. Consumption by Rate Class'!$S$40:$S$51),0)))</f>
        <v>0</v>
      </c>
      <c r="AV14" s="60">
        <f>IF($AQ$9='2. Customer Classes'!$B$8,+'4. Customer Growth'!$C11,+IF($AQ$9='2. Customer Classes'!$B$9,+'4. Customer Growth'!$E11,+IF($AQ$9='2. Customer Classes'!$B$10,+'4. Customer Growth'!$G11,+IF($AQ$9='2. Customer Classes'!$B$11,+'4. Customer Growth'!$I11,+IF($AQ$9='2. Customer Classes'!$B$12,+'4. Customer Growth'!$K11,+IF($AQ$9='2. Customer Classes'!$B$13,+'4. Customer Growth'!$M11,IF($AQ$9='2. Customer Classes'!$B$14,+'4. Customer Growth'!$O11,0)))))))</f>
        <v>0</v>
      </c>
      <c r="AW14" s="283">
        <f t="shared" si="21"/>
        <v>0</v>
      </c>
      <c r="AX14" s="286">
        <f t="shared" si="22"/>
        <v>0</v>
      </c>
      <c r="AY14" s="250">
        <f t="shared" si="23"/>
        <v>0</v>
      </c>
    </row>
    <row r="15" spans="2:51" ht="12.75" customHeight="1" x14ac:dyDescent="0.25">
      <c r="B15" s="121">
        <f>'4. Customer Growth'!B12</f>
        <v>2016</v>
      </c>
      <c r="C15" s="58">
        <f>IF($B$9='2. Customer Classes'!$B$8,+SUM('3. Consumption by Rate Class'!$D$52:$D$63),+IF($B$9='2. Customer Classes'!$B$9,+SUM('3. Consumption by Rate Class'!$F$52:$F$63),+IF($B$9='2. Customer Classes'!$B$10,+SUM('3. Consumption by Rate Class'!$H$52:$H$63),+IF($B$9='2. Customer Classes'!$B$11,+SUM('3. Consumption by Rate Class'!$J$52:$J$63),+IF($B$9='2. Customer Classes'!$B$12,+SUM('3. Consumption by Rate Class'!$L$52:$L$63),+IF($B$9='2. Customer Classes'!$B$13,+SUM('3. Consumption by Rate Class'!$O$52:$O$63),IF($B$9='2. Customer Classes'!$B$14,+SUM('3. Consumption by Rate Class'!$R$52:$R$63),0)))))))</f>
        <v>17027791.473816048</v>
      </c>
      <c r="D15" s="310"/>
      <c r="E15" s="395">
        <f t="shared" si="3"/>
        <v>17027791.473816048</v>
      </c>
      <c r="F15" s="58">
        <f>+IF($B$9='2. Customer Classes'!$B$12,+SUM('3. Consumption by Rate Class'!$M$52:$M$63),+IF($B$9='2. Customer Classes'!$B$13,+SUM('3. Consumption by Rate Class'!$P$52:$P$63),IF($B$9='2. Customer Classes'!$B$14,+SUM('3. Consumption by Rate Class'!$S$52:$S$63),0)))</f>
        <v>45180.1</v>
      </c>
      <c r="G15" s="58">
        <f>IF($B$9='2. Customer Classes'!$B$8,+'4. Customer Growth'!$C12,+IF($B$9='2. Customer Classes'!$B$9,+'4. Customer Growth'!$E12,+IF($B$9='2. Customer Classes'!$B$10,+'4. Customer Growth'!$G12,+IF($B$9='2. Customer Classes'!$B$11,+'4. Customer Growth'!$I12,+IF($B$9='2. Customer Classes'!$B$12,+'4. Customer Growth'!$K12,+IF($B$9='2. Customer Classes'!$B$13,+'4. Customer Growth'!$M12,IF($B$9='2. Customer Classes'!$B$14,+'4. Customer Growth'!$O12,0)))))))</f>
        <v>36</v>
      </c>
      <c r="H15" s="283">
        <f t="shared" si="4"/>
        <v>472994.20760600135</v>
      </c>
      <c r="I15" s="286">
        <f t="shared" si="5"/>
        <v>1255.0027777777777</v>
      </c>
      <c r="J15" s="250">
        <f t="shared" si="6"/>
        <v>2.6533153209841853E-3</v>
      </c>
      <c r="K15" s="114"/>
      <c r="L15" s="114"/>
      <c r="M15" s="121">
        <f t="shared" si="0"/>
        <v>2016</v>
      </c>
      <c r="N15" s="58">
        <f>IF($M$9='2. Customer Classes'!$B$8,+SUM('3. Consumption by Rate Class'!$D$52:$D$63),+IF($M$9='2. Customer Classes'!$B$9,+SUM('3. Consumption by Rate Class'!$F$52:$F$63),+IF($M$9='2. Customer Classes'!$B$10,+SUM('3. Consumption by Rate Class'!$H$52:$H$63),+IF($M$9='2. Customer Classes'!$B$11,+SUM('3. Consumption by Rate Class'!$J$52:$J$63),+IF($M$9='2. Customer Classes'!$B$12,+SUM('3. Consumption by Rate Class'!$L$52:$L$63),+IF($M$9='2. Customer Classes'!$B$13,+SUM('3. Consumption by Rate Class'!$O$52:$O$63),IF($M$9='2. Customer Classes'!$B$14,+SUM('3. Consumption by Rate Class'!$R$52:$R$63),0)))))))</f>
        <v>3180755.81</v>
      </c>
      <c r="O15" s="310"/>
      <c r="P15" s="58">
        <f t="shared" si="7"/>
        <v>3180755.81</v>
      </c>
      <c r="Q15" s="60">
        <f>+IF($M$9='2. Customer Classes'!$B$12,+SUM('3. Consumption by Rate Class'!$M$52:$M$63),+IF($M$9='2. Customer Classes'!$B$13,+SUM('3. Consumption by Rate Class'!$P$52:$P$63),IF($M$9='2. Customer Classes'!$B$14,+SUM('3. Consumption by Rate Class'!$S$52:$S$63),0)))</f>
        <v>5922.6900000000005</v>
      </c>
      <c r="R15" s="60">
        <f>IF($M$9='2. Customer Classes'!$B$8,+'4. Customer Growth'!$C12,+IF($M$9='2. Customer Classes'!$B$9,+'4. Customer Growth'!$E12,+IF($M$9='2. Customer Classes'!$B$10,+'4. Customer Growth'!$G12,+IF($M$9='2. Customer Classes'!$B$11,+'4. Customer Growth'!$I12,+IF($M$9='2. Customer Classes'!$B$12,+'4. Customer Growth'!$K12,+IF($M$9='2. Customer Classes'!$B$13,+'4. Customer Growth'!$M12,IF($M$9='2. Customer Classes'!$B$14,+'4. Customer Growth'!$O12,0)))))))</f>
        <v>1</v>
      </c>
      <c r="S15" s="283">
        <f t="shared" si="8"/>
        <v>3180755.81</v>
      </c>
      <c r="T15" s="286">
        <f t="shared" si="9"/>
        <v>5922.6900000000005</v>
      </c>
      <c r="U15" s="250">
        <f t="shared" si="10"/>
        <v>1.8620385700089314E-3</v>
      </c>
      <c r="W15" s="121">
        <f t="shared" si="1"/>
        <v>2016</v>
      </c>
      <c r="X15" s="58">
        <f>IF($W$9='2. Customer Classes'!$B$8,+SUM('3. Consumption by Rate Class'!$D$52:$D$63),+IF($W$9='2. Customer Classes'!$B$9,+SUM('3. Consumption by Rate Class'!$F$52:$F$63),+IF($W$9='2. Customer Classes'!$B$10,+SUM('3. Consumption by Rate Class'!$H$52:$H$63),+IF($W$9='2. Customer Classes'!$B$11,+SUM('3. Consumption by Rate Class'!$J$52:$J$63),+IF($W$9='2. Customer Classes'!$B$12,+SUM('3. Consumption by Rate Class'!$L$52:$L$63),+IF($W$9='2. Customer Classes'!$B$13,+SUM('3. Consumption by Rate Class'!$O$52:$O$63),IF($W$9='2. Customer Classes'!$B$14,+SUM('3. Consumption by Rate Class'!$R$52:$R$63),0)))))))</f>
        <v>932624.09999999986</v>
      </c>
      <c r="Y15" s="310"/>
      <c r="Z15" s="58">
        <f t="shared" si="11"/>
        <v>932624.09999999986</v>
      </c>
      <c r="AA15" s="60">
        <f>+IF($W$9='2. Customer Classes'!$B$12,+SUM('3. Consumption by Rate Class'!$M$52:$M$63),+IF($W$9='2. Customer Classes'!$B$13,+SUM('3. Consumption by Rate Class'!$P$52:$P$63),IF($W$9='2. Customer Classes'!$B$14,+SUM('3. Consumption by Rate Class'!$S$52:$S$63),0)))</f>
        <v>2932.5000000000005</v>
      </c>
      <c r="AB15" s="60">
        <f>IF($W$9='2. Customer Classes'!$B$8,+'4. Customer Growth'!$C12,+IF($W$9='2. Customer Classes'!$B$9,+'4. Customer Growth'!$E12,+IF($W$9='2. Customer Classes'!$B$10,+'4. Customer Growth'!$G12,+IF($W$9='2. Customer Classes'!$B$11,+'4. Customer Growth'!$I12,+IF($W$9='2. Customer Classes'!$B$12,+'4. Customer Growth'!$K12,+IF($W$9='2. Customer Classes'!$B$13,+'4. Customer Growth'!$M12,IF($W$9='2. Customer Classes'!$B$14,+'4. Customer Growth'!$O12,0)))))))</f>
        <v>2948</v>
      </c>
      <c r="AC15" s="283">
        <f t="shared" si="12"/>
        <v>316.35824287652639</v>
      </c>
      <c r="AD15" s="286">
        <f t="shared" si="13"/>
        <v>0.9947421981004072</v>
      </c>
      <c r="AE15" s="250">
        <f t="shared" si="2"/>
        <v>3.1443536575990272E-3</v>
      </c>
      <c r="AG15" s="263">
        <f t="shared" si="14"/>
        <v>2016</v>
      </c>
      <c r="AH15" s="58">
        <f>IF($AG$9='2. Customer Classes'!$B$8,+SUM('3. Consumption by Rate Class'!$D$52:$D$63),+IF($AG$9='2. Customer Classes'!$B$9,+SUM('3. Consumption by Rate Class'!$F$52:$F$63),+IF($AG$9='2. Customer Classes'!$B$10,+SUM('3. Consumption by Rate Class'!$H$52:$H$63),+IF($AG$9='2. Customer Classes'!$B$11,+SUM('3. Consumption by Rate Class'!$J$52:$J$63),+IF($AG$9='2. Customer Classes'!$B$12,+SUM('3. Consumption by Rate Class'!$L$52:$L$63),+IF($AG$9='2. Customer Classes'!$B$13,+SUM('3. Consumption by Rate Class'!$O$52:$O$63),IF($AG$9='2. Customer Classes'!$B$14,+SUM('3. Consumption by Rate Class'!$R$52:$R$63),0)))))))</f>
        <v>0</v>
      </c>
      <c r="AI15" s="310"/>
      <c r="AJ15" s="58">
        <f t="shared" si="15"/>
        <v>0</v>
      </c>
      <c r="AK15" s="60">
        <f>+IF($AG$9='2. Customer Classes'!$B$12,+SUM('3. Consumption by Rate Class'!$M$52:$M$63),+IF($AG$9='2. Customer Classes'!$B$13,+SUM('3. Consumption by Rate Class'!$P$52:$P$63),IF($AG$9='2. Customer Classes'!$B$14,+SUM('3. Consumption by Rate Class'!$S$52:$S$63),0)))</f>
        <v>0</v>
      </c>
      <c r="AL15" s="60">
        <f>IF($AG$9='2. Customer Classes'!$B$8,+'4. Customer Growth'!$C12,+IF($AG$9='2. Customer Classes'!$B$9,+'4. Customer Growth'!$E12,+IF($AG$9='2. Customer Classes'!$B$10,+'4. Customer Growth'!$G12,+IF($AG$9='2. Customer Classes'!$B$11,+'4. Customer Growth'!$I12,+IF($AG$9='2. Customer Classes'!$B$12,+'4. Customer Growth'!$K12,+IF($AG$9='2. Customer Classes'!$B$13,+'4. Customer Growth'!$M12,IF($AG$9='2. Customer Classes'!$B$14,+'4. Customer Growth'!$O12,0)))))))</f>
        <v>0</v>
      </c>
      <c r="AM15" s="283">
        <f t="shared" si="16"/>
        <v>0</v>
      </c>
      <c r="AN15" s="286">
        <f t="shared" si="17"/>
        <v>0</v>
      </c>
      <c r="AO15" s="250">
        <f t="shared" si="18"/>
        <v>0</v>
      </c>
      <c r="AQ15" s="263">
        <f t="shared" si="19"/>
        <v>2016</v>
      </c>
      <c r="AR15" s="58">
        <f>IF($AQ$9='2. Customer Classes'!$B$8,+SUM('3. Consumption by Rate Class'!$D$52:$D$63),+IF($AQ$9='2. Customer Classes'!$B$9,+SUM('3. Consumption by Rate Class'!$F$52:$F$63),+IF($AQ$9='2. Customer Classes'!$B$10,+SUM('3. Consumption by Rate Class'!$H$52:$H$63),+IF($AQ$9='2. Customer Classes'!$B$11,+SUM('3. Consumption by Rate Class'!$J$52:$J$63),+IF($AQ$9='2. Customer Classes'!$B$12,+SUM('3. Consumption by Rate Class'!$L$52:$L$63),+IF($AQ$9='2. Customer Classes'!$B$13,+SUM('3. Consumption by Rate Class'!$O$52:$O$63),IF($AQ$9='2. Customer Classes'!$B$14,+SUM('3. Consumption by Rate Class'!$R$52:$R$63),0)))))))</f>
        <v>0</v>
      </c>
      <c r="AS15" s="310"/>
      <c r="AT15" s="58">
        <f t="shared" si="20"/>
        <v>0</v>
      </c>
      <c r="AU15" s="60">
        <f>+IF($AQ$9='2. Customer Classes'!$B$12,+SUM('3. Consumption by Rate Class'!$M$52:$M$63),+IF($AQ$9='2. Customer Classes'!$B$13,+SUM('3. Consumption by Rate Class'!$P$52:$P$63),IF($AQ$9='2. Customer Classes'!$B$14,+SUM('3. Consumption by Rate Class'!$S$52:$S$63),0)))</f>
        <v>0</v>
      </c>
      <c r="AV15" s="60">
        <f>IF($AQ$9='2. Customer Classes'!$B$8,+'4. Customer Growth'!$C12,+IF($AQ$9='2. Customer Classes'!$B$9,+'4. Customer Growth'!$E12,+IF($AQ$9='2. Customer Classes'!$B$10,+'4. Customer Growth'!$G12,+IF($AQ$9='2. Customer Classes'!$B$11,+'4. Customer Growth'!$I12,+IF($AQ$9='2. Customer Classes'!$B$12,+'4. Customer Growth'!$K12,+IF($AQ$9='2. Customer Classes'!$B$13,+'4. Customer Growth'!$M12,IF($AQ$9='2. Customer Classes'!$B$14,+'4. Customer Growth'!$O12,0)))))))</f>
        <v>0</v>
      </c>
      <c r="AW15" s="283">
        <f t="shared" si="21"/>
        <v>0</v>
      </c>
      <c r="AX15" s="286">
        <f t="shared" si="22"/>
        <v>0</v>
      </c>
      <c r="AY15" s="250">
        <f t="shared" si="23"/>
        <v>0</v>
      </c>
    </row>
    <row r="16" spans="2:51" ht="12.75" customHeight="1" x14ac:dyDescent="0.25">
      <c r="B16" s="121">
        <f>'4. Customer Growth'!B13</f>
        <v>2017</v>
      </c>
      <c r="C16" s="58">
        <f>IF($B$9='2. Customer Classes'!$B$8,+SUM('3. Consumption by Rate Class'!$D$64:$D$75),+IF($B$9='2. Customer Classes'!$B$9,+SUM('3. Consumption by Rate Class'!$F$64:$F$75),+IF($B$9='2. Customer Classes'!$B$10,+SUM('3. Consumption by Rate Class'!$H$64:$H$75),+IF($B$9='2. Customer Classes'!$B$11,+SUM('3. Consumption by Rate Class'!$J$64:$J$75),+IF($B$9='2. Customer Classes'!$B$12,+SUM('3. Consumption by Rate Class'!$L$64:$L$75),+IF($B$9='2. Customer Classes'!$B$13,+SUM('3. Consumption by Rate Class'!$O$64:$O$75),IF($B$9='2. Customer Classes'!$B$14,+SUM('3. Consumption by Rate Class'!$R$64:$R$75),0)))))))</f>
        <v>16474910</v>
      </c>
      <c r="D16" s="310"/>
      <c r="E16" s="395">
        <f t="shared" si="3"/>
        <v>16474910</v>
      </c>
      <c r="F16" s="58">
        <f>+IF($B$9='2. Customer Classes'!$B$12,+SUM('3. Consumption by Rate Class'!$M$64:$M$75),+IF($B$9='2. Customer Classes'!$B$13,+SUM('3. Consumption by Rate Class'!$P$64:$P$75),IF($B$9='2. Customer Classes'!$B$14,+SUM('3. Consumption by Rate Class'!$S$64:$S$75),0)))</f>
        <v>43086.400000000001</v>
      </c>
      <c r="G16" s="58">
        <f>IF($B$9='2. Customer Classes'!$B$8,+'4. Customer Growth'!$C13,+IF($B$9='2. Customer Classes'!$B$9,+'4. Customer Growth'!$E13,+IF($B$9='2. Customer Classes'!$B$10,+'4. Customer Growth'!$G13,+IF($B$9='2. Customer Classes'!$B$11,+'4. Customer Growth'!$I13,+IF($B$9='2. Customer Classes'!$B$12,+'4. Customer Growth'!$K13,+IF($B$9='2. Customer Classes'!$B$13,+'4. Customer Growth'!$M13,IF($B$9='2. Customer Classes'!$B$14,+'4. Customer Growth'!$O13,0)))))))</f>
        <v>34.5</v>
      </c>
      <c r="H16" s="283">
        <f t="shared" si="4"/>
        <v>477533.62318840582</v>
      </c>
      <c r="I16" s="286">
        <f t="shared" si="5"/>
        <v>1248.8811594202898</v>
      </c>
      <c r="J16" s="250">
        <f t="shared" si="6"/>
        <v>2.6152737708430578E-3</v>
      </c>
      <c r="K16" s="114"/>
      <c r="L16" s="114"/>
      <c r="M16" s="121">
        <f t="shared" si="0"/>
        <v>2017</v>
      </c>
      <c r="N16" s="58">
        <f>IF($M$9='2. Customer Classes'!$B$8,+SUM('3. Consumption by Rate Class'!$D$64:$D$75),+IF($M$9='2. Customer Classes'!$B$9,+SUM('3. Consumption by Rate Class'!$F$64:$F$75),+IF($M$9='2. Customer Classes'!$B$10,+SUM('3. Consumption by Rate Class'!$H$64:$H$75),+IF($M$9='2. Customer Classes'!$B$11,+SUM('3. Consumption by Rate Class'!$J$64:$J$75),+IF($M$9='2. Customer Classes'!$B$12,+SUM('3. Consumption by Rate Class'!$L$64:$L$75),+IF($M$9='2. Customer Classes'!$B$13,+SUM('3. Consumption by Rate Class'!$O$64:$O$75),IF($M$9='2. Customer Classes'!$B$14,+SUM('3. Consumption by Rate Class'!$R$64:$R$75),0)))))))</f>
        <v>2803203</v>
      </c>
      <c r="O16" s="310"/>
      <c r="P16" s="58">
        <f t="shared" si="7"/>
        <v>2803203</v>
      </c>
      <c r="Q16" s="60">
        <f>+IF($M$9='2. Customer Classes'!$B$12,+SUM('3. Consumption by Rate Class'!$M$64:$M$75),+IF($M$9='2. Customer Classes'!$B$13,+SUM('3. Consumption by Rate Class'!$P$64:$P$75),IF($M$9='2. Customer Classes'!$B$14,+SUM('3. Consumption by Rate Class'!$S$64:$S$75),0)))</f>
        <v>5557.3</v>
      </c>
      <c r="R16" s="60">
        <f>IF($M$9='2. Customer Classes'!$B$8,+'4. Customer Growth'!$C13,+IF($M$9='2. Customer Classes'!$B$9,+'4. Customer Growth'!$E13,+IF($M$9='2. Customer Classes'!$B$10,+'4. Customer Growth'!$G13,+IF($M$9='2. Customer Classes'!$B$11,+'4. Customer Growth'!$I13,+IF($M$9='2. Customer Classes'!$B$12,+'4. Customer Growth'!$K13,+IF($M$9='2. Customer Classes'!$B$13,+'4. Customer Growth'!$M13,IF($M$9='2. Customer Classes'!$B$14,+'4. Customer Growth'!$O13,0)))))))</f>
        <v>1</v>
      </c>
      <c r="S16" s="283">
        <f t="shared" si="8"/>
        <v>2803203</v>
      </c>
      <c r="T16" s="286">
        <f t="shared" si="9"/>
        <v>5557.3</v>
      </c>
      <c r="U16" s="250">
        <f t="shared" si="10"/>
        <v>1.982482181989674E-3</v>
      </c>
      <c r="W16" s="121">
        <f t="shared" si="1"/>
        <v>2017</v>
      </c>
      <c r="X16" s="58">
        <f>IF($W$9='2. Customer Classes'!$B$8,+SUM('3. Consumption by Rate Class'!$D$64:$D$75),+IF($W$9='2. Customer Classes'!$B$9,+SUM('3. Consumption by Rate Class'!$F$64:$F$75),+IF($W$9='2. Customer Classes'!$B$10,+SUM('3. Consumption by Rate Class'!$H$64:$H$75),+IF($W$9='2. Customer Classes'!$B$11,+SUM('3. Consumption by Rate Class'!$J$64:$J$75),+IF($W$9='2. Customer Classes'!$B$12,+SUM('3. Consumption by Rate Class'!$L$64:$L$75),+IF($W$9='2. Customer Classes'!$B$13,+SUM('3. Consumption by Rate Class'!$O$64:$O$75),IF($W$9='2. Customer Classes'!$B$14,+SUM('3. Consumption by Rate Class'!$R$64:$R$75),0)))))))</f>
        <v>758718</v>
      </c>
      <c r="Y16" s="310"/>
      <c r="Z16" s="58">
        <f t="shared" si="11"/>
        <v>758718</v>
      </c>
      <c r="AA16" s="60">
        <f>+IF($W$9='2. Customer Classes'!$B$12,+SUM('3. Consumption by Rate Class'!$M$64:$M$75),+IF($W$9='2. Customer Classes'!$B$13,+SUM('3. Consumption by Rate Class'!$P$64:$P$75),IF($W$9='2. Customer Classes'!$B$14,+SUM('3. Consumption by Rate Class'!$S$64:$S$75),0)))</f>
        <v>2242</v>
      </c>
      <c r="AB16" s="60">
        <f>IF($W$9='2. Customer Classes'!$B$8,+'4. Customer Growth'!$C13,+IF($W$9='2. Customer Classes'!$B$9,+'4. Customer Growth'!$E13,+IF($W$9='2. Customer Classes'!$B$10,+'4. Customer Growth'!$G13,+IF($W$9='2. Customer Classes'!$B$11,+'4. Customer Growth'!$I13,+IF($W$9='2. Customer Classes'!$B$12,+'4. Customer Growth'!$K13,+IF($W$9='2. Customer Classes'!$B$13,+'4. Customer Growth'!$M13,IF($W$9='2. Customer Classes'!$B$14,+'4. Customer Growth'!$O13,0)))))))</f>
        <v>3013</v>
      </c>
      <c r="AC16" s="283">
        <f t="shared" si="12"/>
        <v>251.81480252240291</v>
      </c>
      <c r="AD16" s="286">
        <f t="shared" si="13"/>
        <v>0.74410886159973444</v>
      </c>
      <c r="AE16" s="250">
        <f t="shared" si="2"/>
        <v>2.9549845924309163E-3</v>
      </c>
      <c r="AG16" s="263">
        <f t="shared" si="14"/>
        <v>2017</v>
      </c>
      <c r="AH16" s="58">
        <f>IF($AG$9='2. Customer Classes'!$B$8,+SUM('3. Consumption by Rate Class'!$D$64:$D$75),+IF($AG$9='2. Customer Classes'!$B$9,+SUM('3. Consumption by Rate Class'!$F$64:$F$75),+IF($AG$9='2. Customer Classes'!$B$10,+SUM('3. Consumption by Rate Class'!$H$64:$H$75),+IF($AG$9='2. Customer Classes'!$B$11,+SUM('3. Consumption by Rate Class'!$J$64:$J$75),+IF($AG$9='2. Customer Classes'!$B$12,+SUM('3. Consumption by Rate Class'!$L$64:$L$75),+IF($AG$9='2. Customer Classes'!$B$13,+SUM('3. Consumption by Rate Class'!$O$64:$O$75),IF($AG$9='2. Customer Classes'!$B$14,+SUM('3. Consumption by Rate Class'!$R$64:$R$75),0)))))))</f>
        <v>0</v>
      </c>
      <c r="AI16" s="310"/>
      <c r="AJ16" s="58">
        <f t="shared" si="15"/>
        <v>0</v>
      </c>
      <c r="AK16" s="60">
        <f>+IF($AG$9='2. Customer Classes'!$B$12,+SUM('3. Consumption by Rate Class'!$M$64:$M$75),+IF($AG$9='2. Customer Classes'!$B$13,+SUM('3. Consumption by Rate Class'!$P$64:$P$75),IF($AG$9='2. Customer Classes'!$B$14,+SUM('3. Consumption by Rate Class'!$S$64:$S$75),0)))</f>
        <v>0</v>
      </c>
      <c r="AL16" s="60">
        <f>IF($AG$9='2. Customer Classes'!$B$8,+'4. Customer Growth'!$C13,+IF($AG$9='2. Customer Classes'!$B$9,+'4. Customer Growth'!$E13,+IF($AG$9='2. Customer Classes'!$B$10,+'4. Customer Growth'!$G13,+IF($AG$9='2. Customer Classes'!$B$11,+'4. Customer Growth'!$I13,+IF($AG$9='2. Customer Classes'!$B$12,+'4. Customer Growth'!$K13,+IF($AG$9='2. Customer Classes'!$B$13,+'4. Customer Growth'!$M13,IF($AG$9='2. Customer Classes'!$B$14,+'4. Customer Growth'!$O13,0)))))))</f>
        <v>0</v>
      </c>
      <c r="AM16" s="283">
        <f t="shared" si="16"/>
        <v>0</v>
      </c>
      <c r="AN16" s="286">
        <f t="shared" si="17"/>
        <v>0</v>
      </c>
      <c r="AO16" s="250">
        <f t="shared" si="18"/>
        <v>0</v>
      </c>
      <c r="AQ16" s="263">
        <f t="shared" si="19"/>
        <v>2017</v>
      </c>
      <c r="AR16" s="58">
        <f>IF($AQ$9='2. Customer Classes'!$B$8,+SUM('3. Consumption by Rate Class'!$D$64:$D$75),+IF($AQ$9='2. Customer Classes'!$B$9,+SUM('3. Consumption by Rate Class'!$F$64:$F$75),+IF($AQ$9='2. Customer Classes'!$B$10,+SUM('3. Consumption by Rate Class'!$H$64:$H$75),+IF($AQ$9='2. Customer Classes'!$B$11,+SUM('3. Consumption by Rate Class'!$J$64:$J$75),+IF($AQ$9='2. Customer Classes'!$B$12,+SUM('3. Consumption by Rate Class'!$L$64:$L$75),+IF($AQ$9='2. Customer Classes'!$B$13,+SUM('3. Consumption by Rate Class'!$O$64:$O$75),IF($AQ$9='2. Customer Classes'!$B$14,+SUM('3. Consumption by Rate Class'!$R$64:$R$75),0)))))))</f>
        <v>0</v>
      </c>
      <c r="AS16" s="310"/>
      <c r="AT16" s="58">
        <f t="shared" si="20"/>
        <v>0</v>
      </c>
      <c r="AU16" s="60">
        <f>+IF($AQ$9='2. Customer Classes'!$B$12,+SUM('3. Consumption by Rate Class'!$M$64:$M$75),+IF($AQ$9='2. Customer Classes'!$B$13,+SUM('3. Consumption by Rate Class'!$P$64:$P$75),IF($AQ$9='2. Customer Classes'!$B$14,+SUM('3. Consumption by Rate Class'!$S$64:$S$75),0)))</f>
        <v>0</v>
      </c>
      <c r="AV16" s="60">
        <f>IF($AQ$9='2. Customer Classes'!$B$8,+'4. Customer Growth'!$C13,+IF($AQ$9='2. Customer Classes'!$B$9,+'4. Customer Growth'!$E13,+IF($AQ$9='2. Customer Classes'!$B$10,+'4. Customer Growth'!$G13,+IF($AQ$9='2. Customer Classes'!$B$11,+'4. Customer Growth'!$I13,+IF($AQ$9='2. Customer Classes'!$B$12,+'4. Customer Growth'!$K13,+IF($AQ$9='2. Customer Classes'!$B$13,+'4. Customer Growth'!$M13,IF($AQ$9='2. Customer Classes'!$B$14,+'4. Customer Growth'!$O13,0)))))))</f>
        <v>0</v>
      </c>
      <c r="AW16" s="283">
        <f t="shared" si="21"/>
        <v>0</v>
      </c>
      <c r="AX16" s="286">
        <f t="shared" si="22"/>
        <v>0</v>
      </c>
      <c r="AY16" s="250">
        <f t="shared" si="23"/>
        <v>0</v>
      </c>
    </row>
    <row r="17" spans="2:51" ht="12.75" customHeight="1" x14ac:dyDescent="0.25">
      <c r="B17" s="121">
        <f>'4. Customer Growth'!B14</f>
        <v>2018</v>
      </c>
      <c r="C17" s="58">
        <f>IF($B$9='2. Customer Classes'!$B$8,+SUM('3. Consumption by Rate Class'!$D$76:$D$87),+IF($B$9='2. Customer Classes'!$B$9,+SUM('3. Consumption by Rate Class'!$F$76:$F$87),+IF($B$9='2. Customer Classes'!$B$10,+SUM('3. Consumption by Rate Class'!$H$76:$H$87),+IF($B$9='2. Customer Classes'!$B$11,+SUM('3. Consumption by Rate Class'!$J$76:$J$87),+IF($B$9='2. Customer Classes'!$B$12,+SUM('3. Consumption by Rate Class'!$L$76:$L$87),+IF($B$9='2. Customer Classes'!$B$13,+SUM('3. Consumption by Rate Class'!$O$76:$O$87),IF($B$9='2. Customer Classes'!$B$14,+SUM('3. Consumption by Rate Class'!$R$76:$R$87),0)))))))</f>
        <v>17070974</v>
      </c>
      <c r="D17" s="310"/>
      <c r="E17" s="395">
        <f t="shared" si="3"/>
        <v>17070974</v>
      </c>
      <c r="F17" s="58">
        <f>+IF($B$9='2. Customer Classes'!$B$12,+SUM('3. Consumption by Rate Class'!$M$76:$M$87),+IF($B$9='2. Customer Classes'!$B$13,+SUM('3. Consumption by Rate Class'!$P$76:$P$87),IF($B$9='2. Customer Classes'!$B$14,+SUM('3. Consumption by Rate Class'!$S$76:$S$87),0)))</f>
        <v>45883.1</v>
      </c>
      <c r="G17" s="58">
        <f>IF($B$9='2. Customer Classes'!$B$8,+'4. Customer Growth'!$C14,+IF($B$9='2. Customer Classes'!$B$9,+'4. Customer Growth'!$E14,+IF($B$9='2. Customer Classes'!$B$10,+'4. Customer Growth'!$G14,+IF($B$9='2. Customer Classes'!$B$11,+'4. Customer Growth'!$I14,+IF($B$9='2. Customer Classes'!$B$12,+'4. Customer Growth'!$K14,+IF($B$9='2. Customer Classes'!$B$13,+'4. Customer Growth'!$M14,IF($B$9='2. Customer Classes'!$B$14,+'4. Customer Growth'!$O14,0)))))))</f>
        <v>33.5</v>
      </c>
      <c r="H17" s="283">
        <f t="shared" si="4"/>
        <v>509581.3134328358</v>
      </c>
      <c r="I17" s="286">
        <f t="shared" si="5"/>
        <v>1369.6447761194029</v>
      </c>
      <c r="J17" s="250">
        <f t="shared" si="6"/>
        <v>2.6877845400034E-3</v>
      </c>
      <c r="K17" s="114"/>
      <c r="L17" s="114"/>
      <c r="M17" s="121">
        <f t="shared" si="0"/>
        <v>2018</v>
      </c>
      <c r="N17" s="58">
        <f>IF($M$9='2. Customer Classes'!$B$8,+SUM('3. Consumption by Rate Class'!$D$76:$D$87),+IF($M$9='2. Customer Classes'!$B$9,+SUM('3. Consumption by Rate Class'!$F$76:$F$87),+IF($M$9='2. Customer Classes'!$B$10,+SUM('3. Consumption by Rate Class'!$H$76:$H$87),+IF($M$9='2. Customer Classes'!$B$11,+SUM('3. Consumption by Rate Class'!$J$76:$J$87),+IF($M$9='2. Customer Classes'!$B$12,+SUM('3. Consumption by Rate Class'!$L$76:$L$87),+IF($M$9='2. Customer Classes'!$B$13,+SUM('3. Consumption by Rate Class'!$O$76:$O$87),IF($M$9='2. Customer Classes'!$B$14,+SUM('3. Consumption by Rate Class'!$R$76:$R$87),0)))))))</f>
        <v>2678677.3099999996</v>
      </c>
      <c r="O17" s="310"/>
      <c r="P17" s="58">
        <f t="shared" si="7"/>
        <v>2678677.3099999996</v>
      </c>
      <c r="Q17" s="60">
        <f>+IF($M$9='2. Customer Classes'!$B$12,+SUM('3. Consumption by Rate Class'!$M$76:$M$87),+IF($M$9='2. Customer Classes'!$B$13,+SUM('3. Consumption by Rate Class'!$P$76:$P$87),IF($M$9='2. Customer Classes'!$B$14,+SUM('3. Consumption by Rate Class'!$S$76:$S$87),0)))</f>
        <v>5394.4999999999991</v>
      </c>
      <c r="R17" s="60">
        <f>IF($M$9='2. Customer Classes'!$B$8,+'4. Customer Growth'!$C14,+IF($M$9='2. Customer Classes'!$B$9,+'4. Customer Growth'!$E14,+IF($M$9='2. Customer Classes'!$B$10,+'4. Customer Growth'!$G14,+IF($M$9='2. Customer Classes'!$B$11,+'4. Customer Growth'!$I14,+IF($M$9='2. Customer Classes'!$B$12,+'4. Customer Growth'!$K14,+IF($M$9='2. Customer Classes'!$B$13,+'4. Customer Growth'!$M14,IF($M$9='2. Customer Classes'!$B$14,+'4. Customer Growth'!$O14,0)))))))</f>
        <v>1</v>
      </c>
      <c r="S17" s="283">
        <f t="shared" si="8"/>
        <v>2678677.3099999996</v>
      </c>
      <c r="T17" s="286">
        <f t="shared" si="9"/>
        <v>5394.4999999999991</v>
      </c>
      <c r="U17" s="250">
        <f t="shared" si="10"/>
        <v>2.0138670603813791E-3</v>
      </c>
      <c r="W17" s="121">
        <f t="shared" si="1"/>
        <v>2018</v>
      </c>
      <c r="X17" s="58">
        <f>IF($W$9='2. Customer Classes'!$B$8,+SUM('3. Consumption by Rate Class'!$D$76:$D$87),+IF($W$9='2. Customer Classes'!$B$9,+SUM('3. Consumption by Rate Class'!$F$76:$F$87),+IF($W$9='2. Customer Classes'!$B$10,+SUM('3. Consumption by Rate Class'!$H$76:$H$87),+IF($W$9='2. Customer Classes'!$B$11,+SUM('3. Consumption by Rate Class'!$J$76:$J$87),+IF($W$9='2. Customer Classes'!$B$12,+SUM('3. Consumption by Rate Class'!$L$76:$L$87),+IF($W$9='2. Customer Classes'!$B$13,+SUM('3. Consumption by Rate Class'!$O$76:$O$87),IF($W$9='2. Customer Classes'!$B$14,+SUM('3. Consumption by Rate Class'!$R$76:$R$87),0)))))))</f>
        <v>761759</v>
      </c>
      <c r="Y17" s="310"/>
      <c r="Z17" s="58">
        <f t="shared" si="11"/>
        <v>761759</v>
      </c>
      <c r="AA17" s="60">
        <f>+IF($W$9='2. Customer Classes'!$B$12,+SUM('3. Consumption by Rate Class'!$M$76:$M$87),+IF($W$9='2. Customer Classes'!$B$13,+SUM('3. Consumption by Rate Class'!$P$76:$P$87),IF($W$9='2. Customer Classes'!$B$14,+SUM('3. Consumption by Rate Class'!$S$76:$S$87),0)))</f>
        <v>2247.6</v>
      </c>
      <c r="AB17" s="60">
        <f>IF($W$9='2. Customer Classes'!$B$8,+'4. Customer Growth'!$C14,+IF($W$9='2. Customer Classes'!$B$9,+'4. Customer Growth'!$E14,+IF($W$9='2. Customer Classes'!$B$10,+'4. Customer Growth'!$G14,+IF($W$9='2. Customer Classes'!$B$11,+'4. Customer Growth'!$I14,+IF($W$9='2. Customer Classes'!$B$12,+'4. Customer Growth'!$K14,+IF($W$9='2. Customer Classes'!$B$13,+'4. Customer Growth'!$M14,IF($W$9='2. Customer Classes'!$B$14,+'4. Customer Growth'!$O14,0)))))))</f>
        <v>3036.5</v>
      </c>
      <c r="AC17" s="283">
        <f t="shared" si="12"/>
        <v>250.86744607278115</v>
      </c>
      <c r="AD17" s="286">
        <f t="shared" si="13"/>
        <v>0.74019430265107855</v>
      </c>
      <c r="AE17" s="250">
        <f t="shared" si="2"/>
        <v>2.9505394750833267E-3</v>
      </c>
      <c r="AG17" s="263">
        <f t="shared" si="14"/>
        <v>2018</v>
      </c>
      <c r="AH17" s="58">
        <f>IF($AG$9='2. Customer Classes'!$B$8,+SUM('3. Consumption by Rate Class'!$D$76:$D$87),+IF($AG$9='2. Customer Classes'!$B$9,+SUM('3. Consumption by Rate Class'!$F$76:$F$87),+IF($AG$9='2. Customer Classes'!$B$10,+SUM('3. Consumption by Rate Class'!$H$76:$H$87),+IF($AG$9='2. Customer Classes'!$B$11,+SUM('3. Consumption by Rate Class'!$J$76:$J$87),+IF($AG$9='2. Customer Classes'!$B$12,+SUM('3. Consumption by Rate Class'!$L$76:$L$87),+IF($AG$9='2. Customer Classes'!$B$13,+SUM('3. Consumption by Rate Class'!$O$76:$O$87),IF($AG$9='2. Customer Classes'!$B$14,+SUM('3. Consumption by Rate Class'!$R$76:$R$87),0)))))))</f>
        <v>0</v>
      </c>
      <c r="AI17" s="310"/>
      <c r="AJ17" s="58">
        <f t="shared" si="15"/>
        <v>0</v>
      </c>
      <c r="AK17" s="60">
        <f>+IF($AG$9='2. Customer Classes'!$B$12,+SUM('3. Consumption by Rate Class'!$M$76:$M$87),+IF($AG$9='2. Customer Classes'!$B$13,+SUM('3. Consumption by Rate Class'!$P$76:$P$87),IF($AG$9='2. Customer Classes'!$B$14,+SUM('3. Consumption by Rate Class'!$S$76:$S$87),0)))</f>
        <v>0</v>
      </c>
      <c r="AL17" s="60">
        <f>IF($AG$9='2. Customer Classes'!$B$8,+'4. Customer Growth'!$C14,+IF($AG$9='2. Customer Classes'!$B$9,+'4. Customer Growth'!$E14,+IF($AG$9='2. Customer Classes'!$B$10,+'4. Customer Growth'!$G14,+IF($AG$9='2. Customer Classes'!$B$11,+'4. Customer Growth'!$I14,+IF($AG$9='2. Customer Classes'!$B$12,+'4. Customer Growth'!$K14,+IF($AG$9='2. Customer Classes'!$B$13,+'4. Customer Growth'!$M14,IF($AG$9='2. Customer Classes'!$B$14,+'4. Customer Growth'!$O14,0)))))))</f>
        <v>0</v>
      </c>
      <c r="AM17" s="283">
        <f t="shared" si="16"/>
        <v>0</v>
      </c>
      <c r="AN17" s="286">
        <f t="shared" si="17"/>
        <v>0</v>
      </c>
      <c r="AO17" s="250">
        <f t="shared" si="18"/>
        <v>0</v>
      </c>
      <c r="AQ17" s="263">
        <f t="shared" si="19"/>
        <v>2018</v>
      </c>
      <c r="AR17" s="58">
        <f>IF($AQ$9='2. Customer Classes'!$B$8,+SUM('3. Consumption by Rate Class'!$D$76:$D$87),+IF($AQ$9='2. Customer Classes'!$B$9,+SUM('3. Consumption by Rate Class'!$F$76:$F$87),+IF($AQ$9='2. Customer Classes'!$B$10,+SUM('3. Consumption by Rate Class'!$H$76:$H$87),+IF($AQ$9='2. Customer Classes'!$B$11,+SUM('3. Consumption by Rate Class'!$J$76:$J$87),+IF($AQ$9='2. Customer Classes'!$B$12,+SUM('3. Consumption by Rate Class'!$L$76:$L$87),+IF($AQ$9='2. Customer Classes'!$B$13,+SUM('3. Consumption by Rate Class'!$O$76:$O$87),IF($AQ$9='2. Customer Classes'!$B$14,+SUM('3. Consumption by Rate Class'!$R$76:$R$87),0)))))))</f>
        <v>0</v>
      </c>
      <c r="AS17" s="310"/>
      <c r="AT17" s="58">
        <f t="shared" si="20"/>
        <v>0</v>
      </c>
      <c r="AU17" s="60">
        <f>+IF($AQ$9='2. Customer Classes'!$B$12,+SUM('3. Consumption by Rate Class'!$M$76:$M$87),+IF($AQ$9='2. Customer Classes'!$B$13,+SUM('3. Consumption by Rate Class'!$P$76:$P$87),IF($AQ$9='2. Customer Classes'!$B$14,+SUM('3. Consumption by Rate Class'!$S$76:$S$87),0)))</f>
        <v>0</v>
      </c>
      <c r="AV17" s="60">
        <f>IF($AQ$9='2. Customer Classes'!$B$8,+'4. Customer Growth'!$C14,+IF($AQ$9='2. Customer Classes'!$B$9,+'4. Customer Growth'!$E14,+IF($AQ$9='2. Customer Classes'!$B$10,+'4. Customer Growth'!$G14,+IF($AQ$9='2. Customer Classes'!$B$11,+'4. Customer Growth'!$I14,+IF($AQ$9='2. Customer Classes'!$B$12,+'4. Customer Growth'!$K14,+IF($AQ$9='2. Customer Classes'!$B$13,+'4. Customer Growth'!$M14,IF($AQ$9='2. Customer Classes'!$B$14,+'4. Customer Growth'!$O14,0)))))))</f>
        <v>0</v>
      </c>
      <c r="AW17" s="283">
        <f t="shared" si="21"/>
        <v>0</v>
      </c>
      <c r="AX17" s="286">
        <f t="shared" si="22"/>
        <v>0</v>
      </c>
      <c r="AY17" s="250">
        <f t="shared" si="23"/>
        <v>0</v>
      </c>
    </row>
    <row r="18" spans="2:51" ht="12.75" customHeight="1" x14ac:dyDescent="0.25">
      <c r="B18" s="121">
        <f>'4. Customer Growth'!B15</f>
        <v>2019</v>
      </c>
      <c r="C18" s="58">
        <f>IF($B$9='2. Customer Classes'!$B$8,+SUM('3. Consumption by Rate Class'!$D$88:$D$99),+IF($B$9='2. Customer Classes'!$B$9,+SUM('3. Consumption by Rate Class'!$F$88:$F$99),+IF($B$9='2. Customer Classes'!$B$10,+SUM('3. Consumption by Rate Class'!$H$88:$H$99),+IF($B$9='2. Customer Classes'!$B$11,+SUM('3. Consumption by Rate Class'!$J$88:$J$99),+IF($B$9='2. Customer Classes'!$B$12,+SUM('3. Consumption by Rate Class'!$L$88:$L$99),+IF($B$9='2. Customer Classes'!$B$13,+SUM('3. Consumption by Rate Class'!$O$88:$O$99),IF($B$9='2. Customer Classes'!$B$14,+SUM('3. Consumption by Rate Class'!$R$88:$R$99),0)))))))</f>
        <v>17411107</v>
      </c>
      <c r="D18" s="310"/>
      <c r="E18" s="395">
        <f t="shared" si="3"/>
        <v>17411107</v>
      </c>
      <c r="F18" s="58">
        <f>+IF($B$9='2. Customer Classes'!$B$12,+SUM('3. Consumption by Rate Class'!$M$88:$M$99),+IF($B$9='2. Customer Classes'!$B$13,+SUM('3. Consumption by Rate Class'!$P$88:$P$99),IF($B$9='2. Customer Classes'!$B$14,+SUM('3. Consumption by Rate Class'!$S$88:$S$99),0)))</f>
        <v>43725.899999999994</v>
      </c>
      <c r="G18" s="58">
        <f>IF($B$9='2. Customer Classes'!$B$8,+'4. Customer Growth'!$C15,+IF($B$9='2. Customer Classes'!$B$9,+'4. Customer Growth'!$E15,+IF($B$9='2. Customer Classes'!$B$10,+'4. Customer Growth'!$G15,+IF($B$9='2. Customer Classes'!$B$11,+'4. Customer Growth'!$I15,+IF($B$9='2. Customer Classes'!$B$12,+'4. Customer Growth'!$K15,+IF($B$9='2. Customer Classes'!$B$13,+'4. Customer Growth'!$M15,IF($B$9='2. Customer Classes'!$B$14,+'4. Customer Growth'!$O15,0)))))))</f>
        <v>34</v>
      </c>
      <c r="H18" s="283">
        <f t="shared" si="4"/>
        <v>512091.3823529412</v>
      </c>
      <c r="I18" s="286">
        <f t="shared" si="5"/>
        <v>1286.0558823529409</v>
      </c>
      <c r="J18" s="250">
        <f>IF(F18&gt;0,+F18/E18,0)</f>
        <v>2.5113796612702449E-3</v>
      </c>
      <c r="K18" s="114"/>
      <c r="L18" s="114"/>
      <c r="M18" s="121">
        <f t="shared" si="0"/>
        <v>2019</v>
      </c>
      <c r="N18" s="58">
        <f>IF($M$9='2. Customer Classes'!$B$8,+SUM('3. Consumption by Rate Class'!$D$88:$D$99),+IF($M$9='2. Customer Classes'!$B$9,+SUM('3. Consumption by Rate Class'!$F$88:$F$99),+IF($M$9='2. Customer Classes'!$B$10,+SUM('3. Consumption by Rate Class'!$H$88:$H$99),+IF($M$9='2. Customer Classes'!$B$11,+SUM('3. Consumption by Rate Class'!$J$88:$J$99),+IF($M$9='2. Customer Classes'!$B$12,+SUM('3. Consumption by Rate Class'!$L$88:$L$99),+IF($M$9='2. Customer Classes'!$B$13,+SUM('3. Consumption by Rate Class'!$O$88:$O$99),IF($M$9='2. Customer Classes'!$B$14,+SUM('3. Consumption by Rate Class'!$R$88:$R$99),0)))))))</f>
        <v>2668244</v>
      </c>
      <c r="O18" s="310"/>
      <c r="P18" s="58">
        <f t="shared" si="7"/>
        <v>2668244</v>
      </c>
      <c r="Q18" s="60">
        <f>+IF($M$9='2. Customer Classes'!$B$12,+SUM('3. Consumption by Rate Class'!$M$88:$M$99),+IF($M$9='2. Customer Classes'!$B$13,+SUM('3. Consumption by Rate Class'!$P$88:$P$99),IF($M$9='2. Customer Classes'!$B$14,+SUM('3. Consumption by Rate Class'!$S$88:$S$99),0)))</f>
        <v>5191.76</v>
      </c>
      <c r="R18" s="60">
        <f>IF($M$9='2. Customer Classes'!$B$8,+'4. Customer Growth'!$C15,+IF($M$9='2. Customer Classes'!$B$9,+'4. Customer Growth'!$E15,+IF($M$9='2. Customer Classes'!$B$10,+'4. Customer Growth'!$G15,+IF($M$9='2. Customer Classes'!$B$11,+'4. Customer Growth'!$I15,+IF($M$9='2. Customer Classes'!$B$12,+'4. Customer Growth'!$K15,+IF($M$9='2. Customer Classes'!$B$13,+'4. Customer Growth'!$M15,IF($M$9='2. Customer Classes'!$B$14,+'4. Customer Growth'!$O15,0)))))))</f>
        <v>1</v>
      </c>
      <c r="S18" s="283">
        <f t="shared" si="8"/>
        <v>2668244</v>
      </c>
      <c r="T18" s="286">
        <f t="shared" si="9"/>
        <v>5191.76</v>
      </c>
      <c r="U18" s="250">
        <f t="shared" si="10"/>
        <v>1.9457590835021087E-3</v>
      </c>
      <c r="W18" s="121">
        <f t="shared" si="1"/>
        <v>2019</v>
      </c>
      <c r="X18" s="58">
        <f>IF($W$9='2. Customer Classes'!$B$8,+SUM('3. Consumption by Rate Class'!$D$88:$D$99),+IF($W$9='2. Customer Classes'!$B$9,+SUM('3. Consumption by Rate Class'!$F$88:$F$99),+IF($W$9='2. Customer Classes'!$B$10,+SUM('3. Consumption by Rate Class'!$H$88:$H$99),+IF($W$9='2. Customer Classes'!$B$11,+SUM('3. Consumption by Rate Class'!$J$88:$J$99),+IF($W$9='2. Customer Classes'!$B$12,+SUM('3. Consumption by Rate Class'!$L$88:$L$99),+IF($W$9='2. Customer Classes'!$B$13,+SUM('3. Consumption by Rate Class'!$O$88:$O$99),IF($W$9='2. Customer Classes'!$B$14,+SUM('3. Consumption by Rate Class'!$R$88:$R$99),0)))))))</f>
        <v>773922</v>
      </c>
      <c r="Y18" s="310"/>
      <c r="Z18" s="58">
        <f t="shared" si="11"/>
        <v>773922</v>
      </c>
      <c r="AA18" s="60">
        <f>+IF($W$9='2. Customer Classes'!$B$12,+SUM('3. Consumption by Rate Class'!$M$88:$M$99),+IF($W$9='2. Customer Classes'!$B$13,+SUM('3. Consumption by Rate Class'!$P$88:$P$99),IF($W$9='2. Customer Classes'!$B$14,+SUM('3. Consumption by Rate Class'!$S$88:$S$99),0)))</f>
        <v>2286.8000000000002</v>
      </c>
      <c r="AB18" s="60">
        <f>IF($W$9='2. Customer Classes'!$B$8,+'4. Customer Growth'!$C15,+IF($W$9='2. Customer Classes'!$B$9,+'4. Customer Growth'!$E15,+IF($W$9='2. Customer Classes'!$B$10,+'4. Customer Growth'!$G15,+IF($W$9='2. Customer Classes'!$B$11,+'4. Customer Growth'!$I15,+IF($W$9='2. Customer Classes'!$B$12,+'4. Customer Growth'!$K15,+IF($W$9='2. Customer Classes'!$B$13,+'4. Customer Growth'!$M15,IF($W$9='2. Customer Classes'!$B$14,+'4. Customer Growth'!$O15,0)))))))</f>
        <v>3077.5</v>
      </c>
      <c r="AC18" s="283">
        <f t="shared" si="12"/>
        <v>251.47749796913078</v>
      </c>
      <c r="AD18" s="286">
        <f t="shared" si="13"/>
        <v>0.74307067424857842</v>
      </c>
      <c r="AE18" s="250">
        <f t="shared" si="2"/>
        <v>2.9548197363558604E-3</v>
      </c>
      <c r="AG18" s="263">
        <f t="shared" si="14"/>
        <v>2019</v>
      </c>
      <c r="AH18" s="58">
        <f>IF($AG$9='2. Customer Classes'!$B$8,+SUM('3. Consumption by Rate Class'!$D$88:$D$99),+IF($AG$9='2. Customer Classes'!$B$9,+SUM('3. Consumption by Rate Class'!$F$88:$F$99),+IF($AG$9='2. Customer Classes'!$B$10,+SUM('3. Consumption by Rate Class'!$H$88:$H$99),+IF($AG$9='2. Customer Classes'!$B$11,+SUM('3. Consumption by Rate Class'!$J$88:$J$99),+IF($AG$9='2. Customer Classes'!$B$12,+SUM('3. Consumption by Rate Class'!$L$88:$L$99),+IF($AG$9='2. Customer Classes'!$B$13,+SUM('3. Consumption by Rate Class'!$O$88:$O$99),IF($AG$9='2. Customer Classes'!$B$14,+SUM('3. Consumption by Rate Class'!$R$88:$R$99),0)))))))</f>
        <v>0</v>
      </c>
      <c r="AI18" s="310"/>
      <c r="AJ18" s="58">
        <f t="shared" si="15"/>
        <v>0</v>
      </c>
      <c r="AK18" s="60">
        <f>+IF($AG$9='2. Customer Classes'!$B$12,+SUM('3. Consumption by Rate Class'!$M$88:$M$99),+IF($AG$9='2. Customer Classes'!$B$13,+SUM('3. Consumption by Rate Class'!$P$88:$P$99),IF($AG$9='2. Customer Classes'!$B$14,+SUM('3. Consumption by Rate Class'!$S$88:$S$99),0)))</f>
        <v>0</v>
      </c>
      <c r="AL18" s="60">
        <f>IF($AG$9='2. Customer Classes'!$B$8,+'4. Customer Growth'!$C15,+IF($AG$9='2. Customer Classes'!$B$9,+'4. Customer Growth'!$E15,+IF($AG$9='2. Customer Classes'!$B$10,+'4. Customer Growth'!$G15,+IF($AG$9='2. Customer Classes'!$B$11,+'4. Customer Growth'!$I15,+IF($AG$9='2. Customer Classes'!$B$12,+'4. Customer Growth'!$K15,+IF($AG$9='2. Customer Classes'!$B$13,+'4. Customer Growth'!$M15,IF($AG$9='2. Customer Classes'!$B$14,+'4. Customer Growth'!$O15,0)))))))</f>
        <v>0</v>
      </c>
      <c r="AM18" s="283">
        <f t="shared" si="16"/>
        <v>0</v>
      </c>
      <c r="AN18" s="286">
        <f t="shared" si="17"/>
        <v>0</v>
      </c>
      <c r="AO18" s="250">
        <f t="shared" si="18"/>
        <v>0</v>
      </c>
      <c r="AQ18" s="263">
        <f t="shared" si="19"/>
        <v>2019</v>
      </c>
      <c r="AR18" s="58">
        <f>IF($AQ$9='2. Customer Classes'!$B$8,+SUM('3. Consumption by Rate Class'!$D$88:$D$99),+IF($AQ$9='2. Customer Classes'!$B$9,+SUM('3. Consumption by Rate Class'!$F$88:$F$99),+IF($AQ$9='2. Customer Classes'!$B$10,+SUM('3. Consumption by Rate Class'!$H$88:$H$99),+IF($AQ$9='2. Customer Classes'!$B$11,+SUM('3. Consumption by Rate Class'!$J$88:$J$99),+IF($AQ$9='2. Customer Classes'!$B$12,+SUM('3. Consumption by Rate Class'!$L$88:$L$99),+IF($AQ$9='2. Customer Classes'!$B$13,+SUM('3. Consumption by Rate Class'!$O$88:$O$99),IF($AQ$9='2. Customer Classes'!$B$14,+SUM('3. Consumption by Rate Class'!$R$88:$R$99),0)))))))</f>
        <v>0</v>
      </c>
      <c r="AS18" s="310"/>
      <c r="AT18" s="58">
        <f t="shared" si="20"/>
        <v>0</v>
      </c>
      <c r="AU18" s="60">
        <f>+IF($AQ$9='2. Customer Classes'!$B$12,+SUM('3. Consumption by Rate Class'!$M$88:$M$99),+IF($AQ$9='2. Customer Classes'!$B$13,+SUM('3. Consumption by Rate Class'!$P$88:$P$99),IF($AQ$9='2. Customer Classes'!$B$14,+SUM('3. Consumption by Rate Class'!$S$88:$S$99),0)))</f>
        <v>0</v>
      </c>
      <c r="AV18" s="60">
        <f>IF($AQ$9='2. Customer Classes'!$B$8,+'4. Customer Growth'!$C15,+IF($AQ$9='2. Customer Classes'!$B$9,+'4. Customer Growth'!$E15,+IF($AQ$9='2. Customer Classes'!$B$10,+'4. Customer Growth'!$G15,+IF($AQ$9='2. Customer Classes'!$B$11,+'4. Customer Growth'!$I15,+IF($AQ$9='2. Customer Classes'!$B$12,+'4. Customer Growth'!$K15,+IF($AQ$9='2. Customer Classes'!$B$13,+'4. Customer Growth'!$M15,IF($AQ$9='2. Customer Classes'!$B$14,+'4. Customer Growth'!$O15,0)))))))</f>
        <v>0</v>
      </c>
      <c r="AW18" s="283">
        <f t="shared" si="21"/>
        <v>0</v>
      </c>
      <c r="AX18" s="286">
        <f t="shared" si="22"/>
        <v>0</v>
      </c>
      <c r="AY18" s="250">
        <f t="shared" si="23"/>
        <v>0</v>
      </c>
    </row>
    <row r="19" spans="2:51" ht="12.75" customHeight="1" x14ac:dyDescent="0.25">
      <c r="B19" s="121">
        <f>'4. Customer Growth'!B16</f>
        <v>2020</v>
      </c>
      <c r="C19" s="58">
        <f>IF($B$9='2. Customer Classes'!$B$8,+SUM('3. Consumption by Rate Class'!$D$100:$D$111),+IF($B$9='2. Customer Classes'!$B$9,+SUM('3. Consumption by Rate Class'!$F$100:$F$111),+IF($B$9='2. Customer Classes'!$B$10,+SUM('3. Consumption by Rate Class'!$H$100:$H$111),+IF($B$9='2. Customer Classes'!$B$11,+SUM('3. Consumption by Rate Class'!$J$100:$J$111),+IF($B$9='2. Customer Classes'!$B$12,+SUM('3. Consumption by Rate Class'!$L$100:$L$111),+IF($B$9='2. Customer Classes'!$B$13,+SUM('3. Consumption by Rate Class'!$O$100:$O$111),IF($B$9='2. Customer Classes'!$B$14,+SUM('3. Consumption by Rate Class'!$R$100:$R$111),0)))))))</f>
        <v>16401961</v>
      </c>
      <c r="D19" s="310"/>
      <c r="E19" s="395">
        <f>+D19+C19</f>
        <v>16401961</v>
      </c>
      <c r="F19" s="58">
        <f>+IF($B$9='2. Customer Classes'!$B$12,+SUM('3. Consumption by Rate Class'!$M$100:$M$111),+IF($B$9='2. Customer Classes'!$B$13,+SUM('3. Consumption by Rate Class'!$P$100:$P$111),IF($B$9='2. Customer Classes'!$B$14,+SUM('3. Consumption by Rate Class'!$S$100:$S$111),0)))</f>
        <v>42527.5</v>
      </c>
      <c r="G19" s="58">
        <f>IF($B$9='2. Customer Classes'!$B$8,+'4. Customer Growth'!$C16,+IF($B$9='2. Customer Classes'!$B$9,+'4. Customer Growth'!$E16,+IF($B$9='2. Customer Classes'!$B$10,+'4. Customer Growth'!$G16,+IF($B$9='2. Customer Classes'!$B$11,+'4. Customer Growth'!$I16,+IF($B$9='2. Customer Classes'!$B$12,+'4. Customer Growth'!$K16,+IF($B$9='2. Customer Classes'!$B$13,+'4. Customer Growth'!$M16,IF($B$9='2. Customer Classes'!$B$14,+'4. Customer Growth'!$O16,0)))))))</f>
        <v>34</v>
      </c>
      <c r="H19" s="283">
        <f t="shared" si="4"/>
        <v>482410.6176470588</v>
      </c>
      <c r="I19" s="286">
        <f t="shared" si="5"/>
        <v>1250.8088235294117</v>
      </c>
      <c r="J19" s="250">
        <f t="shared" si="6"/>
        <v>2.5928302109729439E-3</v>
      </c>
      <c r="K19" s="114"/>
      <c r="L19" s="114"/>
      <c r="M19" s="121">
        <f t="shared" si="0"/>
        <v>2020</v>
      </c>
      <c r="N19" s="58">
        <f>IF($M$9='2. Customer Classes'!$B$8,+SUM('3. Consumption by Rate Class'!$D$100:$D$111),+IF($M$9='2. Customer Classes'!$B$9,+SUM('3. Consumption by Rate Class'!$F$100:$F$111),+IF($M$9='2. Customer Classes'!$B$10,+SUM('3. Consumption by Rate Class'!$H$100:$H$111),+IF($M$9='2. Customer Classes'!$B$11,+SUM('3. Consumption by Rate Class'!$J$100:$J$111),+IF($M$9='2. Customer Classes'!$B$12,+SUM('3. Consumption by Rate Class'!$L$100:$L$111),+IF($M$9='2. Customer Classes'!$B$13,+SUM('3. Consumption by Rate Class'!$O$100:$O$111),IF($M$9='2. Customer Classes'!$B$14,+SUM('3. Consumption by Rate Class'!$R$100:$R$111),0)))))))</f>
        <v>2734869.5700000003</v>
      </c>
      <c r="O19" s="310"/>
      <c r="P19" s="58">
        <f t="shared" si="7"/>
        <v>2734869.5700000003</v>
      </c>
      <c r="Q19" s="60">
        <f>+IF($M$9='2. Customer Classes'!$B$12,+SUM('3. Consumption by Rate Class'!$M$100:$M$111),+IF($M$9='2. Customer Classes'!$B$13,+SUM('3. Consumption by Rate Class'!$P$100:$P$111),IF($M$9='2. Customer Classes'!$B$14,+SUM('3. Consumption by Rate Class'!$S$100:$S$111),0)))</f>
        <v>5526.0999999999995</v>
      </c>
      <c r="R19" s="60">
        <f>IF($M$9='2. Customer Classes'!$B$8,+'4. Customer Growth'!$C16,+IF($M$9='2. Customer Classes'!$B$9,+'4. Customer Growth'!$E16,+IF($M$9='2. Customer Classes'!$B$10,+'4. Customer Growth'!$G16,+IF($M$9='2. Customer Classes'!$B$11,+'4. Customer Growth'!$I16,+IF($M$9='2. Customer Classes'!$B$12,+'4. Customer Growth'!$K16,+IF($M$9='2. Customer Classes'!$B$13,+'4. Customer Growth'!$M16,IF($M$9='2. Customer Classes'!$B$14,+'4. Customer Growth'!$O16,0)))))))</f>
        <v>1</v>
      </c>
      <c r="S19" s="283">
        <f>IF(Q19&gt;0,+P19/R19,0)</f>
        <v>2734869.5700000003</v>
      </c>
      <c r="T19" s="286">
        <f>IF(Q19&gt;0,+Q19/R19,0)</f>
        <v>5526.0999999999995</v>
      </c>
      <c r="U19" s="250">
        <f t="shared" si="10"/>
        <v>2.0206082442169259E-3</v>
      </c>
      <c r="W19" s="121">
        <f t="shared" si="1"/>
        <v>2020</v>
      </c>
      <c r="X19" s="58">
        <f>IF($W$9='2. Customer Classes'!$B$8,+SUM('3. Consumption by Rate Class'!$D$100:$D$111),+IF($W$9='2. Customer Classes'!$B$9,+SUM('3. Consumption by Rate Class'!$F$100:$F$111),+IF($W$9='2. Customer Classes'!$B$10,+SUM('3. Consumption by Rate Class'!$H$100:$H$111),+IF($W$9='2. Customer Classes'!$B$11,+SUM('3. Consumption by Rate Class'!$J$100:$J$111),+IF($W$9='2. Customer Classes'!$B$12,+SUM('3. Consumption by Rate Class'!$L$100:$L$111),+IF($W$9='2. Customer Classes'!$B$13,+SUM('3. Consumption by Rate Class'!$O$100:$O$111),IF($W$9='2. Customer Classes'!$B$14,+SUM('3. Consumption by Rate Class'!$R$100:$R$111),0)))))))</f>
        <v>803024</v>
      </c>
      <c r="Y19" s="310"/>
      <c r="Z19" s="58">
        <f t="shared" si="11"/>
        <v>803024</v>
      </c>
      <c r="AA19" s="60">
        <f>+IF($W$9='2. Customer Classes'!$B$12,+SUM('3. Consumption by Rate Class'!$M$100:$M$111),+IF($W$9='2. Customer Classes'!$B$13,+SUM('3. Consumption by Rate Class'!$P$100:$P$111),IF($W$9='2. Customer Classes'!$B$14,+SUM('3. Consumption by Rate Class'!$S$100:$S$111),0)))</f>
        <v>2328</v>
      </c>
      <c r="AB19" s="60">
        <f>IF($W$9='2. Customer Classes'!$B$8,+'4. Customer Growth'!$C16,+IF($W$9='2. Customer Classes'!$B$9,+'4. Customer Growth'!$E16,+IF($W$9='2. Customer Classes'!$B$10,+'4. Customer Growth'!$G16,+IF($W$9='2. Customer Classes'!$B$11,+'4. Customer Growth'!$I16,+IF($W$9='2. Customer Classes'!$B$12,+'4. Customer Growth'!$K16,+IF($W$9='2. Customer Classes'!$B$13,+'4. Customer Growth'!$M16,IF($W$9='2. Customer Classes'!$B$14,+'4. Customer Growth'!$O16,0)))))))</f>
        <v>3111</v>
      </c>
      <c r="AC19" s="283">
        <f t="shared" si="12"/>
        <v>258.12407585985216</v>
      </c>
      <c r="AD19" s="286">
        <f t="shared" si="13"/>
        <v>0.7483124397299904</v>
      </c>
      <c r="AE19" s="250">
        <f t="shared" si="2"/>
        <v>2.8990416226663215E-3</v>
      </c>
      <c r="AG19" s="263">
        <f t="shared" si="14"/>
        <v>2020</v>
      </c>
      <c r="AH19" s="58">
        <f>IF($AG$9='2. Customer Classes'!$B$8,+SUM('3. Consumption by Rate Class'!$D$100:$D$111),+IF($AG$9='2. Customer Classes'!$B$9,+SUM('3. Consumption by Rate Class'!$F$100:$F$111),+IF($AG$9='2. Customer Classes'!$B$10,+SUM('3. Consumption by Rate Class'!$H$100:$H$111),+IF($AG$9='2. Customer Classes'!$B$11,+SUM('3. Consumption by Rate Class'!$J$100:$J$111),+IF($AG$9='2. Customer Classes'!$B$12,+SUM('3. Consumption by Rate Class'!$L$100:$L$111),+IF($AG$9='2. Customer Classes'!$B$13,+SUM('3. Consumption by Rate Class'!$O$100:$O$111),IF($AG$9='2. Customer Classes'!$B$14,+SUM('3. Consumption by Rate Class'!$R$100:$R$111),0)))))))</f>
        <v>0</v>
      </c>
      <c r="AI19" s="310"/>
      <c r="AJ19" s="58">
        <f t="shared" si="15"/>
        <v>0</v>
      </c>
      <c r="AK19" s="60">
        <f>+IF($AG$9='2. Customer Classes'!$B$12,+SUM('3. Consumption by Rate Class'!$M$100:$M$111),+IF($AG$9='2. Customer Classes'!$B$13,+SUM('3. Consumption by Rate Class'!$P$100:$P$111),IF($AG$9='2. Customer Classes'!$B$14,+SUM('3. Consumption by Rate Class'!$S$100:$S$111),0)))</f>
        <v>0</v>
      </c>
      <c r="AL19" s="60">
        <f>IF($AG$9='2. Customer Classes'!$B$8,+'4. Customer Growth'!$C16,+IF($AG$9='2. Customer Classes'!$B$9,+'4. Customer Growth'!$E16,+IF($AG$9='2. Customer Classes'!$B$10,+'4. Customer Growth'!$G16,+IF($AG$9='2. Customer Classes'!$B$11,+'4. Customer Growth'!$I16,+IF($AG$9='2. Customer Classes'!$B$12,+'4. Customer Growth'!$K16,+IF($AG$9='2. Customer Classes'!$B$13,+'4. Customer Growth'!$M16,IF($AG$9='2. Customer Classes'!$B$14,+'4. Customer Growth'!$O16,0)))))))</f>
        <v>0</v>
      </c>
      <c r="AM19" s="283">
        <f t="shared" si="16"/>
        <v>0</v>
      </c>
      <c r="AN19" s="286">
        <f t="shared" si="17"/>
        <v>0</v>
      </c>
      <c r="AO19" s="250">
        <f t="shared" si="18"/>
        <v>0</v>
      </c>
      <c r="AQ19" s="263">
        <f t="shared" si="19"/>
        <v>2020</v>
      </c>
      <c r="AR19" s="58">
        <f>IF($AQ$9='2. Customer Classes'!$B$8,+SUM('3. Consumption by Rate Class'!$D$100:$D$111),+IF($AQ$9='2. Customer Classes'!$B$9,+SUM('3. Consumption by Rate Class'!$F$100:$F$111),+IF($AQ$9='2. Customer Classes'!$B$10,+SUM('3. Consumption by Rate Class'!$H$100:$H$111),+IF($AQ$9='2. Customer Classes'!$B$11,+SUM('3. Consumption by Rate Class'!$J$100:$J$111),+IF($AQ$9='2. Customer Classes'!$B$12,+SUM('3. Consumption by Rate Class'!$L$100:$L$111),+IF($AQ$9='2. Customer Classes'!$B$13,+SUM('3. Consumption by Rate Class'!$O$100:$O$111),IF($AQ$9='2. Customer Classes'!$B$14,+SUM('3. Consumption by Rate Class'!$R$100:$R$111),0)))))))</f>
        <v>0</v>
      </c>
      <c r="AS19" s="310"/>
      <c r="AT19" s="58">
        <f t="shared" si="20"/>
        <v>0</v>
      </c>
      <c r="AU19" s="60">
        <f>+IF($AQ$9='2. Customer Classes'!$B$12,+SUM('3. Consumption by Rate Class'!$M$100:$M$111),+IF($AQ$9='2. Customer Classes'!$B$13,+SUM('3. Consumption by Rate Class'!$P$100:$P$111),IF($AQ$9='2. Customer Classes'!$B$14,+SUM('3. Consumption by Rate Class'!$S$100:$S$111),0)))</f>
        <v>0</v>
      </c>
      <c r="AV19" s="60">
        <f>IF($AQ$9='2. Customer Classes'!$B$8,+'4. Customer Growth'!$C16,+IF($AQ$9='2. Customer Classes'!$B$9,+'4. Customer Growth'!$E16,+IF($AQ$9='2. Customer Classes'!$B$10,+'4. Customer Growth'!$G16,+IF($AQ$9='2. Customer Classes'!$B$11,+'4. Customer Growth'!$I16,+IF($AQ$9='2. Customer Classes'!$B$12,+'4. Customer Growth'!$K16,+IF($AQ$9='2. Customer Classes'!$B$13,+'4. Customer Growth'!$M16,IF($AQ$9='2. Customer Classes'!$B$14,+'4. Customer Growth'!$O16,0)))))))</f>
        <v>0</v>
      </c>
      <c r="AW19" s="283">
        <f t="shared" si="21"/>
        <v>0</v>
      </c>
      <c r="AX19" s="286">
        <f t="shared" si="22"/>
        <v>0</v>
      </c>
      <c r="AY19" s="250">
        <f t="shared" si="23"/>
        <v>0</v>
      </c>
    </row>
    <row r="20" spans="2:51" ht="12.75" customHeight="1" x14ac:dyDescent="0.25">
      <c r="B20" s="121">
        <f>'4. Customer Growth'!B17</f>
        <v>2021</v>
      </c>
      <c r="C20" s="58">
        <f>IF($B$9='2. Customer Classes'!$B$8,+SUM('3. Consumption by Rate Class'!$D$112:$D$123),+IF($B$9='2. Customer Classes'!$B$9,+SUM('3. Consumption by Rate Class'!$F$112:$F$123),+IF($B$9='2. Customer Classes'!$B$10,+SUM('3. Consumption by Rate Class'!$H$112:$H$123),+IF($B$9='2. Customer Classes'!$B$11,+SUM('3. Consumption by Rate Class'!$J$112:$J$123),+IF($B$9='2. Customer Classes'!$B$12,+SUM('3. Consumption by Rate Class'!$L$112:$L$123),+IF($B$9='2. Customer Classes'!$B$13,+SUM('3. Consumption by Rate Class'!$O$112:$O$123),IF($B$9='2. Customer Classes'!$B$14,+SUM('3. Consumption by Rate Class'!$R$112:$R$123),0)))))))</f>
        <v>17067244</v>
      </c>
      <c r="D20" s="310"/>
      <c r="E20" s="395">
        <f t="shared" si="3"/>
        <v>17067244</v>
      </c>
      <c r="F20" s="58">
        <f>+IF($B$9='2. Customer Classes'!$B$12,+SUM('3. Consumption by Rate Class'!$M$112:$M$123),+IF($B$9='2. Customer Classes'!$B$13,+SUM('3. Consumption by Rate Class'!$P$112:$P$123),IF($B$9='2. Customer Classes'!$B$14,+SUM('3. Consumption by Rate Class'!$S$112:$S$123),0)))</f>
        <v>43572.3</v>
      </c>
      <c r="G20" s="58">
        <f>IF($B$9='2. Customer Classes'!$B$8,+'4. Customer Growth'!$C17,+IF($B$9='2. Customer Classes'!$B$9,+'4. Customer Growth'!$E17,+IF($B$9='2. Customer Classes'!$B$10,+'4. Customer Growth'!$G17,+IF($B$9='2. Customer Classes'!$B$11,+'4. Customer Growth'!$I17,+IF($B$9='2. Customer Classes'!$B$12,+'4. Customer Growth'!$K17,+IF($B$9='2. Customer Classes'!$B$13,+'4. Customer Growth'!$M17,IF($B$9='2. Customer Classes'!$B$14,+'4. Customer Growth'!$O17,0)))))))</f>
        <v>33.5</v>
      </c>
      <c r="H20" s="283">
        <f t="shared" si="4"/>
        <v>509469.97014925373</v>
      </c>
      <c r="I20" s="286">
        <f t="shared" si="5"/>
        <v>1300.6656716417911</v>
      </c>
      <c r="J20" s="250">
        <f t="shared" si="6"/>
        <v>2.552978090663027E-3</v>
      </c>
      <c r="K20" s="114"/>
      <c r="L20" s="114"/>
      <c r="M20" s="121">
        <f t="shared" si="0"/>
        <v>2021</v>
      </c>
      <c r="N20" s="58">
        <f>IF($M$9='2. Customer Classes'!$B$8,+SUM('3. Consumption by Rate Class'!$D$112:$D$123),+IF($M$9='2. Customer Classes'!$B$9,+SUM('3. Consumption by Rate Class'!$F$112:$F$123),+IF($M$9='2. Customer Classes'!$B$10,+SUM('3. Consumption by Rate Class'!$H$112:$H$123),+IF($M$9='2. Customer Classes'!$B$11,+SUM('3. Consumption by Rate Class'!$J$112:$J$123),+IF($M$9='2. Customer Classes'!$B$12,+SUM('3. Consumption by Rate Class'!$L$112:$L$123),+IF($M$9='2. Customer Classes'!$B$13,+SUM('3. Consumption by Rate Class'!$O$112:$O$123),IF($M$9='2. Customer Classes'!$B$14,+SUM('3. Consumption by Rate Class'!$R$112:$R$123),0)))))))</f>
        <v>2738839.99</v>
      </c>
      <c r="O20" s="310"/>
      <c r="P20" s="58">
        <f t="shared" si="7"/>
        <v>2738839.99</v>
      </c>
      <c r="Q20" s="60">
        <f>+IF($M$9='2. Customer Classes'!$B$12,+SUM('3. Consumption by Rate Class'!$M$112:$M$123),+IF($M$9='2. Customer Classes'!$B$13,+SUM('3. Consumption by Rate Class'!$P$112:$P$123),IF($M$9='2. Customer Classes'!$B$14,+SUM('3. Consumption by Rate Class'!$S$112:$S$123),0)))</f>
        <v>5291.6</v>
      </c>
      <c r="R20" s="60">
        <f>IF($M$9='2. Customer Classes'!$B$8,+'4. Customer Growth'!$C17,+IF($M$9='2. Customer Classes'!$B$9,+'4. Customer Growth'!$E17,+IF($M$9='2. Customer Classes'!$B$10,+'4. Customer Growth'!$G17,+IF($M$9='2. Customer Classes'!$B$11,+'4. Customer Growth'!$I17,+IF($M$9='2. Customer Classes'!$B$12,+'4. Customer Growth'!$K17,+IF($M$9='2. Customer Classes'!$B$13,+'4. Customer Growth'!$M17,IF($M$9='2. Customer Classes'!$B$14,+'4. Customer Growth'!$O17,0)))))))</f>
        <v>1</v>
      </c>
      <c r="S20" s="283">
        <f t="shared" si="8"/>
        <v>2738839.99</v>
      </c>
      <c r="T20" s="286">
        <f t="shared" si="9"/>
        <v>5291.6</v>
      </c>
      <c r="U20" s="250">
        <f t="shared" si="10"/>
        <v>1.9320588348792148E-3</v>
      </c>
      <c r="W20" s="121">
        <f t="shared" si="1"/>
        <v>2021</v>
      </c>
      <c r="X20" s="58">
        <f>IF($W$9='2. Customer Classes'!$B$8,+SUM('3. Consumption by Rate Class'!$D$112:$D$123),+IF($W$9='2. Customer Classes'!$B$9,+SUM('3. Consumption by Rate Class'!$F$112:$F$123),+IF($W$9='2. Customer Classes'!$B$10,+SUM('3. Consumption by Rate Class'!$H$112:$H$123),+IF($W$9='2. Customer Classes'!$B$11,+SUM('3. Consumption by Rate Class'!$J$112:$J$123),+IF($W$9='2. Customer Classes'!$B$12,+SUM('3. Consumption by Rate Class'!$L$112:$L$123),+IF($W$9='2. Customer Classes'!$B$13,+SUM('3. Consumption by Rate Class'!$O$112:$O$123),IF($W$9='2. Customer Classes'!$B$14,+SUM('3. Consumption by Rate Class'!$R$112:$R$123),0)))))))</f>
        <v>791018</v>
      </c>
      <c r="Y20" s="310"/>
      <c r="Z20" s="58">
        <f t="shared" si="11"/>
        <v>791018</v>
      </c>
      <c r="AA20" s="60">
        <f>+IF($W$9='2. Customer Classes'!$B$12,+SUM('3. Consumption by Rate Class'!$M$112:$M$123),+IF($W$9='2. Customer Classes'!$B$13,+SUM('3. Consumption by Rate Class'!$P$112:$P$123),IF($W$9='2. Customer Classes'!$B$14,+SUM('3. Consumption by Rate Class'!$S$112:$S$123),0)))</f>
        <v>2337.6</v>
      </c>
      <c r="AB20" s="60">
        <f>IF($W$9='2. Customer Classes'!$B$8,+'4. Customer Growth'!$C17,+IF($W$9='2. Customer Classes'!$B$9,+'4. Customer Growth'!$E17,+IF($W$9='2. Customer Classes'!$B$10,+'4. Customer Growth'!$G17,+IF($W$9='2. Customer Classes'!$B$11,+'4. Customer Growth'!$I17,+IF($W$9='2. Customer Classes'!$B$12,+'4. Customer Growth'!$K17,+IF($W$9='2. Customer Classes'!$B$13,+'4. Customer Growth'!$M17,IF($W$9='2. Customer Classes'!$B$14,+'4. Customer Growth'!$O17,0)))))))</f>
        <v>3132</v>
      </c>
      <c r="AC20" s="283">
        <f t="shared" si="12"/>
        <v>252.56002554278416</v>
      </c>
      <c r="AD20" s="286">
        <f t="shared" si="13"/>
        <v>0.74636015325670491</v>
      </c>
      <c r="AE20" s="250">
        <f t="shared" si="2"/>
        <v>2.9551792753135832E-3</v>
      </c>
      <c r="AG20" s="263">
        <f t="shared" si="14"/>
        <v>2021</v>
      </c>
      <c r="AH20" s="58">
        <f>IF($AG$9='2. Customer Classes'!$B$8,+SUM('3. Consumption by Rate Class'!$D$112:$D$123),+IF($AG$9='2. Customer Classes'!$B$9,+SUM('3. Consumption by Rate Class'!$F$112:$F$123),+IF($AG$9='2. Customer Classes'!$B$10,+SUM('3. Consumption by Rate Class'!$H$112:$H$123),+IF($AG$9='2. Customer Classes'!$B$11,+SUM('3. Consumption by Rate Class'!$J$112:$J$123),+IF($AG$9='2. Customer Classes'!$B$12,+SUM('3. Consumption by Rate Class'!$L$112:$L$123),+IF($AG$9='2. Customer Classes'!$B$13,+SUM('3. Consumption by Rate Class'!$O$112:$O$123),IF($AG$9='2. Customer Classes'!$B$14,+SUM('3. Consumption by Rate Class'!$R$112:$R$123),0)))))))</f>
        <v>0</v>
      </c>
      <c r="AI20" s="310"/>
      <c r="AJ20" s="58">
        <f t="shared" si="15"/>
        <v>0</v>
      </c>
      <c r="AK20" s="60">
        <f>+IF($AG$9='2. Customer Classes'!$B$12,+SUM('3. Consumption by Rate Class'!$M$112:$M$123),+IF($AG$9='2. Customer Classes'!$B$13,+SUM('3. Consumption by Rate Class'!$P$112:$P$123),IF($AG$9='2. Customer Classes'!$B$14,+SUM('3. Consumption by Rate Class'!$S$112:$S$123),0)))</f>
        <v>0</v>
      </c>
      <c r="AL20" s="60">
        <f>IF($AG$9='2. Customer Classes'!$B$8,+'4. Customer Growth'!$C17,+IF($AG$9='2. Customer Classes'!$B$9,+'4. Customer Growth'!$E17,+IF($AG$9='2. Customer Classes'!$B$10,+'4. Customer Growth'!$G17,+IF($AG$9='2. Customer Classes'!$B$11,+'4. Customer Growth'!$I17,+IF($AG$9='2. Customer Classes'!$B$12,+'4. Customer Growth'!$K17,+IF($AG$9='2. Customer Classes'!$B$13,+'4. Customer Growth'!$M17,IF($AG$9='2. Customer Classes'!$B$14,+'4. Customer Growth'!$O17,0)))))))</f>
        <v>0</v>
      </c>
      <c r="AM20" s="283">
        <f t="shared" si="16"/>
        <v>0</v>
      </c>
      <c r="AN20" s="286">
        <f t="shared" si="17"/>
        <v>0</v>
      </c>
      <c r="AO20" s="250">
        <f t="shared" si="18"/>
        <v>0</v>
      </c>
      <c r="AQ20" s="263">
        <f t="shared" si="19"/>
        <v>2021</v>
      </c>
      <c r="AR20" s="58">
        <f>IF($AQ$9='2. Customer Classes'!$B$8,+SUM('3. Consumption by Rate Class'!$D$112:$D$123),+IF($AQ$9='2. Customer Classes'!$B$9,+SUM('3. Consumption by Rate Class'!$F$112:$F$123),+IF($AQ$9='2. Customer Classes'!$B$10,+SUM('3. Consumption by Rate Class'!$H$112:$H$123),+IF($AQ$9='2. Customer Classes'!$B$11,+SUM('3. Consumption by Rate Class'!$J$112:$J$123),+IF($AQ$9='2. Customer Classes'!$B$12,+SUM('3. Consumption by Rate Class'!$L$112:$L$123),+IF($AQ$9='2. Customer Classes'!$B$13,+SUM('3. Consumption by Rate Class'!$O$112:$O$123),IF($AQ$9='2. Customer Classes'!$B$14,+SUM('3. Consumption by Rate Class'!$R$112:$R$123),0)))))))</f>
        <v>0</v>
      </c>
      <c r="AS20" s="310"/>
      <c r="AT20" s="58">
        <f t="shared" si="20"/>
        <v>0</v>
      </c>
      <c r="AU20" s="60">
        <f>+IF($AQ$9='2. Customer Classes'!$B$12,+SUM('3. Consumption by Rate Class'!$M$112:$M$123),+IF($AQ$9='2. Customer Classes'!$B$13,+SUM('3. Consumption by Rate Class'!$P$112:$P$123),IF($AQ$9='2. Customer Classes'!$B$14,+SUM('3. Consumption by Rate Class'!$S$112:$S$123),0)))</f>
        <v>0</v>
      </c>
      <c r="AV20" s="60">
        <f>IF($AQ$9='2. Customer Classes'!$B$8,+'4. Customer Growth'!$C17,+IF($AQ$9='2. Customer Classes'!$B$9,+'4. Customer Growth'!$E17,+IF($AQ$9='2. Customer Classes'!$B$10,+'4. Customer Growth'!$G17,+IF($AQ$9='2. Customer Classes'!$B$11,+'4. Customer Growth'!$I17,+IF($AQ$9='2. Customer Classes'!$B$12,+'4. Customer Growth'!$K17,+IF($AQ$9='2. Customer Classes'!$B$13,+'4. Customer Growth'!$M17,IF($AQ$9='2. Customer Classes'!$B$14,+'4. Customer Growth'!$O17,0)))))))</f>
        <v>0</v>
      </c>
      <c r="AW20" s="283">
        <f t="shared" si="21"/>
        <v>0</v>
      </c>
      <c r="AX20" s="286">
        <f t="shared" si="22"/>
        <v>0</v>
      </c>
      <c r="AY20" s="250">
        <f t="shared" si="23"/>
        <v>0</v>
      </c>
    </row>
    <row r="21" spans="2:51" ht="12.75" customHeight="1" x14ac:dyDescent="0.25">
      <c r="B21" s="121">
        <f>'4. Customer Growth'!B18</f>
        <v>2022</v>
      </c>
      <c r="C21" s="58">
        <f>IF($B$9='2. Customer Classes'!$B$8,+SUM('3. Consumption by Rate Class'!$D$124:$D$135),+IF($B$9='2. Customer Classes'!$B$9,+SUM('3. Consumption by Rate Class'!$F$124:$F$135),+IF($B$9='2. Customer Classes'!$B$10,+SUM('3. Consumption by Rate Class'!$H$124:$H$135),+IF($B$9='2. Customer Classes'!$B$11,+SUM('3. Consumption by Rate Class'!$J$124:$J$135),+IF($B$9='2. Customer Classes'!$B$12,+SUM('3. Consumption by Rate Class'!$L$124:$L$135),+IF($B$9='2. Customer Classes'!$B$13,+SUM('3. Consumption by Rate Class'!$O$124:$O$135),IF($B$9='2. Customer Classes'!$B$14,+SUM('3. Consumption by Rate Class'!$R$124:$R$135),0)))))))</f>
        <v>18037476</v>
      </c>
      <c r="D21" s="310"/>
      <c r="E21" s="395">
        <f t="shared" si="3"/>
        <v>18037476</v>
      </c>
      <c r="F21" s="58">
        <f>+IF($B$9='2. Customer Classes'!$B$12,+SUM('3. Consumption by Rate Class'!$M$124:$M$135),+IF($B$9='2. Customer Classes'!$B$13,+SUM('3. Consumption by Rate Class'!$P$124:$P$135),IF($B$9='2. Customer Classes'!$B$14,+SUM('3. Consumption by Rate Class'!$S$124:$S$135),0)))</f>
        <v>45020.900000000009</v>
      </c>
      <c r="G21" s="58">
        <f>IF($B$9='2. Customer Classes'!$B$8,+'4. Customer Growth'!$C18,+IF($B$9='2. Customer Classes'!$B$9,+'4. Customer Growth'!$E18,+IF($B$9='2. Customer Classes'!$B$10,+'4. Customer Growth'!$G18,+IF($B$9='2. Customer Classes'!$B$11,+'4. Customer Growth'!$I18,+IF($B$9='2. Customer Classes'!$B$12,+'4. Customer Growth'!$K18,+IF($B$9='2. Customer Classes'!$B$13,+'4. Customer Growth'!$M18,IF($B$9='2. Customer Classes'!$B$14,+'4. Customer Growth'!$O18,0)))))))</f>
        <v>34.5</v>
      </c>
      <c r="H21" s="283">
        <f>IF(F21&gt;0,+E21/G21,0)</f>
        <v>522825.39130434784</v>
      </c>
      <c r="I21" s="286">
        <f t="shared" si="5"/>
        <v>1304.953623188406</v>
      </c>
      <c r="J21" s="250">
        <f>IF(F21&gt;0,+F21/E21,0)</f>
        <v>2.495964512995056E-3</v>
      </c>
      <c r="K21" s="114"/>
      <c r="L21" s="114"/>
      <c r="M21" s="121">
        <f t="shared" si="0"/>
        <v>2022</v>
      </c>
      <c r="N21" s="58">
        <f>IF($M$9='2. Customer Classes'!$B$8,+SUM('3. Consumption by Rate Class'!$D$124:$D$135),+IF($M$9='2. Customer Classes'!$B$9,+SUM('3. Consumption by Rate Class'!$F$124:$F$135),+IF($M$9='2. Customer Classes'!$B$10,+SUM('3. Consumption by Rate Class'!$H$124:$H$135),+IF($M$9='2. Customer Classes'!$B$11,+SUM('3. Consumption by Rate Class'!$J$124:$J$135),+IF($M$9='2. Customer Classes'!$B$12,+SUM('3. Consumption by Rate Class'!$L$124:$L$135),+IF($M$9='2. Customer Classes'!$B$13,+SUM('3. Consumption by Rate Class'!$O$124:$O$135),IF($M$9='2. Customer Classes'!$B$14,+SUM('3. Consumption by Rate Class'!$R$124:$R$135),0)))))))</f>
        <v>2821873.45</v>
      </c>
      <c r="O21" s="310"/>
      <c r="P21" s="58">
        <f>+N21+O21</f>
        <v>2821873.45</v>
      </c>
      <c r="Q21" s="60">
        <f>+IF($M$9='2. Customer Classes'!$B$12,+SUM('3. Consumption by Rate Class'!$M$124:$M$135),+IF($M$9='2. Customer Classes'!$B$13,+SUM('3. Consumption by Rate Class'!$P$124:$P$135),IF($M$9='2. Customer Classes'!$B$14,+SUM('3. Consumption by Rate Class'!$S$124:$S$135),0)))</f>
        <v>5657.5</v>
      </c>
      <c r="R21" s="60">
        <f>IF($M$9='2. Customer Classes'!$B$8,+'4. Customer Growth'!$C18,+IF($M$9='2. Customer Classes'!$B$9,+'4. Customer Growth'!$E18,+IF($M$9='2. Customer Classes'!$B$10,+'4. Customer Growth'!$G18,+IF($M$9='2. Customer Classes'!$B$11,+'4. Customer Growth'!$I18,+IF($M$9='2. Customer Classes'!$B$12,+'4. Customer Growth'!$K18,+IF($M$9='2. Customer Classes'!$B$13,+'4. Customer Growth'!$M18,IF($M$9='2. Customer Classes'!$B$14,+'4. Customer Growth'!$O18,0)))))))</f>
        <v>1</v>
      </c>
      <c r="S21" s="283">
        <f>IF(Q21&gt;0,+P21/R21,0)</f>
        <v>2821873.45</v>
      </c>
      <c r="T21" s="286">
        <f t="shared" si="9"/>
        <v>5657.5</v>
      </c>
      <c r="U21" s="250">
        <f t="shared" si="10"/>
        <v>2.0048737479705192E-3</v>
      </c>
      <c r="W21" s="121">
        <f t="shared" si="1"/>
        <v>2022</v>
      </c>
      <c r="X21" s="58">
        <f>IF($W$9='2. Customer Classes'!$B$8,+SUM('3. Consumption by Rate Class'!$D$124:$D$135),+IF($W$9='2. Customer Classes'!$B$9,+SUM('3. Consumption by Rate Class'!$F$124:$F$135),+IF($W$9='2. Customer Classes'!$B$10,+SUM('3. Consumption by Rate Class'!$H$124:$H$135),+IF($W$9='2. Customer Classes'!$B$11,+SUM('3. Consumption by Rate Class'!$J$124:$J$135),+IF($W$9='2. Customer Classes'!$B$12,+SUM('3. Consumption by Rate Class'!$L$124:$L$135),+IF($W$9='2. Customer Classes'!$B$13,+SUM('3. Consumption by Rate Class'!$O$124:$O$135),IF($W$9='2. Customer Classes'!$B$14,+SUM('3. Consumption by Rate Class'!$R$124:$R$135),0)))))))</f>
        <v>802430</v>
      </c>
      <c r="Y21" s="310"/>
      <c r="Z21" s="58">
        <f t="shared" si="11"/>
        <v>802430</v>
      </c>
      <c r="AA21" s="60">
        <f>+IF($W$9='2. Customer Classes'!$B$12,+SUM('3. Consumption by Rate Class'!$M$124:$M$135),+IF($W$9='2. Customer Classes'!$B$13,+SUM('3. Consumption by Rate Class'!$P$124:$P$135),IF($W$9='2. Customer Classes'!$B$14,+SUM('3. Consumption by Rate Class'!$S$124:$S$135),0)))</f>
        <v>2371.1999999999994</v>
      </c>
      <c r="AB21" s="60">
        <f>IF($W$9='2. Customer Classes'!$B$8,+'4. Customer Growth'!$C18,+IF($W$9='2. Customer Classes'!$B$9,+'4. Customer Growth'!$E18,+IF($W$9='2. Customer Classes'!$B$10,+'4. Customer Growth'!$G18,+IF($W$9='2. Customer Classes'!$B$11,+'4. Customer Growth'!$I18,+IF($W$9='2. Customer Classes'!$B$12,+'4. Customer Growth'!$K18,+IF($W$9='2. Customer Classes'!$B$13,+'4. Customer Growth'!$M18,IF($W$9='2. Customer Classes'!$B$14,+'4. Customer Growth'!$O18,0)))))))</f>
        <v>3177.5</v>
      </c>
      <c r="AC21" s="283">
        <f t="shared" si="12"/>
        <v>252.53501180173092</v>
      </c>
      <c r="AD21" s="286">
        <f t="shared" si="13"/>
        <v>0.74624704956726962</v>
      </c>
      <c r="AE21" s="250">
        <f t="shared" si="2"/>
        <v>2.9550241142529557E-3</v>
      </c>
      <c r="AG21" s="263">
        <f t="shared" si="14"/>
        <v>2022</v>
      </c>
      <c r="AH21" s="58">
        <f>IF($AG$9='2. Customer Classes'!$B$8,+SUM('3. Consumption by Rate Class'!$D$124:$D$135),+IF($AG$9='2. Customer Classes'!$B$9,+SUM('3. Consumption by Rate Class'!$F$124:$F$135),+IF($AG$9='2. Customer Classes'!$B$10,+SUM('3. Consumption by Rate Class'!$H$124:$H$135),+IF($AG$9='2. Customer Classes'!$B$11,+SUM('3. Consumption by Rate Class'!$J$124:$J$135),+IF($AG$9='2. Customer Classes'!$B$12,+SUM('3. Consumption by Rate Class'!$L$124:$L$135),+IF($AG$9='2. Customer Classes'!$B$13,+SUM('3. Consumption by Rate Class'!$O$124:$O$135),IF($AG$9='2. Customer Classes'!$B$14,+SUM('3. Consumption by Rate Class'!$R$124:$R$135),0)))))))</f>
        <v>0</v>
      </c>
      <c r="AI21" s="310"/>
      <c r="AJ21" s="58">
        <f t="shared" si="15"/>
        <v>0</v>
      </c>
      <c r="AK21" s="60">
        <f>+IF($AG$9='2. Customer Classes'!$B$12,+SUM('3. Consumption by Rate Class'!$M$124:$M$135),+IF($AG$9='2. Customer Classes'!$B$13,+SUM('3. Consumption by Rate Class'!$P$124:$P$135),IF($AG$9='2. Customer Classes'!$B$14,+SUM('3. Consumption by Rate Class'!$S$124:$S$135),0)))</f>
        <v>0</v>
      </c>
      <c r="AL21" s="60">
        <f>IF($AG$9='2. Customer Classes'!$B$8,+'4. Customer Growth'!$C18,+IF($AG$9='2. Customer Classes'!$B$9,+'4. Customer Growth'!$E18,+IF($AG$9='2. Customer Classes'!$B$10,+'4. Customer Growth'!$G18,+IF($AG$9='2. Customer Classes'!$B$11,+'4. Customer Growth'!$I18,+IF($AG$9='2. Customer Classes'!$B$12,+'4. Customer Growth'!$K18,+IF($AG$9='2. Customer Classes'!$B$13,+'4. Customer Growth'!$M18,IF($AG$9='2. Customer Classes'!$B$14,+'4. Customer Growth'!$O18,0)))))))</f>
        <v>0</v>
      </c>
      <c r="AM21" s="283">
        <f t="shared" si="16"/>
        <v>0</v>
      </c>
      <c r="AN21" s="286">
        <f t="shared" si="17"/>
        <v>0</v>
      </c>
      <c r="AO21" s="250">
        <f t="shared" si="18"/>
        <v>0</v>
      </c>
      <c r="AQ21" s="263">
        <f t="shared" si="19"/>
        <v>2022</v>
      </c>
      <c r="AR21" s="58">
        <f>IF($AQ$9='2. Customer Classes'!$B$8,+SUM('3. Consumption by Rate Class'!$D$124:$D$135),+IF($AQ$9='2. Customer Classes'!$B$9,+SUM('3. Consumption by Rate Class'!$F$124:$F$135),+IF($AQ$9='2. Customer Classes'!$B$10,+SUM('3. Consumption by Rate Class'!$H$124:$H$135),+IF($AQ$9='2. Customer Classes'!$B$11,+SUM('3. Consumption by Rate Class'!$J$124:$J$135),+IF($AQ$9='2. Customer Classes'!$B$12,+SUM('3. Consumption by Rate Class'!$L$124:$L$135),+IF($AQ$9='2. Customer Classes'!$B$13,+SUM('3. Consumption by Rate Class'!$O$124:$O$135),IF($AQ$9='2. Customer Classes'!$B$14,+SUM('3. Consumption by Rate Class'!$R$124:$R$135),0)))))))</f>
        <v>0</v>
      </c>
      <c r="AS21" s="310"/>
      <c r="AT21" s="58">
        <f t="shared" si="20"/>
        <v>0</v>
      </c>
      <c r="AU21" s="60">
        <f>+IF($AQ$9='2. Customer Classes'!$B$12,+SUM('3. Consumption by Rate Class'!$M$124:$M$135),+IF($AQ$9='2. Customer Classes'!$B$13,+SUM('3. Consumption by Rate Class'!$P$124:$P$135),IF($AQ$9='2. Customer Classes'!$B$14,+SUM('3. Consumption by Rate Class'!$S$124:$S$135),0)))</f>
        <v>0</v>
      </c>
      <c r="AV21" s="60">
        <f>IF($AQ$9='2. Customer Classes'!$B$8,+'4. Customer Growth'!$C18,+IF($AQ$9='2. Customer Classes'!$B$9,+'4. Customer Growth'!$E18,+IF($AQ$9='2. Customer Classes'!$B$10,+'4. Customer Growth'!$G18,+IF($AQ$9='2. Customer Classes'!$B$11,+'4. Customer Growth'!$I18,+IF($AQ$9='2. Customer Classes'!$B$12,+'4. Customer Growth'!$K18,+IF($AQ$9='2. Customer Classes'!$B$13,+'4. Customer Growth'!$M18,IF($AQ$9='2. Customer Classes'!$B$14,+'4. Customer Growth'!$O18,0)))))))</f>
        <v>0</v>
      </c>
      <c r="AW21" s="283">
        <f t="shared" si="21"/>
        <v>0</v>
      </c>
      <c r="AX21" s="286">
        <f t="shared" si="22"/>
        <v>0</v>
      </c>
      <c r="AY21" s="250">
        <f t="shared" si="23"/>
        <v>0</v>
      </c>
    </row>
    <row r="22" spans="2:51" ht="12.75" customHeight="1" x14ac:dyDescent="0.25">
      <c r="B22" s="121" t="str">
        <f>'4. Customer Growth'!B22</f>
        <v>2023</v>
      </c>
      <c r="C22" s="96">
        <f>'6.2. Weather Sensitive'!G15</f>
        <v>18547588.056752723</v>
      </c>
      <c r="D22" s="310"/>
      <c r="E22" s="395">
        <f t="shared" si="3"/>
        <v>18547588.056752723</v>
      </c>
      <c r="F22" s="96">
        <f>+E22*J25</f>
        <v>46294.121591305724</v>
      </c>
      <c r="G22" s="60">
        <f>IF($B$9='2. Customer Classes'!$B$8,+'4. Customer Growth'!$C34,+IF($B$9='2. Customer Classes'!$B$9,+'4. Customer Growth'!$E34,+IF($B$9='2. Customer Classes'!$B$10,+'4. Customer Growth'!$G34,+IF($B$9='2. Customer Classes'!$B$11,+'4. Customer Growth'!$I34,+IF($B$9='2. Customer Classes'!$B$12,+'4. Customer Growth'!$K34,+IF($B$9='2. Customer Classes'!$B$13,+'4. Customer Growth'!$M34,IF($B$9='2. Customer Classes'!$B$14,+'4. Customer Growth'!$O34,0)))))))</f>
        <v>36</v>
      </c>
      <c r="H22" s="283">
        <f>IF(F22&gt;0,+E22/G22,0)</f>
        <v>515210.77935424232</v>
      </c>
      <c r="I22" s="286">
        <f t="shared" si="5"/>
        <v>1285.9478219807145</v>
      </c>
      <c r="J22" s="284"/>
      <c r="K22" s="68"/>
      <c r="L22" s="68"/>
      <c r="M22" s="121" t="str">
        <f t="shared" si="0"/>
        <v>2023</v>
      </c>
      <c r="N22" s="96">
        <f>'6.2. Weather Sensitive'!H15</f>
        <v>2780774.6976221777</v>
      </c>
      <c r="O22" s="310"/>
      <c r="P22" s="335">
        <f>+N22+O22</f>
        <v>2780774.6976221777</v>
      </c>
      <c r="Q22" s="96">
        <f>P22*$U$25</f>
        <v>5575.1021902833627</v>
      </c>
      <c r="R22" s="60">
        <f>IF($M$9='2. Customer Classes'!$B$8,+'4. Customer Growth'!$C34,+IF($M$9='2. Customer Classes'!$B$9,+'4. Customer Growth'!$E34,+IF($M$9='2. Customer Classes'!$B$10,+'4. Customer Growth'!$G34,+IF($M$9='2. Customer Classes'!$B$11,+'4. Customer Growth'!$I34,+IF($M$9='2. Customer Classes'!$B$12,+'4. Customer Growth'!$K34,+IF($M$9='2. Customer Classes'!$B$13,+'4. Customer Growth'!$M34,IF($M$9='2. Customer Classes'!$B$14,+'4. Customer Growth'!$O34,0)))))))</f>
        <v>1</v>
      </c>
      <c r="S22" s="283">
        <f t="shared" si="8"/>
        <v>2780774.6976221777</v>
      </c>
      <c r="T22" s="286">
        <f t="shared" si="9"/>
        <v>5575.1021902833627</v>
      </c>
      <c r="U22" s="73"/>
      <c r="W22" s="121" t="str">
        <f t="shared" si="1"/>
        <v>2023</v>
      </c>
      <c r="X22" s="96">
        <f>'6.2. Weather Sensitive'!I15</f>
        <v>811353.23439242423</v>
      </c>
      <c r="Y22" s="310"/>
      <c r="Z22" s="58">
        <f t="shared" si="11"/>
        <v>811353.23439242423</v>
      </c>
      <c r="AA22" s="96">
        <f>Z22*$AE$25</f>
        <v>2397.5683728067443</v>
      </c>
      <c r="AB22" s="60">
        <f>IF($W$9='2. Customer Classes'!$B$8,+'4. Customer Growth'!$C34,+IF($W$9='2. Customer Classes'!$B$9,+'4. Customer Growth'!$E34,+IF($W$9='2. Customer Classes'!$B$10,+'4. Customer Growth'!$G34,+IF($W$9='2. Customer Classes'!$B$11,+'4. Customer Growth'!$I34,+IF($W$9='2. Customer Classes'!$B$12,+'4. Customer Growth'!$K34,+IF($W$9='2. Customer Classes'!$B$13,+'4. Customer Growth'!$M34,IF($W$9='2. Customer Classes'!$B$14,+'4. Customer Growth'!$O34,0)))))))</f>
        <v>3211</v>
      </c>
      <c r="AC22" s="283">
        <f t="shared" si="12"/>
        <v>252.67930065164256</v>
      </c>
      <c r="AD22" s="286">
        <f t="shared" si="13"/>
        <v>0.74667342659817637</v>
      </c>
      <c r="AE22" s="73"/>
      <c r="AG22" s="263" t="str">
        <f t="shared" si="14"/>
        <v>2023</v>
      </c>
      <c r="AH22" s="96">
        <f>+AH21/(SUM('6. WS Regression Analysis'!J119:J130))*'6. WS Regression Analysis'!$V$142</f>
        <v>0</v>
      </c>
      <c r="AI22" s="310"/>
      <c r="AJ22" s="335">
        <f t="shared" si="15"/>
        <v>0</v>
      </c>
      <c r="AK22" s="96">
        <f>AJ22*$AO$25</f>
        <v>0</v>
      </c>
      <c r="AL22" s="60">
        <f>IF($AG$9='2. Customer Classes'!$B$8,+'4. Customer Growth'!$C34,+IF($AG$9='2. Customer Classes'!$B$9,+'4. Customer Growth'!$E34,+IF($AG$9='2. Customer Classes'!$B$10,+'4. Customer Growth'!$G34,+IF($AG$9='2. Customer Classes'!$B$11,+'4. Customer Growth'!$I34,+IF($AG$9='2. Customer Classes'!$B$12,+'4. Customer Growth'!$K34,+IF($AG$9='2. Customer Classes'!$B$13,+'4. Customer Growth'!$M34,IF($AG$9='2. Customer Classes'!$B$14,+'4. Customer Growth'!$O34,0)))))))</f>
        <v>0</v>
      </c>
      <c r="AM22" s="283">
        <f t="shared" si="16"/>
        <v>0</v>
      </c>
      <c r="AN22" s="286">
        <f t="shared" si="17"/>
        <v>0</v>
      </c>
      <c r="AO22" s="73"/>
      <c r="AQ22" s="263" t="str">
        <f t="shared" si="19"/>
        <v>2023</v>
      </c>
      <c r="AR22" s="96">
        <f>+AR21/(SUM('6. WS Regression Analysis'!J119:J130))*'6. WS Regression Analysis'!$V$142</f>
        <v>0</v>
      </c>
      <c r="AS22" s="310"/>
      <c r="AT22" s="335">
        <f t="shared" si="20"/>
        <v>0</v>
      </c>
      <c r="AU22" s="96">
        <f>AT22*$AY$25</f>
        <v>0</v>
      </c>
      <c r="AV22" s="60">
        <f>IF($AQ$9='2. Customer Classes'!$B$8,+'4. Customer Growth'!$C34,+IF($AQ$9='2. Customer Classes'!$B$9,+'4. Customer Growth'!$E34,+IF($AQ$9='2. Customer Classes'!$B$10,+'4. Customer Growth'!$G34,+IF($AQ$9='2. Customer Classes'!$B$11,+'4. Customer Growth'!$I34,+IF($AQ$9='2. Customer Classes'!$B$12,+'4. Customer Growth'!$K34,+IF($AQ$9='2. Customer Classes'!$B$13,+'4. Customer Growth'!$M34,IF($AQ$9='2. Customer Classes'!$B$14,+'4. Customer Growth'!$O34,0)))))))</f>
        <v>0</v>
      </c>
      <c r="AW22" s="283">
        <f t="shared" si="21"/>
        <v>0</v>
      </c>
      <c r="AX22" s="286">
        <f t="shared" si="22"/>
        <v>0</v>
      </c>
      <c r="AY22" s="73"/>
    </row>
    <row r="23" spans="2:51" x14ac:dyDescent="0.25">
      <c r="B23" s="121" t="str">
        <f>'4. Customer Growth'!B23</f>
        <v>2024</v>
      </c>
      <c r="C23" s="96">
        <f>'6.2. Weather Sensitive'!G16</f>
        <v>18621416.213471785</v>
      </c>
      <c r="D23" s="310"/>
      <c r="E23" s="395">
        <f t="shared" si="3"/>
        <v>18621416.213471785</v>
      </c>
      <c r="F23" s="96">
        <f>+E23*J25</f>
        <v>46478.394050536343</v>
      </c>
      <c r="G23" s="60">
        <f>IF($B$9='2. Customer Classes'!$B$8,+'4. Customer Growth'!$C35,+IF($B$9='2. Customer Classes'!$B$9,+'4. Customer Growth'!$E35,+IF($B$9='2. Customer Classes'!$B$10,+'4. Customer Growth'!$G35,+IF($B$9='2. Customer Classes'!$B$11,+'4. Customer Growth'!$I35,+IF($B$9='2. Customer Classes'!$B$12,+'4. Customer Growth'!$K35,+IF($B$9='2. Customer Classes'!$B$13,+'4. Customer Growth'!$M35,IF($B$9='2. Customer Classes'!$B$14,+'4. Customer Growth'!$O35,0)))))))</f>
        <v>36</v>
      </c>
      <c r="H23" s="283">
        <f>IF(F23&gt;0,+E23/G23,0)</f>
        <v>517261.56148532737</v>
      </c>
      <c r="I23" s="286">
        <f t="shared" si="5"/>
        <v>1291.0665014037872</v>
      </c>
      <c r="J23" s="284"/>
      <c r="K23" s="68"/>
      <c r="L23" s="68"/>
      <c r="M23" s="121" t="str">
        <f t="shared" si="0"/>
        <v>2024</v>
      </c>
      <c r="N23" s="96">
        <f>'6.2. Weather Sensitive'!H16</f>
        <v>2791843.4937129831</v>
      </c>
      <c r="O23" s="310"/>
      <c r="P23" s="335">
        <f t="shared" si="7"/>
        <v>2791843.4937129831</v>
      </c>
      <c r="Q23" s="96">
        <f>P23*$U$25</f>
        <v>5597.2937289874571</v>
      </c>
      <c r="R23" s="60">
        <f>IF($M$9='2. Customer Classes'!$B$8,+'4. Customer Growth'!$C35,+IF($M$9='2. Customer Classes'!$B$9,+'4. Customer Growth'!$E35,+IF($M$9='2. Customer Classes'!$B$10,+'4. Customer Growth'!$G35,+IF($M$9='2. Customer Classes'!$B$11,+'4. Customer Growth'!$I35,+IF($M$9='2. Customer Classes'!$B$12,+'4. Customer Growth'!$K35,+IF($M$9='2. Customer Classes'!$B$13,+'4. Customer Growth'!$M35,IF($M$9='2. Customer Classes'!$B$14,+'4. Customer Growth'!$O35,0)))))))</f>
        <v>1</v>
      </c>
      <c r="S23" s="283">
        <f t="shared" si="8"/>
        <v>2791843.4937129831</v>
      </c>
      <c r="T23" s="286">
        <f t="shared" si="9"/>
        <v>5597.2937289874571</v>
      </c>
      <c r="U23" s="73"/>
      <c r="W23" s="121" t="str">
        <f t="shared" si="1"/>
        <v>2024</v>
      </c>
      <c r="X23" s="96">
        <f>'6.2. Weather Sensitive'!I16</f>
        <v>820412.81545401609</v>
      </c>
      <c r="Y23" s="310"/>
      <c r="Z23" s="58">
        <f t="shared" si="11"/>
        <v>820412.81545401609</v>
      </c>
      <c r="AA23" s="96">
        <f>Z23*$AE$25</f>
        <v>2424.3396533087775</v>
      </c>
      <c r="AB23" s="60">
        <f>IF($W$9='2. Customer Classes'!$B$8,+'4. Customer Growth'!$C35,+IF($W$9='2. Customer Classes'!$B$9,+'4. Customer Growth'!$E35,+IF($W$9='2. Customer Classes'!$B$10,+'4. Customer Growth'!$G35,+IF($W$9='2. Customer Classes'!$B$11,+'4. Customer Growth'!$I35,+IF($W$9='2. Customer Classes'!$B$12,+'4. Customer Growth'!$K35,+IF($W$9='2. Customer Classes'!$B$13,+'4. Customer Growth'!$M35,IF($W$9='2. Customer Classes'!$B$14,+'4. Customer Growth'!$O35,0)))))))</f>
        <v>3245</v>
      </c>
      <c r="AC23" s="283">
        <f t="shared" si="12"/>
        <v>252.82367194268602</v>
      </c>
      <c r="AD23" s="286">
        <f t="shared" si="13"/>
        <v>0.74710004724461554</v>
      </c>
      <c r="AE23" s="73"/>
      <c r="AG23" s="263" t="str">
        <f t="shared" si="14"/>
        <v>2024</v>
      </c>
      <c r="AH23" s="96">
        <f>+AH21/(SUM('6. WS Regression Analysis'!J119:J130))*'6. WS Regression Analysis'!$V$130*'6. WS Regression Analysis'!$V$154</f>
        <v>0</v>
      </c>
      <c r="AI23" s="310"/>
      <c r="AJ23" s="335">
        <f t="shared" si="15"/>
        <v>0</v>
      </c>
      <c r="AK23" s="96">
        <f>AJ23*$AO$25</f>
        <v>0</v>
      </c>
      <c r="AL23" s="60">
        <f>IF($AG$9='2. Customer Classes'!$B$8,+'4. Customer Growth'!$C35,+IF($AG$9='2. Customer Classes'!$B$9,+'4. Customer Growth'!$E35,+IF($AG$9='2. Customer Classes'!$B$10,+'4. Customer Growth'!$G35,+IF($AG$9='2. Customer Classes'!$B$11,+'4. Customer Growth'!$I35,+IF($AG$9='2. Customer Classes'!$B$12,+'4. Customer Growth'!$K35,+IF($AG$9='2. Customer Classes'!$B$13,+'4. Customer Growth'!$M35,IF($AG$9='2. Customer Classes'!$B$14,+'4. Customer Growth'!$O35,0)))))))</f>
        <v>0</v>
      </c>
      <c r="AM23" s="283">
        <f t="shared" si="16"/>
        <v>0</v>
      </c>
      <c r="AN23" s="286">
        <f t="shared" si="17"/>
        <v>0</v>
      </c>
      <c r="AO23" s="73"/>
      <c r="AQ23" s="263" t="str">
        <f t="shared" si="19"/>
        <v>2024</v>
      </c>
      <c r="AR23" s="96">
        <f>+AR21/(SUM('6. WS Regression Analysis'!J119:J130))*'6. WS Regression Analysis'!$V$154</f>
        <v>0</v>
      </c>
      <c r="AS23" s="310"/>
      <c r="AT23" s="335">
        <f t="shared" si="20"/>
        <v>0</v>
      </c>
      <c r="AU23" s="96">
        <f>AT23*$AY$25</f>
        <v>0</v>
      </c>
      <c r="AV23" s="60">
        <f>IF($AQ$9='2. Customer Classes'!$B$8,+'4. Customer Growth'!$C35,+IF($AQ$9='2. Customer Classes'!$B$9,+'4. Customer Growth'!$E35,+IF($AQ$9='2. Customer Classes'!$B$10,+'4. Customer Growth'!$G35,+IF($AQ$9='2. Customer Classes'!$B$11,+'4. Customer Growth'!$I35,+IF($AQ$9='2. Customer Classes'!$B$12,+'4. Customer Growth'!$K35,+IF($AQ$9='2. Customer Classes'!$B$13,+'4. Customer Growth'!$M35,IF($AQ$9='2. Customer Classes'!$B$14,+'4. Customer Growth'!$O35,0)))))))</f>
        <v>0</v>
      </c>
      <c r="AW23" s="283">
        <f t="shared" si="21"/>
        <v>0</v>
      </c>
      <c r="AX23" s="286">
        <f t="shared" si="22"/>
        <v>0</v>
      </c>
      <c r="AY23" s="73"/>
    </row>
    <row r="24" spans="2:51" x14ac:dyDescent="0.25">
      <c r="B24" s="62"/>
      <c r="C24" s="328"/>
      <c r="D24" s="328"/>
      <c r="E24" s="60"/>
      <c r="F24" s="96"/>
      <c r="G24" s="190"/>
      <c r="H24" s="190"/>
      <c r="I24" s="96"/>
      <c r="J24" s="284"/>
      <c r="K24" s="68"/>
      <c r="L24" s="68"/>
      <c r="M24" s="62"/>
      <c r="N24" s="328"/>
      <c r="O24" s="328"/>
      <c r="P24" s="60"/>
      <c r="Q24" s="378"/>
      <c r="R24" s="96"/>
      <c r="S24" s="96"/>
      <c r="T24" s="96"/>
      <c r="U24" s="74"/>
      <c r="W24" s="62"/>
      <c r="X24" s="328"/>
      <c r="Y24" s="328"/>
      <c r="Z24" s="96"/>
      <c r="AA24" s="96"/>
      <c r="AB24" s="96"/>
      <c r="AC24" s="96"/>
      <c r="AD24" s="96"/>
      <c r="AE24" s="140"/>
      <c r="AG24" s="62"/>
      <c r="AH24" s="328"/>
      <c r="AI24" s="328"/>
      <c r="AJ24" s="96"/>
      <c r="AK24" s="96"/>
      <c r="AL24" s="96"/>
      <c r="AM24" s="96"/>
      <c r="AN24" s="96"/>
      <c r="AO24" s="140"/>
      <c r="AQ24" s="62"/>
      <c r="AR24" s="328"/>
      <c r="AS24" s="328"/>
      <c r="AT24" s="96"/>
      <c r="AU24" s="96"/>
      <c r="AV24" s="96"/>
      <c r="AW24" s="96"/>
      <c r="AX24" s="96"/>
      <c r="AY24" s="140"/>
    </row>
    <row r="25" spans="2:51" ht="16.5" customHeight="1" x14ac:dyDescent="0.25">
      <c r="B25" s="134" t="s">
        <v>126</v>
      </c>
      <c r="C25" s="329"/>
      <c r="D25" s="329"/>
      <c r="E25" s="149">
        <v>1</v>
      </c>
      <c r="F25" s="120"/>
      <c r="G25" s="240"/>
      <c r="H25" s="246">
        <f>IF($E$25=1,+AVERAGE(H21:H21),+IF($E$25=2,+AVERAGE(H20:H21),+IF($E$25=3,+AVERAGE(H19:H21),+IF($E$25=4,+AVERAGE(H18:H21),+IF($E$25=5,+AVERAGE(H17:H21),+IF($E$25=6,+AVERAGE(H16:H21),+IF($E$25=7,+AVERAGE(H15:H21),+IF($E$25=8,+AVERAGE(H14:H21),+IF($E$25=9,+AVERAGE(H13:H21),+IF($E$25=10,+AVERAGE(H12:H21),0))))))))))</f>
        <v>522825.39130434784</v>
      </c>
      <c r="I25" s="290">
        <f>IF($E$25=1,+AVERAGE(I21:I21),+IF($E$25=2,+AVERAGE(I20:I21),+IF($E$25=3,+AVERAGE(I19:I21),+IF($E$25=4,+AVERAGE(I18:I21),+IF($E$25=5,+AVERAGE(I17:I21),+IF($E$25=6,+AVERAGE(I16:I21),+IF($E$25=7,+AVERAGE(I15:I21),+IF($E$25=8,+AVERAGE(I14:I21),+IF($E$25=9,+AVERAGE(I13:I21),+IF($E$25=10,+AVERAGE(I12:I21),0))))))))))</f>
        <v>1304.953623188406</v>
      </c>
      <c r="J25" s="219">
        <f>IF($E$25=1,+AVERAGE(J21:J21),+IF($E$25=2,+AVERAGE(J20:J21),+IF($E$25=3,+AVERAGE(J19:J21),+IF($E$25=4,+AVERAGE(J18:J21),+IF($E$25=5,+AVERAGE(J17:J21),+IF($E$25=6,+AVERAGE(J16:J21),+IF($E$25=7,+AVERAGE(J15:J21),+IF($E$25=8,+AVERAGE(J14:J21),+IF($E$25=9,+AVERAGE(J13:J21),+IF($E$25=10,+AVERAGE(J12:J21),0))))))))))</f>
        <v>2.495964512995056E-3</v>
      </c>
      <c r="K25" s="115"/>
      <c r="L25" s="115"/>
      <c r="M25" s="134" t="s">
        <v>126</v>
      </c>
      <c r="N25" s="329"/>
      <c r="O25" s="334"/>
      <c r="P25" s="150">
        <v>1</v>
      </c>
      <c r="Q25" s="120"/>
      <c r="R25" s="120"/>
      <c r="S25" s="246">
        <f>IF($P$25=1,+AVERAGE(S21:S21),+IF($P$25=2,+AVERAGE(S20:S21),+IF($P$25=3,+AVERAGE(S19:S21),+IF($P$25=4,+AVERAGE(S18:S21),+IF($P$25=5,+AVERAGE(S17:S21),+IF($P$25=6,+AVERAGE(S16:S21),+IF($P$25=7,+AVERAGE(S15:S21),+IF($P$25=8,+AVERAGE(S14:S21),+IF($P$25=9,+AVERAGE(S13:S21),+IF($P$25=10,+AVERAGE(S12:S21),0))))))))))</f>
        <v>2821873.45</v>
      </c>
      <c r="T25" s="289">
        <f>IF($P$25=1,+AVERAGE(T21:T21),+IF($P$25=2,+AVERAGE(T20:T21),+IF($P$25=3,+AVERAGE(T19:T21),+IF($P$25=4,+AVERAGE(T18:T21),+IF($P$25=5,+AVERAGE(T17:T21),+IF($P$25=6,+AVERAGE(T16:T21),+IF($P$25=7,+AVERAGE(T15:T21),+IF($P$25=8,+AVERAGE(T14:T21),+IF($P$25=9,+AVERAGE(T13:T21),+IF($P$25=10,+AVERAGE(T12:T21),0))))))))))</f>
        <v>5657.5</v>
      </c>
      <c r="U25" s="122">
        <f>IF($P$25=1,+AVERAGE(U21:U21),+IF($P$25=2,+AVERAGE(U20:U21),+IF($P$25=3,+AVERAGE(U19:U21),+IF($P$25=4,+AVERAGE(U18:U21),+IF($P$25=5,+AVERAGE(U17:U21),+IF($P$25=6,+AVERAGE(U16:U21),+IF($P$25=7,+AVERAGE(U15:U21),+IF($P$25=8,+AVERAGE(U14:U21),+IF($P$25=9,+AVERAGE(U13:U21),+IF($P$25=10,+AVERAGE(U12:U21),0))))))))))</f>
        <v>2.0048737479705192E-3</v>
      </c>
      <c r="W25" s="134" t="s">
        <v>126</v>
      </c>
      <c r="X25" s="329" t="s">
        <v>181</v>
      </c>
      <c r="Y25" s="334"/>
      <c r="Z25" s="150">
        <v>1</v>
      </c>
      <c r="AA25" s="120"/>
      <c r="AB25" s="120"/>
      <c r="AC25" s="246">
        <f>IF($Z$25=1,+AVERAGE(AC21:AC21),+IF($Z$25=2,+AVERAGE(AC20:AC21),+IF($Z$25=3,+AVERAGE(AC19:AC21),+IF($Z$25=4,+AVERAGE(AC18:AC21),+IF($Z$25=5,+AVERAGE(AC17:AC21),+IF($Z$25=6,+AVERAGE(AC16:AC21),+IF($Z$25=7,+AVERAGE(AC15:AC21),+IF($Z$25=8,+AVERAGE(AC14:AC21),+IF($Z$25=9,+AVERAGE(AC13:AC21),+IF($Z$25=10,+AVERAGE(AC12:AC21),0))))))))))</f>
        <v>252.53501180173092</v>
      </c>
      <c r="AD25" s="289">
        <f>IF($Z$25=1,+AVERAGE(AD21:AD21),+IF($Z$25=2,+AVERAGE(AD20:AD21),+IF($Z$25=3,+AVERAGE(AD19:AD21),+IF($Z$25=4,+AVERAGE(AD18:AD21),+IF($Z$25=5,+AVERAGE(AD17:AD21),+IF($Z$25=6,+AVERAGE(AD16:AD21),+IF($Z$25=7,+AVERAGE(AD15:AD21),+IF($Z$25=8,+AVERAGE(AD14:AD21),+IF($Z$25=9,+AVERAGE(AD13:AD21),+IF($Z$25=10,+AVERAGE(AD12:AD21),0))))))))))</f>
        <v>0.74624704956726962</v>
      </c>
      <c r="AE25" s="122">
        <f>IF($Z$25=1,+AVERAGE(AE21:AE21),+IF($Z$25=2,+AVERAGE(AE20:AE21),+IF($Z$25=3,+AVERAGE(AE19:AE21),+IF($Z$25=4,+AVERAGE(AE18:AE21),+IF($Z$25=5,+AVERAGE(AE17:AE21),+IF($Z$25=6,+AVERAGE(AE16:AE21),+IF($Z$25=7,+AVERAGE(AE15:AE21),+IF($Z$25=8,+AVERAGE(AE14:AE21),+IF($Z$25=9,+AVERAGE(AE13:AE21),+IF($Z$25=10,+AVERAGE(AE12:AE21),0))))))))))</f>
        <v>2.9550241142529557E-3</v>
      </c>
      <c r="AG25" s="134" t="s">
        <v>126</v>
      </c>
      <c r="AH25" s="329" t="s">
        <v>181</v>
      </c>
      <c r="AI25" s="334"/>
      <c r="AJ25" s="150">
        <v>5</v>
      </c>
      <c r="AK25" s="120"/>
      <c r="AL25" s="120"/>
      <c r="AM25" s="246">
        <f>IF($AJ$25=1,+AVERAGE(AM21:AM21),+IF($AJ$25=2,+AVERAGE(AM20:AM21),+IF($AJ$25=3,+AVERAGE(AM19:AM21),+IF($AJ$25=4,+AVERAGE(AM18:AM21),+IF($AJ$25=5,+AVERAGE(AM17:AM21),+IF($AJ$25=6,+AVERAGE(AM16:AM21),+IF($AJ$25=7,+AVERAGE(AM15:AM21),+IF($AJ$25=8,+AVERAGE(AM14:AM21),+IF($AJ$25=9,+AVERAGE(AM13:AM21),+IF($AJ$25=10,+AVERAGE(AM12:AM21),0))))))))))</f>
        <v>0</v>
      </c>
      <c r="AN25" s="289">
        <f>IF($AJ$25=1,+AVERAGE(AN21:AN21),+IF($AJ$25=2,+AVERAGE(AN20:AN21),+IF($AJ$25=3,+AVERAGE(AN19:AN21),+IF($AJ$25=4,+AVERAGE(AN18:AN21),+IF($AJ$25=5,+AVERAGE(AN17:AN21),+IF($AJ$25=6,+AVERAGE(AN16:AN21),+IF($AJ$25=7,+AVERAGE(AN15:AN21),+IF($AJ$25=8,+AVERAGE(AN14:AN21),+IF($AJ$25=9,+AVERAGE(AN13:AN21),+IF($AJ$25=10,+AVERAGE(AN12:AN21),0))))))))))</f>
        <v>0</v>
      </c>
      <c r="AO25" s="122">
        <f>IF($AJ$25=1,+AVERAGE(AO21:AO21),+IF($AJ$25=2,+AVERAGE(AO20:AO21),+IF($AJ$25=3,+AVERAGE(AO19:AO21),+IF($AJ$25=4,+AVERAGE(AO18:AO21),+IF($AJ$25=5,+AVERAGE(AO17:AO21),+IF($AJ$25=6,+AVERAGE(AO16:AO21),+IF($AJ$25=7,+AVERAGE(AO15:AO21),+IF($AJ$25=8,+AVERAGE(AO14:AO21),+IF($AJ$25=9,+AVERAGE(AO13:AO21),+IF($AJ$25=10,+AVERAGE(AO12:AO21),0))))))))))</f>
        <v>0</v>
      </c>
      <c r="AQ25" s="134" t="s">
        <v>126</v>
      </c>
      <c r="AR25" s="329" t="s">
        <v>181</v>
      </c>
      <c r="AS25" s="334"/>
      <c r="AT25" s="150">
        <v>5</v>
      </c>
      <c r="AU25" s="120"/>
      <c r="AV25" s="120"/>
      <c r="AW25" s="246">
        <f>IF($AT$25=1,+AVERAGE(AW21:AW21),+IF($AT$25=2,+AVERAGE(AW20:AW21),+IF($AT$25=3,+AVERAGE(AW19:AW21),+IF($AT$25=4,+AVERAGE(AW18:AW21),+IF($AT$25=5,+AVERAGE(AW17:AW21),+IF($AT$25=6,+AVERAGE(AW16:AW21),+IF($AT$25=7,+AVERAGE(AW15:AW21),+IF($AT$25=8,+AVERAGE(AW14:AW21),+IF($AT$25=9,+AVERAGE(AW13:AW21),+IF($AT$25=10,+AVERAGE(AW12:AW21),0))))))))))</f>
        <v>0</v>
      </c>
      <c r="AX25" s="289">
        <f>IF($AT$25=1,+AVERAGE(AX21:AX21),+IF($AT$25=2,+AVERAGE(AX20:AX21),+IF($AT$25=3,+AVERAGE(AX19:AX21),+IF($AT$25=4,+AVERAGE(AX18:AX21),+IF($AT$25=5,+AVERAGE(AX17:AX21),+IF($AT$25=6,+AVERAGE(AX16:AX21),+IF($AT$25=7,+AVERAGE(AX15:AX21),+IF($AT$25=8,+AVERAGE(AX14:AX21),+IF($AT$25=9,+AVERAGE(AX13:AX21),+IF($AT$25=10,+AVERAGE(AX12:AX21),0))))))))))</f>
        <v>0</v>
      </c>
      <c r="AY25" s="122">
        <f>IF($AT$25=1,+AVERAGE(AY21:AY21),+IF($AT$25=2,+AVERAGE(AY20:AY21),+IF($AT$25=3,+AVERAGE(AY19:AY21),+IF($AT$25=4,+AVERAGE(AY18:AY21),+IF($AT$25=5,+AVERAGE(AY17:AY21),+IF($AT$25=6,+AVERAGE(AY16:AY21),+IF($AT$25=7,+AVERAGE(AY15:AY21),+IF($AT$25=8,+AVERAGE(AY14:AY21),+IF($AT$25=9,+AVERAGE(AY13:AY21),+IF($AT$25=10,+AVERAGE(AY12:AY21),0))))))))))</f>
        <v>0</v>
      </c>
    </row>
    <row r="26" spans="2:51" ht="13" thickBot="1" x14ac:dyDescent="0.3">
      <c r="B26" s="36"/>
      <c r="C26" s="330"/>
      <c r="D26" s="330"/>
      <c r="E26" s="22"/>
      <c r="F26" s="22"/>
      <c r="G26" s="241"/>
      <c r="H26" s="241"/>
      <c r="I26" s="22"/>
      <c r="J26" s="288"/>
      <c r="M26" s="36"/>
      <c r="N26" s="330"/>
      <c r="O26" s="330"/>
      <c r="P26" s="22"/>
      <c r="Q26" s="78"/>
      <c r="R26" s="78"/>
      <c r="S26" s="78"/>
      <c r="T26" s="78"/>
      <c r="U26" s="123"/>
      <c r="W26" s="77"/>
      <c r="X26" s="315"/>
      <c r="Y26" s="315"/>
      <c r="Z26" s="78"/>
      <c r="AA26" s="78"/>
      <c r="AB26" s="78"/>
      <c r="AC26" s="78"/>
      <c r="AD26" s="78"/>
      <c r="AE26" s="123"/>
      <c r="AG26" s="77"/>
      <c r="AH26" s="315"/>
      <c r="AI26" s="315"/>
      <c r="AJ26" s="78"/>
      <c r="AK26" s="78"/>
      <c r="AL26" s="78"/>
      <c r="AM26" s="78"/>
      <c r="AN26" s="78"/>
      <c r="AO26" s="123"/>
      <c r="AQ26" s="77"/>
      <c r="AR26" s="315"/>
      <c r="AS26" s="315"/>
      <c r="AT26" s="78"/>
      <c r="AU26" s="78"/>
      <c r="AV26" s="78"/>
      <c r="AW26" s="78"/>
      <c r="AX26" s="78"/>
      <c r="AY26" s="123"/>
    </row>
    <row r="27" spans="2:51" x14ac:dyDescent="0.25">
      <c r="B27" s="852" t="s">
        <v>117</v>
      </c>
      <c r="C27" s="852"/>
      <c r="D27" s="852"/>
      <c r="E27" s="852"/>
      <c r="F27" s="852"/>
      <c r="G27" s="852"/>
      <c r="H27" s="852"/>
      <c r="I27" s="852"/>
      <c r="J27" s="852"/>
      <c r="M27" s="852" t="s">
        <v>117</v>
      </c>
      <c r="N27" s="852"/>
      <c r="O27" s="852"/>
      <c r="P27" s="852"/>
      <c r="Q27" s="852"/>
      <c r="R27" s="852"/>
      <c r="S27" s="852"/>
      <c r="T27" s="852"/>
      <c r="U27" s="852"/>
      <c r="W27" s="842" t="s">
        <v>117</v>
      </c>
      <c r="X27" s="842"/>
      <c r="Y27" s="842"/>
      <c r="Z27" s="842"/>
      <c r="AA27" s="842"/>
      <c r="AB27" s="842"/>
      <c r="AC27" s="842"/>
      <c r="AD27" s="842"/>
      <c r="AE27" s="842"/>
      <c r="AG27" s="852" t="s">
        <v>117</v>
      </c>
      <c r="AH27" s="852"/>
      <c r="AI27" s="852"/>
      <c r="AJ27" s="852"/>
      <c r="AK27" s="852"/>
      <c r="AL27" s="852"/>
      <c r="AM27" s="852"/>
      <c r="AN27" s="852"/>
      <c r="AO27" s="852"/>
      <c r="AQ27" s="852" t="s">
        <v>117</v>
      </c>
      <c r="AR27" s="852"/>
      <c r="AS27" s="852"/>
      <c r="AT27" s="852"/>
      <c r="AU27" s="852"/>
      <c r="AV27" s="852"/>
      <c r="AW27" s="852"/>
      <c r="AX27" s="852"/>
      <c r="AY27" s="852"/>
    </row>
    <row r="28" spans="2:51" x14ac:dyDescent="0.25">
      <c r="B28" s="91"/>
      <c r="C28" s="91"/>
      <c r="D28" s="91"/>
      <c r="E28" s="91"/>
      <c r="F28" s="91"/>
      <c r="G28" s="92"/>
      <c r="H28" s="93"/>
      <c r="I28" s="94"/>
      <c r="J28" s="95"/>
      <c r="M28" s="91"/>
      <c r="N28" s="91"/>
      <c r="O28" s="91"/>
      <c r="P28" s="91"/>
      <c r="Q28" s="91"/>
      <c r="R28" s="92"/>
      <c r="S28" s="93"/>
      <c r="T28" s="94"/>
      <c r="U28" s="95"/>
      <c r="W28" s="91"/>
      <c r="X28" s="91"/>
      <c r="Y28" s="91"/>
      <c r="Z28" s="91"/>
      <c r="AA28" s="91"/>
      <c r="AB28" s="92"/>
      <c r="AC28" s="93"/>
      <c r="AD28" s="94"/>
      <c r="AE28" s="95"/>
      <c r="AG28" s="91"/>
      <c r="AH28" s="91"/>
      <c r="AI28" s="91"/>
      <c r="AJ28" s="91"/>
      <c r="AK28" s="91"/>
      <c r="AL28" s="92"/>
      <c r="AM28" s="93"/>
      <c r="AN28" s="94"/>
      <c r="AO28" s="95"/>
      <c r="AQ28" s="91"/>
      <c r="AR28" s="91"/>
      <c r="AS28" s="91"/>
      <c r="AT28" s="91"/>
      <c r="AU28" s="91"/>
      <c r="AV28" s="92"/>
      <c r="AW28" s="93"/>
      <c r="AX28" s="94"/>
      <c r="AY28" s="95"/>
    </row>
    <row r="29" spans="2:51" x14ac:dyDescent="0.25">
      <c r="B29" s="91"/>
      <c r="C29" s="91"/>
      <c r="D29" s="91"/>
      <c r="E29" s="91"/>
      <c r="F29" s="91"/>
      <c r="G29" s="92"/>
      <c r="H29" s="93"/>
      <c r="I29" s="94"/>
      <c r="J29" s="95"/>
      <c r="M29" s="91"/>
      <c r="N29" s="91"/>
      <c r="O29" s="91"/>
      <c r="P29" s="91"/>
      <c r="Q29" s="91"/>
      <c r="R29" s="92"/>
      <c r="S29" s="93"/>
      <c r="T29" s="94"/>
      <c r="U29" s="95"/>
      <c r="W29" s="91"/>
      <c r="X29" s="91"/>
      <c r="Y29" s="91"/>
      <c r="Z29" s="91"/>
      <c r="AA29" s="91"/>
      <c r="AB29" s="92"/>
      <c r="AC29" s="93"/>
      <c r="AD29" s="94"/>
      <c r="AE29" s="95"/>
      <c r="AG29" s="91"/>
      <c r="AH29" s="91"/>
      <c r="AI29" s="91"/>
      <c r="AJ29" s="91"/>
      <c r="AK29" s="91"/>
      <c r="AL29" s="92"/>
      <c r="AM29" s="93"/>
      <c r="AN29" s="94"/>
      <c r="AO29" s="95"/>
      <c r="AQ29" s="91"/>
      <c r="AR29" s="91"/>
      <c r="AS29" s="91"/>
      <c r="AT29" s="91"/>
      <c r="AU29" s="91"/>
      <c r="AV29" s="92"/>
      <c r="AW29" s="93"/>
      <c r="AX29" s="94"/>
      <c r="AY29" s="95"/>
    </row>
    <row r="30" spans="2:51" x14ac:dyDescent="0.25">
      <c r="B30" s="91"/>
      <c r="C30" s="91"/>
      <c r="D30" s="91"/>
      <c r="E30" s="91"/>
      <c r="F30" s="91"/>
      <c r="G30" s="92"/>
      <c r="H30" s="93"/>
      <c r="I30" s="94"/>
      <c r="J30" s="95"/>
      <c r="M30" s="91"/>
      <c r="N30" s="91"/>
      <c r="O30" s="91"/>
      <c r="P30" s="91"/>
      <c r="Q30" s="91"/>
      <c r="R30" s="92"/>
      <c r="S30" s="93"/>
      <c r="T30" s="94"/>
      <c r="U30" s="95"/>
      <c r="W30" s="91"/>
      <c r="X30" s="91"/>
      <c r="Y30" s="91"/>
      <c r="Z30" s="91"/>
      <c r="AA30" s="91"/>
      <c r="AB30" s="92"/>
      <c r="AC30" s="93"/>
      <c r="AD30" s="94"/>
      <c r="AE30" s="95"/>
      <c r="AG30" s="91"/>
      <c r="AH30" s="91"/>
      <c r="AI30" s="91"/>
      <c r="AJ30" s="91"/>
      <c r="AK30" s="91"/>
      <c r="AL30" s="92"/>
      <c r="AM30" s="93"/>
      <c r="AN30" s="94"/>
      <c r="AO30" s="95"/>
      <c r="AQ30" s="91"/>
      <c r="AR30" s="91"/>
      <c r="AS30" s="91"/>
      <c r="AT30" s="91"/>
      <c r="AU30" s="91"/>
      <c r="AV30" s="92"/>
      <c r="AW30" s="93"/>
      <c r="AX30" s="94"/>
      <c r="AY30" s="95"/>
    </row>
    <row r="31" spans="2:51" x14ac:dyDescent="0.25">
      <c r="B31" s="91"/>
      <c r="C31" s="91"/>
      <c r="D31" s="91"/>
      <c r="E31" s="91"/>
      <c r="F31" s="91"/>
      <c r="G31" s="92"/>
      <c r="H31" s="93"/>
      <c r="I31" s="94"/>
      <c r="J31" s="95"/>
      <c r="M31" s="91"/>
      <c r="N31" s="91"/>
      <c r="O31" s="91"/>
      <c r="P31" s="91"/>
      <c r="Q31" s="91"/>
      <c r="R31" s="92"/>
      <c r="S31" s="93"/>
      <c r="T31" s="94"/>
      <c r="U31" s="95"/>
      <c r="W31" s="91"/>
      <c r="X31" s="91"/>
      <c r="Y31" s="91"/>
      <c r="Z31" s="91"/>
      <c r="AA31" s="91"/>
      <c r="AB31" s="92"/>
      <c r="AC31" s="93"/>
      <c r="AD31" s="94"/>
      <c r="AE31" s="95"/>
      <c r="AG31" s="91"/>
      <c r="AH31" s="91"/>
      <c r="AI31" s="91"/>
      <c r="AJ31" s="91"/>
      <c r="AK31" s="91"/>
      <c r="AL31" s="92"/>
      <c r="AM31" s="93"/>
      <c r="AN31" s="94"/>
      <c r="AO31" s="95"/>
      <c r="AQ31" s="91"/>
      <c r="AR31" s="91"/>
      <c r="AS31" s="91"/>
      <c r="AT31" s="91"/>
      <c r="AU31" s="91"/>
      <c r="AV31" s="92"/>
      <c r="AW31" s="93"/>
      <c r="AX31" s="94"/>
      <c r="AY31" s="95"/>
    </row>
    <row r="32" spans="2:51" ht="15.5" x14ac:dyDescent="0.25">
      <c r="B32" s="841" t="s">
        <v>140</v>
      </c>
      <c r="C32" s="841"/>
      <c r="D32" s="841"/>
      <c r="E32" s="841"/>
      <c r="F32" s="841"/>
      <c r="G32" s="841"/>
      <c r="H32" s="841"/>
      <c r="I32" s="841"/>
      <c r="J32" s="841"/>
      <c r="M32" s="841" t="s">
        <v>140</v>
      </c>
      <c r="N32" s="841"/>
      <c r="O32" s="841"/>
      <c r="P32" s="841"/>
      <c r="Q32" s="841"/>
      <c r="R32" s="841"/>
      <c r="S32" s="841"/>
      <c r="T32" s="841"/>
      <c r="U32" s="841"/>
      <c r="W32" s="841" t="s">
        <v>140</v>
      </c>
      <c r="X32" s="841"/>
      <c r="Y32" s="841"/>
      <c r="Z32" s="841"/>
      <c r="AA32" s="841"/>
      <c r="AB32" s="841"/>
      <c r="AC32" s="841"/>
      <c r="AD32" s="841"/>
      <c r="AE32" s="841"/>
      <c r="AG32" s="841" t="s">
        <v>140</v>
      </c>
      <c r="AH32" s="841"/>
      <c r="AI32" s="841"/>
      <c r="AJ32" s="841"/>
      <c r="AK32" s="841"/>
      <c r="AL32" s="841"/>
      <c r="AM32" s="841"/>
      <c r="AN32" s="841"/>
      <c r="AO32" s="841"/>
      <c r="AQ32" s="841" t="s">
        <v>140</v>
      </c>
      <c r="AR32" s="841"/>
      <c r="AS32" s="841"/>
      <c r="AT32" s="841"/>
      <c r="AU32" s="841"/>
      <c r="AV32" s="841"/>
      <c r="AW32" s="841"/>
      <c r="AX32" s="841"/>
      <c r="AY32" s="841"/>
    </row>
    <row r="33" spans="2:51" x14ac:dyDescent="0.25">
      <c r="J33" s="228"/>
    </row>
    <row r="34" spans="2:51" x14ac:dyDescent="0.25">
      <c r="J34" s="228"/>
    </row>
    <row r="35" spans="2:51" x14ac:dyDescent="0.25">
      <c r="J35" s="228"/>
    </row>
    <row r="36" spans="2:51" x14ac:dyDescent="0.25">
      <c r="J36" s="228"/>
    </row>
    <row r="37" spans="2:51" ht="13" thickBot="1" x14ac:dyDescent="0.3">
      <c r="J37" s="228"/>
    </row>
    <row r="38" spans="2:51" ht="13" thickBot="1" x14ac:dyDescent="0.3">
      <c r="B38" s="846" t="str">
        <f>+B9</f>
        <v>General Service &gt; 50 kW - 4999 kW - Excluding Wholesale Market Participant</v>
      </c>
      <c r="C38" s="847"/>
      <c r="D38" s="847"/>
      <c r="E38" s="847"/>
      <c r="F38" s="847"/>
      <c r="G38" s="847"/>
      <c r="H38" s="847"/>
      <c r="I38" s="847"/>
      <c r="J38" s="848"/>
      <c r="M38" s="846" t="str">
        <f>+M9</f>
        <v>General Service &gt; 50 kW - 4999 kW - Wholesale Market Participant</v>
      </c>
      <c r="N38" s="847"/>
      <c r="O38" s="847"/>
      <c r="P38" s="847"/>
      <c r="Q38" s="847"/>
      <c r="R38" s="847"/>
      <c r="S38" s="847"/>
      <c r="T38" s="847"/>
      <c r="U38" s="848"/>
      <c r="W38" s="846" t="str">
        <f>+W9</f>
        <v>Streetlighting</v>
      </c>
      <c r="X38" s="847"/>
      <c r="Y38" s="847"/>
      <c r="Z38" s="847"/>
      <c r="AA38" s="847"/>
      <c r="AB38" s="847"/>
      <c r="AC38" s="847"/>
      <c r="AD38" s="847"/>
      <c r="AE38" s="848"/>
      <c r="AG38" s="846" t="str">
        <f>+AG9</f>
        <v>N/A</v>
      </c>
      <c r="AH38" s="847"/>
      <c r="AI38" s="847"/>
      <c r="AJ38" s="847"/>
      <c r="AK38" s="847"/>
      <c r="AL38" s="847"/>
      <c r="AM38" s="847"/>
      <c r="AN38" s="847"/>
      <c r="AO38" s="848"/>
      <c r="AQ38" s="846" t="str">
        <f>+AQ9</f>
        <v>N/A</v>
      </c>
      <c r="AR38" s="847"/>
      <c r="AS38" s="847"/>
      <c r="AT38" s="847"/>
      <c r="AU38" s="847"/>
      <c r="AV38" s="847"/>
      <c r="AW38" s="847"/>
      <c r="AX38" s="847"/>
      <c r="AY38" s="848"/>
    </row>
    <row r="39" spans="2:51" ht="29.25" customHeight="1" thickBot="1" x14ac:dyDescent="0.3">
      <c r="B39" s="254" t="s">
        <v>33</v>
      </c>
      <c r="C39" s="331"/>
      <c r="D39" s="331"/>
      <c r="E39" s="255" t="s">
        <v>39</v>
      </c>
      <c r="F39" s="255" t="s">
        <v>149</v>
      </c>
      <c r="G39" s="255" t="s">
        <v>150</v>
      </c>
      <c r="H39" s="261" t="s">
        <v>153</v>
      </c>
      <c r="I39" s="255" t="s">
        <v>151</v>
      </c>
      <c r="J39" s="256" t="s">
        <v>152</v>
      </c>
      <c r="K39" s="223"/>
      <c r="L39" s="223"/>
      <c r="M39" s="254" t="s">
        <v>33</v>
      </c>
      <c r="N39" s="331"/>
      <c r="O39" s="331"/>
      <c r="P39" s="255" t="s">
        <v>39</v>
      </c>
      <c r="Q39" s="255" t="s">
        <v>149</v>
      </c>
      <c r="R39" s="255" t="s">
        <v>150</v>
      </c>
      <c r="S39" s="261" t="s">
        <v>153</v>
      </c>
      <c r="T39" s="255" t="s">
        <v>151</v>
      </c>
      <c r="U39" s="256" t="s">
        <v>152</v>
      </c>
      <c r="W39" s="254" t="s">
        <v>33</v>
      </c>
      <c r="X39" s="331"/>
      <c r="Y39" s="331"/>
      <c r="Z39" s="255" t="s">
        <v>39</v>
      </c>
      <c r="AA39" s="255" t="s">
        <v>149</v>
      </c>
      <c r="AB39" s="255" t="s">
        <v>150</v>
      </c>
      <c r="AC39" s="261" t="s">
        <v>153</v>
      </c>
      <c r="AD39" s="255" t="s">
        <v>151</v>
      </c>
      <c r="AE39" s="256" t="s">
        <v>152</v>
      </c>
      <c r="AG39" s="254" t="s">
        <v>33</v>
      </c>
      <c r="AH39" s="331"/>
      <c r="AI39" s="331"/>
      <c r="AJ39" s="255" t="s">
        <v>39</v>
      </c>
      <c r="AK39" s="255" t="s">
        <v>149</v>
      </c>
      <c r="AL39" s="255" t="s">
        <v>150</v>
      </c>
      <c r="AM39" s="261" t="s">
        <v>153</v>
      </c>
      <c r="AN39" s="255" t="s">
        <v>151</v>
      </c>
      <c r="AO39" s="256" t="s">
        <v>152</v>
      </c>
      <c r="AQ39" s="254" t="s">
        <v>33</v>
      </c>
      <c r="AR39" s="331"/>
      <c r="AS39" s="331"/>
      <c r="AT39" s="255" t="s">
        <v>39</v>
      </c>
      <c r="AU39" s="255" t="s">
        <v>149</v>
      </c>
      <c r="AV39" s="255" t="s">
        <v>150</v>
      </c>
      <c r="AW39" s="261" t="s">
        <v>153</v>
      </c>
      <c r="AX39" s="255" t="s">
        <v>151</v>
      </c>
      <c r="AY39" s="256" t="s">
        <v>152</v>
      </c>
    </row>
    <row r="40" spans="2:51" ht="12.75" customHeight="1" x14ac:dyDescent="0.25">
      <c r="B40" s="8" t="str">
        <f>+B22</f>
        <v>2023</v>
      </c>
      <c r="C40" s="332"/>
      <c r="D40" s="332"/>
      <c r="E40" s="17">
        <f>+G22-G21</f>
        <v>1.5</v>
      </c>
      <c r="F40" s="251">
        <f>+H25</f>
        <v>522825.39130434784</v>
      </c>
      <c r="G40" s="257">
        <f>+I25</f>
        <v>1304.953623188406</v>
      </c>
      <c r="H40" s="850" t="s">
        <v>143</v>
      </c>
      <c r="I40" s="259">
        <f>IF(H40="Yes",+F40*E40+$E$22,$E$22)</f>
        <v>18547588.056752723</v>
      </c>
      <c r="J40" s="252">
        <f>IF(H40="Yes",+G40*E40+$F$22,$F$22)</f>
        <v>46294.121591305724</v>
      </c>
      <c r="M40" s="8" t="str">
        <f>+M22</f>
        <v>2023</v>
      </c>
      <c r="N40" s="332"/>
      <c r="O40" s="332"/>
      <c r="P40" s="17">
        <f>+R22-R21</f>
        <v>0</v>
      </c>
      <c r="Q40" s="251">
        <f>+S25</f>
        <v>2821873.45</v>
      </c>
      <c r="R40" s="257">
        <f>+T25</f>
        <v>5657.5</v>
      </c>
      <c r="S40" s="850" t="s">
        <v>143</v>
      </c>
      <c r="T40" s="259">
        <f>IF(S40="Yes",+Q40*P40+$P$22,$P$22)</f>
        <v>2780774.6976221777</v>
      </c>
      <c r="U40" s="252">
        <f>IF(S40="Yes",+R40*P40+$Q$22,$Q$22)</f>
        <v>5575.1021902833627</v>
      </c>
      <c r="W40" s="8" t="str">
        <f>+W22</f>
        <v>2023</v>
      </c>
      <c r="X40" s="332"/>
      <c r="Y40" s="332"/>
      <c r="Z40" s="17">
        <f>+AB22-AB21</f>
        <v>33.5</v>
      </c>
      <c r="AA40" s="251">
        <f>+AC25</f>
        <v>252.53501180173092</v>
      </c>
      <c r="AB40" s="257">
        <f>+AD25</f>
        <v>0.74624704956726962</v>
      </c>
      <c r="AC40" s="850" t="s">
        <v>143</v>
      </c>
      <c r="AD40" s="259">
        <f>IF(AC40="Yes",+AA40*Z40+$Z$22,$Z$22)</f>
        <v>811353.23439242423</v>
      </c>
      <c r="AE40" s="252">
        <f>IF(AC40="Yes",+AB40*Z40+$AA$22,$AA$22)</f>
        <v>2397.5683728067443</v>
      </c>
      <c r="AG40" s="8" t="str">
        <f>+AG22</f>
        <v>2023</v>
      </c>
      <c r="AH40" s="332"/>
      <c r="AI40" s="332"/>
      <c r="AJ40" s="17">
        <f>+AL22-AL21</f>
        <v>0</v>
      </c>
      <c r="AK40" s="251">
        <f>+AM25</f>
        <v>0</v>
      </c>
      <c r="AL40" s="257">
        <f>+AN25</f>
        <v>0</v>
      </c>
      <c r="AM40" s="850" t="s">
        <v>143</v>
      </c>
      <c r="AN40" s="259">
        <f>IF(AM40="Yes",+AK40*AJ40+$AJ$22,$AJ$22)</f>
        <v>0</v>
      </c>
      <c r="AO40" s="252">
        <f>IF(AM40="Yes",+AL40*AJ40+$AK$22,$AK$22)</f>
        <v>0</v>
      </c>
      <c r="AQ40" s="8" t="str">
        <f>+AQ22</f>
        <v>2023</v>
      </c>
      <c r="AR40" s="332"/>
      <c r="AS40" s="332"/>
      <c r="AT40" s="17">
        <f>+AV22-AV21</f>
        <v>0</v>
      </c>
      <c r="AU40" s="251">
        <f>+AW25</f>
        <v>0</v>
      </c>
      <c r="AV40" s="257">
        <f>+AX25</f>
        <v>0</v>
      </c>
      <c r="AW40" s="850" t="s">
        <v>143</v>
      </c>
      <c r="AX40" s="259">
        <f>IF(AW40="Yes",+AU40*AT40+$AT$22,$AT$22)</f>
        <v>0</v>
      </c>
      <c r="AY40" s="252">
        <f>IF(AW40="Yes",+AV40*AT40+$AK$22,$AK$22)</f>
        <v>0</v>
      </c>
    </row>
    <row r="41" spans="2:51" ht="13.5" customHeight="1" thickBot="1" x14ac:dyDescent="0.3">
      <c r="B41" s="19" t="str">
        <f>+B23</f>
        <v>2024</v>
      </c>
      <c r="C41" s="333"/>
      <c r="D41" s="333"/>
      <c r="E41" s="20">
        <f>+G23-G21</f>
        <v>1.5</v>
      </c>
      <c r="F41" s="285">
        <f>+H25</f>
        <v>522825.39130434784</v>
      </c>
      <c r="G41" s="258">
        <f>+I25</f>
        <v>1304.953623188406</v>
      </c>
      <c r="H41" s="851"/>
      <c r="I41" s="260">
        <f>IF(H40="Yes",+F41*E41+$E$23,$E$23)</f>
        <v>18621416.213471785</v>
      </c>
      <c r="J41" s="253">
        <f>IF(H40="Yes",+G41*E41+$F$23,$F$23)</f>
        <v>46478.394050536343</v>
      </c>
      <c r="M41" s="19" t="str">
        <f>+M23</f>
        <v>2024</v>
      </c>
      <c r="N41" s="333"/>
      <c r="O41" s="333"/>
      <c r="P41" s="20">
        <f>+R23-R21</f>
        <v>0</v>
      </c>
      <c r="Q41" s="285">
        <f>+S25</f>
        <v>2821873.45</v>
      </c>
      <c r="R41" s="258">
        <f>+T25</f>
        <v>5657.5</v>
      </c>
      <c r="S41" s="851"/>
      <c r="T41" s="260">
        <f>IF(S40="Yes",+Q41*P41+$P$23,$P$23)</f>
        <v>2791843.4937129831</v>
      </c>
      <c r="U41" s="253">
        <f>IF(S40="Yes",+R41*P41+$Q$23,$Q$23)</f>
        <v>5597.2937289874571</v>
      </c>
      <c r="W41" s="19" t="str">
        <f>+W23</f>
        <v>2024</v>
      </c>
      <c r="X41" s="333"/>
      <c r="Y41" s="333"/>
      <c r="Z41" s="20">
        <f>+AB23-AB21</f>
        <v>67.5</v>
      </c>
      <c r="AA41" s="285">
        <f>+AC25</f>
        <v>252.53501180173092</v>
      </c>
      <c r="AB41" s="258">
        <f>+AD25</f>
        <v>0.74624704956726962</v>
      </c>
      <c r="AC41" s="851"/>
      <c r="AD41" s="260">
        <f>IF(AC40="Yes",+AA41*Z41+$Z$23,$Z$23)</f>
        <v>820412.81545401609</v>
      </c>
      <c r="AE41" s="253">
        <f>IF(AC40="Yes",+AB41*Z41+$AA$23,$AA$23)</f>
        <v>2424.3396533087775</v>
      </c>
      <c r="AG41" s="19" t="str">
        <f>+AG23</f>
        <v>2024</v>
      </c>
      <c r="AH41" s="333"/>
      <c r="AI41" s="333"/>
      <c r="AJ41" s="20">
        <f>+AL23-AL21</f>
        <v>0</v>
      </c>
      <c r="AK41" s="285">
        <f>+AM25</f>
        <v>0</v>
      </c>
      <c r="AL41" s="258">
        <f>+AN25</f>
        <v>0</v>
      </c>
      <c r="AM41" s="851"/>
      <c r="AN41" s="260">
        <f>IF(AM40="Yes",+AK41*AJ41+$AJ$23,$AJ$23)</f>
        <v>0</v>
      </c>
      <c r="AO41" s="253">
        <f>IF(AM40="Yes",+AL41*AJ41+$AK$23,$AK$23)</f>
        <v>0</v>
      </c>
      <c r="AQ41" s="19" t="str">
        <f>+AQ23</f>
        <v>2024</v>
      </c>
      <c r="AR41" s="333"/>
      <c r="AS41" s="333"/>
      <c r="AT41" s="20">
        <f>+AV23-AV21</f>
        <v>0</v>
      </c>
      <c r="AU41" s="285">
        <f>+AW25</f>
        <v>0</v>
      </c>
      <c r="AV41" s="258">
        <f>+AX25</f>
        <v>0</v>
      </c>
      <c r="AW41" s="851"/>
      <c r="AX41" s="260">
        <f>IF(AW40="Yes",+AU41*AT41+$AT$23,$AT$23)</f>
        <v>0</v>
      </c>
      <c r="AY41" s="253">
        <f>IF(AW40="Yes",+AV41*AT41+$AK$23,$AK$23)</f>
        <v>0</v>
      </c>
    </row>
    <row r="42" spans="2:51" x14ac:dyDescent="0.25">
      <c r="J42" s="228"/>
    </row>
    <row r="43" spans="2:51" ht="13" x14ac:dyDescent="0.3">
      <c r="B43" s="262" t="s">
        <v>155</v>
      </c>
      <c r="C43" s="262"/>
      <c r="D43" s="262"/>
    </row>
    <row r="45" spans="2:51" x14ac:dyDescent="0.25">
      <c r="H45" s="47"/>
    </row>
    <row r="48" spans="2:51" ht="26" hidden="1" thickBot="1" x14ac:dyDescent="0.35">
      <c r="B48" s="822" t="s">
        <v>127</v>
      </c>
      <c r="C48" s="849"/>
      <c r="D48" s="849"/>
      <c r="E48" s="823"/>
      <c r="H48" s="229" t="s">
        <v>115</v>
      </c>
      <c r="I48" s="230" t="s">
        <v>112</v>
      </c>
    </row>
    <row r="49" spans="2:10" hidden="1" x14ac:dyDescent="0.25">
      <c r="B49" s="220">
        <v>1</v>
      </c>
      <c r="C49" s="233"/>
      <c r="D49" s="233"/>
      <c r="E49" s="233"/>
      <c r="F49" s="238">
        <f>+B12</f>
        <v>2013</v>
      </c>
      <c r="G49" s="242"/>
      <c r="H49" s="235">
        <f>SUM('6. WS Regression Analysis'!J11:K22)</f>
        <v>136804831.50999999</v>
      </c>
      <c r="I49" s="231">
        <f>SUM('6. WS Regression Analysis'!U11:U22)</f>
        <v>136638837.10143891</v>
      </c>
    </row>
    <row r="50" spans="2:10" hidden="1" x14ac:dyDescent="0.25">
      <c r="B50" s="220">
        <v>2</v>
      </c>
      <c r="C50" s="233"/>
      <c r="D50" s="233"/>
      <c r="E50" s="233"/>
      <c r="F50" s="238">
        <f t="shared" ref="F50:F58" si="24">+B13</f>
        <v>2014</v>
      </c>
      <c r="G50" s="243"/>
      <c r="H50" s="236">
        <f>SUM('6. WS Regression Analysis'!J23:J34)</f>
        <v>137567233.44999999</v>
      </c>
      <c r="I50" s="232">
        <f>SUM('6. WS Regression Analysis'!U23:U34)</f>
        <v>138847385.74999535</v>
      </c>
    </row>
    <row r="51" spans="2:10" hidden="1" x14ac:dyDescent="0.25">
      <c r="B51" s="220">
        <v>3</v>
      </c>
      <c r="C51" s="233"/>
      <c r="D51" s="233"/>
      <c r="E51" s="233"/>
      <c r="F51" s="238">
        <f t="shared" si="24"/>
        <v>2015</v>
      </c>
      <c r="G51" s="243"/>
      <c r="H51" s="236">
        <f>SUM('6. WS Regression Analysis'!J35:J46)</f>
        <v>137993374.59999999</v>
      </c>
      <c r="I51" s="232">
        <f>SUM('6. WS Regression Analysis'!U35:U46)</f>
        <v>137759492.49652126</v>
      </c>
    </row>
    <row r="52" spans="2:10" hidden="1" x14ac:dyDescent="0.25">
      <c r="B52" s="220">
        <v>4</v>
      </c>
      <c r="C52" s="233"/>
      <c r="D52" s="233"/>
      <c r="E52" s="233"/>
      <c r="F52" s="238">
        <f t="shared" si="24"/>
        <v>2016</v>
      </c>
      <c r="G52" s="243"/>
      <c r="H52" s="236">
        <f>SUM('6. WS Regression Analysis'!J47:J58)</f>
        <v>137727428.06999999</v>
      </c>
      <c r="I52" s="232">
        <f>SUM('6. WS Regression Analysis'!U47:U58)</f>
        <v>137131414.94081908</v>
      </c>
    </row>
    <row r="53" spans="2:10" hidden="1" x14ac:dyDescent="0.25">
      <c r="B53" s="220">
        <v>5</v>
      </c>
      <c r="C53" s="233"/>
      <c r="D53" s="233"/>
      <c r="E53" s="233"/>
      <c r="F53" s="238">
        <f t="shared" si="24"/>
        <v>2017</v>
      </c>
      <c r="G53" s="243"/>
      <c r="H53" s="236">
        <f>SUM('6. WS Regression Analysis'!J59:J70)</f>
        <v>134234594</v>
      </c>
      <c r="I53" s="232">
        <f>SUM('6. WS Regression Analysis'!U59:U70)</f>
        <v>136986366.91437399</v>
      </c>
    </row>
    <row r="54" spans="2:10" hidden="1" x14ac:dyDescent="0.25">
      <c r="B54" s="220">
        <v>6</v>
      </c>
      <c r="C54" s="233"/>
      <c r="D54" s="233"/>
      <c r="E54" s="233"/>
      <c r="F54" s="238">
        <f t="shared" si="24"/>
        <v>2018</v>
      </c>
      <c r="G54" s="243"/>
      <c r="H54" s="236">
        <f>SUM('6. WS Regression Analysis'!J71:J82)</f>
        <v>144593587.54000002</v>
      </c>
      <c r="I54" s="232">
        <f>SUM('6. WS Regression Analysis'!U71:U82)</f>
        <v>140544492.40871233</v>
      </c>
    </row>
    <row r="55" spans="2:10" hidden="1" x14ac:dyDescent="0.25">
      <c r="B55" s="220">
        <v>7</v>
      </c>
      <c r="C55" s="233"/>
      <c r="D55" s="233"/>
      <c r="E55" s="233"/>
      <c r="F55" s="238">
        <f t="shared" si="24"/>
        <v>2019</v>
      </c>
      <c r="G55" s="243"/>
      <c r="H55" s="236">
        <f>SUM('6. WS Regression Analysis'!J83:J94)</f>
        <v>144125560.60999998</v>
      </c>
      <c r="I55" s="232">
        <f>SUM('6. WS Regression Analysis'!U83:U94)</f>
        <v>145329634.88216186</v>
      </c>
    </row>
    <row r="56" spans="2:10" hidden="1" x14ac:dyDescent="0.25">
      <c r="B56" s="220">
        <v>8</v>
      </c>
      <c r="C56" s="233"/>
      <c r="D56" s="233"/>
      <c r="E56" s="233"/>
      <c r="F56" s="238">
        <f t="shared" si="24"/>
        <v>2020</v>
      </c>
      <c r="G56" s="243"/>
      <c r="H56" s="236">
        <f>SUM('6. WS Regression Analysis'!J95:J106)</f>
        <v>150603831.59</v>
      </c>
      <c r="I56" s="249">
        <f>SUM('6. WS Regression Analysis'!U95:U106)</f>
        <v>151709224.20613581</v>
      </c>
      <c r="J56" s="218" t="s">
        <v>154</v>
      </c>
    </row>
    <row r="57" spans="2:10" hidden="1" x14ac:dyDescent="0.25">
      <c r="B57" s="220">
        <v>9</v>
      </c>
      <c r="C57" s="233"/>
      <c r="D57" s="233"/>
      <c r="E57" s="233"/>
      <c r="F57" s="238">
        <f t="shared" si="24"/>
        <v>2021</v>
      </c>
      <c r="G57" s="243"/>
      <c r="H57" s="236">
        <f>SUM('6. WS Regression Analysis'!J107:J118)</f>
        <v>154199190.50999999</v>
      </c>
      <c r="I57" s="249">
        <f>SUM('6. WS Regression Analysis'!U107:U108)</f>
        <v>28281435.946123749</v>
      </c>
      <c r="J57" s="218" t="s">
        <v>142</v>
      </c>
    </row>
    <row r="58" spans="2:10" ht="13" hidden="1" thickBot="1" x14ac:dyDescent="0.3">
      <c r="B58" s="222">
        <v>10</v>
      </c>
      <c r="C58" s="234"/>
      <c r="D58" s="234"/>
      <c r="E58" s="234"/>
      <c r="F58" s="238">
        <f t="shared" si="24"/>
        <v>2022</v>
      </c>
      <c r="G58" s="244"/>
      <c r="H58" s="237">
        <f>SUM('6. WS Regression Analysis'!J119:J130)</f>
        <v>157082097.17000002</v>
      </c>
      <c r="I58" s="248">
        <f>SUM('6. WS Regression Analysis'!U119:U130)</f>
        <v>157201772.51039681</v>
      </c>
      <c r="J58" s="218" t="s">
        <v>143</v>
      </c>
    </row>
    <row r="59" spans="2:10" hidden="1" x14ac:dyDescent="0.25"/>
  </sheetData>
  <mergeCells count="26">
    <mergeCell ref="AQ9:AY9"/>
    <mergeCell ref="AQ27:AY27"/>
    <mergeCell ref="AQ32:AY32"/>
    <mergeCell ref="AQ38:AY38"/>
    <mergeCell ref="AW40:AW41"/>
    <mergeCell ref="B9:J9"/>
    <mergeCell ref="M9:U9"/>
    <mergeCell ref="W9:AE9"/>
    <mergeCell ref="AG9:AO9"/>
    <mergeCell ref="B48:E48"/>
    <mergeCell ref="H40:H41"/>
    <mergeCell ref="S40:S41"/>
    <mergeCell ref="AC40:AC41"/>
    <mergeCell ref="AM40:AM41"/>
    <mergeCell ref="B27:J27"/>
    <mergeCell ref="B32:J32"/>
    <mergeCell ref="M27:U27"/>
    <mergeCell ref="M32:U32"/>
    <mergeCell ref="W27:AE27"/>
    <mergeCell ref="W32:AE32"/>
    <mergeCell ref="AG27:AO27"/>
    <mergeCell ref="AG32:AO32"/>
    <mergeCell ref="B38:J38"/>
    <mergeCell ref="M38:U38"/>
    <mergeCell ref="W38:AE38"/>
    <mergeCell ref="AG38:AO38"/>
  </mergeCells>
  <dataValidations count="3">
    <dataValidation type="list" allowBlank="1" showInputMessage="1" showErrorMessage="1" sqref="E25 AT25 AJ25 P25 Z25" xr:uid="{00000000-0002-0000-0900-000000000000}">
      <formula1>$B$49:$B$58</formula1>
    </dataValidation>
    <dataValidation type="list" allowBlank="1" showInputMessage="1" showErrorMessage="1" sqref="H40 AM40 AC40 S40 AW40" xr:uid="{00000000-0002-0000-0900-000001000000}">
      <formula1>$J$57:$J$58</formula1>
    </dataValidation>
    <dataValidation type="list" allowBlank="1" showInputMessage="1" showErrorMessage="1" sqref="M9:U9 AQ9:AY9 AG9:AO9 W9:AE9" xr:uid="{00000000-0002-0000-0900-000002000000}">
      <formula1>$B$8:$B$15</formula1>
    </dataValidation>
  </dataValidations>
  <pageMargins left="0.7" right="0.7" top="0.75" bottom="0.75" header="0.3" footer="0.3"/>
  <pageSetup orientation="portrait" horizontalDpi="4294967293"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6000000}">
          <x14:formula1>
            <xm:f>'2. Customer Classes'!$B$8:$B$15</xm:f>
          </x14:formula1>
          <xm:sqref>B9:J9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72"/>
  <sheetViews>
    <sheetView topLeftCell="A109" workbookViewId="0">
      <selection activeCell="A153" sqref="A153"/>
    </sheetView>
  </sheetViews>
  <sheetFormatPr defaultColWidth="9.296875" defaultRowHeight="13" x14ac:dyDescent="0.3"/>
  <cols>
    <col min="1" max="1" width="8.796875" customWidth="1"/>
    <col min="2" max="2" width="25.296875" style="30" customWidth="1"/>
    <col min="3" max="3" width="17.69921875" style="30" bestFit="1" customWidth="1"/>
    <col min="4" max="5" width="13.69921875" style="30" customWidth="1"/>
    <col min="6" max="6" width="16.296875" style="30" bestFit="1" customWidth="1"/>
    <col min="7" max="12" width="14.796875" style="30" customWidth="1"/>
    <col min="13" max="13" width="4.19921875" style="1" customWidth="1"/>
    <col min="14" max="14" width="20.296875" style="30" bestFit="1" customWidth="1"/>
    <col min="15" max="15" width="21.69921875" style="1" bestFit="1" customWidth="1"/>
    <col min="16" max="16" width="5.69921875" style="1" customWidth="1"/>
    <col min="17" max="17" width="38.69921875" style="1" customWidth="1"/>
    <col min="18" max="18" width="17.69921875" style="1" bestFit="1" customWidth="1"/>
    <col min="19" max="20" width="21" style="1" bestFit="1" customWidth="1"/>
    <col min="21" max="21" width="14.796875" style="1" bestFit="1" customWidth="1"/>
    <col min="22" max="23" width="17.296875" style="1" customWidth="1"/>
    <col min="24" max="16384" width="9.296875" style="1"/>
  </cols>
  <sheetData>
    <row r="1" spans="1:35" ht="23.5" thickBot="1" x14ac:dyDescent="0.35">
      <c r="A1" s="160"/>
      <c r="B1" s="161" t="s">
        <v>183</v>
      </c>
      <c r="C1" s="144"/>
      <c r="D1" s="144"/>
      <c r="E1" s="144"/>
      <c r="F1" s="144"/>
      <c r="G1" s="144"/>
      <c r="H1" s="144"/>
      <c r="I1" s="144"/>
      <c r="J1" s="144"/>
      <c r="K1" s="144"/>
      <c r="L1" s="144"/>
      <c r="M1" s="143"/>
      <c r="N1" s="144"/>
      <c r="O1" s="143"/>
      <c r="P1" s="143"/>
      <c r="Q1" s="143"/>
      <c r="R1" s="143"/>
      <c r="S1" s="143"/>
      <c r="T1" s="143"/>
      <c r="U1" s="143"/>
      <c r="V1" s="143"/>
      <c r="W1" s="143"/>
      <c r="X1" s="143"/>
      <c r="Y1" s="143"/>
      <c r="Z1" s="143"/>
      <c r="AA1" s="143"/>
      <c r="AB1" s="143"/>
      <c r="AC1" s="143"/>
      <c r="AD1" s="143"/>
      <c r="AE1" s="143"/>
      <c r="AF1" s="143"/>
      <c r="AG1" s="143"/>
      <c r="AH1" s="143"/>
      <c r="AI1" s="143"/>
    </row>
    <row r="2" spans="1:35" ht="23.5" thickBot="1" x14ac:dyDescent="0.35">
      <c r="A2" s="160"/>
      <c r="B2" s="161"/>
      <c r="C2" s="144"/>
      <c r="D2" s="144"/>
      <c r="E2" s="144"/>
      <c r="F2" s="144"/>
      <c r="G2" s="144"/>
      <c r="H2" s="144"/>
      <c r="I2" s="204"/>
      <c r="J2" s="205" t="s">
        <v>137</v>
      </c>
      <c r="K2" s="144"/>
      <c r="L2" s="144"/>
      <c r="M2" s="143"/>
      <c r="N2" s="144"/>
      <c r="O2" s="143"/>
      <c r="P2" s="143"/>
      <c r="Q2" s="143"/>
      <c r="R2" s="143"/>
      <c r="S2" s="143"/>
      <c r="T2" s="143"/>
      <c r="U2" s="143"/>
      <c r="V2" s="143"/>
      <c r="W2" s="143"/>
      <c r="X2" s="143"/>
      <c r="Y2" s="143"/>
      <c r="Z2" s="143"/>
      <c r="AA2" s="143"/>
      <c r="AB2" s="143"/>
      <c r="AC2" s="143"/>
      <c r="AD2" s="143"/>
      <c r="AE2" s="143"/>
      <c r="AF2" s="143"/>
      <c r="AG2" s="143"/>
      <c r="AH2" s="143"/>
      <c r="AI2" s="143"/>
    </row>
    <row r="3" spans="1:35" ht="23" x14ac:dyDescent="0.3">
      <c r="A3" s="160"/>
      <c r="B3" s="161"/>
      <c r="C3" s="144"/>
      <c r="D3" s="144"/>
      <c r="E3" s="144"/>
      <c r="F3" s="144"/>
      <c r="G3" s="144"/>
      <c r="H3" s="144"/>
      <c r="I3" s="144"/>
      <c r="J3" s="144"/>
      <c r="K3" s="144"/>
      <c r="L3" s="144"/>
      <c r="M3" s="143"/>
      <c r="N3" s="144"/>
      <c r="O3" s="143"/>
      <c r="P3" s="143"/>
      <c r="Q3" s="143"/>
      <c r="R3" s="143"/>
      <c r="S3" s="143"/>
      <c r="T3" s="143"/>
      <c r="U3" s="143"/>
      <c r="V3" s="143"/>
      <c r="W3" s="143"/>
      <c r="X3" s="143"/>
      <c r="Y3" s="143"/>
      <c r="Z3" s="143"/>
      <c r="AA3" s="143"/>
      <c r="AB3" s="143"/>
      <c r="AC3" s="143"/>
      <c r="AD3" s="143"/>
      <c r="AE3" s="143"/>
      <c r="AF3" s="143"/>
      <c r="AG3" s="143"/>
      <c r="AH3" s="143"/>
      <c r="AI3" s="143"/>
    </row>
    <row r="4" spans="1:35" x14ac:dyDescent="0.3">
      <c r="A4" s="160"/>
      <c r="B4" s="144"/>
      <c r="C4" s="144"/>
      <c r="D4" s="144"/>
      <c r="E4" s="144"/>
      <c r="F4" s="144"/>
      <c r="G4" s="144"/>
      <c r="H4" s="144"/>
      <c r="I4" s="144"/>
      <c r="J4" s="144"/>
      <c r="K4" s="144"/>
      <c r="L4" s="144"/>
      <c r="M4" s="143"/>
      <c r="N4" s="144"/>
      <c r="O4" s="143"/>
      <c r="P4" s="143"/>
      <c r="Q4" s="143"/>
      <c r="R4" s="143"/>
      <c r="S4" s="143"/>
      <c r="T4" s="143"/>
      <c r="U4" s="143"/>
      <c r="V4" s="143"/>
      <c r="W4" s="143"/>
      <c r="X4" s="143"/>
      <c r="Y4" s="143"/>
      <c r="Z4" s="143"/>
      <c r="AA4" s="143"/>
      <c r="AB4" s="143"/>
      <c r="AC4" s="143"/>
      <c r="AD4" s="143"/>
      <c r="AE4" s="143"/>
      <c r="AF4" s="143"/>
      <c r="AG4" s="143"/>
      <c r="AH4" s="143"/>
      <c r="AI4" s="143"/>
    </row>
    <row r="5" spans="1:35" ht="23" x14ac:dyDescent="0.3">
      <c r="A5" s="160"/>
      <c r="C5" s="161"/>
      <c r="D5" s="161"/>
      <c r="E5" s="161"/>
      <c r="F5" s="144"/>
      <c r="G5" s="144"/>
      <c r="H5" s="144"/>
      <c r="I5" s="144"/>
      <c r="J5" s="144"/>
      <c r="K5" s="144"/>
      <c r="L5" s="144"/>
      <c r="M5" s="143"/>
      <c r="N5" s="144"/>
      <c r="O5" s="143"/>
      <c r="P5" s="143"/>
      <c r="Q5" s="143"/>
      <c r="R5" s="143"/>
      <c r="S5" s="143"/>
      <c r="T5" s="143"/>
      <c r="U5" s="143"/>
      <c r="V5" s="143"/>
      <c r="W5" s="143"/>
      <c r="X5" s="143"/>
      <c r="Y5" s="143"/>
      <c r="Z5" s="143"/>
      <c r="AA5" s="143"/>
      <c r="AB5" s="143"/>
      <c r="AC5" s="143"/>
      <c r="AD5" s="143"/>
      <c r="AE5" s="143"/>
      <c r="AF5" s="143"/>
      <c r="AG5" s="143"/>
      <c r="AH5" s="143"/>
      <c r="AI5" s="143"/>
    </row>
    <row r="6" spans="1:35" ht="23" x14ac:dyDescent="0.3">
      <c r="A6" s="160"/>
      <c r="C6" s="161"/>
      <c r="D6" s="161"/>
      <c r="E6" s="161"/>
      <c r="F6" s="144"/>
      <c r="G6" s="144"/>
      <c r="H6" s="144"/>
      <c r="I6" s="144"/>
      <c r="J6" s="144"/>
      <c r="K6" s="144"/>
      <c r="L6" s="144"/>
      <c r="M6" s="143"/>
      <c r="N6" s="144"/>
      <c r="O6" s="143"/>
      <c r="P6" s="143"/>
      <c r="Q6" s="143"/>
      <c r="R6" s="143"/>
      <c r="S6" s="143"/>
      <c r="T6" s="143"/>
      <c r="U6" s="143"/>
      <c r="V6" s="143"/>
      <c r="W6" s="143"/>
      <c r="X6" s="143"/>
      <c r="Y6" s="143"/>
      <c r="Z6" s="143"/>
      <c r="AA6" s="143"/>
      <c r="AB6" s="143"/>
      <c r="AC6" s="143"/>
      <c r="AD6" s="143"/>
      <c r="AE6" s="143"/>
      <c r="AF6" s="143"/>
      <c r="AG6" s="143"/>
      <c r="AH6" s="143"/>
      <c r="AI6" s="143"/>
    </row>
    <row r="7" spans="1:35" x14ac:dyDescent="0.3">
      <c r="A7" s="160"/>
      <c r="B7" s="144"/>
      <c r="C7" s="144"/>
      <c r="D7" s="810"/>
      <c r="E7" s="810"/>
      <c r="F7" s="144"/>
      <c r="G7" s="810" t="s">
        <v>88</v>
      </c>
      <c r="H7" s="810"/>
      <c r="I7" s="810"/>
      <c r="J7" s="810"/>
      <c r="K7" s="810"/>
      <c r="L7" s="810"/>
      <c r="M7" s="143"/>
      <c r="N7" s="144"/>
      <c r="O7" s="143"/>
      <c r="P7" s="143"/>
      <c r="Q7" s="143"/>
      <c r="R7" s="143"/>
      <c r="S7" s="143"/>
      <c r="T7" s="143"/>
      <c r="U7" s="143"/>
      <c r="V7" s="143"/>
      <c r="W7" s="143"/>
      <c r="X7" s="143"/>
      <c r="Y7" s="143"/>
      <c r="Z7" s="143"/>
      <c r="AA7" s="143"/>
      <c r="AB7" s="143"/>
      <c r="AC7" s="143"/>
      <c r="AD7" s="143"/>
      <c r="AE7" s="143"/>
      <c r="AF7" s="143"/>
      <c r="AG7" s="143"/>
      <c r="AH7" s="143"/>
      <c r="AI7" s="143"/>
    </row>
    <row r="8" spans="1:35" ht="75" customHeight="1" thickBot="1" x14ac:dyDescent="0.35">
      <c r="A8" s="160"/>
      <c r="B8" s="162"/>
      <c r="C8" s="163" t="s">
        <v>182</v>
      </c>
      <c r="D8" s="149" t="s">
        <v>184</v>
      </c>
      <c r="E8" s="149" t="s">
        <v>185</v>
      </c>
      <c r="F8" s="163" t="s">
        <v>87</v>
      </c>
      <c r="G8" s="183" t="s">
        <v>1</v>
      </c>
      <c r="H8" s="183" t="s">
        <v>2</v>
      </c>
      <c r="I8" s="183" t="s">
        <v>120</v>
      </c>
      <c r="J8" s="183" t="s">
        <v>96</v>
      </c>
      <c r="K8" s="183" t="s">
        <v>171</v>
      </c>
      <c r="L8" s="183" t="s">
        <v>171</v>
      </c>
      <c r="M8" s="164"/>
      <c r="N8" s="163" t="s">
        <v>175</v>
      </c>
      <c r="O8" s="163" t="s">
        <v>32</v>
      </c>
      <c r="P8" s="143"/>
      <c r="Q8" t="s">
        <v>121</v>
      </c>
      <c r="R8"/>
      <c r="S8"/>
      <c r="T8"/>
      <c r="U8"/>
      <c r="V8"/>
      <c r="W8"/>
      <c r="X8"/>
      <c r="Y8"/>
      <c r="Z8"/>
      <c r="AA8"/>
      <c r="AB8"/>
      <c r="AC8"/>
      <c r="AD8" s="143"/>
      <c r="AE8" s="143"/>
      <c r="AF8" s="143"/>
      <c r="AG8" s="143"/>
      <c r="AH8" s="143"/>
      <c r="AI8" s="143"/>
    </row>
    <row r="9" spans="1:35" ht="51.75" customHeight="1" thickBot="1" x14ac:dyDescent="0.35">
      <c r="A9" s="160"/>
      <c r="B9" s="165"/>
      <c r="C9" s="390" t="s">
        <v>186</v>
      </c>
      <c r="D9" s="814" t="s">
        <v>131</v>
      </c>
      <c r="E9" s="815"/>
      <c r="F9" s="816"/>
      <c r="G9" s="184" t="s">
        <v>133</v>
      </c>
      <c r="H9" s="184" t="s">
        <v>133</v>
      </c>
      <c r="I9" s="184" t="s">
        <v>133</v>
      </c>
      <c r="J9" s="184" t="s">
        <v>133</v>
      </c>
      <c r="K9" s="184" t="s">
        <v>134</v>
      </c>
      <c r="L9" s="184"/>
      <c r="M9" s="853" t="s">
        <v>131</v>
      </c>
      <c r="N9" s="854"/>
      <c r="O9" s="855"/>
      <c r="P9" s="143"/>
      <c r="Q9"/>
      <c r="R9"/>
      <c r="S9"/>
      <c r="T9"/>
      <c r="U9"/>
      <c r="V9"/>
      <c r="W9"/>
      <c r="X9"/>
      <c r="Y9"/>
      <c r="Z9"/>
      <c r="AA9"/>
      <c r="AB9"/>
      <c r="AC9"/>
      <c r="AD9" s="143"/>
      <c r="AE9" s="143"/>
      <c r="AF9" s="143"/>
      <c r="AG9" s="143"/>
      <c r="AH9" s="143"/>
      <c r="AI9" s="143"/>
    </row>
    <row r="10" spans="1:35" x14ac:dyDescent="0.3">
      <c r="A10" s="339">
        <v>1</v>
      </c>
      <c r="B10" s="166" t="str">
        <f>CONCATENATE('3. Consumption by Rate Class'!B16,"-",'3. Consumption by Rate Class'!C16)</f>
        <v>2013-January</v>
      </c>
      <c r="C10" s="154"/>
      <c r="D10" s="367"/>
      <c r="E10" s="367"/>
      <c r="F10" s="167">
        <f t="shared" ref="F10:F41" si="0">SUM(C10:E10)</f>
        <v>0</v>
      </c>
      <c r="G10" s="292">
        <f>IF(G$8='5.Variables'!$B$10,+'5.Variables'!$C21,+IF(G$8='5.Variables'!$B$34,+'5.Variables'!$C45,+IF(G$8='5.Variables'!$B$58,+'5.Variables'!$C60,+IF(G$8='5.Variables'!$B$72,+'5.Variables'!$C74,+IF(G$8='5.Variables'!$B$86,+'5.Variables'!$C88,+IF(G$8='5.Variables'!$B$100,+'5.Variables'!$C102,0))))))</f>
        <v>638.9</v>
      </c>
      <c r="H10" s="292">
        <f>IF(H$8='5.Variables'!$B$10,+'5.Variables'!$C21,+IF(H$8='5.Variables'!$B$34,+'5.Variables'!$C45,+IF(H$8='5.Variables'!$B$58,+'5.Variables'!$C60,+IF(H$8='5.Variables'!$B$72,+'5.Variables'!$C74,+IF(H$8='5.Variables'!$B$86,+'5.Variables'!$C88,+IF(H$8='5.Variables'!$B$100,+'5.Variables'!$C102,0))))))</f>
        <v>0</v>
      </c>
      <c r="I10" s="292">
        <f>IF(I$8='5.Variables'!$B$10,+'5.Variables'!$C21,+IF(I$8='5.Variables'!$B$34,+'5.Variables'!$C45,+IF(I$8='5.Variables'!$B$58,+'5.Variables'!$C60,+IF(I$8='5.Variables'!$B$72,+'5.Variables'!$C74,+IF(I$8='5.Variables'!$B$86,+'5.Variables'!$C88,+IF(I$8='5.Variables'!$B$100,+'5.Variables'!$C102,0))))))</f>
        <v>31</v>
      </c>
      <c r="J10" s="292">
        <f>IF(J$8='5.Variables'!$B$10,+'5.Variables'!$C21,+IF(J$8='5.Variables'!$B$34,+'5.Variables'!$C45,+IF(J$8='5.Variables'!$B$58,+'5.Variables'!$C60,+IF(J$8='5.Variables'!$B$72,+'5.Variables'!$C74,+IF(J$8='5.Variables'!$B$86,+'5.Variables'!$C88,+IF(J$8='5.Variables'!$B$100,+'5.Variables'!$C102,0))))))</f>
        <v>0</v>
      </c>
      <c r="K10" s="292">
        <f>IF(K$8='5.Variables'!$B$10,+'5.Variables'!$C21,+IF(K$8='5.Variables'!$B$34,+'5.Variables'!$C45,+IF(K$8='5.Variables'!$B$58,+'5.Variables'!$C60,+IF(K$8='5.Variables'!$B$72,+'5.Variables'!$C74,+IF(K$8='5.Variables'!$B$86,+'5.Variables'!$C88,+IF(K$8='5.Variables'!$B$100,+'5.Variables'!$C102,0))))))</f>
        <v>0</v>
      </c>
      <c r="L10" s="292">
        <f>IF(L$8='5.Variables'!$B$10,+'5.Variables'!$C21,+IF(L$8='5.Variables'!$B$34,+'5.Variables'!$C45,+IF(L$8='5.Variables'!$B$58,+'5.Variables'!$C60,+IF(L$8='5.Variables'!$B$72,+'5.Variables'!$C74,+IF(L$8='5.Variables'!$B$86,+'5.Variables'!$C88,+IF(L$8='5.Variables'!$B$100,+'5.Variables'!$C102,0))))))</f>
        <v>0</v>
      </c>
      <c r="M10" s="143"/>
      <c r="N10" s="167"/>
      <c r="O10" s="168"/>
      <c r="P10" s="143"/>
      <c r="Q10" s="187" t="s">
        <v>7</v>
      </c>
      <c r="R10" s="187"/>
      <c r="S10"/>
      <c r="T10"/>
      <c r="U10"/>
      <c r="V10"/>
      <c r="W10"/>
      <c r="X10"/>
      <c r="Y10"/>
      <c r="Z10"/>
      <c r="AA10"/>
      <c r="AB10"/>
      <c r="AC10"/>
      <c r="AD10" s="143"/>
      <c r="AE10" s="143"/>
      <c r="AF10" s="143"/>
      <c r="AG10" s="143"/>
      <c r="AH10" s="143"/>
      <c r="AI10" s="143"/>
    </row>
    <row r="11" spans="1:35" x14ac:dyDescent="0.3">
      <c r="A11" s="339">
        <f>+A10+1</f>
        <v>2</v>
      </c>
      <c r="B11" s="166" t="str">
        <f>CONCATENATE('3. Consumption by Rate Class'!B17,"-",'3. Consumption by Rate Class'!C17)</f>
        <v>2013-February</v>
      </c>
      <c r="C11" s="169"/>
      <c r="D11" s="367"/>
      <c r="E11" s="367"/>
      <c r="F11" s="167">
        <f t="shared" si="0"/>
        <v>0</v>
      </c>
      <c r="G11" s="292">
        <f>IF(G$8='5.Variables'!$B$10,+'5.Variables'!$D21,+IF(G$8='5.Variables'!$B$34,+'5.Variables'!$D45,+IF(G$8='5.Variables'!$B$58,+'5.Variables'!$D60,+IF(G$8='5.Variables'!$B$72,+'5.Variables'!$D74,+IF(G$8='5.Variables'!$B$86,+'5.Variables'!$D88,+IF(G$8='5.Variables'!$B$100,+'5.Variables'!$D102,0))))))</f>
        <v>647.79999999999995</v>
      </c>
      <c r="H11" s="292">
        <f>IF(H$8='5.Variables'!$B$10,+'5.Variables'!$D21,+IF(H$8='5.Variables'!$B$34,+'5.Variables'!$D45,+IF(H$8='5.Variables'!$B$58,+'5.Variables'!$D60,+IF(H$8='5.Variables'!$B$72,+'5.Variables'!$D74,+IF(H$8='5.Variables'!$B$86,+'5.Variables'!$D88,+IF(H$8='5.Variables'!$B$100,+'5.Variables'!$D102,0))))))</f>
        <v>0</v>
      </c>
      <c r="I11" s="292">
        <f>IF(I$8='5.Variables'!$B$10,+'5.Variables'!$D21,+IF(I$8='5.Variables'!$B$34,+'5.Variables'!$D45,+IF(I$8='5.Variables'!$B$58,+'5.Variables'!$D60,+IF(I$8='5.Variables'!$B$72,+'5.Variables'!$D74,+IF(I$8='5.Variables'!$B$86,+'5.Variables'!$D88,+IF(I$8='5.Variables'!$B$100,+'5.Variables'!$D102,0))))))</f>
        <v>28</v>
      </c>
      <c r="J11" s="292">
        <f>IF(J$8='5.Variables'!$B$10,+'5.Variables'!$D21,+IF(J$8='5.Variables'!$B$34,+'5.Variables'!$D45,+IF(J$8='5.Variables'!$B$58,+'5.Variables'!$D60,+IF(J$8='5.Variables'!$B$72,+'5.Variables'!$D74,+IF(J$8='5.Variables'!$B$86,+'5.Variables'!$D88,+IF(J$8='5.Variables'!$B$100,+'5.Variables'!$D102,0))))))</f>
        <v>0</v>
      </c>
      <c r="K11" s="292">
        <f>IF(K$8='5.Variables'!$B$10,+'5.Variables'!$D21,+IF(K$8='5.Variables'!$B$34,+'5.Variables'!$D45,+IF(K$8='5.Variables'!$B$58,+'5.Variables'!$D60,+IF(K$8='5.Variables'!$B$72,+'5.Variables'!$D74,+IF(K$8='5.Variables'!$B$86,+'5.Variables'!$D88,+IF(K$8='5.Variables'!$B$100,+'5.Variables'!$D102,0))))))</f>
        <v>0</v>
      </c>
      <c r="L11" s="292">
        <f>IF(L$8='5.Variables'!$B$10,+'5.Variables'!$D21,+IF(L$8='5.Variables'!$B$34,+'5.Variables'!$D45,+IF(L$8='5.Variables'!$B$58,+'5.Variables'!$D60,+IF(L$8='5.Variables'!$B$72,+'5.Variables'!$D74,+IF(L$8='5.Variables'!$B$86,+'5.Variables'!$D88,+IF(L$8='5.Variables'!$B$100,+'5.Variables'!$D102,0))))))</f>
        <v>0</v>
      </c>
      <c r="M11" s="143"/>
      <c r="N11" s="167"/>
      <c r="O11" s="170"/>
      <c r="P11" s="143"/>
      <c r="Q11" t="s">
        <v>8</v>
      </c>
      <c r="R11">
        <v>0.92574798948608483</v>
      </c>
      <c r="S11"/>
      <c r="T11"/>
      <c r="U11"/>
      <c r="V11"/>
      <c r="W11"/>
      <c r="X11"/>
      <c r="Y11"/>
      <c r="Z11"/>
      <c r="AA11"/>
      <c r="AB11"/>
      <c r="AC11"/>
      <c r="AD11" s="143"/>
      <c r="AE11" s="143"/>
      <c r="AF11" s="143"/>
      <c r="AG11" s="143"/>
      <c r="AH11" s="143"/>
      <c r="AI11" s="143"/>
    </row>
    <row r="12" spans="1:35" x14ac:dyDescent="0.3">
      <c r="A12" s="339">
        <f t="shared" ref="A12:A75" si="1">+A11+1</f>
        <v>3</v>
      </c>
      <c r="B12" s="166" t="str">
        <f>CONCATENATE('3. Consumption by Rate Class'!B18,"-",'3. Consumption by Rate Class'!C18)</f>
        <v>2013-March</v>
      </c>
      <c r="C12" s="169"/>
      <c r="D12" s="367"/>
      <c r="E12" s="367"/>
      <c r="F12" s="167">
        <f t="shared" si="0"/>
        <v>0</v>
      </c>
      <c r="G12" s="292">
        <f>IF(G$8='5.Variables'!$B$10,+'5.Variables'!$E21,+IF(G$8='5.Variables'!$B$34,+'5.Variables'!$E45,+IF(G$8='5.Variables'!$B$58,+'5.Variables'!$E60,+IF(G$8='5.Variables'!$B$72,+'5.Variables'!$E74,+IF(G$8='5.Variables'!$B$86,+'5.Variables'!$E88,+IF(G$8='5.Variables'!$B$100,+'5.Variables'!$E102,0))))))</f>
        <v>582.20000000000005</v>
      </c>
      <c r="H12" s="292">
        <f>IF(H$8='5.Variables'!$B$10,+'5.Variables'!$E21,+IF(H$8='5.Variables'!$B$34,+'5.Variables'!$E45,+IF(H$8='5.Variables'!$B$58,+'5.Variables'!$E60,+IF(H$8='5.Variables'!$B$72,+'5.Variables'!$E74,+IF(H$8='5.Variables'!$B$86,+'5.Variables'!$E88,+IF(H$8='5.Variables'!$B$100,+'5.Variables'!$E102,0))))))</f>
        <v>0</v>
      </c>
      <c r="I12" s="292">
        <f>IF(I$8='5.Variables'!$B$10,+'5.Variables'!$E21,+IF(I$8='5.Variables'!$B$34,+'5.Variables'!$E45,+IF(I$8='5.Variables'!$B$58,+'5.Variables'!$E60,+IF(I$8='5.Variables'!$B$72,+'5.Variables'!$E74,+IF(I$8='5.Variables'!$B$86,+'5.Variables'!$E88,+IF(I$8='5.Variables'!$B$100,+'5.Variables'!$E102,0))))))</f>
        <v>31</v>
      </c>
      <c r="J12" s="292">
        <f>IF(J$8='5.Variables'!$B$10,+'5.Variables'!$E21,+IF(J$8='5.Variables'!$B$34,+'5.Variables'!$E45,+IF(J$8='5.Variables'!$B$58,+'5.Variables'!$E60,+IF(J$8='5.Variables'!$B$72,+'5.Variables'!$E74,+IF(J$8='5.Variables'!$B$86,+'5.Variables'!$E88,+IF(J$8='5.Variables'!$B$100,+'5.Variables'!$E102,0))))))</f>
        <v>1</v>
      </c>
      <c r="K12" s="292">
        <f>IF(K$8='5.Variables'!$B$10,+'5.Variables'!$E21,+IF(K$8='5.Variables'!$B$34,+'5.Variables'!$E45,+IF(K$8='5.Variables'!$B$58,+'5.Variables'!$E60,+IF(K$8='5.Variables'!$B$72,+'5.Variables'!$E74,+IF(K$8='5.Variables'!$B$86,+'5.Variables'!$E88,+IF(K$8='5.Variables'!$B$100,+'5.Variables'!$E102,0))))))</f>
        <v>0</v>
      </c>
      <c r="L12" s="292">
        <f>IF(L$8='5.Variables'!$B$10,+'5.Variables'!$E21,+IF(L$8='5.Variables'!$B$34,+'5.Variables'!$E45,+IF(L$8='5.Variables'!$B$58,+'5.Variables'!$E60,+IF(L$8='5.Variables'!$B$72,+'5.Variables'!$E74,+IF(L$8='5.Variables'!$B$86,+'5.Variables'!$E88,+IF(L$8='5.Variables'!$B$100,+'5.Variables'!$E102,0))))))</f>
        <v>0</v>
      </c>
      <c r="M12" s="143"/>
      <c r="N12" s="167"/>
      <c r="O12" s="171"/>
      <c r="P12" s="143"/>
      <c r="Q12" t="s">
        <v>9</v>
      </c>
      <c r="R12">
        <v>0.85700934003752827</v>
      </c>
      <c r="S12"/>
      <c r="T12"/>
      <c r="U12"/>
      <c r="V12"/>
      <c r="W12"/>
      <c r="X12"/>
      <c r="Y12"/>
      <c r="Z12"/>
      <c r="AA12"/>
      <c r="AB12"/>
      <c r="AC12"/>
      <c r="AD12" s="143"/>
      <c r="AE12" s="143"/>
      <c r="AF12" s="143"/>
      <c r="AG12" s="143"/>
      <c r="AH12" s="143"/>
      <c r="AI12" s="143"/>
    </row>
    <row r="13" spans="1:35" x14ac:dyDescent="0.3">
      <c r="A13" s="339">
        <f t="shared" si="1"/>
        <v>4</v>
      </c>
      <c r="B13" s="166" t="str">
        <f>CONCATENATE('3. Consumption by Rate Class'!B19,"-",'3. Consumption by Rate Class'!C19)</f>
        <v>2013-April</v>
      </c>
      <c r="C13" s="169"/>
      <c r="D13" s="367"/>
      <c r="E13" s="367"/>
      <c r="F13" s="167">
        <f t="shared" si="0"/>
        <v>0</v>
      </c>
      <c r="G13" s="292">
        <f>IF(G$8='5.Variables'!$B$10,+'5.Variables'!$F21,+IF(G$8='5.Variables'!$B$34,+'5.Variables'!$F45,+IF(G$8='5.Variables'!$B$58,+'5.Variables'!$F60,+IF(G$8='5.Variables'!$B$72,+'5.Variables'!$F74,+IF(G$8='5.Variables'!$B$86,+'5.Variables'!$F88,+IF(G$8='5.Variables'!$B$100,+'5.Variables'!$F102,0))))))</f>
        <v>368.7</v>
      </c>
      <c r="H13" s="292">
        <f>IF(H$8='5.Variables'!$B$10,+'5.Variables'!$F21,+IF(H$8='5.Variables'!$B$34,+'5.Variables'!$F45,+IF(H$8='5.Variables'!$B$58,+'5.Variables'!$F60,+IF(H$8='5.Variables'!$B$72,+'5.Variables'!$F74,+IF(H$8='5.Variables'!$B$86,+'5.Variables'!$F88,+IF(H$8='5.Variables'!$B$100,+'5.Variables'!$F102,0))))))</f>
        <v>0</v>
      </c>
      <c r="I13" s="292">
        <f>IF(I$8='5.Variables'!$B$10,+'5.Variables'!$F21,+IF(I$8='5.Variables'!$B$34,+'5.Variables'!$F45,+IF(I$8='5.Variables'!$B$58,+'5.Variables'!$F60,+IF(I$8='5.Variables'!$B$72,+'5.Variables'!$F74,+IF(I$8='5.Variables'!$B$86,+'5.Variables'!$F88,+IF(I$8='5.Variables'!$B$100,+'5.Variables'!$F102,0))))))</f>
        <v>30</v>
      </c>
      <c r="J13" s="292">
        <f>IF(J$8='5.Variables'!$B$10,+'5.Variables'!$F21,+IF(J$8='5.Variables'!$B$34,+'5.Variables'!$F45,+IF(J$8='5.Variables'!$B$58,+'5.Variables'!$F60,+IF(J$8='5.Variables'!$B$72,+'5.Variables'!$F74,+IF(J$8='5.Variables'!$B$86,+'5.Variables'!$F88,+IF(J$8='5.Variables'!$B$100,+'5.Variables'!$F102,0))))))</f>
        <v>1</v>
      </c>
      <c r="K13" s="292">
        <f>IF(K$8='5.Variables'!$B$10,+'5.Variables'!$F21,+IF(K$8='5.Variables'!$B$34,+'5.Variables'!$F45,+IF(K$8='5.Variables'!$B$58,+'5.Variables'!$F60,+IF(K$8='5.Variables'!$B$72,+'5.Variables'!$F74,+IF(K$8='5.Variables'!$B$86,+'5.Variables'!$F88,+IF(K$8='5.Variables'!$B$100,+'5.Variables'!$F102,0))))))</f>
        <v>0</v>
      </c>
      <c r="L13" s="292">
        <f>IF(L$8='5.Variables'!$B$10,+'5.Variables'!$F21,+IF(L$8='5.Variables'!$B$34,+'5.Variables'!$F45,+IF(L$8='5.Variables'!$B$58,+'5.Variables'!$F60,+IF(L$8='5.Variables'!$B$72,+'5.Variables'!$F74,+IF(L$8='5.Variables'!$B$86,+'5.Variables'!$F88,+IF(L$8='5.Variables'!$B$100,+'5.Variables'!$F102,0))))))</f>
        <v>0</v>
      </c>
      <c r="M13" s="143"/>
      <c r="N13" s="167"/>
      <c r="O13" s="171"/>
      <c r="P13" s="143"/>
      <c r="Q13" t="s">
        <v>10</v>
      </c>
      <c r="R13">
        <v>0.85180967967525656</v>
      </c>
      <c r="S13"/>
      <c r="T13"/>
      <c r="U13"/>
      <c r="V13"/>
      <c r="W13"/>
      <c r="X13"/>
      <c r="Y13"/>
      <c r="Z13"/>
      <c r="AA13"/>
      <c r="AB13"/>
      <c r="AC13"/>
      <c r="AD13" s="143"/>
      <c r="AE13" s="143"/>
      <c r="AF13" s="143"/>
      <c r="AG13" s="143"/>
      <c r="AH13" s="143"/>
      <c r="AI13" s="143"/>
    </row>
    <row r="14" spans="1:35" x14ac:dyDescent="0.3">
      <c r="A14" s="339">
        <f t="shared" si="1"/>
        <v>5</v>
      </c>
      <c r="B14" s="166" t="str">
        <f>CONCATENATE('3. Consumption by Rate Class'!B20,"-",'3. Consumption by Rate Class'!C20)</f>
        <v>2013-May</v>
      </c>
      <c r="C14" s="169"/>
      <c r="D14" s="367"/>
      <c r="E14" s="367"/>
      <c r="F14" s="167">
        <f t="shared" si="0"/>
        <v>0</v>
      </c>
      <c r="G14" s="292">
        <f>IF(G$8='5.Variables'!$B$10,+'5.Variables'!$G21,+IF(G$8='5.Variables'!$B$34,+'5.Variables'!$G45,+IF(G$8='5.Variables'!$B$58,+'5.Variables'!$G60,+IF(G$8='5.Variables'!$B$72,+'5.Variables'!$G74,+IF(G$8='5.Variables'!$B$86,+'5.Variables'!$G88,+IF(G$8='5.Variables'!$B$100,+'5.Variables'!$G102,0))))))</f>
        <v>163.69999999999999</v>
      </c>
      <c r="H14" s="292">
        <f>IF(H$8='5.Variables'!$B$10,+'5.Variables'!$G21,+IF(H$8='5.Variables'!$B$34,+'5.Variables'!$G45,+IF(H$8='5.Variables'!$B$58,+'5.Variables'!$G60,+IF(H$8='5.Variables'!$B$72,+'5.Variables'!$G74,+IF(H$8='5.Variables'!$B$86,+'5.Variables'!$G88,+IF(H$8='5.Variables'!$B$100,+'5.Variables'!$G102,0))))))</f>
        <v>15.7</v>
      </c>
      <c r="I14" s="292">
        <f>IF(I$8='5.Variables'!$B$10,+'5.Variables'!$G21,+IF(I$8='5.Variables'!$B$34,+'5.Variables'!$G45,+IF(I$8='5.Variables'!$B$58,+'5.Variables'!$G60,+IF(I$8='5.Variables'!$B$72,+'5.Variables'!$G74,+IF(I$8='5.Variables'!$B$86,+'5.Variables'!$G88,+IF(I$8='5.Variables'!$B$100,+'5.Variables'!$G102,0))))))</f>
        <v>31</v>
      </c>
      <c r="J14" s="292">
        <f>IF(J$8='5.Variables'!$B$10,+'5.Variables'!$G21,+IF(J$8='5.Variables'!$B$34,+'5.Variables'!$G45,+IF(J$8='5.Variables'!$B$58,+'5.Variables'!$G60,+IF(J$8='5.Variables'!$B$72,+'5.Variables'!$G74,+IF(J$8='5.Variables'!$B$86,+'5.Variables'!$G88,+IF(J$8='5.Variables'!$B$100,+'5.Variables'!$G102,0))))))</f>
        <v>1</v>
      </c>
      <c r="K14" s="292">
        <f>IF(K$8='5.Variables'!$B$10,+'5.Variables'!$G21,+IF(K$8='5.Variables'!$B$34,+'5.Variables'!$G45,+IF(K$8='5.Variables'!$B$58,+'5.Variables'!$G60,+IF(K$8='5.Variables'!$B$72,+'5.Variables'!$G74,+IF(K$8='5.Variables'!$B$86,+'5.Variables'!$G88,+IF(K$8='5.Variables'!$B$100,+'5.Variables'!$G102,0))))))</f>
        <v>0</v>
      </c>
      <c r="L14" s="292">
        <f>IF(L$8='5.Variables'!$B$10,+'5.Variables'!$G21,+IF(L$8='5.Variables'!$B$34,+'5.Variables'!$G45,+IF(L$8='5.Variables'!$B$58,+'5.Variables'!$G60,+IF(L$8='5.Variables'!$B$72,+'5.Variables'!$G74,+IF(L$8='5.Variables'!$B$86,+'5.Variables'!$G88,+IF(L$8='5.Variables'!$B$100,+'5.Variables'!$G102,0))))))</f>
        <v>0</v>
      </c>
      <c r="M14" s="143"/>
      <c r="N14" s="167"/>
      <c r="O14" s="171"/>
      <c r="P14" s="143"/>
      <c r="Q14" t="s">
        <v>11</v>
      </c>
      <c r="R14">
        <v>12504.885585580305</v>
      </c>
      <c r="S14"/>
      <c r="T14"/>
      <c r="U14"/>
      <c r="V14"/>
      <c r="W14"/>
      <c r="X14"/>
      <c r="Y14"/>
      <c r="Z14"/>
      <c r="AA14"/>
      <c r="AB14"/>
      <c r="AC14"/>
      <c r="AD14" s="143"/>
      <c r="AE14" s="143"/>
      <c r="AF14" s="143"/>
      <c r="AG14" s="143"/>
      <c r="AH14" s="143"/>
      <c r="AI14" s="143"/>
    </row>
    <row r="15" spans="1:35" ht="13.5" thickBot="1" x14ac:dyDescent="0.35">
      <c r="A15" s="339">
        <f t="shared" si="1"/>
        <v>6</v>
      </c>
      <c r="B15" s="166" t="str">
        <f>CONCATENATE('3. Consumption by Rate Class'!B21,"-",'3. Consumption by Rate Class'!C21)</f>
        <v>2013-June</v>
      </c>
      <c r="C15" s="169">
        <v>411215.21000000008</v>
      </c>
      <c r="D15" s="367"/>
      <c r="E15" s="367"/>
      <c r="F15" s="167">
        <f t="shared" si="0"/>
        <v>411215.21000000008</v>
      </c>
      <c r="G15" s="292">
        <f>IF(G$8='5.Variables'!$B$10,+'5.Variables'!$H21,+IF(G$8='5.Variables'!$B$34,+'5.Variables'!$H45,+IF(G$8='5.Variables'!$B$58,+'5.Variables'!$H60,+IF(G$8='5.Variables'!$B$72,+'5.Variables'!$H74,+IF(G$8='5.Variables'!$B$86,+'5.Variables'!$H88,+IF(G$8='5.Variables'!$B$100,+'5.Variables'!$H102,0))))))</f>
        <v>73.3</v>
      </c>
      <c r="H15" s="292">
        <f>IF(H$8='5.Variables'!$B$10,+'5.Variables'!$H21,+IF(H$8='5.Variables'!$B$34,+'5.Variables'!$H45,+IF(H$8='5.Variables'!$B$58,+'5.Variables'!$H60,+IF(H$8='5.Variables'!$B$72,+'5.Variables'!$H74,+IF(H$8='5.Variables'!$B$86,+'5.Variables'!$H88,+IF(H$8='5.Variables'!$B$100,+'5.Variables'!$H102,0))))))</f>
        <v>41</v>
      </c>
      <c r="I15" s="292">
        <f>IF(I$8='5.Variables'!$B$10,+'5.Variables'!$H21,+IF(I$8='5.Variables'!$B$34,+'5.Variables'!$H45,+IF(I$8='5.Variables'!$B$58,+'5.Variables'!$H60,+IF(I$8='5.Variables'!$B$72,+'5.Variables'!$H74,+IF(I$8='5.Variables'!$B$86,+'5.Variables'!$H88,+IF(I$8='5.Variables'!$B$100,+'5.Variables'!$H102,0))))))</f>
        <v>30</v>
      </c>
      <c r="J15" s="292">
        <f>IF(J$8='5.Variables'!$B$10,+'5.Variables'!$H21,+IF(J$8='5.Variables'!$B$34,+'5.Variables'!$H45,+IF(J$8='5.Variables'!$B$58,+'5.Variables'!$H60,+IF(J$8='5.Variables'!$B$72,+'5.Variables'!$H74,+IF(J$8='5.Variables'!$B$86,+'5.Variables'!$H88,+IF(J$8='5.Variables'!$B$100,+'5.Variables'!$H102,0))))))</f>
        <v>0</v>
      </c>
      <c r="K15" s="292">
        <f>IF(K$8='5.Variables'!$B$10,+'5.Variables'!$H21,+IF(K$8='5.Variables'!$B$34,+'5.Variables'!$H45,+IF(K$8='5.Variables'!$B$58,+'5.Variables'!$H60,+IF(K$8='5.Variables'!$B$72,+'5.Variables'!$H74,+IF(K$8='5.Variables'!$B$86,+'5.Variables'!$H88,+IF(K$8='5.Variables'!$B$100,+'5.Variables'!$H102,0))))))</f>
        <v>0</v>
      </c>
      <c r="L15" s="292">
        <f>IF(L$8='5.Variables'!$B$10,+'5.Variables'!$H21,+IF(L$8='5.Variables'!$B$34,+'5.Variables'!$H45,+IF(L$8='5.Variables'!$B$58,+'5.Variables'!$H60,+IF(L$8='5.Variables'!$B$72,+'5.Variables'!$H74,+IF(L$8='5.Variables'!$B$86,+'5.Variables'!$H88,+IF(L$8='5.Variables'!$B$100,+'5.Variables'!$H102,0))))))</f>
        <v>0</v>
      </c>
      <c r="M15" s="143"/>
      <c r="N15" s="167">
        <f t="shared" ref="N15:N74" si="2">$R$24+(G15*$R$25)+(H15*$R$26)+(I15*$R$27)+(J15*$R$28)+(K15*$R$29)+(L15*$R$30)</f>
        <v>362726.75735070871</v>
      </c>
      <c r="O15" s="171"/>
      <c r="P15" s="143"/>
      <c r="Q15" s="185" t="s">
        <v>12</v>
      </c>
      <c r="R15" s="185">
        <v>115</v>
      </c>
      <c r="S15"/>
      <c r="T15"/>
      <c r="U15"/>
      <c r="V15"/>
      <c r="W15"/>
      <c r="X15"/>
      <c r="Y15"/>
      <c r="Z15"/>
      <c r="AA15"/>
      <c r="AB15"/>
      <c r="AC15"/>
      <c r="AD15" s="143"/>
      <c r="AE15" s="143"/>
      <c r="AF15" s="143"/>
      <c r="AG15" s="143"/>
      <c r="AH15" s="143"/>
      <c r="AI15" s="143"/>
    </row>
    <row r="16" spans="1:35" x14ac:dyDescent="0.3">
      <c r="A16" s="339">
        <f t="shared" si="1"/>
        <v>7</v>
      </c>
      <c r="B16" s="166" t="str">
        <f>CONCATENATE('3. Consumption by Rate Class'!B22,"-",'3. Consumption by Rate Class'!C22)</f>
        <v>2013-July</v>
      </c>
      <c r="C16" s="169">
        <v>421621.82</v>
      </c>
      <c r="D16" s="367"/>
      <c r="E16" s="367"/>
      <c r="F16" s="167">
        <f t="shared" si="0"/>
        <v>421621.82</v>
      </c>
      <c r="G16" s="292">
        <f>IF(G$8='5.Variables'!$B$10,+'5.Variables'!$I21,+IF(G$8='5.Variables'!$B$34,+'5.Variables'!$I45,+IF(G$8='5.Variables'!$B$58,+'5.Variables'!$I60,+IF(G$8='5.Variables'!$B$72,+'5.Variables'!$I74,+IF(G$8='5.Variables'!$B$86,+'5.Variables'!$I88,+IF(G$8='5.Variables'!$B$100,+'5.Variables'!$I102,0))))))</f>
        <v>6.3</v>
      </c>
      <c r="H16" s="292">
        <f>IF(H$8='5.Variables'!$B$10,+'5.Variables'!$I21,+IF(H$8='5.Variables'!$B$34,+'5.Variables'!$I45,+IF(H$8='5.Variables'!$B$58,+'5.Variables'!$I60,+IF(H$8='5.Variables'!$B$72,+'5.Variables'!$I74,+IF(H$8='5.Variables'!$B$86,+'5.Variables'!$I88,+IF(H$8='5.Variables'!$B$100,+'5.Variables'!$I102,0))))))</f>
        <v>96.7</v>
      </c>
      <c r="I16" s="292">
        <f>IF(I$8='5.Variables'!$B$10,+'5.Variables'!$I21,+IF(I$8='5.Variables'!$B$34,+'5.Variables'!$I45,+IF(I$8='5.Variables'!$B$58,+'5.Variables'!$I60,+IF(I$8='5.Variables'!$B$72,+'5.Variables'!$I74,+IF(I$8='5.Variables'!$B$86,+'5.Variables'!$I88,+IF(I$8='5.Variables'!$B$100,+'5.Variables'!$I102,0))))))</f>
        <v>31</v>
      </c>
      <c r="J16" s="292">
        <f>IF(J$8='5.Variables'!$B$10,+'5.Variables'!$I21,+IF(J$8='5.Variables'!$B$34,+'5.Variables'!$I45,+IF(J$8='5.Variables'!$B$58,+'5.Variables'!$I60,+IF(J$8='5.Variables'!$B$72,+'5.Variables'!$I74,+IF(J$8='5.Variables'!$B$86,+'5.Variables'!$I88,+IF(J$8='5.Variables'!$B$100,+'5.Variables'!$I102,0))))))</f>
        <v>0</v>
      </c>
      <c r="K16" s="292">
        <f>IF(K$8='5.Variables'!$B$10,+'5.Variables'!$I21,+IF(K$8='5.Variables'!$B$34,+'5.Variables'!$I45,+IF(K$8='5.Variables'!$B$58,+'5.Variables'!$I60,+IF(K$8='5.Variables'!$B$72,+'5.Variables'!$I74,+IF(K$8='5.Variables'!$B$86,+'5.Variables'!$I88,+IF(K$8='5.Variables'!$B$100,+'5.Variables'!$I102,0))))))</f>
        <v>0</v>
      </c>
      <c r="L16" s="292">
        <f>IF(L$8='5.Variables'!$B$10,+'5.Variables'!$I21,+IF(L$8='5.Variables'!$B$34,+'5.Variables'!$I45,+IF(L$8='5.Variables'!$B$58,+'5.Variables'!$I60,+IF(L$8='5.Variables'!$B$72,+'5.Variables'!$I74,+IF(L$8='5.Variables'!$B$86,+'5.Variables'!$I88,+IF(L$8='5.Variables'!$B$100,+'5.Variables'!$I102,0))))))</f>
        <v>0</v>
      </c>
      <c r="M16" s="143"/>
      <c r="N16" s="167">
        <f t="shared" si="2"/>
        <v>399352.92341550608</v>
      </c>
      <c r="O16" s="171"/>
      <c r="P16" s="143"/>
      <c r="Q16"/>
      <c r="R16"/>
      <c r="S16"/>
      <c r="T16"/>
      <c r="U16"/>
      <c r="V16"/>
      <c r="W16"/>
      <c r="X16"/>
      <c r="Y16"/>
      <c r="Z16"/>
      <c r="AA16"/>
      <c r="AB16"/>
      <c r="AC16"/>
      <c r="AD16" s="143"/>
      <c r="AE16" s="143"/>
      <c r="AF16" s="143"/>
      <c r="AG16" s="143"/>
      <c r="AH16" s="143"/>
      <c r="AI16" s="143"/>
    </row>
    <row r="17" spans="1:35" ht="13.5" thickBot="1" x14ac:dyDescent="0.35">
      <c r="A17" s="339">
        <f t="shared" si="1"/>
        <v>8</v>
      </c>
      <c r="B17" s="166" t="str">
        <f>CONCATENATE('3. Consumption by Rate Class'!B23,"-",'3. Consumption by Rate Class'!C23)</f>
        <v>2013-August</v>
      </c>
      <c r="C17" s="169">
        <v>407495.31000000006</v>
      </c>
      <c r="D17" s="367"/>
      <c r="E17" s="367"/>
      <c r="F17" s="167">
        <f t="shared" si="0"/>
        <v>407495.31000000006</v>
      </c>
      <c r="G17" s="292">
        <f>IF(G$8='5.Variables'!$B$10,+'5.Variables'!$J21,+IF(G$8='5.Variables'!$B$34,+'5.Variables'!$J45,+IF(G$8='5.Variables'!$B$58,+'5.Variables'!$J60,+IF(G$8='5.Variables'!$B$72,+'5.Variables'!$J74,+IF(G$8='5.Variables'!$B$86,+'5.Variables'!$J88,+IF(G$8='5.Variables'!$B$100,+'5.Variables'!$J102,0))))))</f>
        <v>13.8</v>
      </c>
      <c r="H17" s="292">
        <f>IF(H$8='5.Variables'!$B$10,+'5.Variables'!$J21,+IF(H$8='5.Variables'!$B$34,+'5.Variables'!$J45,+IF(H$8='5.Variables'!$B$58,+'5.Variables'!$J60,+IF(H$8='5.Variables'!$B$72,+'5.Variables'!$J74,+IF(H$8='5.Variables'!$B$86,+'5.Variables'!$J88,+IF(H$8='5.Variables'!$B$100,+'5.Variables'!$J102,0))))))</f>
        <v>63.9</v>
      </c>
      <c r="I17" s="292">
        <f>IF(I$8='5.Variables'!$B$10,+'5.Variables'!$J21,+IF(I$8='5.Variables'!$B$34,+'5.Variables'!$J45,+IF(I$8='5.Variables'!$B$58,+'5.Variables'!$J60,+IF(I$8='5.Variables'!$B$72,+'5.Variables'!$J74,+IF(I$8='5.Variables'!$B$86,+'5.Variables'!$J88,+IF(I$8='5.Variables'!$B$100,+'5.Variables'!$J102,0))))))</f>
        <v>31</v>
      </c>
      <c r="J17" s="292">
        <f>IF(J$8='5.Variables'!$B$10,+'5.Variables'!$J21,+IF(J$8='5.Variables'!$B$34,+'5.Variables'!$J45,+IF(J$8='5.Variables'!$B$58,+'5.Variables'!$J60,+IF(J$8='5.Variables'!$B$72,+'5.Variables'!$J74,+IF(J$8='5.Variables'!$B$86,+'5.Variables'!$J88,+IF(J$8='5.Variables'!$B$100,+'5.Variables'!$J102,0))))))</f>
        <v>0</v>
      </c>
      <c r="K17" s="292">
        <f>IF(K$8='5.Variables'!$B$10,+'5.Variables'!$J21,+IF(K$8='5.Variables'!$B$34,+'5.Variables'!$J45,+IF(K$8='5.Variables'!$B$58,+'5.Variables'!$J60,+IF(K$8='5.Variables'!$B$72,+'5.Variables'!$J74,+IF(K$8='5.Variables'!$B$86,+'5.Variables'!$J88,+IF(K$8='5.Variables'!$B$100,+'5.Variables'!$J102,0))))))</f>
        <v>0</v>
      </c>
      <c r="L17" s="292">
        <f>IF(L$8='5.Variables'!$B$10,+'5.Variables'!$J21,+IF(L$8='5.Variables'!$B$34,+'5.Variables'!$J45,+IF(L$8='5.Variables'!$B$58,+'5.Variables'!$J60,+IF(L$8='5.Variables'!$B$72,+'5.Variables'!$J74,+IF(L$8='5.Variables'!$B$86,+'5.Variables'!$J88,+IF(L$8='5.Variables'!$B$100,+'5.Variables'!$J102,0))))))</f>
        <v>0</v>
      </c>
      <c r="M17" s="143"/>
      <c r="N17" s="167">
        <f t="shared" si="2"/>
        <v>386420.96918955678</v>
      </c>
      <c r="O17" s="171"/>
      <c r="P17" s="143"/>
      <c r="Q17" t="s">
        <v>13</v>
      </c>
      <c r="R17"/>
      <c r="S17"/>
      <c r="T17"/>
      <c r="U17"/>
      <c r="V17"/>
      <c r="W17"/>
      <c r="X17"/>
      <c r="Y17"/>
      <c r="Z17"/>
      <c r="AA17"/>
      <c r="AB17"/>
      <c r="AC17"/>
      <c r="AD17" s="143"/>
      <c r="AE17" s="143"/>
      <c r="AF17" s="143"/>
      <c r="AG17" s="143"/>
      <c r="AH17" s="143"/>
      <c r="AI17" s="143"/>
    </row>
    <row r="18" spans="1:35" x14ac:dyDescent="0.3">
      <c r="A18" s="339">
        <f t="shared" si="1"/>
        <v>9</v>
      </c>
      <c r="B18" s="166" t="str">
        <f>CONCATENATE('3. Consumption by Rate Class'!B24,"-",'3. Consumption by Rate Class'!C24)</f>
        <v>2013-September</v>
      </c>
      <c r="C18" s="169">
        <v>363628.9</v>
      </c>
      <c r="D18" s="367"/>
      <c r="E18" s="367"/>
      <c r="F18" s="167">
        <f t="shared" si="0"/>
        <v>363628.9</v>
      </c>
      <c r="G18" s="292">
        <f>IF(G$8='5.Variables'!$B$10,+'5.Variables'!$K21,+IF(G$8='5.Variables'!$B$34,+'5.Variables'!$K45,+IF(G$8='5.Variables'!$B$58,+'5.Variables'!$K60,+IF(G$8='5.Variables'!$B$72,+'5.Variables'!$K74,+IF(G$8='5.Variables'!$B$86,+'5.Variables'!$K88,+IF(G$8='5.Variables'!$B$100,+'5.Variables'!$K102,0))))))</f>
        <v>103.5</v>
      </c>
      <c r="H18" s="292">
        <f>IF(H$8='5.Variables'!$B$10,+'5.Variables'!$K21,+IF(H$8='5.Variables'!$B$34,+'5.Variables'!$K45,+IF(H$8='5.Variables'!$B$58,+'5.Variables'!$K60,+IF(H$8='5.Variables'!$B$72,+'5.Variables'!$K74,+IF(H$8='5.Variables'!$B$86,+'5.Variables'!$K88,+IF(H$8='5.Variables'!$B$100,+'5.Variables'!$K102,0))))))</f>
        <v>24.1</v>
      </c>
      <c r="I18" s="292">
        <f>IF(I$8='5.Variables'!$B$10,+'5.Variables'!$K21,+IF(I$8='5.Variables'!$B$34,+'5.Variables'!$K45,+IF(I$8='5.Variables'!$B$58,+'5.Variables'!$K60,+IF(I$8='5.Variables'!$B$72,+'5.Variables'!$K74,+IF(I$8='5.Variables'!$B$86,+'5.Variables'!$K88,+IF(I$8='5.Variables'!$B$100,+'5.Variables'!$K102,0))))))</f>
        <v>30</v>
      </c>
      <c r="J18" s="292">
        <f>IF(J$8='5.Variables'!$B$10,+'5.Variables'!$K21,+IF(J$8='5.Variables'!$B$34,+'5.Variables'!$K45,+IF(J$8='5.Variables'!$B$58,+'5.Variables'!$K60,+IF(J$8='5.Variables'!$B$72,+'5.Variables'!$K74,+IF(J$8='5.Variables'!$B$86,+'5.Variables'!$K88,+IF(J$8='5.Variables'!$B$100,+'5.Variables'!$K102,0))))))</f>
        <v>1</v>
      </c>
      <c r="K18" s="292">
        <f>IF(K$8='5.Variables'!$B$10,+'5.Variables'!$K21,+IF(K$8='5.Variables'!$B$34,+'5.Variables'!$K45,+IF(K$8='5.Variables'!$B$58,+'5.Variables'!$K60,+IF(K$8='5.Variables'!$B$72,+'5.Variables'!$K74,+IF(K$8='5.Variables'!$B$86,+'5.Variables'!$K88,+IF(K$8='5.Variables'!$B$100,+'5.Variables'!$K102,0))))))</f>
        <v>0</v>
      </c>
      <c r="L18" s="292">
        <f>IF(L$8='5.Variables'!$B$10,+'5.Variables'!$K21,+IF(L$8='5.Variables'!$B$34,+'5.Variables'!$K45,+IF(L$8='5.Variables'!$B$58,+'5.Variables'!$K60,+IF(L$8='5.Variables'!$B$72,+'5.Variables'!$K74,+IF(L$8='5.Variables'!$B$86,+'5.Variables'!$K88,+IF(L$8='5.Variables'!$B$100,+'5.Variables'!$K102,0))))))</f>
        <v>0</v>
      </c>
      <c r="M18" s="143"/>
      <c r="N18" s="167">
        <f t="shared" si="2"/>
        <v>343749.41818345629</v>
      </c>
      <c r="O18" s="171"/>
      <c r="P18" s="143"/>
      <c r="Q18" s="186"/>
      <c r="R18" s="186" t="s">
        <v>18</v>
      </c>
      <c r="S18" s="186" t="s">
        <v>19</v>
      </c>
      <c r="T18" s="186" t="s">
        <v>20</v>
      </c>
      <c r="U18" s="186" t="s">
        <v>21</v>
      </c>
      <c r="V18" s="186" t="s">
        <v>22</v>
      </c>
      <c r="W18"/>
      <c r="X18"/>
      <c r="Y18"/>
      <c r="Z18" s="449"/>
      <c r="AA18"/>
      <c r="AB18"/>
      <c r="AC18"/>
      <c r="AD18" s="143"/>
      <c r="AE18" s="143"/>
      <c r="AF18" s="143"/>
      <c r="AG18" s="143"/>
      <c r="AH18" s="143"/>
      <c r="AI18" s="143"/>
    </row>
    <row r="19" spans="1:35" x14ac:dyDescent="0.3">
      <c r="A19" s="339">
        <f t="shared" si="1"/>
        <v>10</v>
      </c>
      <c r="B19" s="166" t="str">
        <f>CONCATENATE('3. Consumption by Rate Class'!B25,"-",'3. Consumption by Rate Class'!C25)</f>
        <v>2013-October</v>
      </c>
      <c r="C19" s="169">
        <v>338398.35</v>
      </c>
      <c r="D19" s="367"/>
      <c r="E19" s="367"/>
      <c r="F19" s="167">
        <f t="shared" si="0"/>
        <v>338398.35</v>
      </c>
      <c r="G19" s="292">
        <f>IF(G$8='5.Variables'!$B$10,+'5.Variables'!$L21,+IF(G$8='5.Variables'!$B$34,+'5.Variables'!$L45,+IF(G$8='5.Variables'!$B$58,+'5.Variables'!$L60,+IF(G$8='5.Variables'!$B$72,+'5.Variables'!$L74,+IF(G$8='5.Variables'!$B$86,+'5.Variables'!$L88,+IF(G$8='5.Variables'!$B$100,+'5.Variables'!$L102,0))))))</f>
        <v>189.8</v>
      </c>
      <c r="H19" s="292">
        <f>IF(H$8='5.Variables'!$B$10,+'5.Variables'!$L21,+IF(H$8='5.Variables'!$B$34,+'5.Variables'!$L45,+IF(H$8='5.Variables'!$B$58,+'5.Variables'!$L60,+IF(H$8='5.Variables'!$B$72,+'5.Variables'!$L74,+IF(H$8='5.Variables'!$B$86,+'5.Variables'!$L88,+IF(H$8='5.Variables'!$B$100,+'5.Variables'!$L102,0))))))</f>
        <v>0.1</v>
      </c>
      <c r="I19" s="292">
        <f>IF(I$8='5.Variables'!$B$10,+'5.Variables'!$L21,+IF(I$8='5.Variables'!$B$34,+'5.Variables'!$L45,+IF(I$8='5.Variables'!$B$58,+'5.Variables'!$L60,+IF(I$8='5.Variables'!$B$72,+'5.Variables'!$L74,+IF(I$8='5.Variables'!$B$86,+'5.Variables'!$L88,+IF(I$8='5.Variables'!$B$100,+'5.Variables'!$L102,0))))))</f>
        <v>31</v>
      </c>
      <c r="J19" s="292">
        <f>IF(J$8='5.Variables'!$B$10,+'5.Variables'!$L21,+IF(J$8='5.Variables'!$B$34,+'5.Variables'!$L45,+IF(J$8='5.Variables'!$B$58,+'5.Variables'!$L60,+IF(J$8='5.Variables'!$B$72,+'5.Variables'!$L74,+IF(J$8='5.Variables'!$B$86,+'5.Variables'!$L88,+IF(J$8='5.Variables'!$B$100,+'5.Variables'!$L102,0))))))</f>
        <v>1</v>
      </c>
      <c r="K19" s="292">
        <f>IF(K$8='5.Variables'!$B$10,+'5.Variables'!$L21,+IF(K$8='5.Variables'!$B$34,+'5.Variables'!$L45,+IF(K$8='5.Variables'!$B$58,+'5.Variables'!$L60,+IF(K$8='5.Variables'!$B$72,+'5.Variables'!$L74,+IF(K$8='5.Variables'!$B$86,+'5.Variables'!$L88,+IF(K$8='5.Variables'!$B$100,+'5.Variables'!$L102,0))))))</f>
        <v>0</v>
      </c>
      <c r="L19" s="292">
        <f>IF(L$8='5.Variables'!$B$10,+'5.Variables'!$L21,+IF(L$8='5.Variables'!$B$34,+'5.Variables'!$L45,+IF(L$8='5.Variables'!$B$58,+'5.Variables'!$L60,+IF(L$8='5.Variables'!$B$72,+'5.Variables'!$L74,+IF(L$8='5.Variables'!$B$86,+'5.Variables'!$L88,+IF(L$8='5.Variables'!$B$100,+'5.Variables'!$L102,0))))))</f>
        <v>0</v>
      </c>
      <c r="M19" s="143"/>
      <c r="N19" s="167">
        <f t="shared" si="2"/>
        <v>342413.02982069104</v>
      </c>
      <c r="O19" s="171"/>
      <c r="P19" s="143"/>
      <c r="Q19" t="s">
        <v>14</v>
      </c>
      <c r="R19">
        <v>4</v>
      </c>
      <c r="S19">
        <v>103093198641.20621</v>
      </c>
      <c r="T19">
        <v>25773299660.301552</v>
      </c>
      <c r="U19">
        <v>164.82025369501361</v>
      </c>
      <c r="V19">
        <v>1.676437993986536E-45</v>
      </c>
      <c r="W19"/>
      <c r="X19"/>
      <c r="Y19"/>
      <c r="Z19"/>
      <c r="AA19"/>
      <c r="AB19"/>
      <c r="AC19"/>
      <c r="AD19" s="143"/>
      <c r="AE19" s="143"/>
      <c r="AF19" s="143"/>
      <c r="AG19" s="143"/>
      <c r="AH19" s="143"/>
      <c r="AI19" s="143"/>
    </row>
    <row r="20" spans="1:35" x14ac:dyDescent="0.3">
      <c r="A20" s="339">
        <f t="shared" si="1"/>
        <v>11</v>
      </c>
      <c r="B20" s="166" t="str">
        <f>CONCATENATE('3. Consumption by Rate Class'!B26,"-",'3. Consumption by Rate Class'!C26)</f>
        <v>2013-November</v>
      </c>
      <c r="C20" s="169">
        <v>322377.48</v>
      </c>
      <c r="D20" s="367"/>
      <c r="E20" s="367"/>
      <c r="F20" s="167">
        <f t="shared" si="0"/>
        <v>322377.48</v>
      </c>
      <c r="G20" s="292">
        <f>IF(G$8='5.Variables'!$B$10,+'5.Variables'!$M21,+IF(G$8='5.Variables'!$B$34,+'5.Variables'!$M45,+IF(G$8='5.Variables'!$B$58,+'5.Variables'!$M60,+IF(G$8='5.Variables'!$B$72,+'5.Variables'!$M74,+IF(G$8='5.Variables'!$B$86,+'5.Variables'!$M88,+IF(G$8='5.Variables'!$B$100,+'5.Variables'!$M102,0))))))</f>
        <v>476.7</v>
      </c>
      <c r="H20" s="292">
        <f>IF(H$8='5.Variables'!$B$10,+'5.Variables'!$M21,+IF(H$8='5.Variables'!$B$34,+'5.Variables'!$M45,+IF(H$8='5.Variables'!$B$58,+'5.Variables'!$M60,+IF(H$8='5.Variables'!$B$72,+'5.Variables'!$M74,+IF(H$8='5.Variables'!$B$86,+'5.Variables'!$M88,+IF(H$8='5.Variables'!$B$100,+'5.Variables'!$M102,0))))))</f>
        <v>0</v>
      </c>
      <c r="I20" s="292">
        <f>IF(I$8='5.Variables'!$B$10,+'5.Variables'!$M21,+IF(I$8='5.Variables'!$B$34,+'5.Variables'!$M45,+IF(I$8='5.Variables'!$B$58,+'5.Variables'!$M60,+IF(I$8='5.Variables'!$B$72,+'5.Variables'!$M74,+IF(I$8='5.Variables'!$B$86,+'5.Variables'!$M88,+IF(I$8='5.Variables'!$B$100,+'5.Variables'!$M102,0))))))</f>
        <v>30</v>
      </c>
      <c r="J20" s="292">
        <f>IF(J$8='5.Variables'!$B$10,+'5.Variables'!$M21,+IF(J$8='5.Variables'!$B$34,+'5.Variables'!$M45,+IF(J$8='5.Variables'!$B$58,+'5.Variables'!$M60,+IF(J$8='5.Variables'!$B$72,+'5.Variables'!$M74,+IF(J$8='5.Variables'!$B$86,+'5.Variables'!$M88,+IF(J$8='5.Variables'!$B$100,+'5.Variables'!$M102,0))))))</f>
        <v>1</v>
      </c>
      <c r="K20" s="292">
        <f>IF(K$8='5.Variables'!$B$10,+'5.Variables'!$M21,+IF(K$8='5.Variables'!$B$34,+'5.Variables'!$M45,+IF(K$8='5.Variables'!$B$58,+'5.Variables'!$M60,+IF(K$8='5.Variables'!$B$72,+'5.Variables'!$M74,+IF(K$8='5.Variables'!$B$86,+'5.Variables'!$M88,+IF(K$8='5.Variables'!$B$100,+'5.Variables'!$M102,0))))))</f>
        <v>0</v>
      </c>
      <c r="L20" s="292">
        <f>IF(L$8='5.Variables'!$B$10,+'5.Variables'!$M21,+IF(L$8='5.Variables'!$B$34,+'5.Variables'!$M45,+IF(L$8='5.Variables'!$B$58,+'5.Variables'!$M60,+IF(L$8='5.Variables'!$B$72,+'5.Variables'!$M74,+IF(L$8='5.Variables'!$B$86,+'5.Variables'!$M88,+IF(L$8='5.Variables'!$B$100,+'5.Variables'!$M102,0))))))</f>
        <v>0</v>
      </c>
      <c r="M20" s="143"/>
      <c r="N20" s="167">
        <f t="shared" si="2"/>
        <v>316446.49963394459</v>
      </c>
      <c r="O20" s="171"/>
      <c r="P20" s="143"/>
      <c r="Q20" t="s">
        <v>15</v>
      </c>
      <c r="R20">
        <v>110</v>
      </c>
      <c r="S20">
        <v>17200937985.929951</v>
      </c>
      <c r="T20">
        <v>156372163.50845408</v>
      </c>
      <c r="U20"/>
      <c r="V20"/>
      <c r="W20"/>
      <c r="X20"/>
      <c r="Y20"/>
      <c r="Z20"/>
      <c r="AA20"/>
      <c r="AB20"/>
      <c r="AC20"/>
      <c r="AD20" s="143"/>
      <c r="AE20" s="143"/>
      <c r="AF20" s="143"/>
      <c r="AG20" s="143"/>
      <c r="AH20" s="143"/>
      <c r="AI20" s="143"/>
    </row>
    <row r="21" spans="1:35" ht="13.5" thickBot="1" x14ac:dyDescent="0.35">
      <c r="A21" s="339">
        <f t="shared" si="1"/>
        <v>12</v>
      </c>
      <c r="B21" s="166" t="str">
        <f>CONCATENATE('3. Consumption by Rate Class'!B27,"-",'3. Consumption by Rate Class'!C27)</f>
        <v>2013-December</v>
      </c>
      <c r="C21" s="169">
        <v>333422.75</v>
      </c>
      <c r="D21" s="367"/>
      <c r="E21" s="367"/>
      <c r="F21" s="167">
        <f t="shared" si="0"/>
        <v>333422.75</v>
      </c>
      <c r="G21" s="292">
        <f>IF(G$8='5.Variables'!$B$10,+'5.Variables'!$N21,+IF(G$8='5.Variables'!$B$34,+'5.Variables'!$N45,+IF(G$8='5.Variables'!$B$58,+'5.Variables'!$N60,+IF(G$8='5.Variables'!$B$72,+'5.Variables'!$N74,+IF(G$8='5.Variables'!$B$86,+'5.Variables'!$N88,+IF(G$8='5.Variables'!$B$100,+'5.Variables'!$N102,0))))))</f>
        <v>717.5</v>
      </c>
      <c r="H21" s="292">
        <f>IF(H$8='5.Variables'!$B$10,+'5.Variables'!$N21,+IF(H$8='5.Variables'!$B$34,+'5.Variables'!$N45,+IF(H$8='5.Variables'!$B$58,+'5.Variables'!$N60,+IF(H$8='5.Variables'!$B$72,+'5.Variables'!$N74,+IF(H$8='5.Variables'!$B$86,+'5.Variables'!$N88,+IF(H$8='5.Variables'!$B$100,+'5.Variables'!$N102,0))))))</f>
        <v>0</v>
      </c>
      <c r="I21" s="292">
        <f>IF(I$8='5.Variables'!$B$10,+'5.Variables'!$N21,+IF(I$8='5.Variables'!$B$34,+'5.Variables'!$N45,+IF(I$8='5.Variables'!$B$58,+'5.Variables'!$N60,+IF(I$8='5.Variables'!$B$72,+'5.Variables'!$N74,+IF(I$8='5.Variables'!$B$86,+'5.Variables'!$N88,+IF(I$8='5.Variables'!$B$100,+'5.Variables'!$N102,0))))))</f>
        <v>31</v>
      </c>
      <c r="J21" s="292">
        <f>IF(J$8='5.Variables'!$B$10,+'5.Variables'!$N21,+IF(J$8='5.Variables'!$B$34,+'5.Variables'!$N45,+IF(J$8='5.Variables'!$B$58,+'5.Variables'!$N60,+IF(J$8='5.Variables'!$B$72,+'5.Variables'!$N74,+IF(J$8='5.Variables'!$B$86,+'5.Variables'!$N88,+IF(J$8='5.Variables'!$B$100,+'5.Variables'!$N102,0))))))</f>
        <v>0</v>
      </c>
      <c r="K21" s="292">
        <f>IF(K$8='5.Variables'!$B$10,+'5.Variables'!$N21,+IF(K$8='5.Variables'!$B$34,+'5.Variables'!$N45,+IF(K$8='5.Variables'!$B$58,+'5.Variables'!$N60,+IF(K$8='5.Variables'!$B$72,+'5.Variables'!$N74,+IF(K$8='5.Variables'!$B$86,+'5.Variables'!$N88,+IF(K$8='5.Variables'!$B$100,+'5.Variables'!$N102,0))))))</f>
        <v>0</v>
      </c>
      <c r="L21" s="292">
        <f>IF(L$8='5.Variables'!$B$10,+'5.Variables'!$N21,+IF(L$8='5.Variables'!$B$34,+'5.Variables'!$N45,+IF(L$8='5.Variables'!$B$58,+'5.Variables'!$N60,+IF(L$8='5.Variables'!$B$72,+'5.Variables'!$N74,+IF(L$8='5.Variables'!$B$86,+'5.Variables'!$N88,+IF(L$8='5.Variables'!$B$100,+'5.Variables'!$N102,0))))))</f>
        <v>0</v>
      </c>
      <c r="M21" s="143"/>
      <c r="N21" s="167">
        <f t="shared" si="2"/>
        <v>327866.19460509659</v>
      </c>
      <c r="O21" s="171">
        <f>SUM(N10:N21)</f>
        <v>2478975.7921989602</v>
      </c>
      <c r="P21" s="143"/>
      <c r="Q21" s="185" t="s">
        <v>16</v>
      </c>
      <c r="R21" s="185">
        <v>114</v>
      </c>
      <c r="S21" s="185">
        <v>120294136627.13615</v>
      </c>
      <c r="T21" s="185"/>
      <c r="U21" s="185"/>
      <c r="V21" s="185"/>
      <c r="W21"/>
      <c r="X21"/>
      <c r="Y21"/>
      <c r="Z21"/>
      <c r="AA21"/>
      <c r="AB21"/>
      <c r="AC21"/>
      <c r="AD21" s="143"/>
      <c r="AE21" s="143"/>
      <c r="AF21" s="143"/>
      <c r="AG21" s="143"/>
      <c r="AH21" s="143"/>
      <c r="AI21" s="143"/>
    </row>
    <row r="22" spans="1:35" ht="13.5" thickBot="1" x14ac:dyDescent="0.35">
      <c r="A22" s="339">
        <f t="shared" si="1"/>
        <v>13</v>
      </c>
      <c r="B22" s="166" t="str">
        <f>CONCATENATE('3. Consumption by Rate Class'!B28,"-",'3. Consumption by Rate Class'!C28)</f>
        <v>2014-January</v>
      </c>
      <c r="C22" s="169">
        <v>335213.5</v>
      </c>
      <c r="D22" s="367"/>
      <c r="E22" s="367"/>
      <c r="F22" s="167">
        <f t="shared" si="0"/>
        <v>335213.5</v>
      </c>
      <c r="G22" s="292">
        <f>IF(G$8='5.Variables'!$B$10,+'5.Variables'!$C22,+IF(G$8='5.Variables'!$B$34,+'5.Variables'!$C46,+IF(G$8='5.Variables'!$B$58,+'5.Variables'!$C61,+IF(G$8='5.Variables'!$B$72,+'5.Variables'!$C75,+IF(G$8='5.Variables'!$B$86,+'5.Variables'!$C89,+IF(G$8='5.Variables'!$B$100,+'5.Variables'!$C103,0))))))</f>
        <v>826.1</v>
      </c>
      <c r="H22" s="292">
        <f>IF(H$8='5.Variables'!$B$10,+'5.Variables'!$C22,+IF(H$8='5.Variables'!$B$34,+'5.Variables'!$C46,+IF(H$8='5.Variables'!$B$58,+'5.Variables'!$C61,+IF(H$8='5.Variables'!$B$72,+'5.Variables'!$C75,+IF(H$8='5.Variables'!$B$86,+'5.Variables'!$C89,+IF(H$8='5.Variables'!$B$100,+'5.Variables'!$C103,0))))))</f>
        <v>0</v>
      </c>
      <c r="I22" s="292">
        <f>IF(I$8='5.Variables'!$B$10,+'5.Variables'!$C22,+IF(I$8='5.Variables'!$B$34,+'5.Variables'!$C46,+IF(I$8='5.Variables'!$B$58,+'5.Variables'!$C61,+IF(I$8='5.Variables'!$B$72,+'5.Variables'!$C75,+IF(I$8='5.Variables'!$B$86,+'5.Variables'!$C89,+IF(I$8='5.Variables'!$B$100,+'5.Variables'!$C103,0))))))</f>
        <v>31</v>
      </c>
      <c r="J22" s="292">
        <f>IF(J$8='5.Variables'!$B$10,+'5.Variables'!$C22,+IF(J$8='5.Variables'!$B$34,+'5.Variables'!$C46,+IF(J$8='5.Variables'!$B$58,+'5.Variables'!$C61,+IF(J$8='5.Variables'!$B$72,+'5.Variables'!$C75,+IF(J$8='5.Variables'!$B$86,+'5.Variables'!$C89,+IF(J$8='5.Variables'!$B$100,+'5.Variables'!$C103,0))))))</f>
        <v>0</v>
      </c>
      <c r="K22" s="292">
        <f>IF(K$8='5.Variables'!$B$10,+'5.Variables'!$C22,+IF(K$8='5.Variables'!$B$34,+'5.Variables'!$C46,+IF(K$8='5.Variables'!$B$58,+'5.Variables'!$C61,+IF(K$8='5.Variables'!$B$72,+'5.Variables'!$C75,+IF(K$8='5.Variables'!$B$86,+'5.Variables'!$C89,+IF(K$8='5.Variables'!$B$100,+'5.Variables'!$C103,0))))))</f>
        <v>0</v>
      </c>
      <c r="L22" s="292">
        <f>IF(L$8='5.Variables'!$B$10,+'5.Variables'!$C22,+IF(L$8='5.Variables'!$B$34,+'5.Variables'!$C46,+IF(L$8='5.Variables'!$B$58,+'5.Variables'!$C61,+IF(L$8='5.Variables'!$B$72,+'5.Variables'!$C75,+IF(L$8='5.Variables'!$B$86,+'5.Variables'!$C89,+IF(L$8='5.Variables'!$B$100,+'5.Variables'!$C103,0))))))</f>
        <v>0</v>
      </c>
      <c r="M22" s="143"/>
      <c r="N22" s="167">
        <f t="shared" si="2"/>
        <v>322608.50061888603</v>
      </c>
      <c r="O22" s="171"/>
      <c r="P22" s="143"/>
      <c r="Q22"/>
      <c r="R22"/>
      <c r="S22"/>
      <c r="T22"/>
      <c r="U22"/>
      <c r="V22"/>
      <c r="W22"/>
      <c r="X22"/>
      <c r="Y22"/>
      <c r="Z22"/>
      <c r="AA22"/>
      <c r="AB22"/>
      <c r="AC22"/>
      <c r="AD22" s="143"/>
      <c r="AE22" s="143"/>
      <c r="AF22" s="143"/>
      <c r="AG22" s="143"/>
      <c r="AH22" s="143"/>
      <c r="AI22" s="143"/>
    </row>
    <row r="23" spans="1:35" x14ac:dyDescent="0.3">
      <c r="A23" s="339">
        <f t="shared" si="1"/>
        <v>14</v>
      </c>
      <c r="B23" s="166" t="str">
        <f>CONCATENATE('3. Consumption by Rate Class'!B29,"-",'3. Consumption by Rate Class'!C29)</f>
        <v>2014-February</v>
      </c>
      <c r="C23" s="169">
        <v>301289.78000000003</v>
      </c>
      <c r="D23" s="367"/>
      <c r="E23" s="367"/>
      <c r="F23" s="167">
        <f t="shared" si="0"/>
        <v>301289.78000000003</v>
      </c>
      <c r="G23" s="292">
        <f>IF(G$8='5.Variables'!$B$10,+'5.Variables'!$D22,+IF(G$8='5.Variables'!$B$34,+'5.Variables'!$D46,+IF(G$8='5.Variables'!$B$58,+'5.Variables'!$D61,+IF(G$8='5.Variables'!$B$72,+'5.Variables'!$D75,+IF(G$8='5.Variables'!$B$86,+'5.Variables'!$D89,+IF(G$8='5.Variables'!$B$100,+'5.Variables'!$D103,0))))))</f>
        <v>740.1</v>
      </c>
      <c r="H23" s="292">
        <f>IF(H$8='5.Variables'!$B$10,+'5.Variables'!$D22,+IF(H$8='5.Variables'!$B$34,+'5.Variables'!$D46,+IF(H$8='5.Variables'!$B$58,+'5.Variables'!$D61,+IF(H$8='5.Variables'!$B$72,+'5.Variables'!$D75,+IF(H$8='5.Variables'!$B$86,+'5.Variables'!$D89,+IF(H$8='5.Variables'!$B$100,+'5.Variables'!$D103,0))))))</f>
        <v>0</v>
      </c>
      <c r="I23" s="292">
        <f>IF(I$8='5.Variables'!$B$10,+'5.Variables'!$D22,+IF(I$8='5.Variables'!$B$34,+'5.Variables'!$D46,+IF(I$8='5.Variables'!$B$58,+'5.Variables'!$D61,+IF(I$8='5.Variables'!$B$72,+'5.Variables'!$D75,+IF(I$8='5.Variables'!$B$86,+'5.Variables'!$D89,+IF(I$8='5.Variables'!$B$100,+'5.Variables'!$D103,0))))))</f>
        <v>28</v>
      </c>
      <c r="J23" s="292">
        <f>IF(J$8='5.Variables'!$B$10,+'5.Variables'!$D22,+IF(J$8='5.Variables'!$B$34,+'5.Variables'!$D46,+IF(J$8='5.Variables'!$B$58,+'5.Variables'!$D61,+IF(J$8='5.Variables'!$B$72,+'5.Variables'!$D75,+IF(J$8='5.Variables'!$B$86,+'5.Variables'!$D89,+IF(J$8='5.Variables'!$B$100,+'5.Variables'!$D103,0))))))</f>
        <v>0</v>
      </c>
      <c r="K23" s="292">
        <f>IF(K$8='5.Variables'!$B$10,+'5.Variables'!$D22,+IF(K$8='5.Variables'!$B$34,+'5.Variables'!$D46,+IF(K$8='5.Variables'!$B$58,+'5.Variables'!$D61,+IF(K$8='5.Variables'!$B$72,+'5.Variables'!$D75,+IF(K$8='5.Variables'!$B$86,+'5.Variables'!$D89,+IF(K$8='5.Variables'!$B$100,+'5.Variables'!$D103,0))))))</f>
        <v>0</v>
      </c>
      <c r="L23" s="292">
        <f>IF(L$8='5.Variables'!$B$10,+'5.Variables'!$D22,+IF(L$8='5.Variables'!$B$34,+'5.Variables'!$D46,+IF(L$8='5.Variables'!$B$58,+'5.Variables'!$D61,+IF(L$8='5.Variables'!$B$72,+'5.Variables'!$D75,+IF(L$8='5.Variables'!$B$86,+'5.Variables'!$D89,+IF(L$8='5.Variables'!$B$100,+'5.Variables'!$D103,0))))))</f>
        <v>0</v>
      </c>
      <c r="M23" s="143"/>
      <c r="N23" s="167">
        <f t="shared" si="2"/>
        <v>290656.82393774716</v>
      </c>
      <c r="O23" s="171"/>
      <c r="P23" s="143"/>
      <c r="Q23" s="186"/>
      <c r="R23" s="186" t="s">
        <v>23</v>
      </c>
      <c r="S23" s="186" t="s">
        <v>11</v>
      </c>
      <c r="T23" s="186" t="s">
        <v>24</v>
      </c>
      <c r="U23" s="186" t="s">
        <v>25</v>
      </c>
      <c r="V23" s="186" t="s">
        <v>26</v>
      </c>
      <c r="W23" s="186" t="s">
        <v>27</v>
      </c>
      <c r="X23" s="186" t="s">
        <v>28</v>
      </c>
      <c r="Y23" s="186" t="s">
        <v>29</v>
      </c>
      <c r="Z23" s="449"/>
      <c r="AA23" s="449"/>
      <c r="AB23" s="449"/>
      <c r="AC23" s="449"/>
      <c r="AD23" s="143"/>
      <c r="AE23" s="143"/>
      <c r="AF23" s="143"/>
      <c r="AG23" s="143"/>
      <c r="AH23" s="143"/>
      <c r="AI23" s="143"/>
    </row>
    <row r="24" spans="1:35" x14ac:dyDescent="0.3">
      <c r="A24" s="339">
        <f t="shared" si="1"/>
        <v>15</v>
      </c>
      <c r="B24" s="166" t="str">
        <f>CONCATENATE('3. Consumption by Rate Class'!B30,"-",'3. Consumption by Rate Class'!C30)</f>
        <v>2014-March</v>
      </c>
      <c r="C24" s="169">
        <v>335533.61</v>
      </c>
      <c r="D24" s="367"/>
      <c r="E24" s="367"/>
      <c r="F24" s="167">
        <f t="shared" si="0"/>
        <v>335533.61</v>
      </c>
      <c r="G24" s="292">
        <f>IF(G$8='5.Variables'!$B$10,+'5.Variables'!$E22,+IF(G$8='5.Variables'!$B$34,+'5.Variables'!$E46,+IF(G$8='5.Variables'!$B$58,+'5.Variables'!$E61,+IF(G$8='5.Variables'!$B$72,+'5.Variables'!$E75,+IF(G$8='5.Variables'!$B$86,+'5.Variables'!$E89,+IF(G$8='5.Variables'!$B$100,+'5.Variables'!$E103,0))))))</f>
        <v>730</v>
      </c>
      <c r="H24" s="292">
        <f>IF(H$8='5.Variables'!$B$10,+'5.Variables'!$E22,+IF(H$8='5.Variables'!$B$34,+'5.Variables'!$E46,+IF(H$8='5.Variables'!$B$58,+'5.Variables'!$E61,+IF(H$8='5.Variables'!$B$72,+'5.Variables'!$E75,+IF(H$8='5.Variables'!$B$86,+'5.Variables'!$E89,+IF(H$8='5.Variables'!$B$100,+'5.Variables'!$E103,0))))))</f>
        <v>0</v>
      </c>
      <c r="I24" s="292">
        <f>IF(I$8='5.Variables'!$B$10,+'5.Variables'!$E22,+IF(I$8='5.Variables'!$B$34,+'5.Variables'!$E46,+IF(I$8='5.Variables'!$B$58,+'5.Variables'!$E61,+IF(I$8='5.Variables'!$B$72,+'5.Variables'!$E75,+IF(I$8='5.Variables'!$B$86,+'5.Variables'!$E89,+IF(I$8='5.Variables'!$B$100,+'5.Variables'!$E103,0))))))</f>
        <v>31</v>
      </c>
      <c r="J24" s="292">
        <f>IF(J$8='5.Variables'!$B$10,+'5.Variables'!$E22,+IF(J$8='5.Variables'!$B$34,+'5.Variables'!$E46,+IF(J$8='5.Variables'!$B$58,+'5.Variables'!$E61,+IF(J$8='5.Variables'!$B$72,+'5.Variables'!$E75,+IF(J$8='5.Variables'!$B$86,+'5.Variables'!$E89,+IF(J$8='5.Variables'!$B$100,+'5.Variables'!$E103,0))))))</f>
        <v>1</v>
      </c>
      <c r="K24" s="292">
        <f>IF(K$8='5.Variables'!$B$10,+'5.Variables'!$E22,+IF(K$8='5.Variables'!$B$34,+'5.Variables'!$E46,+IF(K$8='5.Variables'!$B$58,+'5.Variables'!$E61,+IF(K$8='5.Variables'!$B$72,+'5.Variables'!$E75,+IF(K$8='5.Variables'!$B$86,+'5.Variables'!$E89,+IF(K$8='5.Variables'!$B$100,+'5.Variables'!$E103,0))))))</f>
        <v>0</v>
      </c>
      <c r="L24" s="292">
        <f>IF(L$8='5.Variables'!$B$10,+'5.Variables'!$E22,+IF(L$8='5.Variables'!$B$34,+'5.Variables'!$E46,+IF(L$8='5.Variables'!$B$58,+'5.Variables'!$E61,+IF(L$8='5.Variables'!$B$72,+'5.Variables'!$E75,+IF(L$8='5.Variables'!$B$86,+'5.Variables'!$E89,+IF(L$8='5.Variables'!$B$100,+'5.Variables'!$E103,0))))))</f>
        <v>0</v>
      </c>
      <c r="M24" s="143"/>
      <c r="N24" s="167">
        <f t="shared" si="2"/>
        <v>316221.79770105443</v>
      </c>
      <c r="O24" s="171"/>
      <c r="P24" s="143"/>
      <c r="Q24" t="s">
        <v>17</v>
      </c>
      <c r="R24">
        <v>-10587.889423882159</v>
      </c>
      <c r="S24">
        <v>45665.413121759149</v>
      </c>
      <c r="T24">
        <v>-0.23185795769878029</v>
      </c>
      <c r="U24">
        <v>0.81707912191742049</v>
      </c>
      <c r="V24">
        <v>-101086.01974281657</v>
      </c>
      <c r="W24">
        <v>79910.240895052237</v>
      </c>
      <c r="X24">
        <v>-101086.01974281657</v>
      </c>
      <c r="Y24">
        <v>79910.240895052237</v>
      </c>
      <c r="Z24"/>
      <c r="AA24"/>
      <c r="AB24"/>
      <c r="AC24"/>
      <c r="AD24" s="143"/>
      <c r="AE24" s="143"/>
      <c r="AF24" s="143"/>
      <c r="AG24" s="143"/>
      <c r="AH24" s="143"/>
      <c r="AI24" s="143"/>
    </row>
    <row r="25" spans="1:35" x14ac:dyDescent="0.3">
      <c r="A25" s="339">
        <f t="shared" si="1"/>
        <v>16</v>
      </c>
      <c r="B25" s="166" t="str">
        <f>CONCATENATE('3. Consumption by Rate Class'!B31,"-",'3. Consumption by Rate Class'!C31)</f>
        <v>2014-April</v>
      </c>
      <c r="C25" s="169">
        <v>326765.42999999993</v>
      </c>
      <c r="D25" s="367"/>
      <c r="E25" s="367"/>
      <c r="F25" s="167">
        <f t="shared" si="0"/>
        <v>326765.42999999993</v>
      </c>
      <c r="G25" s="292">
        <f>IF(G$8='5.Variables'!$B$10,+'5.Variables'!$F22,+IF(G$8='5.Variables'!$B$34,+'5.Variables'!$F46,+IF(G$8='5.Variables'!$B$58,+'5.Variables'!$F61,+IF(G$8='5.Variables'!$B$72,+'5.Variables'!$F75,+IF(G$8='5.Variables'!$B$86,+'5.Variables'!$F89,+IF(G$8='5.Variables'!$B$100,+'5.Variables'!$F103,0))))))</f>
        <v>389.7</v>
      </c>
      <c r="H25" s="292">
        <f>IF(H$8='5.Variables'!$B$10,+'5.Variables'!$F22,+IF(H$8='5.Variables'!$B$34,+'5.Variables'!$F46,+IF(H$8='5.Variables'!$B$58,+'5.Variables'!$F61,+IF(H$8='5.Variables'!$B$72,+'5.Variables'!$F75,+IF(H$8='5.Variables'!$B$86,+'5.Variables'!$F89,+IF(H$8='5.Variables'!$B$100,+'5.Variables'!$F103,0))))))</f>
        <v>0</v>
      </c>
      <c r="I25" s="292">
        <f>IF(I$8='5.Variables'!$B$10,+'5.Variables'!$F22,+IF(I$8='5.Variables'!$B$34,+'5.Variables'!$F46,+IF(I$8='5.Variables'!$B$58,+'5.Variables'!$F61,+IF(I$8='5.Variables'!$B$72,+'5.Variables'!$F75,+IF(I$8='5.Variables'!$B$86,+'5.Variables'!$F89,+IF(I$8='5.Variables'!$B$100,+'5.Variables'!$F103,0))))))</f>
        <v>30</v>
      </c>
      <c r="J25" s="292">
        <f>IF(J$8='5.Variables'!$B$10,+'5.Variables'!$F22,+IF(J$8='5.Variables'!$B$34,+'5.Variables'!$F46,+IF(J$8='5.Variables'!$B$58,+'5.Variables'!$F61,+IF(J$8='5.Variables'!$B$72,+'5.Variables'!$F75,+IF(J$8='5.Variables'!$B$86,+'5.Variables'!$F89,+IF(J$8='5.Variables'!$B$100,+'5.Variables'!$F103,0))))))</f>
        <v>1</v>
      </c>
      <c r="K25" s="292">
        <f>IF(K$8='5.Variables'!$B$10,+'5.Variables'!$F22,+IF(K$8='5.Variables'!$B$34,+'5.Variables'!$F46,+IF(K$8='5.Variables'!$B$58,+'5.Variables'!$F61,+IF(K$8='5.Variables'!$B$72,+'5.Variables'!$F75,+IF(K$8='5.Variables'!$B$86,+'5.Variables'!$F89,+IF(K$8='5.Variables'!$B$100,+'5.Variables'!$F103,0))))))</f>
        <v>0</v>
      </c>
      <c r="L25" s="292">
        <f>IF(L$8='5.Variables'!$B$10,+'5.Variables'!$F22,+IF(L$8='5.Variables'!$B$34,+'5.Variables'!$F46,+IF(L$8='5.Variables'!$B$58,+'5.Variables'!$F61,+IF(L$8='5.Variables'!$B$72,+'5.Variables'!$F75,+IF(L$8='5.Variables'!$B$86,+'5.Variables'!$F89,+IF(L$8='5.Variables'!$B$100,+'5.Variables'!$F103,0))))))</f>
        <v>0</v>
      </c>
      <c r="M25" s="143"/>
      <c r="N25" s="167">
        <f t="shared" si="2"/>
        <v>320658.46442952764</v>
      </c>
      <c r="O25" s="171"/>
      <c r="P25" s="143"/>
      <c r="Q25" t="str">
        <f>G8</f>
        <v>HDD</v>
      </c>
      <c r="R25">
        <v>-48.41338845497755</v>
      </c>
      <c r="S25">
        <v>7.4537495756930872</v>
      </c>
      <c r="T25">
        <v>-6.4951723912022938</v>
      </c>
      <c r="U25">
        <v>2.4834532057823535E-9</v>
      </c>
      <c r="V25">
        <v>-63.184970585795021</v>
      </c>
      <c r="W25">
        <v>-33.641806324160079</v>
      </c>
      <c r="X25">
        <v>-63.184970585795021</v>
      </c>
      <c r="Y25">
        <v>-33.641806324160079</v>
      </c>
      <c r="Z25"/>
      <c r="AA25"/>
      <c r="AB25"/>
      <c r="AC25"/>
      <c r="AD25" s="143"/>
      <c r="AE25" s="143"/>
      <c r="AF25" s="143"/>
      <c r="AG25" s="143"/>
      <c r="AH25" s="143"/>
      <c r="AI25" s="143"/>
    </row>
    <row r="26" spans="1:35" x14ac:dyDescent="0.3">
      <c r="A26" s="339">
        <f t="shared" si="1"/>
        <v>17</v>
      </c>
      <c r="B26" s="166" t="str">
        <f>CONCATENATE('3. Consumption by Rate Class'!B32,"-",'3. Consumption by Rate Class'!C32)</f>
        <v>2014-May</v>
      </c>
      <c r="C26" s="169">
        <v>361032.47</v>
      </c>
      <c r="D26" s="367"/>
      <c r="E26" s="367"/>
      <c r="F26" s="167">
        <f t="shared" si="0"/>
        <v>361032.47</v>
      </c>
      <c r="G26" s="292">
        <f>IF(G$8='5.Variables'!$B$10,+'5.Variables'!$G22,+IF(G$8='5.Variables'!$B$34,+'5.Variables'!$G46,+IF(G$8='5.Variables'!$B$58,+'5.Variables'!$G61,+IF(G$8='5.Variables'!$B$72,+'5.Variables'!$G75,+IF(G$8='5.Variables'!$B$86,+'5.Variables'!$G89,+IF(G$8='5.Variables'!$B$100,+'5.Variables'!$G103,0))))))</f>
        <v>174.6</v>
      </c>
      <c r="H26" s="292">
        <f>IF(H$8='5.Variables'!$B$10,+'5.Variables'!$G22,+IF(H$8='5.Variables'!$B$34,+'5.Variables'!$G46,+IF(H$8='5.Variables'!$B$58,+'5.Variables'!$G61,+IF(H$8='5.Variables'!$B$72,+'5.Variables'!$G75,+IF(H$8='5.Variables'!$B$86,+'5.Variables'!$G89,+IF(H$8='5.Variables'!$B$100,+'5.Variables'!$G103,0))))))</f>
        <v>4.0999999999999996</v>
      </c>
      <c r="I26" s="292">
        <f>IF(I$8='5.Variables'!$B$10,+'5.Variables'!$G22,+IF(I$8='5.Variables'!$B$34,+'5.Variables'!$G46,+IF(I$8='5.Variables'!$B$58,+'5.Variables'!$G61,+IF(I$8='5.Variables'!$B$72,+'5.Variables'!$G75,+IF(I$8='5.Variables'!$B$86,+'5.Variables'!$G89,+IF(I$8='5.Variables'!$B$100,+'5.Variables'!$G103,0))))))</f>
        <v>31</v>
      </c>
      <c r="J26" s="292">
        <f>IF(J$8='5.Variables'!$B$10,+'5.Variables'!$G22,+IF(J$8='5.Variables'!$B$34,+'5.Variables'!$G46,+IF(J$8='5.Variables'!$B$58,+'5.Variables'!$G61,+IF(J$8='5.Variables'!$B$72,+'5.Variables'!$G75,+IF(J$8='5.Variables'!$B$86,+'5.Variables'!$G89,+IF(J$8='5.Variables'!$B$100,+'5.Variables'!$G103,0))))))</f>
        <v>1</v>
      </c>
      <c r="K26" s="292">
        <f>IF(K$8='5.Variables'!$B$10,+'5.Variables'!$G22,+IF(K$8='5.Variables'!$B$34,+'5.Variables'!$G46,+IF(K$8='5.Variables'!$B$58,+'5.Variables'!$G61,+IF(K$8='5.Variables'!$B$72,+'5.Variables'!$G75,+IF(K$8='5.Variables'!$B$86,+'5.Variables'!$G89,+IF(K$8='5.Variables'!$B$100,+'5.Variables'!$G103,0))))))</f>
        <v>0</v>
      </c>
      <c r="L26" s="292">
        <f>IF(L$8='5.Variables'!$B$10,+'5.Variables'!$G22,+IF(L$8='5.Variables'!$B$34,+'5.Variables'!$G46,+IF(L$8='5.Variables'!$B$58,+'5.Variables'!$G61,+IF(L$8='5.Variables'!$B$72,+'5.Variables'!$G75,+IF(L$8='5.Variables'!$B$86,+'5.Variables'!$G89,+IF(L$8='5.Variables'!$B$100,+'5.Variables'!$G103,0))))))</f>
        <v>0</v>
      </c>
      <c r="M26" s="143"/>
      <c r="N26" s="167">
        <f t="shared" si="2"/>
        <v>344681.70037551614</v>
      </c>
      <c r="O26" s="171"/>
      <c r="P26" s="143"/>
      <c r="Q26" t="str">
        <f>H8</f>
        <v>CDD</v>
      </c>
      <c r="R26">
        <v>383.19676257734687</v>
      </c>
      <c r="S26">
        <v>56.86062824018483</v>
      </c>
      <c r="T26">
        <v>6.7392284334018688</v>
      </c>
      <c r="U26">
        <v>7.6314158595237672E-10</v>
      </c>
      <c r="V26">
        <v>270.51234361071295</v>
      </c>
      <c r="W26">
        <v>495.8811815439808</v>
      </c>
      <c r="X26">
        <v>270.51234361071295</v>
      </c>
      <c r="Y26">
        <v>495.8811815439808</v>
      </c>
      <c r="Z26"/>
      <c r="AA26"/>
      <c r="AB26"/>
      <c r="AC26"/>
      <c r="AD26" s="143"/>
      <c r="AE26" s="143"/>
      <c r="AF26" s="143"/>
      <c r="AG26" s="143"/>
      <c r="AH26" s="143"/>
      <c r="AI26" s="143"/>
    </row>
    <row r="27" spans="1:35" x14ac:dyDescent="0.3">
      <c r="A27" s="339">
        <f t="shared" si="1"/>
        <v>18</v>
      </c>
      <c r="B27" s="166" t="str">
        <f>CONCATENATE('3. Consumption by Rate Class'!B33,"-",'3. Consumption by Rate Class'!C33)</f>
        <v>2014-June</v>
      </c>
      <c r="C27" s="169">
        <v>367674.32</v>
      </c>
      <c r="D27" s="367"/>
      <c r="E27" s="367"/>
      <c r="F27" s="167">
        <f t="shared" si="0"/>
        <v>367674.32</v>
      </c>
      <c r="G27" s="292">
        <f>IF(G$8='5.Variables'!$B$10,+'5.Variables'!$H22,+IF(G$8='5.Variables'!$B$34,+'5.Variables'!$H46,+IF(G$8='5.Variables'!$B$58,+'5.Variables'!$H61,+IF(G$8='5.Variables'!$B$72,+'5.Variables'!$H75,+IF(G$8='5.Variables'!$B$86,+'5.Variables'!$H89,+IF(G$8='5.Variables'!$B$100,+'5.Variables'!$H103,0))))))</f>
        <v>57.2</v>
      </c>
      <c r="H27" s="292">
        <f>IF(H$8='5.Variables'!$B$10,+'5.Variables'!$H22,+IF(H$8='5.Variables'!$B$34,+'5.Variables'!$H46,+IF(H$8='5.Variables'!$B$58,+'5.Variables'!$H61,+IF(H$8='5.Variables'!$B$72,+'5.Variables'!$H75,+IF(H$8='5.Variables'!$B$86,+'5.Variables'!$H89,+IF(H$8='5.Variables'!$B$100,+'5.Variables'!$H103,0))))))</f>
        <v>41.5</v>
      </c>
      <c r="I27" s="292">
        <f>IF(I$8='5.Variables'!$B$10,+'5.Variables'!$H22,+IF(I$8='5.Variables'!$B$34,+'5.Variables'!$H46,+IF(I$8='5.Variables'!$B$58,+'5.Variables'!$H61,+IF(I$8='5.Variables'!$B$72,+'5.Variables'!$H75,+IF(I$8='5.Variables'!$B$86,+'5.Variables'!$H89,+IF(I$8='5.Variables'!$B$100,+'5.Variables'!$H103,0))))))</f>
        <v>30</v>
      </c>
      <c r="J27" s="292">
        <f>IF(J$8='5.Variables'!$B$10,+'5.Variables'!$H22,+IF(J$8='5.Variables'!$B$34,+'5.Variables'!$H46,+IF(J$8='5.Variables'!$B$58,+'5.Variables'!$H61,+IF(J$8='5.Variables'!$B$72,+'5.Variables'!$H75,+IF(J$8='5.Variables'!$B$86,+'5.Variables'!$H89,+IF(J$8='5.Variables'!$B$100,+'5.Variables'!$H103,0))))))</f>
        <v>0</v>
      </c>
      <c r="K27" s="292">
        <f>IF(K$8='5.Variables'!$B$10,+'5.Variables'!$H22,+IF(K$8='5.Variables'!$B$34,+'5.Variables'!$H46,+IF(K$8='5.Variables'!$B$58,+'5.Variables'!$H61,+IF(K$8='5.Variables'!$B$72,+'5.Variables'!$H75,+IF(K$8='5.Variables'!$B$86,+'5.Variables'!$H89,+IF(K$8='5.Variables'!$B$100,+'5.Variables'!$H103,0))))))</f>
        <v>0</v>
      </c>
      <c r="L27" s="292">
        <f>IF(L$8='5.Variables'!$B$10,+'5.Variables'!$H22,+IF(L$8='5.Variables'!$B$34,+'5.Variables'!$H46,+IF(L$8='5.Variables'!$B$58,+'5.Variables'!$H61,+IF(L$8='5.Variables'!$B$72,+'5.Variables'!$H75,+IF(L$8='5.Variables'!$B$86,+'5.Variables'!$H89,+IF(L$8='5.Variables'!$B$100,+'5.Variables'!$H103,0))))))</f>
        <v>0</v>
      </c>
      <c r="M27" s="143"/>
      <c r="N27" s="167">
        <f t="shared" si="2"/>
        <v>363697.81128612254</v>
      </c>
      <c r="O27" s="171"/>
      <c r="P27" s="143"/>
      <c r="Q27" t="str">
        <f>I8</f>
        <v>Days in Month</v>
      </c>
      <c r="R27">
        <v>12038.40936275565</v>
      </c>
      <c r="S27">
        <v>1509.5389804346119</v>
      </c>
      <c r="T27">
        <v>7.9748913534446579</v>
      </c>
      <c r="U27">
        <v>1.5608126827374214E-12</v>
      </c>
      <c r="V27">
        <v>9046.8574193048371</v>
      </c>
      <c r="W27">
        <v>15029.961306206464</v>
      </c>
      <c r="X27">
        <v>9046.8574193048371</v>
      </c>
      <c r="Y27">
        <v>15029.961306206464</v>
      </c>
      <c r="Z27"/>
      <c r="AA27"/>
      <c r="AB27"/>
      <c r="AC27"/>
      <c r="AD27" s="143"/>
      <c r="AE27" s="143"/>
      <c r="AF27" s="143"/>
      <c r="AG27" s="143"/>
      <c r="AH27" s="143"/>
      <c r="AI27" s="143"/>
    </row>
    <row r="28" spans="1:35" ht="13.5" thickBot="1" x14ac:dyDescent="0.35">
      <c r="A28" s="339">
        <f t="shared" si="1"/>
        <v>19</v>
      </c>
      <c r="B28" s="166" t="str">
        <f>CONCATENATE('3. Consumption by Rate Class'!B34,"-",'3. Consumption by Rate Class'!C34)</f>
        <v>2014-July</v>
      </c>
      <c r="C28" s="169">
        <v>427913.41</v>
      </c>
      <c r="D28" s="367"/>
      <c r="E28" s="367"/>
      <c r="F28" s="167">
        <f t="shared" si="0"/>
        <v>427913.41</v>
      </c>
      <c r="G28" s="292">
        <f>IF(G$8='5.Variables'!$B$10,+'5.Variables'!$I22,+IF(G$8='5.Variables'!$B$34,+'5.Variables'!$I46,+IF(G$8='5.Variables'!$B$58,+'5.Variables'!$I61,+IF(G$8='5.Variables'!$B$72,+'5.Variables'!$I75,+IF(G$8='5.Variables'!$B$86,+'5.Variables'!$I89,+IF(G$8='5.Variables'!$B$100,+'5.Variables'!$I103,0))))))</f>
        <v>29.7</v>
      </c>
      <c r="H28" s="292">
        <f>IF(H$8='5.Variables'!$B$10,+'5.Variables'!$I22,+IF(H$8='5.Variables'!$B$34,+'5.Variables'!$I46,+IF(H$8='5.Variables'!$B$58,+'5.Variables'!$I61,+IF(H$8='5.Variables'!$B$72,+'5.Variables'!$I75,+IF(H$8='5.Variables'!$B$86,+'5.Variables'!$I89,+IF(H$8='5.Variables'!$B$100,+'5.Variables'!$I103,0))))))</f>
        <v>50.3</v>
      </c>
      <c r="I28" s="292">
        <f>IF(I$8='5.Variables'!$B$10,+'5.Variables'!$I22,+IF(I$8='5.Variables'!$B$34,+'5.Variables'!$I46,+IF(I$8='5.Variables'!$B$58,+'5.Variables'!$I61,+IF(I$8='5.Variables'!$B$72,+'5.Variables'!$I75,+IF(I$8='5.Variables'!$B$86,+'5.Variables'!$I89,+IF(I$8='5.Variables'!$B$100,+'5.Variables'!$I103,0))))))</f>
        <v>31</v>
      </c>
      <c r="J28" s="292">
        <f>IF(J$8='5.Variables'!$B$10,+'5.Variables'!$I22,+IF(J$8='5.Variables'!$B$34,+'5.Variables'!$I46,+IF(J$8='5.Variables'!$B$58,+'5.Variables'!$I61,+IF(J$8='5.Variables'!$B$72,+'5.Variables'!$I75,+IF(J$8='5.Variables'!$B$86,+'5.Variables'!$I89,+IF(J$8='5.Variables'!$B$100,+'5.Variables'!$I103,0))))))</f>
        <v>0</v>
      </c>
      <c r="K28" s="292">
        <f>IF(K$8='5.Variables'!$B$10,+'5.Variables'!$I22,+IF(K$8='5.Variables'!$B$34,+'5.Variables'!$I46,+IF(K$8='5.Variables'!$B$58,+'5.Variables'!$I61,+IF(K$8='5.Variables'!$B$72,+'5.Variables'!$I75,+IF(K$8='5.Variables'!$B$86,+'5.Variables'!$I89,+IF(K$8='5.Variables'!$B$100,+'5.Variables'!$I103,0))))))</f>
        <v>0</v>
      </c>
      <c r="L28" s="292">
        <f>IF(L$8='5.Variables'!$B$10,+'5.Variables'!$I22,+IF(L$8='5.Variables'!$B$34,+'5.Variables'!$I46,+IF(L$8='5.Variables'!$B$58,+'5.Variables'!$I61,+IF(L$8='5.Variables'!$B$72,+'5.Variables'!$I75,+IF(L$8='5.Variables'!$B$86,+'5.Variables'!$I89,+IF(L$8='5.Variables'!$B$100,+'5.Variables'!$I103,0))))))</f>
        <v>0</v>
      </c>
      <c r="M28" s="143"/>
      <c r="N28" s="167">
        <f t="shared" si="2"/>
        <v>380439.72034207068</v>
      </c>
      <c r="O28" s="171"/>
      <c r="P28" s="143"/>
      <c r="Q28" s="185" t="str">
        <f>J8</f>
        <v>Spring Fall Flag</v>
      </c>
      <c r="R28" s="185">
        <v>-11039.229548354921</v>
      </c>
      <c r="S28" s="185">
        <v>3075.894936909307</v>
      </c>
      <c r="T28" s="185">
        <v>-3.5889488343341336</v>
      </c>
      <c r="U28" s="185">
        <v>4.9728030969305181E-4</v>
      </c>
      <c r="V28" s="185">
        <v>-17134.931345808531</v>
      </c>
      <c r="W28" s="185">
        <v>-4943.5277509013085</v>
      </c>
      <c r="X28" s="185">
        <v>-17134.931345808531</v>
      </c>
      <c r="Y28" s="185">
        <v>-4943.5277509013085</v>
      </c>
      <c r="Z28"/>
      <c r="AA28"/>
      <c r="AB28"/>
      <c r="AC28"/>
      <c r="AD28" s="143"/>
      <c r="AE28" s="143"/>
      <c r="AF28" s="143"/>
      <c r="AG28" s="143"/>
      <c r="AH28" s="143"/>
      <c r="AI28" s="143"/>
    </row>
    <row r="29" spans="1:35" x14ac:dyDescent="0.3">
      <c r="A29" s="339">
        <f t="shared" si="1"/>
        <v>20</v>
      </c>
      <c r="B29" s="166" t="str">
        <f>CONCATENATE('3. Consumption by Rate Class'!B35,"-",'3. Consumption by Rate Class'!C35)</f>
        <v>2014-August</v>
      </c>
      <c r="C29" s="169">
        <v>398924.3</v>
      </c>
      <c r="D29" s="367"/>
      <c r="E29" s="367"/>
      <c r="F29" s="167">
        <f t="shared" si="0"/>
        <v>398924.3</v>
      </c>
      <c r="G29" s="292">
        <f>IF(G$8='5.Variables'!$B$10,+'5.Variables'!$J22,+IF(G$8='5.Variables'!$B$34,+'5.Variables'!$J46,+IF(G$8='5.Variables'!$B$58,+'5.Variables'!$J61,+IF(G$8='5.Variables'!$B$72,+'5.Variables'!$J75,+IF(G$8='5.Variables'!$B$86,+'5.Variables'!$J89,+IF(G$8='5.Variables'!$B$100,+'5.Variables'!$J103,0))))))</f>
        <v>24.1</v>
      </c>
      <c r="H29" s="292">
        <f>IF(H$8='5.Variables'!$B$10,+'5.Variables'!$J22,+IF(H$8='5.Variables'!$B$34,+'5.Variables'!$J46,+IF(H$8='5.Variables'!$B$58,+'5.Variables'!$J61,+IF(H$8='5.Variables'!$B$72,+'5.Variables'!$J75,+IF(H$8='5.Variables'!$B$86,+'5.Variables'!$J89,+IF(H$8='5.Variables'!$B$100,+'5.Variables'!$J103,0))))))</f>
        <v>45.9</v>
      </c>
      <c r="I29" s="292">
        <f>IF(I$8='5.Variables'!$B$10,+'5.Variables'!$J22,+IF(I$8='5.Variables'!$B$34,+'5.Variables'!$J46,+IF(I$8='5.Variables'!$B$58,+'5.Variables'!$J61,+IF(I$8='5.Variables'!$B$72,+'5.Variables'!$J75,+IF(I$8='5.Variables'!$B$86,+'5.Variables'!$J89,+IF(I$8='5.Variables'!$B$100,+'5.Variables'!$J103,0))))))</f>
        <v>31</v>
      </c>
      <c r="J29" s="292">
        <f>IF(J$8='5.Variables'!$B$10,+'5.Variables'!$J22,+IF(J$8='5.Variables'!$B$34,+'5.Variables'!$J46,+IF(J$8='5.Variables'!$B$58,+'5.Variables'!$J61,+IF(J$8='5.Variables'!$B$72,+'5.Variables'!$J75,+IF(J$8='5.Variables'!$B$86,+'5.Variables'!$J89,+IF(J$8='5.Variables'!$B$100,+'5.Variables'!$J103,0))))))</f>
        <v>0</v>
      </c>
      <c r="K29" s="292">
        <f>IF(K$8='5.Variables'!$B$10,+'5.Variables'!$J22,+IF(K$8='5.Variables'!$B$34,+'5.Variables'!$J46,+IF(K$8='5.Variables'!$B$58,+'5.Variables'!$J61,+IF(K$8='5.Variables'!$B$72,+'5.Variables'!$J75,+IF(K$8='5.Variables'!$B$86,+'5.Variables'!$J89,+IF(K$8='5.Variables'!$B$100,+'5.Variables'!$J103,0))))))</f>
        <v>0</v>
      </c>
      <c r="L29" s="292">
        <f>IF(L$8='5.Variables'!$B$10,+'5.Variables'!$J22,+IF(L$8='5.Variables'!$B$34,+'5.Variables'!$J46,+IF(L$8='5.Variables'!$B$58,+'5.Variables'!$J61,+IF(L$8='5.Variables'!$B$72,+'5.Variables'!$J75,+IF(L$8='5.Variables'!$B$86,+'5.Variables'!$J89,+IF(L$8='5.Variables'!$B$100,+'5.Variables'!$J103,0))))))</f>
        <v>0</v>
      </c>
      <c r="M29" s="143"/>
      <c r="N29" s="167">
        <f t="shared" si="2"/>
        <v>379024.76956207823</v>
      </c>
      <c r="O29" s="171"/>
      <c r="P29" s="143"/>
      <c r="Q29"/>
      <c r="R29"/>
      <c r="S29"/>
      <c r="T29"/>
      <c r="U29"/>
      <c r="V29"/>
      <c r="W29"/>
      <c r="X29"/>
      <c r="Y29"/>
      <c r="Z29"/>
      <c r="AA29"/>
      <c r="AB29"/>
      <c r="AC29"/>
      <c r="AD29" s="143"/>
      <c r="AE29" s="143"/>
      <c r="AF29" s="143"/>
      <c r="AG29" s="143"/>
      <c r="AH29" s="143"/>
      <c r="AI29" s="143"/>
    </row>
    <row r="30" spans="1:35" x14ac:dyDescent="0.3">
      <c r="A30" s="339">
        <f t="shared" si="1"/>
        <v>21</v>
      </c>
      <c r="B30" s="166" t="str">
        <f>CONCATENATE('3. Consumption by Rate Class'!B36,"-",'3. Consumption by Rate Class'!C36)</f>
        <v>2014-September</v>
      </c>
      <c r="C30" s="169">
        <v>358425.98</v>
      </c>
      <c r="D30" s="367"/>
      <c r="E30" s="367"/>
      <c r="F30" s="167">
        <f t="shared" si="0"/>
        <v>358425.98</v>
      </c>
      <c r="G30" s="292">
        <f>IF(G$8='5.Variables'!$B$10,+'5.Variables'!$K22,+IF(G$8='5.Variables'!$B$34,+'5.Variables'!$K46,+IF(G$8='5.Variables'!$B$58,+'5.Variables'!$K61,+IF(G$8='5.Variables'!$B$72,+'5.Variables'!$K75,+IF(G$8='5.Variables'!$B$86,+'5.Variables'!$K89,+IF(G$8='5.Variables'!$B$100,+'5.Variables'!$K103,0))))))</f>
        <v>86.3</v>
      </c>
      <c r="H30" s="292">
        <f>IF(H$8='5.Variables'!$B$10,+'5.Variables'!$K22,+IF(H$8='5.Variables'!$B$34,+'5.Variables'!$K46,+IF(H$8='5.Variables'!$B$58,+'5.Variables'!$K61,+IF(H$8='5.Variables'!$B$72,+'5.Variables'!$K75,+IF(H$8='5.Variables'!$B$86,+'5.Variables'!$K89,+IF(H$8='5.Variables'!$B$100,+'5.Variables'!$K103,0))))))</f>
        <v>21.4</v>
      </c>
      <c r="I30" s="292">
        <f>IF(I$8='5.Variables'!$B$10,+'5.Variables'!$K22,+IF(I$8='5.Variables'!$B$34,+'5.Variables'!$K46,+IF(I$8='5.Variables'!$B$58,+'5.Variables'!$K61,+IF(I$8='5.Variables'!$B$72,+'5.Variables'!$K75,+IF(I$8='5.Variables'!$B$86,+'5.Variables'!$K89,+IF(I$8='5.Variables'!$B$100,+'5.Variables'!$K103,0))))))</f>
        <v>30</v>
      </c>
      <c r="J30" s="292">
        <f>IF(J$8='5.Variables'!$B$10,+'5.Variables'!$K22,+IF(J$8='5.Variables'!$B$34,+'5.Variables'!$K46,+IF(J$8='5.Variables'!$B$58,+'5.Variables'!$K61,+IF(J$8='5.Variables'!$B$72,+'5.Variables'!$K75,+IF(J$8='5.Variables'!$B$86,+'5.Variables'!$K89,+IF(J$8='5.Variables'!$B$100,+'5.Variables'!$K103,0))))))</f>
        <v>1</v>
      </c>
      <c r="K30" s="292">
        <f>IF(K$8='5.Variables'!$B$10,+'5.Variables'!$K22,+IF(K$8='5.Variables'!$B$34,+'5.Variables'!$K46,+IF(K$8='5.Variables'!$B$58,+'5.Variables'!$K61,+IF(K$8='5.Variables'!$B$72,+'5.Variables'!$K75,+IF(K$8='5.Variables'!$B$86,+'5.Variables'!$K89,+IF(K$8='5.Variables'!$B$100,+'5.Variables'!$K103,0))))))</f>
        <v>0</v>
      </c>
      <c r="L30" s="292">
        <f>IF(L$8='5.Variables'!$B$10,+'5.Variables'!$K22,+IF(L$8='5.Variables'!$B$34,+'5.Variables'!$K46,+IF(L$8='5.Variables'!$B$58,+'5.Variables'!$K61,+IF(L$8='5.Variables'!$B$72,+'5.Variables'!$K75,+IF(L$8='5.Variables'!$B$86,+'5.Variables'!$K89,+IF(L$8='5.Variables'!$B$100,+'5.Variables'!$K103,0))))))</f>
        <v>0</v>
      </c>
      <c r="M30" s="143"/>
      <c r="N30" s="167">
        <f t="shared" si="2"/>
        <v>343547.49720592308</v>
      </c>
      <c r="O30" s="171"/>
      <c r="P30" s="143"/>
      <c r="Q30"/>
      <c r="R30"/>
      <c r="S30"/>
      <c r="T30"/>
      <c r="U30"/>
      <c r="V30"/>
      <c r="W30"/>
      <c r="X30"/>
      <c r="Y30"/>
      <c r="Z30"/>
      <c r="AA30"/>
      <c r="AB30"/>
      <c r="AC30"/>
      <c r="AD30" s="143"/>
      <c r="AE30" s="143"/>
      <c r="AF30" s="143"/>
      <c r="AG30" s="143"/>
      <c r="AH30" s="143"/>
      <c r="AI30" s="143"/>
    </row>
    <row r="31" spans="1:35" x14ac:dyDescent="0.3">
      <c r="A31" s="339">
        <f t="shared" si="1"/>
        <v>22</v>
      </c>
      <c r="B31" s="166" t="str">
        <f>CONCATENATE('3. Consumption by Rate Class'!B37,"-",'3. Consumption by Rate Class'!C37)</f>
        <v>2014-October</v>
      </c>
      <c r="C31" s="169">
        <v>342184.75</v>
      </c>
      <c r="D31" s="367"/>
      <c r="E31" s="367"/>
      <c r="F31" s="167">
        <f t="shared" si="0"/>
        <v>342184.75</v>
      </c>
      <c r="G31" s="292">
        <f>IF(G$8='5.Variables'!$B$10,+'5.Variables'!$L22,+IF(G$8='5.Variables'!$B$34,+'5.Variables'!$L46,+IF(G$8='5.Variables'!$B$58,+'5.Variables'!$L61,+IF(G$8='5.Variables'!$B$72,+'5.Variables'!$L75,+IF(G$8='5.Variables'!$B$86,+'5.Variables'!$L89,+IF(G$8='5.Variables'!$B$100,+'5.Variables'!$L103,0))))))</f>
        <v>238.8</v>
      </c>
      <c r="H31" s="292">
        <f>IF(H$8='5.Variables'!$B$10,+'5.Variables'!$L22,+IF(H$8='5.Variables'!$B$34,+'5.Variables'!$L46,+IF(H$8='5.Variables'!$B$58,+'5.Variables'!$L61,+IF(H$8='5.Variables'!$B$72,+'5.Variables'!$L75,+IF(H$8='5.Variables'!$B$86,+'5.Variables'!$L89,+IF(H$8='5.Variables'!$B$100,+'5.Variables'!$L103,0))))))</f>
        <v>1.2</v>
      </c>
      <c r="I31" s="292">
        <f>IF(I$8='5.Variables'!$B$10,+'5.Variables'!$L22,+IF(I$8='5.Variables'!$B$34,+'5.Variables'!$L46,+IF(I$8='5.Variables'!$B$58,+'5.Variables'!$L61,+IF(I$8='5.Variables'!$B$72,+'5.Variables'!$L75,+IF(I$8='5.Variables'!$B$86,+'5.Variables'!$L89,+IF(I$8='5.Variables'!$B$100,+'5.Variables'!$L103,0))))))</f>
        <v>31</v>
      </c>
      <c r="J31" s="292">
        <f>IF(J$8='5.Variables'!$B$10,+'5.Variables'!$L22,+IF(J$8='5.Variables'!$B$34,+'5.Variables'!$L46,+IF(J$8='5.Variables'!$B$58,+'5.Variables'!$L61,+IF(J$8='5.Variables'!$B$72,+'5.Variables'!$L75,+IF(J$8='5.Variables'!$B$86,+'5.Variables'!$L89,+IF(J$8='5.Variables'!$B$100,+'5.Variables'!$L103,0))))))</f>
        <v>1</v>
      </c>
      <c r="K31" s="292">
        <f>IF(K$8='5.Variables'!$B$10,+'5.Variables'!$L22,+IF(K$8='5.Variables'!$B$34,+'5.Variables'!$L46,+IF(K$8='5.Variables'!$B$58,+'5.Variables'!$L61,+IF(K$8='5.Variables'!$B$72,+'5.Variables'!$L75,+IF(K$8='5.Variables'!$B$86,+'5.Variables'!$L89,+IF(K$8='5.Variables'!$B$100,+'5.Variables'!$L103,0))))))</f>
        <v>0</v>
      </c>
      <c r="L31" s="292">
        <f>IF(L$8='5.Variables'!$B$10,+'5.Variables'!$L22,+IF(L$8='5.Variables'!$B$34,+'5.Variables'!$L46,+IF(L$8='5.Variables'!$B$58,+'5.Variables'!$L61,+IF(L$8='5.Variables'!$B$72,+'5.Variables'!$L75,+IF(L$8='5.Variables'!$B$86,+'5.Variables'!$L89,+IF(L$8='5.Variables'!$B$100,+'5.Variables'!$L103,0))))))</f>
        <v>0</v>
      </c>
      <c r="M31" s="143"/>
      <c r="N31" s="167">
        <f t="shared" si="2"/>
        <v>340462.29022523225</v>
      </c>
      <c r="O31" s="171"/>
      <c r="P31" s="143"/>
      <c r="Q31"/>
      <c r="R31"/>
      <c r="S31"/>
      <c r="T31"/>
      <c r="U31"/>
      <c r="V31"/>
      <c r="W31"/>
      <c r="X31"/>
      <c r="Y31"/>
      <c r="Z31"/>
      <c r="AA31"/>
      <c r="AB31"/>
      <c r="AC31"/>
      <c r="AD31" s="143"/>
      <c r="AE31" s="143"/>
      <c r="AF31" s="143"/>
      <c r="AG31" s="143"/>
      <c r="AH31" s="143"/>
      <c r="AI31" s="143"/>
    </row>
    <row r="32" spans="1:35" x14ac:dyDescent="0.3">
      <c r="A32" s="339">
        <f t="shared" si="1"/>
        <v>23</v>
      </c>
      <c r="B32" s="166" t="str">
        <f>CONCATENATE('3. Consumption by Rate Class'!B38,"-",'3. Consumption by Rate Class'!C38)</f>
        <v>2014-November</v>
      </c>
      <c r="C32" s="169">
        <v>332941.04999999993</v>
      </c>
      <c r="D32" s="367"/>
      <c r="E32" s="367"/>
      <c r="F32" s="167">
        <f t="shared" si="0"/>
        <v>332941.04999999993</v>
      </c>
      <c r="G32" s="292">
        <f>IF(G$8='5.Variables'!$B$10,+'5.Variables'!$M22,+IF(G$8='5.Variables'!$B$34,+'5.Variables'!$M46,+IF(G$8='5.Variables'!$B$58,+'5.Variables'!$M61,+IF(G$8='5.Variables'!$B$72,+'5.Variables'!$M75,+IF(G$8='5.Variables'!$B$86,+'5.Variables'!$M89,+IF(G$8='5.Variables'!$B$100,+'5.Variables'!$M103,0))))))</f>
        <v>460.7</v>
      </c>
      <c r="H32" s="292">
        <f>IF(H$8='5.Variables'!$B$10,+'5.Variables'!$M22,+IF(H$8='5.Variables'!$B$34,+'5.Variables'!$M46,+IF(H$8='5.Variables'!$B$58,+'5.Variables'!$M61,+IF(H$8='5.Variables'!$B$72,+'5.Variables'!$M75,+IF(H$8='5.Variables'!$B$86,+'5.Variables'!$M89,+IF(H$8='5.Variables'!$B$100,+'5.Variables'!$M103,0))))))</f>
        <v>0</v>
      </c>
      <c r="I32" s="292">
        <f>IF(I$8='5.Variables'!$B$10,+'5.Variables'!$M22,+IF(I$8='5.Variables'!$B$34,+'5.Variables'!$M46,+IF(I$8='5.Variables'!$B$58,+'5.Variables'!$M61,+IF(I$8='5.Variables'!$B$72,+'5.Variables'!$M75,+IF(I$8='5.Variables'!$B$86,+'5.Variables'!$M89,+IF(I$8='5.Variables'!$B$100,+'5.Variables'!$M103,0))))))</f>
        <v>30</v>
      </c>
      <c r="J32" s="292">
        <f>IF(J$8='5.Variables'!$B$10,+'5.Variables'!$M22,+IF(J$8='5.Variables'!$B$34,+'5.Variables'!$M46,+IF(J$8='5.Variables'!$B$58,+'5.Variables'!$M61,+IF(J$8='5.Variables'!$B$72,+'5.Variables'!$M75,+IF(J$8='5.Variables'!$B$86,+'5.Variables'!$M89,+IF(J$8='5.Variables'!$B$100,+'5.Variables'!$M103,0))))))</f>
        <v>1</v>
      </c>
      <c r="K32" s="292">
        <f>IF(K$8='5.Variables'!$B$10,+'5.Variables'!$M22,+IF(K$8='5.Variables'!$B$34,+'5.Variables'!$M46,+IF(K$8='5.Variables'!$B$58,+'5.Variables'!$M61,+IF(K$8='5.Variables'!$B$72,+'5.Variables'!$M75,+IF(K$8='5.Variables'!$B$86,+'5.Variables'!$M89,+IF(K$8='5.Variables'!$B$100,+'5.Variables'!$M103,0))))))</f>
        <v>0</v>
      </c>
      <c r="L32" s="292">
        <f>IF(L$8='5.Variables'!$B$10,+'5.Variables'!$M22,+IF(L$8='5.Variables'!$B$34,+'5.Variables'!$M46,+IF(L$8='5.Variables'!$B$58,+'5.Variables'!$M61,+IF(L$8='5.Variables'!$B$72,+'5.Variables'!$M75,+IF(L$8='5.Variables'!$B$86,+'5.Variables'!$M89,+IF(L$8='5.Variables'!$B$100,+'5.Variables'!$M103,0))))))</f>
        <v>0</v>
      </c>
      <c r="M32" s="143"/>
      <c r="N32" s="167">
        <f t="shared" si="2"/>
        <v>317221.11384922423</v>
      </c>
      <c r="O32" s="171"/>
      <c r="P32" s="143"/>
      <c r="Q32" t="s">
        <v>221</v>
      </c>
      <c r="R32"/>
      <c r="S32"/>
      <c r="T32"/>
      <c r="U32"/>
      <c r="V32"/>
      <c r="W32"/>
      <c r="X32"/>
      <c r="Y32"/>
      <c r="Z32" s="143"/>
      <c r="AA32" s="143"/>
      <c r="AB32" s="143"/>
      <c r="AC32" s="143"/>
      <c r="AD32" s="143"/>
      <c r="AE32" s="143"/>
      <c r="AF32" s="143"/>
      <c r="AG32" s="143"/>
      <c r="AH32" s="143"/>
      <c r="AI32" s="143"/>
    </row>
    <row r="33" spans="1:35" ht="13.5" customHeight="1" x14ac:dyDescent="0.3">
      <c r="A33" s="339">
        <f t="shared" si="1"/>
        <v>24</v>
      </c>
      <c r="B33" s="166" t="str">
        <f>CONCATENATE('3. Consumption by Rate Class'!B39,"-",'3. Consumption by Rate Class'!C39)</f>
        <v>2014-December</v>
      </c>
      <c r="C33" s="169">
        <v>345364.95</v>
      </c>
      <c r="D33" s="367"/>
      <c r="E33" s="367"/>
      <c r="F33" s="167">
        <f t="shared" si="0"/>
        <v>345364.95</v>
      </c>
      <c r="G33" s="292">
        <f>IF(G$8='5.Variables'!$B$10,+'5.Variables'!$N22,+IF(G$8='5.Variables'!$B$34,+'5.Variables'!$N46,+IF(G$8='5.Variables'!$B$58,+'5.Variables'!$N61,+IF(G$8='5.Variables'!$B$72,+'5.Variables'!$N75,+IF(G$8='5.Variables'!$B$86,+'5.Variables'!$N89,+IF(G$8='5.Variables'!$B$100,+'5.Variables'!$N103,0))))))</f>
        <v>537.70000000000005</v>
      </c>
      <c r="H33" s="292">
        <f>IF(H$8='5.Variables'!$B$10,+'5.Variables'!$N22,+IF(H$8='5.Variables'!$B$34,+'5.Variables'!$N46,+IF(H$8='5.Variables'!$B$58,+'5.Variables'!$N61,+IF(H$8='5.Variables'!$B$72,+'5.Variables'!$N75,+IF(H$8='5.Variables'!$B$86,+'5.Variables'!$N89,+IF(H$8='5.Variables'!$B$100,+'5.Variables'!$N103,0))))))</f>
        <v>0</v>
      </c>
      <c r="I33" s="292">
        <f>IF(I$8='5.Variables'!$B$10,+'5.Variables'!$N22,+IF(I$8='5.Variables'!$B$34,+'5.Variables'!$N46,+IF(I$8='5.Variables'!$B$58,+'5.Variables'!$N61,+IF(I$8='5.Variables'!$B$72,+'5.Variables'!$N75,+IF(I$8='5.Variables'!$B$86,+'5.Variables'!$N89,+IF(I$8='5.Variables'!$B$100,+'5.Variables'!$N103,0))))))</f>
        <v>31</v>
      </c>
      <c r="J33" s="292">
        <f>IF(J$8='5.Variables'!$B$10,+'5.Variables'!$N22,+IF(J$8='5.Variables'!$B$34,+'5.Variables'!$N46,+IF(J$8='5.Variables'!$B$58,+'5.Variables'!$N61,+IF(J$8='5.Variables'!$B$72,+'5.Variables'!$N75,+IF(J$8='5.Variables'!$B$86,+'5.Variables'!$N89,+IF(J$8='5.Variables'!$B$100,+'5.Variables'!$N103,0))))))</f>
        <v>0</v>
      </c>
      <c r="K33" s="292">
        <f>IF(K$8='5.Variables'!$B$10,+'5.Variables'!$N22,+IF(K$8='5.Variables'!$B$34,+'5.Variables'!$N46,+IF(K$8='5.Variables'!$B$58,+'5.Variables'!$N61,+IF(K$8='5.Variables'!$B$72,+'5.Variables'!$N75,+IF(K$8='5.Variables'!$B$86,+'5.Variables'!$N89,+IF(K$8='5.Variables'!$B$100,+'5.Variables'!$N103,0))))))</f>
        <v>0</v>
      </c>
      <c r="L33" s="292">
        <f>IF(L$8='5.Variables'!$B$10,+'5.Variables'!$N22,+IF(L$8='5.Variables'!$B$34,+'5.Variables'!$N46,+IF(L$8='5.Variables'!$B$58,+'5.Variables'!$N61,+IF(L$8='5.Variables'!$B$72,+'5.Variables'!$N75,+IF(L$8='5.Variables'!$B$86,+'5.Variables'!$N89,+IF(L$8='5.Variables'!$B$100,+'5.Variables'!$N103,0))))))</f>
        <v>0</v>
      </c>
      <c r="M33" s="143"/>
      <c r="N33" s="167">
        <f t="shared" si="2"/>
        <v>336570.92184930155</v>
      </c>
      <c r="O33" s="171">
        <f>SUM(N22:N33)</f>
        <v>4055791.4113826836</v>
      </c>
      <c r="P33" s="143"/>
      <c r="Q33"/>
      <c r="R33"/>
      <c r="S33"/>
      <c r="T33"/>
      <c r="U33"/>
      <c r="V33"/>
      <c r="W33"/>
      <c r="X33"/>
      <c r="Y33"/>
      <c r="Z33" s="143"/>
      <c r="AA33" s="143"/>
      <c r="AB33" s="143"/>
      <c r="AC33" s="143"/>
      <c r="AD33" s="143"/>
      <c r="AE33" s="143"/>
      <c r="AF33" s="143"/>
      <c r="AG33" s="143"/>
      <c r="AH33" s="143"/>
      <c r="AI33" s="143"/>
    </row>
    <row r="34" spans="1:35" x14ac:dyDescent="0.3">
      <c r="A34" s="339">
        <f t="shared" si="1"/>
        <v>25</v>
      </c>
      <c r="B34" s="166" t="str">
        <f>CONCATENATE('3. Consumption by Rate Class'!B40,"-",'3. Consumption by Rate Class'!C40)</f>
        <v>2015-January</v>
      </c>
      <c r="C34" s="169">
        <v>337237.76000000001</v>
      </c>
      <c r="D34" s="367"/>
      <c r="E34" s="367"/>
      <c r="F34" s="167">
        <f t="shared" si="0"/>
        <v>337237.76000000001</v>
      </c>
      <c r="G34" s="292">
        <f>IF(G$8='5.Variables'!$B$10,+'5.Variables'!$C23,+IF(G$8='5.Variables'!$B$34,+'5.Variables'!$C47,+IF(G$8='5.Variables'!$B$58,+'5.Variables'!$C62,+IF(G$8='5.Variables'!$B$72,+'5.Variables'!$C76,+IF(G$8='5.Variables'!$B$86,+'5.Variables'!$C90,+IF(G$8='5.Variables'!$B$100,+'5.Variables'!$C104,0))))))</f>
        <v>854.9</v>
      </c>
      <c r="H34" s="292">
        <f>IF(H$8='5.Variables'!$B$10,+'5.Variables'!$C23,+IF(H$8='5.Variables'!$B$34,+'5.Variables'!$C47,+IF(H$8='5.Variables'!$B$58,+'5.Variables'!$C62,+IF(H$8='5.Variables'!$B$72,+'5.Variables'!$C76,+IF(H$8='5.Variables'!$B$86,+'5.Variables'!$C90,+IF(H$8='5.Variables'!$B$100,+'5.Variables'!$C104,0))))))</f>
        <v>0</v>
      </c>
      <c r="I34" s="292">
        <f>IF(I$8='5.Variables'!$B$10,+'5.Variables'!$C23,+IF(I$8='5.Variables'!$B$34,+'5.Variables'!$C47,+IF(I$8='5.Variables'!$B$58,+'5.Variables'!$C62,+IF(I$8='5.Variables'!$B$72,+'5.Variables'!$C76,+IF(I$8='5.Variables'!$B$86,+'5.Variables'!$C90,+IF(I$8='5.Variables'!$B$100,+'5.Variables'!$C104,0))))))</f>
        <v>31</v>
      </c>
      <c r="J34" s="292">
        <f>IF(J$8='5.Variables'!$B$10,+'5.Variables'!$C23,+IF(J$8='5.Variables'!$B$34,+'5.Variables'!$C47,+IF(J$8='5.Variables'!$B$58,+'5.Variables'!$C62,+IF(J$8='5.Variables'!$B$72,+'5.Variables'!$C76,+IF(J$8='5.Variables'!$B$86,+'5.Variables'!$C90,+IF(J$8='5.Variables'!$B$100,+'5.Variables'!$C104,0))))))</f>
        <v>0</v>
      </c>
      <c r="K34" s="292">
        <f>IF(K$8='5.Variables'!$B$10,+'5.Variables'!$C23,+IF(K$8='5.Variables'!$B$34,+'5.Variables'!$C47,+IF(K$8='5.Variables'!$B$58,+'5.Variables'!$C62,+IF(K$8='5.Variables'!$B$72,+'5.Variables'!$C76,+IF(K$8='5.Variables'!$B$86,+'5.Variables'!$C90,+IF(K$8='5.Variables'!$B$100,+'5.Variables'!$C104,0))))))</f>
        <v>0</v>
      </c>
      <c r="L34" s="292">
        <f>IF(L$8='5.Variables'!$B$10,+'5.Variables'!$C23,+IF(L$8='5.Variables'!$B$34,+'5.Variables'!$C47,+IF(L$8='5.Variables'!$B$58,+'5.Variables'!$C62,+IF(L$8='5.Variables'!$B$72,+'5.Variables'!$C76,+IF(L$8='5.Variables'!$B$86,+'5.Variables'!$C90,+IF(L$8='5.Variables'!$B$100,+'5.Variables'!$C104,0))))))</f>
        <v>0</v>
      </c>
      <c r="M34" s="143"/>
      <c r="N34" s="167">
        <f t="shared" si="2"/>
        <v>321214.19503138267</v>
      </c>
      <c r="O34" s="171"/>
      <c r="P34" s="143"/>
      <c r="Q34" s="172" t="s">
        <v>130</v>
      </c>
      <c r="R34" s="160"/>
      <c r="S34" s="160"/>
      <c r="T34" s="160"/>
      <c r="U34" s="160"/>
      <c r="V34" s="160"/>
      <c r="W34"/>
      <c r="X34"/>
      <c r="Y34"/>
      <c r="Z34" s="143"/>
      <c r="AA34" s="143"/>
      <c r="AB34" s="143"/>
      <c r="AC34" s="143"/>
      <c r="AD34" s="143"/>
      <c r="AE34" s="143"/>
      <c r="AF34" s="143"/>
      <c r="AG34" s="143"/>
      <c r="AH34" s="143"/>
      <c r="AI34" s="143"/>
    </row>
    <row r="35" spans="1:35" x14ac:dyDescent="0.3">
      <c r="A35" s="339">
        <f t="shared" si="1"/>
        <v>26</v>
      </c>
      <c r="B35" s="166" t="str">
        <f>CONCATENATE('3. Consumption by Rate Class'!B41,"-",'3. Consumption by Rate Class'!C41)</f>
        <v>2015-February</v>
      </c>
      <c r="C35" s="169">
        <v>302258.60999999993</v>
      </c>
      <c r="D35" s="367"/>
      <c r="E35" s="367"/>
      <c r="F35" s="167">
        <f t="shared" si="0"/>
        <v>302258.60999999993</v>
      </c>
      <c r="G35" s="292">
        <f>IF(G$8='5.Variables'!$B$10,+'5.Variables'!$D23,+IF(G$8='5.Variables'!$B$34,+'5.Variables'!$D47,+IF(G$8='5.Variables'!$B$58,+'5.Variables'!$D62,+IF(G$8='5.Variables'!$B$72,+'5.Variables'!$D76,+IF(G$8='5.Variables'!$B$86,+'5.Variables'!$D90,+IF(G$8='5.Variables'!$B$100,+'5.Variables'!$D104,0))))))</f>
        <v>860.7</v>
      </c>
      <c r="H35" s="292">
        <f>IF(H$8='5.Variables'!$B$10,+'5.Variables'!$D23,+IF(H$8='5.Variables'!$B$34,+'5.Variables'!$D47,+IF(H$8='5.Variables'!$B$58,+'5.Variables'!$D62,+IF(H$8='5.Variables'!$B$72,+'5.Variables'!$D76,+IF(H$8='5.Variables'!$B$86,+'5.Variables'!$D90,+IF(H$8='5.Variables'!$B$100,+'5.Variables'!$D104,0))))))</f>
        <v>0</v>
      </c>
      <c r="I35" s="292">
        <f>IF(I$8='5.Variables'!$B$10,+'5.Variables'!$D23,+IF(I$8='5.Variables'!$B$34,+'5.Variables'!$D47,+IF(I$8='5.Variables'!$B$58,+'5.Variables'!$D62,+IF(I$8='5.Variables'!$B$72,+'5.Variables'!$D76,+IF(I$8='5.Variables'!$B$86,+'5.Variables'!$D90,+IF(I$8='5.Variables'!$B$100,+'5.Variables'!$D104,0))))))</f>
        <v>28</v>
      </c>
      <c r="J35" s="292">
        <f>IF(J$8='5.Variables'!$B$10,+'5.Variables'!$D23,+IF(J$8='5.Variables'!$B$34,+'5.Variables'!$D47,+IF(J$8='5.Variables'!$B$58,+'5.Variables'!$D62,+IF(J$8='5.Variables'!$B$72,+'5.Variables'!$D76,+IF(J$8='5.Variables'!$B$86,+'5.Variables'!$D90,+IF(J$8='5.Variables'!$B$100,+'5.Variables'!$D104,0))))))</f>
        <v>0</v>
      </c>
      <c r="K35" s="292">
        <f>IF(K$8='5.Variables'!$B$10,+'5.Variables'!$D23,+IF(K$8='5.Variables'!$B$34,+'5.Variables'!$D47,+IF(K$8='5.Variables'!$B$58,+'5.Variables'!$D62,+IF(K$8='5.Variables'!$B$72,+'5.Variables'!$D76,+IF(K$8='5.Variables'!$B$86,+'5.Variables'!$D90,+IF(K$8='5.Variables'!$B$100,+'5.Variables'!$D104,0))))))</f>
        <v>0</v>
      </c>
      <c r="L35" s="292">
        <f>IF(L$8='5.Variables'!$B$10,+'5.Variables'!$D23,+IF(L$8='5.Variables'!$B$34,+'5.Variables'!$D47,+IF(L$8='5.Variables'!$B$58,+'5.Variables'!$D62,+IF(L$8='5.Variables'!$B$72,+'5.Variables'!$D76,+IF(L$8='5.Variables'!$B$86,+'5.Variables'!$D90,+IF(L$8='5.Variables'!$B$100,+'5.Variables'!$D104,0))))))</f>
        <v>0</v>
      </c>
      <c r="M35" s="143"/>
      <c r="N35" s="167">
        <f t="shared" si="2"/>
        <v>284818.16929007682</v>
      </c>
      <c r="O35" s="171"/>
      <c r="P35" s="143"/>
      <c r="Q35" s="147" t="s">
        <v>33</v>
      </c>
      <c r="R35" s="147" t="s">
        <v>41</v>
      </c>
      <c r="S35" s="147" t="s">
        <v>42</v>
      </c>
      <c r="T35" s="147" t="s">
        <v>31</v>
      </c>
      <c r="U35" s="147" t="s">
        <v>42</v>
      </c>
      <c r="V35" s="147" t="s">
        <v>43</v>
      </c>
      <c r="W35"/>
      <c r="X35"/>
      <c r="Y35"/>
      <c r="Z35" s="143"/>
      <c r="AA35" s="143"/>
      <c r="AB35" s="143"/>
      <c r="AC35" s="143"/>
      <c r="AD35" s="143"/>
      <c r="AE35" s="143"/>
      <c r="AF35" s="143"/>
      <c r="AG35" s="143"/>
      <c r="AH35" s="143"/>
      <c r="AI35" s="143"/>
    </row>
    <row r="36" spans="1:35" x14ac:dyDescent="0.3">
      <c r="A36" s="339">
        <f t="shared" si="1"/>
        <v>27</v>
      </c>
      <c r="B36" s="166" t="str">
        <f>CONCATENATE('3. Consumption by Rate Class'!B42,"-",'3. Consumption by Rate Class'!C42)</f>
        <v>2015-March</v>
      </c>
      <c r="C36" s="169">
        <v>332559.84999999998</v>
      </c>
      <c r="D36" s="367"/>
      <c r="E36" s="367"/>
      <c r="F36" s="167">
        <f t="shared" si="0"/>
        <v>332559.84999999998</v>
      </c>
      <c r="G36" s="292">
        <f>IF(G$8='5.Variables'!$B$10,+'5.Variables'!$E23,+IF(G$8='5.Variables'!$B$34,+'5.Variables'!$E47,+IF(G$8='5.Variables'!$B$58,+'5.Variables'!$E62,+IF(G$8='5.Variables'!$B$72,+'5.Variables'!$E76,+IF(G$8='5.Variables'!$B$86,+'5.Variables'!$E90,+IF(G$8='5.Variables'!$B$100,+'5.Variables'!$E104,0))))))</f>
        <v>646.70000000000005</v>
      </c>
      <c r="H36" s="292">
        <f>IF(H$8='5.Variables'!$B$10,+'5.Variables'!$E23,+IF(H$8='5.Variables'!$B$34,+'5.Variables'!$E47,+IF(H$8='5.Variables'!$B$58,+'5.Variables'!$E62,+IF(H$8='5.Variables'!$B$72,+'5.Variables'!$E76,+IF(H$8='5.Variables'!$B$86,+'5.Variables'!$E90,+IF(H$8='5.Variables'!$B$100,+'5.Variables'!$E104,0))))))</f>
        <v>0</v>
      </c>
      <c r="I36" s="292">
        <f>IF(I$8='5.Variables'!$B$10,+'5.Variables'!$E23,+IF(I$8='5.Variables'!$B$34,+'5.Variables'!$E47,+IF(I$8='5.Variables'!$B$58,+'5.Variables'!$E62,+IF(I$8='5.Variables'!$B$72,+'5.Variables'!$E76,+IF(I$8='5.Variables'!$B$86,+'5.Variables'!$E90,+IF(I$8='5.Variables'!$B$100,+'5.Variables'!$E104,0))))))</f>
        <v>31</v>
      </c>
      <c r="J36" s="292">
        <f>IF(J$8='5.Variables'!$B$10,+'5.Variables'!$E23,+IF(J$8='5.Variables'!$B$34,+'5.Variables'!$E47,+IF(J$8='5.Variables'!$B$58,+'5.Variables'!$E62,+IF(J$8='5.Variables'!$B$72,+'5.Variables'!$E76,+IF(J$8='5.Variables'!$B$86,+'5.Variables'!$E90,+IF(J$8='5.Variables'!$B$100,+'5.Variables'!$E104,0))))))</f>
        <v>1</v>
      </c>
      <c r="K36" s="292">
        <f>IF(K$8='5.Variables'!$B$10,+'5.Variables'!$E23,+IF(K$8='5.Variables'!$B$34,+'5.Variables'!$E47,+IF(K$8='5.Variables'!$B$58,+'5.Variables'!$E62,+IF(K$8='5.Variables'!$B$72,+'5.Variables'!$E76,+IF(K$8='5.Variables'!$B$86,+'5.Variables'!$E90,+IF(K$8='5.Variables'!$B$100,+'5.Variables'!$E104,0))))))</f>
        <v>0</v>
      </c>
      <c r="L36" s="292">
        <f>IF(L$8='5.Variables'!$B$10,+'5.Variables'!$E23,+IF(L$8='5.Variables'!$B$34,+'5.Variables'!$E47,+IF(L$8='5.Variables'!$B$58,+'5.Variables'!$E62,+IF(L$8='5.Variables'!$B$72,+'5.Variables'!$E76,+IF(L$8='5.Variables'!$B$86,+'5.Variables'!$E90,+IF(L$8='5.Variables'!$B$100,+'5.Variables'!$E104,0))))))</f>
        <v>0</v>
      </c>
      <c r="M36" s="143"/>
      <c r="N36" s="167">
        <f t="shared" si="2"/>
        <v>320254.63295935409</v>
      </c>
      <c r="O36" s="171"/>
      <c r="P36" s="143"/>
      <c r="Q36" s="148">
        <f>'4. Customer Growth'!B9</f>
        <v>2013</v>
      </c>
      <c r="R36" s="341">
        <f>SUM(F10:F21)</f>
        <v>2598159.8200000003</v>
      </c>
      <c r="S36" s="341"/>
      <c r="T36" s="341">
        <f>O21</f>
        <v>2478975.7921989602</v>
      </c>
      <c r="U36" s="341"/>
      <c r="V36" s="173">
        <f t="shared" ref="V36:V45" si="3">(T36-R36)/R36</f>
        <v>-4.5872477467933472E-2</v>
      </c>
      <c r="W36"/>
      <c r="X36"/>
      <c r="Y36"/>
      <c r="Z36" s="143"/>
      <c r="AA36" s="143"/>
      <c r="AB36" s="143"/>
      <c r="AC36" s="143"/>
      <c r="AD36" s="143"/>
      <c r="AE36" s="143"/>
      <c r="AF36" s="143"/>
      <c r="AG36" s="143"/>
      <c r="AH36" s="143"/>
      <c r="AI36" s="143"/>
    </row>
    <row r="37" spans="1:35" x14ac:dyDescent="0.3">
      <c r="A37" s="339">
        <f t="shared" si="1"/>
        <v>28</v>
      </c>
      <c r="B37" s="166" t="str">
        <f>CONCATENATE('3. Consumption by Rate Class'!B43,"-",'3. Consumption by Rate Class'!C43)</f>
        <v>2015-April</v>
      </c>
      <c r="C37" s="169">
        <v>323203.26</v>
      </c>
      <c r="D37" s="367"/>
      <c r="E37" s="367"/>
      <c r="F37" s="167">
        <f t="shared" si="0"/>
        <v>323203.26</v>
      </c>
      <c r="G37" s="292">
        <f>IF(G$8='5.Variables'!$B$10,+'5.Variables'!$F23,+IF(G$8='5.Variables'!$B$34,+'5.Variables'!$F47,+IF(G$8='5.Variables'!$B$58,+'5.Variables'!$F62,+IF(G$8='5.Variables'!$B$72,+'5.Variables'!$F76,+IF(G$8='5.Variables'!$B$86,+'5.Variables'!$F90,+IF(G$8='5.Variables'!$B$100,+'5.Variables'!$F104,0))))))</f>
        <v>366.8</v>
      </c>
      <c r="H37" s="292">
        <f>IF(H$8='5.Variables'!$B$10,+'5.Variables'!$F23,+IF(H$8='5.Variables'!$B$34,+'5.Variables'!$F47,+IF(H$8='5.Variables'!$B$58,+'5.Variables'!$F62,+IF(H$8='5.Variables'!$B$72,+'5.Variables'!$F76,+IF(H$8='5.Variables'!$B$86,+'5.Variables'!$F90,+IF(H$8='5.Variables'!$B$100,+'5.Variables'!$F104,0))))))</f>
        <v>0</v>
      </c>
      <c r="I37" s="292">
        <f>IF(I$8='5.Variables'!$B$10,+'5.Variables'!$F23,+IF(I$8='5.Variables'!$B$34,+'5.Variables'!$F47,+IF(I$8='5.Variables'!$B$58,+'5.Variables'!$F62,+IF(I$8='5.Variables'!$B$72,+'5.Variables'!$F76,+IF(I$8='5.Variables'!$B$86,+'5.Variables'!$F90,+IF(I$8='5.Variables'!$B$100,+'5.Variables'!$F104,0))))))</f>
        <v>30</v>
      </c>
      <c r="J37" s="292">
        <f>IF(J$8='5.Variables'!$B$10,+'5.Variables'!$F23,+IF(J$8='5.Variables'!$B$34,+'5.Variables'!$F47,+IF(J$8='5.Variables'!$B$58,+'5.Variables'!$F62,+IF(J$8='5.Variables'!$B$72,+'5.Variables'!$F76,+IF(J$8='5.Variables'!$B$86,+'5.Variables'!$F90,+IF(J$8='5.Variables'!$B$100,+'5.Variables'!$F104,0))))))</f>
        <v>1</v>
      </c>
      <c r="K37" s="292">
        <f>IF(K$8='5.Variables'!$B$10,+'5.Variables'!$F23,+IF(K$8='5.Variables'!$B$34,+'5.Variables'!$F47,+IF(K$8='5.Variables'!$B$58,+'5.Variables'!$F62,+IF(K$8='5.Variables'!$B$72,+'5.Variables'!$F76,+IF(K$8='5.Variables'!$B$86,+'5.Variables'!$F90,+IF(K$8='5.Variables'!$B$100,+'5.Variables'!$F104,0))))))</f>
        <v>0</v>
      </c>
      <c r="L37" s="292">
        <f>IF(L$8='5.Variables'!$B$10,+'5.Variables'!$F23,+IF(L$8='5.Variables'!$B$34,+'5.Variables'!$F47,+IF(L$8='5.Variables'!$B$58,+'5.Variables'!$F62,+IF(L$8='5.Variables'!$B$72,+'5.Variables'!$F76,+IF(L$8='5.Variables'!$B$86,+'5.Variables'!$F90,+IF(L$8='5.Variables'!$B$100,+'5.Variables'!$F104,0))))))</f>
        <v>0</v>
      </c>
      <c r="M37" s="143"/>
      <c r="N37" s="167">
        <f t="shared" si="2"/>
        <v>321767.13102514663</v>
      </c>
      <c r="O37" s="171"/>
      <c r="P37" s="143"/>
      <c r="Q37" s="148">
        <f>'4. Customer Growth'!B10</f>
        <v>2014</v>
      </c>
      <c r="R37" s="341">
        <f>SUM(F22:F33)</f>
        <v>4233263.55</v>
      </c>
      <c r="S37" s="173">
        <f>(R37-R36)/R36</f>
        <v>0.62933146660700778</v>
      </c>
      <c r="T37" s="341">
        <f>O33</f>
        <v>4055791.4113826836</v>
      </c>
      <c r="U37" s="173">
        <f>(T37-T36)/T36</f>
        <v>0.63607544056935661</v>
      </c>
      <c r="V37" s="173">
        <f t="shared" si="3"/>
        <v>-4.192324350259654E-2</v>
      </c>
      <c r="W37"/>
      <c r="X37"/>
      <c r="Y37"/>
      <c r="Z37" s="143"/>
      <c r="AA37" s="143"/>
      <c r="AB37" s="143"/>
      <c r="AC37" s="143"/>
      <c r="AD37" s="143"/>
      <c r="AE37" s="143"/>
      <c r="AF37" s="143"/>
      <c r="AG37" s="143"/>
      <c r="AH37" s="143"/>
      <c r="AI37" s="143"/>
    </row>
    <row r="38" spans="1:35" x14ac:dyDescent="0.3">
      <c r="A38" s="339">
        <f t="shared" si="1"/>
        <v>29</v>
      </c>
      <c r="B38" s="166" t="str">
        <f>CONCATENATE('3. Consumption by Rate Class'!B44,"-",'3. Consumption by Rate Class'!C44)</f>
        <v>2015-May</v>
      </c>
      <c r="C38" s="169">
        <v>357832.93</v>
      </c>
      <c r="D38" s="367"/>
      <c r="E38" s="367"/>
      <c r="F38" s="167">
        <f t="shared" si="0"/>
        <v>357832.93</v>
      </c>
      <c r="G38" s="292">
        <f>IF(G$8='5.Variables'!$B$10,+'5.Variables'!$G23,+IF(G$8='5.Variables'!$B$34,+'5.Variables'!$G47,+IF(G$8='5.Variables'!$B$58,+'5.Variables'!$G62,+IF(G$8='5.Variables'!$B$72,+'5.Variables'!$G76,+IF(G$8='5.Variables'!$B$86,+'5.Variables'!$G90,+IF(G$8='5.Variables'!$B$100,+'5.Variables'!$G104,0))))))</f>
        <v>156</v>
      </c>
      <c r="H38" s="292">
        <f>IF(H$8='5.Variables'!$B$10,+'5.Variables'!$G23,+IF(H$8='5.Variables'!$B$34,+'5.Variables'!$G47,+IF(H$8='5.Variables'!$B$58,+'5.Variables'!$G62,+IF(H$8='5.Variables'!$B$72,+'5.Variables'!$G76,+IF(H$8='5.Variables'!$B$86,+'5.Variables'!$G90,+IF(H$8='5.Variables'!$B$100,+'5.Variables'!$G104,0))))))</f>
        <v>19.8</v>
      </c>
      <c r="I38" s="292">
        <f>IF(I$8='5.Variables'!$B$10,+'5.Variables'!$G23,+IF(I$8='5.Variables'!$B$34,+'5.Variables'!$G47,+IF(I$8='5.Variables'!$B$58,+'5.Variables'!$G62,+IF(I$8='5.Variables'!$B$72,+'5.Variables'!$G76,+IF(I$8='5.Variables'!$B$86,+'5.Variables'!$G90,+IF(I$8='5.Variables'!$B$100,+'5.Variables'!$G104,0))))))</f>
        <v>31</v>
      </c>
      <c r="J38" s="292">
        <f>IF(J$8='5.Variables'!$B$10,+'5.Variables'!$G23,+IF(J$8='5.Variables'!$B$34,+'5.Variables'!$G47,+IF(J$8='5.Variables'!$B$58,+'5.Variables'!$G62,+IF(J$8='5.Variables'!$B$72,+'5.Variables'!$G76,+IF(J$8='5.Variables'!$B$86,+'5.Variables'!$G90,+IF(J$8='5.Variables'!$B$100,+'5.Variables'!$G104,0))))))</f>
        <v>1</v>
      </c>
      <c r="K38" s="292">
        <f>IF(K$8='5.Variables'!$B$10,+'5.Variables'!$G23,+IF(K$8='5.Variables'!$B$34,+'5.Variables'!$G47,+IF(K$8='5.Variables'!$B$58,+'5.Variables'!$G62,+IF(K$8='5.Variables'!$B$72,+'5.Variables'!$G76,+IF(K$8='5.Variables'!$B$86,+'5.Variables'!$G90,+IF(K$8='5.Variables'!$B$100,+'5.Variables'!$G104,0))))))</f>
        <v>0</v>
      </c>
      <c r="L38" s="292">
        <f>IF(L$8='5.Variables'!$B$10,+'5.Variables'!$G23,+IF(L$8='5.Variables'!$B$34,+'5.Variables'!$G47,+IF(L$8='5.Variables'!$B$58,+'5.Variables'!$G62,+IF(L$8='5.Variables'!$B$72,+'5.Variables'!$G76,+IF(L$8='5.Variables'!$B$86,+'5.Variables'!$G90,+IF(L$8='5.Variables'!$B$100,+'5.Variables'!$G104,0))))))</f>
        <v>0</v>
      </c>
      <c r="M38" s="143"/>
      <c r="N38" s="167">
        <f t="shared" si="2"/>
        <v>351598.37857324304</v>
      </c>
      <c r="O38" s="171"/>
      <c r="P38" s="143"/>
      <c r="Q38" s="148">
        <f>'4. Customer Growth'!B11</f>
        <v>2015</v>
      </c>
      <c r="R38" s="341">
        <f>SUM(F34:F45)</f>
        <v>4141943.81</v>
      </c>
      <c r="S38" s="173">
        <f t="shared" ref="S38:U45" si="4">(R38-R37)/R37</f>
        <v>-2.157194772340592E-2</v>
      </c>
      <c r="T38" s="341">
        <f>O45</f>
        <v>4098697.9769909703</v>
      </c>
      <c r="U38" s="173">
        <f t="shared" si="4"/>
        <v>1.0579085869127387E-2</v>
      </c>
      <c r="V38" s="173">
        <f t="shared" si="3"/>
        <v>-1.0440951155498592E-2</v>
      </c>
      <c r="W38"/>
      <c r="X38"/>
      <c r="Y38"/>
      <c r="Z38" s="143"/>
      <c r="AA38" s="143"/>
      <c r="AB38" s="143"/>
      <c r="AC38" s="143"/>
      <c r="AD38" s="143"/>
      <c r="AE38" s="143"/>
      <c r="AF38" s="143"/>
      <c r="AG38" s="143"/>
      <c r="AH38" s="143"/>
      <c r="AI38" s="143"/>
    </row>
    <row r="39" spans="1:35" x14ac:dyDescent="0.3">
      <c r="A39" s="339">
        <f t="shared" si="1"/>
        <v>30</v>
      </c>
      <c r="B39" s="166" t="str">
        <f>CONCATENATE('3. Consumption by Rate Class'!B45,"-",'3. Consumption by Rate Class'!C45)</f>
        <v>2015-June</v>
      </c>
      <c r="C39" s="169">
        <v>372632.13</v>
      </c>
      <c r="D39" s="367"/>
      <c r="E39" s="367"/>
      <c r="F39" s="167">
        <f t="shared" si="0"/>
        <v>372632.13</v>
      </c>
      <c r="G39" s="292">
        <f>IF(G$8='5.Variables'!$B$10,+'5.Variables'!$H23,+IF(G$8='5.Variables'!$B$34,+'5.Variables'!$H47,+IF(G$8='5.Variables'!$B$58,+'5.Variables'!$H62,+IF(G$8='5.Variables'!$B$72,+'5.Variables'!$H76,+IF(G$8='5.Variables'!$B$86,+'5.Variables'!$H90,+IF(G$8='5.Variables'!$B$100,+'5.Variables'!$H104,0))))))</f>
        <v>69.8</v>
      </c>
      <c r="H39" s="292">
        <f>IF(H$8='5.Variables'!$B$10,+'5.Variables'!$H23,+IF(H$8='5.Variables'!$B$34,+'5.Variables'!$H47,+IF(H$8='5.Variables'!$B$58,+'5.Variables'!$H62,+IF(H$8='5.Variables'!$B$72,+'5.Variables'!$H76,+IF(H$8='5.Variables'!$B$86,+'5.Variables'!$H90,+IF(H$8='5.Variables'!$B$100,+'5.Variables'!$H104,0))))))</f>
        <v>6</v>
      </c>
      <c r="I39" s="292">
        <f>IF(I$8='5.Variables'!$B$10,+'5.Variables'!$H23,+IF(I$8='5.Variables'!$B$34,+'5.Variables'!$H47,+IF(I$8='5.Variables'!$B$58,+'5.Variables'!$H62,+IF(I$8='5.Variables'!$B$72,+'5.Variables'!$H76,+IF(I$8='5.Variables'!$B$86,+'5.Variables'!$H90,+IF(I$8='5.Variables'!$B$100,+'5.Variables'!$H104,0))))))</f>
        <v>30</v>
      </c>
      <c r="J39" s="292">
        <f>IF(J$8='5.Variables'!$B$10,+'5.Variables'!$H23,+IF(J$8='5.Variables'!$B$34,+'5.Variables'!$H47,+IF(J$8='5.Variables'!$B$58,+'5.Variables'!$H62,+IF(J$8='5.Variables'!$B$72,+'5.Variables'!$H76,+IF(J$8='5.Variables'!$B$86,+'5.Variables'!$H90,+IF(J$8='5.Variables'!$B$100,+'5.Variables'!$H104,0))))))</f>
        <v>0</v>
      </c>
      <c r="K39" s="292">
        <f>IF(K$8='5.Variables'!$B$10,+'5.Variables'!$H23,+IF(K$8='5.Variables'!$B$34,+'5.Variables'!$H47,+IF(K$8='5.Variables'!$B$58,+'5.Variables'!$H62,+IF(K$8='5.Variables'!$B$72,+'5.Variables'!$H76,+IF(K$8='5.Variables'!$B$86,+'5.Variables'!$H90,+IF(K$8='5.Variables'!$B$100,+'5.Variables'!$H104,0))))))</f>
        <v>0</v>
      </c>
      <c r="L39" s="292">
        <f>IF(L$8='5.Variables'!$B$10,+'5.Variables'!$H23,+IF(L$8='5.Variables'!$B$34,+'5.Variables'!$H47,+IF(L$8='5.Variables'!$B$58,+'5.Variables'!$H62,+IF(L$8='5.Variables'!$B$72,+'5.Variables'!$H76,+IF(L$8='5.Variables'!$B$86,+'5.Variables'!$H90,+IF(L$8='5.Variables'!$B$100,+'5.Variables'!$H104,0))))))</f>
        <v>0</v>
      </c>
      <c r="M39" s="143"/>
      <c r="N39" s="167">
        <f t="shared" si="2"/>
        <v>349484.31752009399</v>
      </c>
      <c r="O39" s="171"/>
      <c r="P39" s="143"/>
      <c r="Q39" s="148">
        <f>'4. Customer Growth'!B12</f>
        <v>2016</v>
      </c>
      <c r="R39" s="341">
        <f>SUM(F46:F57)</f>
        <v>4099392.6199999996</v>
      </c>
      <c r="S39" s="173">
        <f t="shared" si="4"/>
        <v>-1.0273241731881537E-2</v>
      </c>
      <c r="T39" s="341">
        <f>O57</f>
        <v>4177827.3173012421</v>
      </c>
      <c r="U39" s="173">
        <f t="shared" si="4"/>
        <v>1.9305970031088766E-2</v>
      </c>
      <c r="V39" s="173">
        <f t="shared" si="3"/>
        <v>1.9133248403331152E-2</v>
      </c>
      <c r="W39"/>
      <c r="X39"/>
      <c r="Y39"/>
      <c r="Z39" s="143"/>
      <c r="AA39" s="143"/>
      <c r="AB39" s="143"/>
      <c r="AC39" s="143"/>
      <c r="AD39" s="143"/>
      <c r="AE39" s="143"/>
      <c r="AF39" s="143"/>
      <c r="AG39" s="143"/>
      <c r="AH39" s="143"/>
      <c r="AI39" s="143"/>
    </row>
    <row r="40" spans="1:35" x14ac:dyDescent="0.3">
      <c r="A40" s="339">
        <f t="shared" si="1"/>
        <v>31</v>
      </c>
      <c r="B40" s="166" t="str">
        <f>CONCATENATE('3. Consumption by Rate Class'!B46,"-",'3. Consumption by Rate Class'!C46)</f>
        <v>2015-July</v>
      </c>
      <c r="C40" s="169">
        <v>386222.04</v>
      </c>
      <c r="D40" s="367"/>
      <c r="E40" s="367"/>
      <c r="F40" s="167">
        <f t="shared" si="0"/>
        <v>386222.04</v>
      </c>
      <c r="G40" s="292">
        <f>IF(G$8='5.Variables'!$B$10,+'5.Variables'!$I23,+IF(G$8='5.Variables'!$B$34,+'5.Variables'!$I47,+IF(G$8='5.Variables'!$B$58,+'5.Variables'!$I62,+IF(G$8='5.Variables'!$B$72,+'5.Variables'!$I76,+IF(G$8='5.Variables'!$B$86,+'5.Variables'!$I90,+IF(G$8='5.Variables'!$B$100,+'5.Variables'!$I104,0))))))</f>
        <v>17.399999999999999</v>
      </c>
      <c r="H40" s="292">
        <f>IF(H$8='5.Variables'!$B$10,+'5.Variables'!$I23,+IF(H$8='5.Variables'!$B$34,+'5.Variables'!$I47,+IF(H$8='5.Variables'!$B$58,+'5.Variables'!$I62,+IF(H$8='5.Variables'!$B$72,+'5.Variables'!$I76,+IF(H$8='5.Variables'!$B$86,+'5.Variables'!$I90,+IF(H$8='5.Variables'!$B$100,+'5.Variables'!$I104,0))))))</f>
        <v>76.3</v>
      </c>
      <c r="I40" s="292">
        <f>IF(I$8='5.Variables'!$B$10,+'5.Variables'!$I23,+IF(I$8='5.Variables'!$B$34,+'5.Variables'!$I47,+IF(I$8='5.Variables'!$B$58,+'5.Variables'!$I62,+IF(I$8='5.Variables'!$B$72,+'5.Variables'!$I76,+IF(I$8='5.Variables'!$B$86,+'5.Variables'!$I90,+IF(I$8='5.Variables'!$B$100,+'5.Variables'!$I104,0))))))</f>
        <v>31</v>
      </c>
      <c r="J40" s="292">
        <f>IF(J$8='5.Variables'!$B$10,+'5.Variables'!$I23,+IF(J$8='5.Variables'!$B$34,+'5.Variables'!$I47,+IF(J$8='5.Variables'!$B$58,+'5.Variables'!$I62,+IF(J$8='5.Variables'!$B$72,+'5.Variables'!$I76,+IF(J$8='5.Variables'!$B$86,+'5.Variables'!$I90,+IF(J$8='5.Variables'!$B$100,+'5.Variables'!$I104,0))))))</f>
        <v>0</v>
      </c>
      <c r="K40" s="292">
        <f>IF(K$8='5.Variables'!$B$10,+'5.Variables'!$I23,+IF(K$8='5.Variables'!$B$34,+'5.Variables'!$I47,+IF(K$8='5.Variables'!$B$58,+'5.Variables'!$I62,+IF(K$8='5.Variables'!$B$72,+'5.Variables'!$I76,+IF(K$8='5.Variables'!$B$86,+'5.Variables'!$I90,+IF(K$8='5.Variables'!$B$100,+'5.Variables'!$I104,0))))))</f>
        <v>0</v>
      </c>
      <c r="L40" s="292">
        <f>IF(L$8='5.Variables'!$B$10,+'5.Variables'!$I23,+IF(L$8='5.Variables'!$B$34,+'5.Variables'!$I47,+IF(L$8='5.Variables'!$B$58,+'5.Variables'!$I62,+IF(L$8='5.Variables'!$B$72,+'5.Variables'!$I76,+IF(L$8='5.Variables'!$B$86,+'5.Variables'!$I90,+IF(L$8='5.Variables'!$B$100,+'5.Variables'!$I104,0))))))</f>
        <v>0</v>
      </c>
      <c r="M40" s="143"/>
      <c r="N40" s="167">
        <f t="shared" si="2"/>
        <v>390998.32084707794</v>
      </c>
      <c r="O40" s="171"/>
      <c r="P40" s="143"/>
      <c r="Q40" s="148">
        <f>'4. Customer Growth'!B13</f>
        <v>2017</v>
      </c>
      <c r="R40" s="341">
        <f>SUM(F58:F69)</f>
        <v>4140210.33</v>
      </c>
      <c r="S40" s="173">
        <f t="shared" si="4"/>
        <v>9.9570140710260706E-3</v>
      </c>
      <c r="T40" s="341">
        <f>O69</f>
        <v>4103977.131062842</v>
      </c>
      <c r="U40" s="173">
        <f t="shared" si="4"/>
        <v>-1.7676696672591363E-2</v>
      </c>
      <c r="V40" s="173">
        <f t="shared" si="3"/>
        <v>-8.7515358035344312E-3</v>
      </c>
      <c r="W40"/>
      <c r="X40"/>
      <c r="Y40"/>
      <c r="Z40" s="143"/>
      <c r="AA40" s="143"/>
      <c r="AB40" s="143"/>
      <c r="AC40" s="143"/>
      <c r="AD40" s="143"/>
      <c r="AE40" s="143"/>
      <c r="AF40" s="143"/>
      <c r="AG40" s="143"/>
      <c r="AH40" s="143"/>
      <c r="AI40" s="143"/>
    </row>
    <row r="41" spans="1:35" x14ac:dyDescent="0.3">
      <c r="A41" s="339">
        <f t="shared" si="1"/>
        <v>32</v>
      </c>
      <c r="B41" s="166" t="str">
        <f>CONCATENATE('3. Consumption by Rate Class'!B47,"-",'3. Consumption by Rate Class'!C47)</f>
        <v>2015-August</v>
      </c>
      <c r="C41" s="169">
        <v>379514.46</v>
      </c>
      <c r="D41" s="367"/>
      <c r="E41" s="367"/>
      <c r="F41" s="167">
        <f t="shared" si="0"/>
        <v>379514.46</v>
      </c>
      <c r="G41" s="292">
        <f>IF(G$8='5.Variables'!$B$10,+'5.Variables'!$J23,+IF(G$8='5.Variables'!$B$34,+'5.Variables'!$J47,+IF(G$8='5.Variables'!$B$58,+'5.Variables'!$J62,+IF(G$8='5.Variables'!$B$72,+'5.Variables'!$J76,+IF(G$8='5.Variables'!$B$86,+'5.Variables'!$J90,+IF(G$8='5.Variables'!$B$100,+'5.Variables'!$J104,0))))))</f>
        <v>12.2</v>
      </c>
      <c r="H41" s="292">
        <f>IF(H$8='5.Variables'!$B$10,+'5.Variables'!$J23,+IF(H$8='5.Variables'!$B$34,+'5.Variables'!$J47,+IF(H$8='5.Variables'!$B$58,+'5.Variables'!$J62,+IF(H$8='5.Variables'!$B$72,+'5.Variables'!$J76,+IF(H$8='5.Variables'!$B$86,+'5.Variables'!$J90,+IF(H$8='5.Variables'!$B$100,+'5.Variables'!$J104,0))))))</f>
        <v>65.599999999999994</v>
      </c>
      <c r="I41" s="292">
        <f>IF(I$8='5.Variables'!$B$10,+'5.Variables'!$J23,+IF(I$8='5.Variables'!$B$34,+'5.Variables'!$J47,+IF(I$8='5.Variables'!$B$58,+'5.Variables'!$J62,+IF(I$8='5.Variables'!$B$72,+'5.Variables'!$J76,+IF(I$8='5.Variables'!$B$86,+'5.Variables'!$J90,+IF(I$8='5.Variables'!$B$100,+'5.Variables'!$J104,0))))))</f>
        <v>31</v>
      </c>
      <c r="J41" s="292">
        <f>IF(J$8='5.Variables'!$B$10,+'5.Variables'!$J23,+IF(J$8='5.Variables'!$B$34,+'5.Variables'!$J47,+IF(J$8='5.Variables'!$B$58,+'5.Variables'!$J62,+IF(J$8='5.Variables'!$B$72,+'5.Variables'!$J76,+IF(J$8='5.Variables'!$B$86,+'5.Variables'!$J90,+IF(J$8='5.Variables'!$B$100,+'5.Variables'!$J104,0))))))</f>
        <v>0</v>
      </c>
      <c r="K41" s="292">
        <f>IF(K$8='5.Variables'!$B$10,+'5.Variables'!$J23,+IF(K$8='5.Variables'!$B$34,+'5.Variables'!$J47,+IF(K$8='5.Variables'!$B$58,+'5.Variables'!$J62,+IF(K$8='5.Variables'!$B$72,+'5.Variables'!$J76,+IF(K$8='5.Variables'!$B$86,+'5.Variables'!$J90,+IF(K$8='5.Variables'!$B$100,+'5.Variables'!$J104,0))))))</f>
        <v>0</v>
      </c>
      <c r="L41" s="292">
        <f>IF(L$8='5.Variables'!$B$10,+'5.Variables'!$J23,+IF(L$8='5.Variables'!$B$34,+'5.Variables'!$J47,+IF(L$8='5.Variables'!$B$58,+'5.Variables'!$J62,+IF(L$8='5.Variables'!$B$72,+'5.Variables'!$J76,+IF(L$8='5.Variables'!$B$86,+'5.Variables'!$J90,+IF(L$8='5.Variables'!$B$100,+'5.Variables'!$J104,0))))))</f>
        <v>0</v>
      </c>
      <c r="M41" s="143"/>
      <c r="N41" s="167">
        <f t="shared" si="2"/>
        <v>387149.86510746623</v>
      </c>
      <c r="O41" s="171"/>
      <c r="P41" s="143"/>
      <c r="Q41" s="148">
        <f>'4. Customer Growth'!B14</f>
        <v>2018</v>
      </c>
      <c r="R41" s="341">
        <f>SUM(F70:F81)</f>
        <v>4263662.8500000006</v>
      </c>
      <c r="S41" s="173">
        <f t="shared" si="4"/>
        <v>2.9817934394651992E-2</v>
      </c>
      <c r="T41" s="341">
        <f>O81</f>
        <v>4147837.2726249164</v>
      </c>
      <c r="U41" s="173">
        <f t="shared" si="4"/>
        <v>1.0687228549618059E-2</v>
      </c>
      <c r="V41" s="173">
        <f t="shared" si="3"/>
        <v>-2.7165744912284552E-2</v>
      </c>
      <c r="W41"/>
      <c r="X41"/>
      <c r="Y41"/>
      <c r="Z41" s="143"/>
      <c r="AA41" s="143"/>
      <c r="AB41" s="143"/>
      <c r="AC41" s="143"/>
      <c r="AD41" s="143"/>
      <c r="AE41" s="143"/>
      <c r="AF41" s="143"/>
      <c r="AG41" s="143"/>
      <c r="AH41" s="143"/>
      <c r="AI41" s="143"/>
    </row>
    <row r="42" spans="1:35" x14ac:dyDescent="0.3">
      <c r="A42" s="339">
        <f t="shared" si="1"/>
        <v>33</v>
      </c>
      <c r="B42" s="166" t="str">
        <f>CONCATENATE('3. Consumption by Rate Class'!B48,"-",'3. Consumption by Rate Class'!C48)</f>
        <v>2015-September</v>
      </c>
      <c r="C42" s="169">
        <v>353933.64</v>
      </c>
      <c r="D42" s="367"/>
      <c r="E42" s="367"/>
      <c r="F42" s="167">
        <f t="shared" ref="F42:F73" si="5">SUM(C42:E42)</f>
        <v>353933.64</v>
      </c>
      <c r="G42" s="292">
        <f>IF(G$8='5.Variables'!$B$10,+'5.Variables'!$K23,+IF(G$8='5.Variables'!$B$34,+'5.Variables'!$K47,+IF(G$8='5.Variables'!$B$58,+'5.Variables'!$K62,+IF(G$8='5.Variables'!$B$72,+'5.Variables'!$K76,+IF(G$8='5.Variables'!$B$86,+'5.Variables'!$K90,+IF(G$8='5.Variables'!$B$100,+'5.Variables'!$K104,0))))))</f>
        <v>27.6</v>
      </c>
      <c r="H42" s="292">
        <f>IF(H$8='5.Variables'!$B$10,+'5.Variables'!$K23,+IF(H$8='5.Variables'!$B$34,+'5.Variables'!$K47,+IF(H$8='5.Variables'!$B$58,+'5.Variables'!$K62,+IF(H$8='5.Variables'!$B$72,+'5.Variables'!$K76,+IF(H$8='5.Variables'!$B$86,+'5.Variables'!$K90,+IF(H$8='5.Variables'!$B$100,+'5.Variables'!$K104,0))))))</f>
        <v>69.5</v>
      </c>
      <c r="I42" s="292">
        <f>IF(I$8='5.Variables'!$B$10,+'5.Variables'!$K23,+IF(I$8='5.Variables'!$B$34,+'5.Variables'!$K47,+IF(I$8='5.Variables'!$B$58,+'5.Variables'!$K62,+IF(I$8='5.Variables'!$B$72,+'5.Variables'!$K76,+IF(I$8='5.Variables'!$B$86,+'5.Variables'!$K90,+IF(I$8='5.Variables'!$B$100,+'5.Variables'!$K104,0))))))</f>
        <v>30</v>
      </c>
      <c r="J42" s="292">
        <f>IF(J$8='5.Variables'!$B$10,+'5.Variables'!$K23,+IF(J$8='5.Variables'!$B$34,+'5.Variables'!$K47,+IF(J$8='5.Variables'!$B$58,+'5.Variables'!$K62,+IF(J$8='5.Variables'!$B$72,+'5.Variables'!$K76,+IF(J$8='5.Variables'!$B$86,+'5.Variables'!$K90,+IF(J$8='5.Variables'!$B$100,+'5.Variables'!$K104,0))))))</f>
        <v>1</v>
      </c>
      <c r="K42" s="292">
        <f>IF(K$8='5.Variables'!$B$10,+'5.Variables'!$K23,+IF(K$8='5.Variables'!$B$34,+'5.Variables'!$K47,+IF(K$8='5.Variables'!$B$58,+'5.Variables'!$K62,+IF(K$8='5.Variables'!$B$72,+'5.Variables'!$K76,+IF(K$8='5.Variables'!$B$86,+'5.Variables'!$K90,+IF(K$8='5.Variables'!$B$100,+'5.Variables'!$K104,0))))))</f>
        <v>0</v>
      </c>
      <c r="L42" s="292">
        <f>IF(L$8='5.Variables'!$B$10,+'5.Variables'!$K23,+IF(L$8='5.Variables'!$B$34,+'5.Variables'!$K47,+IF(L$8='5.Variables'!$B$58,+'5.Variables'!$K62,+IF(L$8='5.Variables'!$B$72,+'5.Variables'!$K76,+IF(L$8='5.Variables'!$B$86,+'5.Variables'!$K90,+IF(L$8='5.Variables'!$B$100,+'5.Variables'!$K104,0))))))</f>
        <v>0</v>
      </c>
      <c r="M42" s="143"/>
      <c r="N42" s="167">
        <f t="shared" si="2"/>
        <v>364821.12738820066</v>
      </c>
      <c r="O42" s="171"/>
      <c r="P42" s="143"/>
      <c r="Q42" s="148">
        <f>'4. Customer Growth'!B15</f>
        <v>2019</v>
      </c>
      <c r="R42" s="341">
        <f>SUM(F82:F93)</f>
        <v>4201222.58</v>
      </c>
      <c r="S42" s="173">
        <f t="shared" si="4"/>
        <v>-1.4644748470203379E-2</v>
      </c>
      <c r="T42" s="341">
        <f>O93:O93</f>
        <v>4070933.0689027645</v>
      </c>
      <c r="U42" s="173">
        <f t="shared" si="4"/>
        <v>-1.8540795761132618E-2</v>
      </c>
      <c r="V42" s="173">
        <f t="shared" si="3"/>
        <v>-3.1012284785262582E-2</v>
      </c>
      <c r="W42"/>
      <c r="X42"/>
      <c r="Y42"/>
      <c r="Z42" s="143"/>
      <c r="AA42" s="143"/>
      <c r="AB42" s="143"/>
      <c r="AC42" s="143"/>
      <c r="AD42" s="143"/>
      <c r="AE42" s="143"/>
      <c r="AF42" s="143"/>
      <c r="AG42" s="143"/>
      <c r="AH42" s="143"/>
      <c r="AI42" s="143"/>
    </row>
    <row r="43" spans="1:35" x14ac:dyDescent="0.3">
      <c r="A43" s="339">
        <f t="shared" si="1"/>
        <v>34</v>
      </c>
      <c r="B43" s="166" t="str">
        <f>CONCATENATE('3. Consumption by Rate Class'!B49,"-",'3. Consumption by Rate Class'!C49)</f>
        <v>2015-October</v>
      </c>
      <c r="C43" s="169">
        <v>350233.07</v>
      </c>
      <c r="D43" s="367"/>
      <c r="E43" s="367"/>
      <c r="F43" s="167">
        <f t="shared" si="5"/>
        <v>350233.07</v>
      </c>
      <c r="G43" s="292">
        <f>IF(G$8='5.Variables'!$B$10,+'5.Variables'!$L23,+IF(G$8='5.Variables'!$B$34,+'5.Variables'!$L47,+IF(G$8='5.Variables'!$B$58,+'5.Variables'!$L62,+IF(G$8='5.Variables'!$B$72,+'5.Variables'!$L76,+IF(G$8='5.Variables'!$B$86,+'5.Variables'!$L90,+IF(G$8='5.Variables'!$B$100,+'5.Variables'!$L104,0))))))</f>
        <v>257.10000000000002</v>
      </c>
      <c r="H43" s="292">
        <f>IF(H$8='5.Variables'!$B$10,+'5.Variables'!$L23,+IF(H$8='5.Variables'!$B$34,+'5.Variables'!$L47,+IF(H$8='5.Variables'!$B$58,+'5.Variables'!$L62,+IF(H$8='5.Variables'!$B$72,+'5.Variables'!$L76,+IF(H$8='5.Variables'!$B$86,+'5.Variables'!$L90,+IF(H$8='5.Variables'!$B$100,+'5.Variables'!$L104,0))))))</f>
        <v>2.8</v>
      </c>
      <c r="I43" s="292">
        <f>IF(I$8='5.Variables'!$B$10,+'5.Variables'!$L23,+IF(I$8='5.Variables'!$B$34,+'5.Variables'!$L47,+IF(I$8='5.Variables'!$B$58,+'5.Variables'!$L62,+IF(I$8='5.Variables'!$B$72,+'5.Variables'!$L76,+IF(I$8='5.Variables'!$B$86,+'5.Variables'!$L90,+IF(I$8='5.Variables'!$B$100,+'5.Variables'!$L104,0))))))</f>
        <v>31</v>
      </c>
      <c r="J43" s="292">
        <f>IF(J$8='5.Variables'!$B$10,+'5.Variables'!$L23,+IF(J$8='5.Variables'!$B$34,+'5.Variables'!$L47,+IF(J$8='5.Variables'!$B$58,+'5.Variables'!$L62,+IF(J$8='5.Variables'!$B$72,+'5.Variables'!$L76,+IF(J$8='5.Variables'!$B$86,+'5.Variables'!$L90,+IF(J$8='5.Variables'!$B$100,+'5.Variables'!$L104,0))))))</f>
        <v>1</v>
      </c>
      <c r="K43" s="292">
        <f>IF(K$8='5.Variables'!$B$10,+'5.Variables'!$L23,+IF(K$8='5.Variables'!$B$34,+'5.Variables'!$L47,+IF(K$8='5.Variables'!$B$58,+'5.Variables'!$L62,+IF(K$8='5.Variables'!$B$72,+'5.Variables'!$L76,+IF(K$8='5.Variables'!$B$86,+'5.Variables'!$L90,+IF(K$8='5.Variables'!$B$100,+'5.Variables'!$L104,0))))))</f>
        <v>0</v>
      </c>
      <c r="L43" s="292">
        <f>IF(L$8='5.Variables'!$B$10,+'5.Variables'!$L23,+IF(L$8='5.Variables'!$B$34,+'5.Variables'!$L47,+IF(L$8='5.Variables'!$B$58,+'5.Variables'!$L62,+IF(L$8='5.Variables'!$B$72,+'5.Variables'!$L76,+IF(L$8='5.Variables'!$B$86,+'5.Variables'!$L90,+IF(L$8='5.Variables'!$B$100,+'5.Variables'!$L104,0))))))</f>
        <v>0</v>
      </c>
      <c r="M43" s="143"/>
      <c r="N43" s="167">
        <f t="shared" si="2"/>
        <v>340189.44003662991</v>
      </c>
      <c r="O43" s="171"/>
      <c r="P43" s="143"/>
      <c r="Q43" s="148">
        <f>'4. Customer Growth'!B16</f>
        <v>2020</v>
      </c>
      <c r="R43" s="341" t="e">
        <f>SUM(F94:F105)</f>
        <v>#REF!</v>
      </c>
      <c r="S43" s="173" t="e">
        <f t="shared" si="4"/>
        <v>#REF!</v>
      </c>
      <c r="T43" s="341">
        <f>O105</f>
        <v>4156693.7707701018</v>
      </c>
      <c r="U43" s="173">
        <f t="shared" si="4"/>
        <v>2.1066595892339824E-2</v>
      </c>
      <c r="V43" s="173" t="e">
        <f t="shared" si="3"/>
        <v>#REF!</v>
      </c>
      <c r="W43"/>
      <c r="X43"/>
      <c r="Y43"/>
      <c r="Z43" s="143"/>
      <c r="AA43" s="143"/>
      <c r="AB43" s="143"/>
      <c r="AC43" s="143"/>
      <c r="AD43" s="143"/>
      <c r="AE43" s="143"/>
      <c r="AF43" s="143"/>
      <c r="AG43" s="143"/>
      <c r="AH43" s="143"/>
      <c r="AI43" s="143"/>
    </row>
    <row r="44" spans="1:35" x14ac:dyDescent="0.3">
      <c r="A44" s="339">
        <f t="shared" si="1"/>
        <v>35</v>
      </c>
      <c r="B44" s="166" t="str">
        <f>CONCATENATE('3. Consumption by Rate Class'!B50,"-",'3. Consumption by Rate Class'!C50)</f>
        <v>2015-November</v>
      </c>
      <c r="C44" s="169">
        <v>319086.7</v>
      </c>
      <c r="D44" s="367"/>
      <c r="E44" s="367"/>
      <c r="F44" s="167">
        <f t="shared" si="5"/>
        <v>319086.7</v>
      </c>
      <c r="G44" s="292">
        <f>IF(G$8='5.Variables'!$B$10,+'5.Variables'!$M23,+IF(G$8='5.Variables'!$B$34,+'5.Variables'!$M47,+IF(G$8='5.Variables'!$B$58,+'5.Variables'!$M62,+IF(G$8='5.Variables'!$B$72,+'5.Variables'!$M76,+IF(G$8='5.Variables'!$B$86,+'5.Variables'!$M90,+IF(G$8='5.Variables'!$B$100,+'5.Variables'!$M104,0))))))</f>
        <v>323.8</v>
      </c>
      <c r="H44" s="292">
        <f>IF(H$8='5.Variables'!$B$10,+'5.Variables'!$M23,+IF(H$8='5.Variables'!$B$34,+'5.Variables'!$M47,+IF(H$8='5.Variables'!$B$58,+'5.Variables'!$M62,+IF(H$8='5.Variables'!$B$72,+'5.Variables'!$M76,+IF(H$8='5.Variables'!$B$86,+'5.Variables'!$M90,+IF(H$8='5.Variables'!$B$100,+'5.Variables'!$M104,0))))))</f>
        <v>1.5</v>
      </c>
      <c r="I44" s="292">
        <f>IF(I$8='5.Variables'!$B$10,+'5.Variables'!$M23,+IF(I$8='5.Variables'!$B$34,+'5.Variables'!$M47,+IF(I$8='5.Variables'!$B$58,+'5.Variables'!$M62,+IF(I$8='5.Variables'!$B$72,+'5.Variables'!$M76,+IF(I$8='5.Variables'!$B$86,+'5.Variables'!$M90,+IF(I$8='5.Variables'!$B$100,+'5.Variables'!$M104,0))))))</f>
        <v>30</v>
      </c>
      <c r="J44" s="292">
        <f>IF(J$8='5.Variables'!$B$10,+'5.Variables'!$M23,+IF(J$8='5.Variables'!$B$34,+'5.Variables'!$M47,+IF(J$8='5.Variables'!$B$58,+'5.Variables'!$M62,+IF(J$8='5.Variables'!$B$72,+'5.Variables'!$M76,+IF(J$8='5.Variables'!$B$86,+'5.Variables'!$M90,+IF(J$8='5.Variables'!$B$100,+'5.Variables'!$M104,0))))))</f>
        <v>1</v>
      </c>
      <c r="K44" s="292">
        <f>IF(K$8='5.Variables'!$B$10,+'5.Variables'!$M23,+IF(K$8='5.Variables'!$B$34,+'5.Variables'!$M47,+IF(K$8='5.Variables'!$B$58,+'5.Variables'!$M62,+IF(K$8='5.Variables'!$B$72,+'5.Variables'!$M76,+IF(K$8='5.Variables'!$B$86,+'5.Variables'!$M90,+IF(K$8='5.Variables'!$B$100,+'5.Variables'!$M104,0))))))</f>
        <v>0</v>
      </c>
      <c r="L44" s="292">
        <f>IF(L$8='5.Variables'!$B$10,+'5.Variables'!$M23,+IF(L$8='5.Variables'!$B$34,+'5.Variables'!$M47,+IF(L$8='5.Variables'!$B$58,+'5.Variables'!$M62,+IF(L$8='5.Variables'!$B$72,+'5.Variables'!$M76,+IF(L$8='5.Variables'!$B$86,+'5.Variables'!$M90,+IF(L$8='5.Variables'!$B$100,+'5.Variables'!$M104,0))))))</f>
        <v>0</v>
      </c>
      <c r="M44" s="143"/>
      <c r="N44" s="167">
        <f t="shared" si="2"/>
        <v>324423.70187257673</v>
      </c>
      <c r="O44" s="171"/>
      <c r="P44" s="143"/>
      <c r="Q44" s="148">
        <f>'4. Customer Growth'!B17</f>
        <v>2021</v>
      </c>
      <c r="R44" s="341" t="e">
        <f>SUM(F106:F117)</f>
        <v>#REF!</v>
      </c>
      <c r="S44" s="173" t="e">
        <f t="shared" si="4"/>
        <v>#REF!</v>
      </c>
      <c r="T44" s="341">
        <f>O117</f>
        <v>4151679.7306457101</v>
      </c>
      <c r="U44" s="173">
        <f t="shared" si="4"/>
        <v>-1.2062567994906034E-3</v>
      </c>
      <c r="V44" s="173" t="e">
        <f t="shared" si="3"/>
        <v>#REF!</v>
      </c>
      <c r="W44"/>
      <c r="X44"/>
      <c r="Y44"/>
      <c r="Z44" s="143"/>
      <c r="AA44" s="143"/>
      <c r="AB44" s="143"/>
      <c r="AC44" s="143"/>
      <c r="AD44" s="143"/>
      <c r="AE44" s="143"/>
      <c r="AF44" s="143"/>
      <c r="AG44" s="143"/>
      <c r="AH44" s="143"/>
      <c r="AI44" s="143"/>
    </row>
    <row r="45" spans="1:35" x14ac:dyDescent="0.3">
      <c r="A45" s="339">
        <f t="shared" si="1"/>
        <v>36</v>
      </c>
      <c r="B45" s="166" t="str">
        <f>CONCATENATE('3. Consumption by Rate Class'!B51,"-",'3. Consumption by Rate Class'!C51)</f>
        <v>2015-December</v>
      </c>
      <c r="C45" s="169">
        <v>327229.36</v>
      </c>
      <c r="D45" s="367"/>
      <c r="E45" s="367"/>
      <c r="F45" s="167">
        <f t="shared" si="5"/>
        <v>327229.36</v>
      </c>
      <c r="G45" s="292">
        <f>IF(G$8='5.Variables'!$B$10,+'5.Variables'!$N23,+IF(G$8='5.Variables'!$B$34,+'5.Variables'!$N47,+IF(G$8='5.Variables'!$B$58,+'5.Variables'!$N62,+IF(G$8='5.Variables'!$B$72,+'5.Variables'!$N76,+IF(G$8='5.Variables'!$B$86,+'5.Variables'!$N90,+IF(G$8='5.Variables'!$B$100,+'5.Variables'!$N104,0))))))</f>
        <v>426</v>
      </c>
      <c r="H45" s="292">
        <f>IF(H$8='5.Variables'!$B$10,+'5.Variables'!$N23,+IF(H$8='5.Variables'!$B$34,+'5.Variables'!$N47,+IF(H$8='5.Variables'!$B$58,+'5.Variables'!$N62,+IF(H$8='5.Variables'!$B$72,+'5.Variables'!$N76,+IF(H$8='5.Variables'!$B$86,+'5.Variables'!$N90,+IF(H$8='5.Variables'!$B$100,+'5.Variables'!$N104,0))))))</f>
        <v>0</v>
      </c>
      <c r="I45" s="292">
        <f>IF(I$8='5.Variables'!$B$10,+'5.Variables'!$N23,+IF(I$8='5.Variables'!$B$34,+'5.Variables'!$N47,+IF(I$8='5.Variables'!$B$58,+'5.Variables'!$N62,+IF(I$8='5.Variables'!$B$72,+'5.Variables'!$N76,+IF(I$8='5.Variables'!$B$86,+'5.Variables'!$N90,+IF(I$8='5.Variables'!$B$100,+'5.Variables'!$N104,0))))))</f>
        <v>31</v>
      </c>
      <c r="J45" s="292">
        <f>IF(J$8='5.Variables'!$B$10,+'5.Variables'!$N23,+IF(J$8='5.Variables'!$B$34,+'5.Variables'!$N47,+IF(J$8='5.Variables'!$B$58,+'5.Variables'!$N62,+IF(J$8='5.Variables'!$B$72,+'5.Variables'!$N76,+IF(J$8='5.Variables'!$B$86,+'5.Variables'!$N90,+IF(J$8='5.Variables'!$B$100,+'5.Variables'!$N104,0))))))</f>
        <v>0</v>
      </c>
      <c r="K45" s="292">
        <f>IF(K$8='5.Variables'!$B$10,+'5.Variables'!$N23,+IF(K$8='5.Variables'!$B$34,+'5.Variables'!$N47,+IF(K$8='5.Variables'!$B$58,+'5.Variables'!$N62,+IF(K$8='5.Variables'!$B$72,+'5.Variables'!$N76,+IF(K$8='5.Variables'!$B$86,+'5.Variables'!$N90,+IF(K$8='5.Variables'!$B$100,+'5.Variables'!$N104,0))))))</f>
        <v>0</v>
      </c>
      <c r="L45" s="292">
        <f>IF(L$8='5.Variables'!$B$10,+'5.Variables'!$N23,+IF(L$8='5.Variables'!$B$34,+'5.Variables'!$N47,+IF(L$8='5.Variables'!$B$58,+'5.Variables'!$N62,+IF(L$8='5.Variables'!$B$72,+'5.Variables'!$N76,+IF(L$8='5.Variables'!$B$86,+'5.Variables'!$N90,+IF(L$8='5.Variables'!$B$100,+'5.Variables'!$N104,0))))))</f>
        <v>0</v>
      </c>
      <c r="M45" s="143"/>
      <c r="N45" s="167">
        <f t="shared" si="2"/>
        <v>341978.69733972254</v>
      </c>
      <c r="O45" s="171">
        <f>SUM(N34:N45)</f>
        <v>4098697.9769909703</v>
      </c>
      <c r="P45" s="143"/>
      <c r="Q45" s="148">
        <f>'4. Customer Growth'!B18</f>
        <v>2022</v>
      </c>
      <c r="R45" s="341" t="e">
        <f>SUM(F118:F129)</f>
        <v>#REF!</v>
      </c>
      <c r="S45" s="173" t="e">
        <f t="shared" si="4"/>
        <v>#REF!</v>
      </c>
      <c r="T45" s="341">
        <f>O129</f>
        <v>4116389.8780543394</v>
      </c>
      <c r="U45" s="173">
        <f t="shared" si="4"/>
        <v>-8.5001384694676514E-3</v>
      </c>
      <c r="V45" s="173" t="e">
        <f t="shared" si="3"/>
        <v>#REF!</v>
      </c>
      <c r="W45"/>
      <c r="X45"/>
      <c r="Y45"/>
      <c r="Z45" s="143"/>
      <c r="AA45" s="143"/>
      <c r="AB45" s="143"/>
      <c r="AC45" s="143"/>
      <c r="AD45" s="143"/>
      <c r="AE45" s="143"/>
      <c r="AF45" s="143"/>
      <c r="AG45" s="143"/>
      <c r="AH45" s="143"/>
      <c r="AI45" s="143"/>
    </row>
    <row r="46" spans="1:35" x14ac:dyDescent="0.3">
      <c r="A46" s="339">
        <f t="shared" si="1"/>
        <v>37</v>
      </c>
      <c r="B46" s="166" t="str">
        <f>CONCATENATE('3. Consumption by Rate Class'!B52,"-",'3. Consumption by Rate Class'!C52)</f>
        <v>2016-January</v>
      </c>
      <c r="C46" s="169">
        <v>329003.87</v>
      </c>
      <c r="D46" s="367"/>
      <c r="E46" s="367"/>
      <c r="F46" s="167">
        <f t="shared" si="5"/>
        <v>329003.87</v>
      </c>
      <c r="G46" s="292">
        <f>IF(G$8='5.Variables'!$B$10,+'5.Variables'!$C24,+IF(G$8='5.Variables'!$B$34,+'5.Variables'!$C48,+IF(G$8='5.Variables'!$B$58,+'5.Variables'!$C63,+IF(G$8='5.Variables'!$B$72,+'5.Variables'!$C77,+IF(G$8='5.Variables'!$B$86,+'5.Variables'!$C91,+IF(G$8='5.Variables'!$B$100,+'5.Variables'!$C105,0))))))</f>
        <v>556.4</v>
      </c>
      <c r="H46" s="292">
        <f>IF(H$8='5.Variables'!$B$10,+'5.Variables'!$C24,+IF(H$8='5.Variables'!$B$34,+'5.Variables'!$C48,+IF(H$8='5.Variables'!$B$58,+'5.Variables'!$C63,+IF(H$8='5.Variables'!$B$72,+'5.Variables'!$C77,+IF(H$8='5.Variables'!$B$86,+'5.Variables'!$C91,+IF(H$8='5.Variables'!$B$100,+'5.Variables'!$C105,0))))))</f>
        <v>0</v>
      </c>
      <c r="I46" s="292">
        <f>IF(I$8='5.Variables'!$B$10,+'5.Variables'!$C24,+IF(I$8='5.Variables'!$B$34,+'5.Variables'!$C48,+IF(I$8='5.Variables'!$B$58,+'5.Variables'!$C63,+IF(I$8='5.Variables'!$B$72,+'5.Variables'!$C77,+IF(I$8='5.Variables'!$B$86,+'5.Variables'!$C91,+IF(I$8='5.Variables'!$B$100,+'5.Variables'!$C105,0))))))</f>
        <v>31</v>
      </c>
      <c r="J46" s="292">
        <f>IF(J$8='5.Variables'!$B$10,+'5.Variables'!$C24,+IF(J$8='5.Variables'!$B$34,+'5.Variables'!$C48,+IF(J$8='5.Variables'!$B$58,+'5.Variables'!$C63,+IF(J$8='5.Variables'!$B$72,+'5.Variables'!$C77,+IF(J$8='5.Variables'!$B$86,+'5.Variables'!$C91,+IF(J$8='5.Variables'!$B$100,+'5.Variables'!$C105,0))))))</f>
        <v>0</v>
      </c>
      <c r="K46" s="292">
        <f>IF(K$8='5.Variables'!$B$10,+'5.Variables'!$C24,+IF(K$8='5.Variables'!$B$34,+'5.Variables'!$C48,+IF(K$8='5.Variables'!$B$58,+'5.Variables'!$C63,+IF(K$8='5.Variables'!$B$72,+'5.Variables'!$C77,+IF(K$8='5.Variables'!$B$86,+'5.Variables'!$C91,+IF(K$8='5.Variables'!$B$100,+'5.Variables'!$C105,0))))))</f>
        <v>0</v>
      </c>
      <c r="L46" s="292">
        <f>IF(L$8='5.Variables'!$B$10,+'5.Variables'!$C24,+IF(L$8='5.Variables'!$B$34,+'5.Variables'!$C48,+IF(L$8='5.Variables'!$B$58,+'5.Variables'!$C63,+IF(L$8='5.Variables'!$B$72,+'5.Variables'!$C77,+IF(L$8='5.Variables'!$B$86,+'5.Variables'!$C91,+IF(L$8='5.Variables'!$B$100,+'5.Variables'!$C105,0))))))</f>
        <v>0</v>
      </c>
      <c r="M46" s="143"/>
      <c r="N46" s="167">
        <f t="shared" si="2"/>
        <v>335665.59148519346</v>
      </c>
      <c r="O46" s="171"/>
      <c r="P46" s="143"/>
      <c r="Q46" s="143"/>
      <c r="R46" s="174"/>
      <c r="S46" s="174"/>
      <c r="T46" s="175"/>
      <c r="U46" s="143"/>
      <c r="V46" s="143"/>
      <c r="W46"/>
      <c r="X46"/>
      <c r="Y46"/>
      <c r="Z46" s="143"/>
      <c r="AA46" s="143"/>
      <c r="AB46" s="143"/>
      <c r="AC46" s="143"/>
      <c r="AD46" s="143"/>
      <c r="AE46" s="143"/>
      <c r="AF46" s="143"/>
      <c r="AG46" s="143"/>
      <c r="AH46" s="143"/>
      <c r="AI46" s="143"/>
    </row>
    <row r="47" spans="1:35" x14ac:dyDescent="0.3">
      <c r="A47" s="339">
        <f t="shared" si="1"/>
        <v>38</v>
      </c>
      <c r="B47" s="166" t="str">
        <f>CONCATENATE('3. Consumption by Rate Class'!B53,"-",'3. Consumption by Rate Class'!C53)</f>
        <v>2016-February</v>
      </c>
      <c r="C47" s="169">
        <v>301411.94</v>
      </c>
      <c r="D47" s="367"/>
      <c r="E47" s="367"/>
      <c r="F47" s="167">
        <f t="shared" si="5"/>
        <v>301411.94</v>
      </c>
      <c r="G47" s="292">
        <f>IF(G$8='5.Variables'!$B$10,+'5.Variables'!$D24,+IF(G$8='5.Variables'!$B$34,+'5.Variables'!$D48,+IF(G$8='5.Variables'!$B$58,+'5.Variables'!$D63,+IF(G$8='5.Variables'!$B$72,+'5.Variables'!$D77,+IF(G$8='5.Variables'!$B$86,+'5.Variables'!$D91,+IF(G$8='5.Variables'!$B$100,+'5.Variables'!$D105,0))))))</f>
        <v>623.5</v>
      </c>
      <c r="H47" s="292">
        <f>IF(H$8='5.Variables'!$B$10,+'5.Variables'!$D24,+IF(H$8='5.Variables'!$B$34,+'5.Variables'!$D48,+IF(H$8='5.Variables'!$B$58,+'5.Variables'!$D63,+IF(H$8='5.Variables'!$B$72,+'5.Variables'!$D77,+IF(H$8='5.Variables'!$B$86,+'5.Variables'!$D91,+IF(H$8='5.Variables'!$B$100,+'5.Variables'!$D105,0))))))</f>
        <v>0</v>
      </c>
      <c r="I47" s="292">
        <f>IF(I$8='5.Variables'!$B$10,+'5.Variables'!$D24,+IF(I$8='5.Variables'!$B$34,+'5.Variables'!$D48,+IF(I$8='5.Variables'!$B$58,+'5.Variables'!$D63,+IF(I$8='5.Variables'!$B$72,+'5.Variables'!$D77,+IF(I$8='5.Variables'!$B$86,+'5.Variables'!$D91,+IF(I$8='5.Variables'!$B$100,+'5.Variables'!$D105,0))))))</f>
        <v>29</v>
      </c>
      <c r="J47" s="292">
        <f>IF(J$8='5.Variables'!$B$10,+'5.Variables'!$D24,+IF(J$8='5.Variables'!$B$34,+'5.Variables'!$D48,+IF(J$8='5.Variables'!$B$58,+'5.Variables'!$D63,+IF(J$8='5.Variables'!$B$72,+'5.Variables'!$D77,+IF(J$8='5.Variables'!$B$86,+'5.Variables'!$D91,+IF(J$8='5.Variables'!$B$100,+'5.Variables'!$D105,0))))))</f>
        <v>0</v>
      </c>
      <c r="K47" s="292">
        <f>IF(K$8='5.Variables'!$B$10,+'5.Variables'!$D24,+IF(K$8='5.Variables'!$B$34,+'5.Variables'!$D48,+IF(K$8='5.Variables'!$B$58,+'5.Variables'!$D63,+IF(K$8='5.Variables'!$B$72,+'5.Variables'!$D77,+IF(K$8='5.Variables'!$B$86,+'5.Variables'!$D91,+IF(K$8='5.Variables'!$B$100,+'5.Variables'!$D105,0))))))</f>
        <v>0</v>
      </c>
      <c r="L47" s="292">
        <f>IF(L$8='5.Variables'!$B$10,+'5.Variables'!$D24,+IF(L$8='5.Variables'!$B$34,+'5.Variables'!$D48,+IF(L$8='5.Variables'!$B$58,+'5.Variables'!$D63,+IF(L$8='5.Variables'!$B$72,+'5.Variables'!$D77,+IF(L$8='5.Variables'!$B$86,+'5.Variables'!$D91,+IF(L$8='5.Variables'!$B$100,+'5.Variables'!$D105,0))))))</f>
        <v>0</v>
      </c>
      <c r="M47" s="143"/>
      <c r="N47" s="167">
        <f t="shared" si="2"/>
        <v>308340.23439435317</v>
      </c>
      <c r="O47" s="171"/>
      <c r="P47" s="143"/>
      <c r="Q47" s="147" t="s">
        <v>33</v>
      </c>
      <c r="R47" s="147" t="s">
        <v>41</v>
      </c>
      <c r="S47" s="147" t="s">
        <v>31</v>
      </c>
      <c r="T47" s="147" t="s">
        <v>30</v>
      </c>
      <c r="U47" s="143"/>
      <c r="V47" s="143"/>
      <c r="W47"/>
      <c r="X47"/>
      <c r="Y47"/>
      <c r="Z47" s="143"/>
      <c r="AA47" s="143"/>
      <c r="AB47" s="143"/>
      <c r="AC47" s="143"/>
      <c r="AD47" s="143"/>
      <c r="AE47" s="143"/>
      <c r="AF47" s="143"/>
      <c r="AG47" s="143"/>
      <c r="AH47" s="143"/>
      <c r="AI47" s="143"/>
    </row>
    <row r="48" spans="1:35" x14ac:dyDescent="0.3">
      <c r="A48" s="339">
        <f t="shared" si="1"/>
        <v>39</v>
      </c>
      <c r="B48" s="166" t="str">
        <f>CONCATENATE('3. Consumption by Rate Class'!B54,"-",'3. Consumption by Rate Class'!C54)</f>
        <v>2016-March</v>
      </c>
      <c r="C48" s="169">
        <v>312389.95</v>
      </c>
      <c r="D48" s="367"/>
      <c r="E48" s="367"/>
      <c r="F48" s="167">
        <f t="shared" si="5"/>
        <v>312389.95</v>
      </c>
      <c r="G48" s="292">
        <f>IF(G$8='5.Variables'!$B$10,+'5.Variables'!$E24,+IF(G$8='5.Variables'!$B$34,+'5.Variables'!$E48,+IF(G$8='5.Variables'!$B$58,+'5.Variables'!$E63,+IF(G$8='5.Variables'!$B$72,+'5.Variables'!$E77,+IF(G$8='5.Variables'!$B$86,+'5.Variables'!$E91,+IF(G$8='5.Variables'!$B$100,+'5.Variables'!$E105,0))))))</f>
        <v>502.2</v>
      </c>
      <c r="H48" s="292">
        <f>IF(H$8='5.Variables'!$B$10,+'5.Variables'!$E24,+IF(H$8='5.Variables'!$B$34,+'5.Variables'!$E48,+IF(H$8='5.Variables'!$B$58,+'5.Variables'!$E63,+IF(H$8='5.Variables'!$B$72,+'5.Variables'!$E77,+IF(H$8='5.Variables'!$B$86,+'5.Variables'!$E91,+IF(H$8='5.Variables'!$B$100,+'5.Variables'!$E105,0))))))</f>
        <v>0</v>
      </c>
      <c r="I48" s="292">
        <f>IF(I$8='5.Variables'!$B$10,+'5.Variables'!$E24,+IF(I$8='5.Variables'!$B$34,+'5.Variables'!$E48,+IF(I$8='5.Variables'!$B$58,+'5.Variables'!$E63,+IF(I$8='5.Variables'!$B$72,+'5.Variables'!$E77,+IF(I$8='5.Variables'!$B$86,+'5.Variables'!$E91,+IF(I$8='5.Variables'!$B$100,+'5.Variables'!$E105,0))))))</f>
        <v>31</v>
      </c>
      <c r="J48" s="292">
        <f>IF(J$8='5.Variables'!$B$10,+'5.Variables'!$E24,+IF(J$8='5.Variables'!$B$34,+'5.Variables'!$E48,+IF(J$8='5.Variables'!$B$58,+'5.Variables'!$E63,+IF(J$8='5.Variables'!$B$72,+'5.Variables'!$E77,+IF(J$8='5.Variables'!$B$86,+'5.Variables'!$E91,+IF(J$8='5.Variables'!$B$100,+'5.Variables'!$E105,0))))))</f>
        <v>1</v>
      </c>
      <c r="K48" s="292">
        <f>IF(K$8='5.Variables'!$B$10,+'5.Variables'!$E24,+IF(K$8='5.Variables'!$B$34,+'5.Variables'!$E48,+IF(K$8='5.Variables'!$B$58,+'5.Variables'!$E63,+IF(K$8='5.Variables'!$B$72,+'5.Variables'!$E77,+IF(K$8='5.Variables'!$B$86,+'5.Variables'!$E91,+IF(K$8='5.Variables'!$B$100,+'5.Variables'!$E105,0))))))</f>
        <v>0</v>
      </c>
      <c r="L48" s="292">
        <f>IF(L$8='5.Variables'!$B$10,+'5.Variables'!$E24,+IF(L$8='5.Variables'!$B$34,+'5.Variables'!$E48,+IF(L$8='5.Variables'!$B$58,+'5.Variables'!$E63,+IF(L$8='5.Variables'!$B$72,+'5.Variables'!$E77,+IF(L$8='5.Variables'!$B$86,+'5.Variables'!$E91,+IF(L$8='5.Variables'!$B$100,+'5.Variables'!$E105,0))))))</f>
        <v>0</v>
      </c>
      <c r="M48" s="143"/>
      <c r="N48" s="167">
        <f t="shared" si="2"/>
        <v>327250.36759109836</v>
      </c>
      <c r="O48" s="171"/>
      <c r="P48" s="143"/>
      <c r="Q48" s="148">
        <f>Q36</f>
        <v>2013</v>
      </c>
      <c r="R48" s="341">
        <f>R36</f>
        <v>2598159.8200000003</v>
      </c>
      <c r="S48" s="341">
        <f>T36</f>
        <v>2478975.7921989602</v>
      </c>
      <c r="T48" s="173">
        <f>IF(ABS(R48-S48)=0,0,ABS(R48-S48)/R48)</f>
        <v>4.5872477467933472E-2</v>
      </c>
      <c r="U48" s="143"/>
      <c r="V48" s="143"/>
      <c r="W48"/>
      <c r="X48"/>
      <c r="Y48"/>
      <c r="Z48" s="143"/>
      <c r="AA48" s="143"/>
      <c r="AB48" s="143"/>
      <c r="AC48" s="143"/>
      <c r="AD48" s="143"/>
      <c r="AE48" s="143"/>
      <c r="AF48" s="143"/>
      <c r="AG48" s="143"/>
      <c r="AH48" s="143"/>
      <c r="AI48" s="143"/>
    </row>
    <row r="49" spans="1:35" x14ac:dyDescent="0.3">
      <c r="A49" s="339">
        <f t="shared" si="1"/>
        <v>40</v>
      </c>
      <c r="B49" s="166" t="str">
        <f>CONCATENATE('3. Consumption by Rate Class'!B55,"-",'3. Consumption by Rate Class'!C55)</f>
        <v>2016-April</v>
      </c>
      <c r="C49" s="169">
        <v>313623.98999999993</v>
      </c>
      <c r="D49" s="367"/>
      <c r="E49" s="367"/>
      <c r="F49" s="167">
        <f t="shared" si="5"/>
        <v>313623.98999999993</v>
      </c>
      <c r="G49" s="292">
        <f>IF(G$8='5.Variables'!$B$10,+'5.Variables'!$F24,+IF(G$8='5.Variables'!$B$34,+'5.Variables'!$F48,+IF(G$8='5.Variables'!$B$58,+'5.Variables'!$F63,+IF(G$8='5.Variables'!$B$72,+'5.Variables'!$F77,+IF(G$8='5.Variables'!$B$86,+'5.Variables'!$F91,+IF(G$8='5.Variables'!$B$100,+'5.Variables'!$F105,0))))))</f>
        <v>387.4</v>
      </c>
      <c r="H49" s="292">
        <f>IF(H$8='5.Variables'!$B$10,+'5.Variables'!$F24,+IF(H$8='5.Variables'!$B$34,+'5.Variables'!$F48,+IF(H$8='5.Variables'!$B$58,+'5.Variables'!$F63,+IF(H$8='5.Variables'!$B$72,+'5.Variables'!$F77,+IF(H$8='5.Variables'!$B$86,+'5.Variables'!$F91,+IF(H$8='5.Variables'!$B$100,+'5.Variables'!$F105,0))))))</f>
        <v>0</v>
      </c>
      <c r="I49" s="292">
        <f>IF(I$8='5.Variables'!$B$10,+'5.Variables'!$F24,+IF(I$8='5.Variables'!$B$34,+'5.Variables'!$F48,+IF(I$8='5.Variables'!$B$58,+'5.Variables'!$F63,+IF(I$8='5.Variables'!$B$72,+'5.Variables'!$F77,+IF(I$8='5.Variables'!$B$86,+'5.Variables'!$F91,+IF(I$8='5.Variables'!$B$100,+'5.Variables'!$F105,0))))))</f>
        <v>30</v>
      </c>
      <c r="J49" s="292">
        <f>IF(J$8='5.Variables'!$B$10,+'5.Variables'!$F24,+IF(J$8='5.Variables'!$B$34,+'5.Variables'!$F48,+IF(J$8='5.Variables'!$B$58,+'5.Variables'!$F63,+IF(J$8='5.Variables'!$B$72,+'5.Variables'!$F77,+IF(J$8='5.Variables'!$B$86,+'5.Variables'!$F91,+IF(J$8='5.Variables'!$B$100,+'5.Variables'!$F105,0))))))</f>
        <v>1</v>
      </c>
      <c r="K49" s="292">
        <f>IF(K$8='5.Variables'!$B$10,+'5.Variables'!$F24,+IF(K$8='5.Variables'!$B$34,+'5.Variables'!$F48,+IF(K$8='5.Variables'!$B$58,+'5.Variables'!$F63,+IF(K$8='5.Variables'!$B$72,+'5.Variables'!$F77,+IF(K$8='5.Variables'!$B$86,+'5.Variables'!$F91,+IF(K$8='5.Variables'!$B$100,+'5.Variables'!$F105,0))))))</f>
        <v>0</v>
      </c>
      <c r="L49" s="292">
        <f>IF(L$8='5.Variables'!$B$10,+'5.Variables'!$F24,+IF(L$8='5.Variables'!$B$34,+'5.Variables'!$F48,+IF(L$8='5.Variables'!$B$58,+'5.Variables'!$F63,+IF(L$8='5.Variables'!$B$72,+'5.Variables'!$F77,+IF(L$8='5.Variables'!$B$86,+'5.Variables'!$F91,+IF(L$8='5.Variables'!$B$100,+'5.Variables'!$F105,0))))))</f>
        <v>0</v>
      </c>
      <c r="M49" s="143"/>
      <c r="N49" s="167">
        <f t="shared" si="2"/>
        <v>320769.81522297411</v>
      </c>
      <c r="O49" s="171"/>
      <c r="P49" s="143"/>
      <c r="Q49" s="148">
        <f t="shared" ref="Q49:Q57" si="6">Q37</f>
        <v>2014</v>
      </c>
      <c r="R49" s="341">
        <f t="shared" ref="R49:R57" si="7">R37</f>
        <v>4233263.55</v>
      </c>
      <c r="S49" s="341">
        <f t="shared" ref="S49:S57" si="8">T37</f>
        <v>4055791.4113826836</v>
      </c>
      <c r="T49" s="173">
        <f t="shared" ref="T49:T57" si="9">IF(ABS(R49-S49)=0,0,ABS(R49-S49)/R49)</f>
        <v>4.192324350259654E-2</v>
      </c>
      <c r="U49" s="176"/>
      <c r="V49" s="143"/>
      <c r="W49"/>
      <c r="X49"/>
      <c r="Y49"/>
      <c r="Z49" s="143"/>
      <c r="AA49" s="143"/>
      <c r="AB49" s="143"/>
      <c r="AC49" s="143"/>
      <c r="AD49" s="143"/>
      <c r="AE49" s="143"/>
      <c r="AF49" s="143"/>
      <c r="AG49" s="143"/>
      <c r="AH49" s="143"/>
      <c r="AI49" s="143"/>
    </row>
    <row r="50" spans="1:35" x14ac:dyDescent="0.3">
      <c r="A50" s="339">
        <f t="shared" si="1"/>
        <v>41</v>
      </c>
      <c r="B50" s="166" t="str">
        <f>CONCATENATE('3. Consumption by Rate Class'!B56,"-",'3. Consumption by Rate Class'!C56)</f>
        <v>2016-May</v>
      </c>
      <c r="C50" s="169">
        <v>330914.47000000003</v>
      </c>
      <c r="D50" s="367"/>
      <c r="E50" s="367"/>
      <c r="F50" s="167">
        <f t="shared" si="5"/>
        <v>330914.47000000003</v>
      </c>
      <c r="G50" s="292">
        <f>IF(G$8='5.Variables'!$B$10,+'5.Variables'!$G24,+IF(G$8='5.Variables'!$B$34,+'5.Variables'!$G48,+IF(G$8='5.Variables'!$B$58,+'5.Variables'!$G63,+IF(G$8='5.Variables'!$B$72,+'5.Variables'!$G77,+IF(G$8='5.Variables'!$B$86,+'5.Variables'!$G91,+IF(G$8='5.Variables'!$B$100,+'5.Variables'!$G105,0))))))</f>
        <v>206</v>
      </c>
      <c r="H50" s="292">
        <f>IF(H$8='5.Variables'!$B$10,+'5.Variables'!$G24,+IF(H$8='5.Variables'!$B$34,+'5.Variables'!$G48,+IF(H$8='5.Variables'!$B$58,+'5.Variables'!$G63,+IF(H$8='5.Variables'!$B$72,+'5.Variables'!$G77,+IF(H$8='5.Variables'!$B$86,+'5.Variables'!$G91,+IF(H$8='5.Variables'!$B$100,+'5.Variables'!$G105,0))))))</f>
        <v>18.399999999999999</v>
      </c>
      <c r="I50" s="292">
        <f>IF(I$8='5.Variables'!$B$10,+'5.Variables'!$G24,+IF(I$8='5.Variables'!$B$34,+'5.Variables'!$G48,+IF(I$8='5.Variables'!$B$58,+'5.Variables'!$G63,+IF(I$8='5.Variables'!$B$72,+'5.Variables'!$G77,+IF(I$8='5.Variables'!$B$86,+'5.Variables'!$G91,+IF(I$8='5.Variables'!$B$100,+'5.Variables'!$G105,0))))))</f>
        <v>31</v>
      </c>
      <c r="J50" s="292">
        <f>IF(J$8='5.Variables'!$B$10,+'5.Variables'!$G24,+IF(J$8='5.Variables'!$B$34,+'5.Variables'!$G48,+IF(J$8='5.Variables'!$B$58,+'5.Variables'!$G63,+IF(J$8='5.Variables'!$B$72,+'5.Variables'!$G77,+IF(J$8='5.Variables'!$B$86,+'5.Variables'!$G91,+IF(J$8='5.Variables'!$B$100,+'5.Variables'!$G105,0))))))</f>
        <v>1</v>
      </c>
      <c r="K50" s="292">
        <f>IF(K$8='5.Variables'!$B$10,+'5.Variables'!$G24,+IF(K$8='5.Variables'!$B$34,+'5.Variables'!$G48,+IF(K$8='5.Variables'!$B$58,+'5.Variables'!$G63,+IF(K$8='5.Variables'!$B$72,+'5.Variables'!$G77,+IF(K$8='5.Variables'!$B$86,+'5.Variables'!$G91,+IF(K$8='5.Variables'!$B$100,+'5.Variables'!$G105,0))))))</f>
        <v>0</v>
      </c>
      <c r="L50" s="292">
        <f>IF(L$8='5.Variables'!$B$10,+'5.Variables'!$G24,+IF(L$8='5.Variables'!$B$34,+'5.Variables'!$G48,+IF(L$8='5.Variables'!$B$58,+'5.Variables'!$G63,+IF(L$8='5.Variables'!$B$72,+'5.Variables'!$G77,+IF(L$8='5.Variables'!$B$86,+'5.Variables'!$G91,+IF(L$8='5.Variables'!$B$100,+'5.Variables'!$G105,0))))))</f>
        <v>0</v>
      </c>
      <c r="M50" s="143"/>
      <c r="N50" s="167">
        <f t="shared" si="2"/>
        <v>348641.23368288588</v>
      </c>
      <c r="O50" s="171"/>
      <c r="P50" s="143"/>
      <c r="Q50" s="148">
        <f t="shared" si="6"/>
        <v>2015</v>
      </c>
      <c r="R50" s="341">
        <f t="shared" si="7"/>
        <v>4141943.81</v>
      </c>
      <c r="S50" s="341">
        <f t="shared" si="8"/>
        <v>4098697.9769909703</v>
      </c>
      <c r="T50" s="173">
        <f t="shared" si="9"/>
        <v>1.0440951155498592E-2</v>
      </c>
      <c r="U50" s="176"/>
      <c r="V50" s="143"/>
      <c r="W50"/>
      <c r="X50"/>
      <c r="Y50"/>
      <c r="Z50" s="143"/>
      <c r="AA50" s="143"/>
      <c r="AB50" s="143"/>
      <c r="AC50" s="143"/>
      <c r="AD50" s="143"/>
      <c r="AE50" s="143"/>
      <c r="AF50" s="143"/>
      <c r="AG50" s="143"/>
      <c r="AH50" s="143"/>
      <c r="AI50" s="143"/>
    </row>
    <row r="51" spans="1:35" x14ac:dyDescent="0.3">
      <c r="A51" s="339">
        <f t="shared" si="1"/>
        <v>42</v>
      </c>
      <c r="B51" s="166" t="str">
        <f>CONCATENATE('3. Consumption by Rate Class'!B57,"-",'3. Consumption by Rate Class'!C57)</f>
        <v>2016-June</v>
      </c>
      <c r="C51" s="169">
        <v>376652.81</v>
      </c>
      <c r="D51" s="367"/>
      <c r="E51" s="367"/>
      <c r="F51" s="167">
        <f t="shared" si="5"/>
        <v>376652.81</v>
      </c>
      <c r="G51" s="292">
        <f>IF(G$8='5.Variables'!$B$10,+'5.Variables'!$H24,+IF(G$8='5.Variables'!$B$34,+'5.Variables'!$H48,+IF(G$8='5.Variables'!$B$58,+'5.Variables'!$H63,+IF(G$8='5.Variables'!$B$72,+'5.Variables'!$H77,+IF(G$8='5.Variables'!$B$86,+'5.Variables'!$H91,+IF(G$8='5.Variables'!$B$100,+'5.Variables'!$H105,0))))))</f>
        <v>58.3</v>
      </c>
      <c r="H51" s="292">
        <f>IF(H$8='5.Variables'!$B$10,+'5.Variables'!$H24,+IF(H$8='5.Variables'!$B$34,+'5.Variables'!$H48,+IF(H$8='5.Variables'!$B$58,+'5.Variables'!$H63,+IF(H$8='5.Variables'!$B$72,+'5.Variables'!$H77,+IF(H$8='5.Variables'!$B$86,+'5.Variables'!$H91,+IF(H$8='5.Variables'!$B$100,+'5.Variables'!$H105,0))))))</f>
        <v>34</v>
      </c>
      <c r="I51" s="292">
        <f>IF(I$8='5.Variables'!$B$10,+'5.Variables'!$H24,+IF(I$8='5.Variables'!$B$34,+'5.Variables'!$H48,+IF(I$8='5.Variables'!$B$58,+'5.Variables'!$H63,+IF(I$8='5.Variables'!$B$72,+'5.Variables'!$H77,+IF(I$8='5.Variables'!$B$86,+'5.Variables'!$H91,+IF(I$8='5.Variables'!$B$100,+'5.Variables'!$H105,0))))))</f>
        <v>30</v>
      </c>
      <c r="J51" s="292">
        <f>IF(J$8='5.Variables'!$B$10,+'5.Variables'!$H24,+IF(J$8='5.Variables'!$B$34,+'5.Variables'!$H48,+IF(J$8='5.Variables'!$B$58,+'5.Variables'!$H63,+IF(J$8='5.Variables'!$B$72,+'5.Variables'!$H77,+IF(J$8='5.Variables'!$B$86,+'5.Variables'!$H91,+IF(J$8='5.Variables'!$B$100,+'5.Variables'!$H105,0))))))</f>
        <v>0</v>
      </c>
      <c r="K51" s="292">
        <f>IF(K$8='5.Variables'!$B$10,+'5.Variables'!$H24,+IF(K$8='5.Variables'!$B$34,+'5.Variables'!$H48,+IF(K$8='5.Variables'!$B$58,+'5.Variables'!$H63,+IF(K$8='5.Variables'!$B$72,+'5.Variables'!$H77,+IF(K$8='5.Variables'!$B$86,+'5.Variables'!$H91,+IF(K$8='5.Variables'!$B$100,+'5.Variables'!$H105,0))))))</f>
        <v>0</v>
      </c>
      <c r="L51" s="292">
        <f>IF(L$8='5.Variables'!$B$10,+'5.Variables'!$H24,+IF(L$8='5.Variables'!$B$34,+'5.Variables'!$H48,+IF(L$8='5.Variables'!$B$58,+'5.Variables'!$H63,+IF(L$8='5.Variables'!$B$72,+'5.Variables'!$H77,+IF(L$8='5.Variables'!$B$86,+'5.Variables'!$H91,+IF(L$8='5.Variables'!$B$100,+'5.Variables'!$H105,0))))))</f>
        <v>0</v>
      </c>
      <c r="M51" s="143"/>
      <c r="N51" s="167">
        <f t="shared" si="2"/>
        <v>360770.58083949191</v>
      </c>
      <c r="O51" s="171"/>
      <c r="P51" s="143"/>
      <c r="Q51" s="148">
        <f t="shared" si="6"/>
        <v>2016</v>
      </c>
      <c r="R51" s="341">
        <f t="shared" si="7"/>
        <v>4099392.6199999996</v>
      </c>
      <c r="S51" s="341">
        <f t="shared" si="8"/>
        <v>4177827.3173012421</v>
      </c>
      <c r="T51" s="173">
        <f t="shared" si="9"/>
        <v>1.9133248403331152E-2</v>
      </c>
      <c r="U51" s="176"/>
      <c r="V51" s="143"/>
      <c r="W51"/>
      <c r="X51"/>
      <c r="Y51"/>
      <c r="Z51" s="143"/>
      <c r="AA51" s="143"/>
      <c r="AB51" s="143"/>
      <c r="AC51" s="143"/>
      <c r="AD51" s="143"/>
      <c r="AE51" s="143"/>
      <c r="AF51" s="143"/>
      <c r="AG51" s="143"/>
      <c r="AH51" s="143"/>
      <c r="AI51" s="143"/>
    </row>
    <row r="52" spans="1:35" x14ac:dyDescent="0.3">
      <c r="A52" s="339">
        <f t="shared" si="1"/>
        <v>43</v>
      </c>
      <c r="B52" s="166" t="str">
        <f>CONCATENATE('3. Consumption by Rate Class'!B58,"-",'3. Consumption by Rate Class'!C58)</f>
        <v>2016-July</v>
      </c>
      <c r="C52" s="169">
        <v>403858.91</v>
      </c>
      <c r="D52" s="367"/>
      <c r="E52" s="367"/>
      <c r="F52" s="167">
        <f t="shared" si="5"/>
        <v>403858.91</v>
      </c>
      <c r="G52" s="292">
        <f>IF(G$8='5.Variables'!$B$10,+'5.Variables'!$I24,+IF(G$8='5.Variables'!$B$34,+'5.Variables'!$I48,+IF(G$8='5.Variables'!$B$58,+'5.Variables'!$I63,+IF(G$8='5.Variables'!$B$72,+'5.Variables'!$I77,+IF(G$8='5.Variables'!$B$86,+'5.Variables'!$I91,+IF(G$8='5.Variables'!$B$100,+'5.Variables'!$I105,0))))))</f>
        <v>2.9</v>
      </c>
      <c r="H52" s="292">
        <f>IF(H$8='5.Variables'!$B$10,+'5.Variables'!$I24,+IF(H$8='5.Variables'!$B$34,+'5.Variables'!$I48,+IF(H$8='5.Variables'!$B$58,+'5.Variables'!$I63,+IF(H$8='5.Variables'!$B$72,+'5.Variables'!$I77,+IF(H$8='5.Variables'!$B$86,+'5.Variables'!$I91,+IF(H$8='5.Variables'!$B$100,+'5.Variables'!$I105,0))))))</f>
        <v>117.6</v>
      </c>
      <c r="I52" s="292">
        <f>IF(I$8='5.Variables'!$B$10,+'5.Variables'!$I24,+IF(I$8='5.Variables'!$B$34,+'5.Variables'!$I48,+IF(I$8='5.Variables'!$B$58,+'5.Variables'!$I63,+IF(I$8='5.Variables'!$B$72,+'5.Variables'!$I77,+IF(I$8='5.Variables'!$B$86,+'5.Variables'!$I91,+IF(I$8='5.Variables'!$B$100,+'5.Variables'!$I105,0))))))</f>
        <v>31</v>
      </c>
      <c r="J52" s="292">
        <f>IF(J$8='5.Variables'!$B$10,+'5.Variables'!$I24,+IF(J$8='5.Variables'!$B$34,+'5.Variables'!$I48,+IF(J$8='5.Variables'!$B$58,+'5.Variables'!$I63,+IF(J$8='5.Variables'!$B$72,+'5.Variables'!$I77,+IF(J$8='5.Variables'!$B$86,+'5.Variables'!$I91,+IF(J$8='5.Variables'!$B$100,+'5.Variables'!$I105,0))))))</f>
        <v>0</v>
      </c>
      <c r="K52" s="292">
        <f>IF(K$8='5.Variables'!$B$10,+'5.Variables'!$I24,+IF(K$8='5.Variables'!$B$34,+'5.Variables'!$I48,+IF(K$8='5.Variables'!$B$58,+'5.Variables'!$I63,+IF(K$8='5.Variables'!$B$72,+'5.Variables'!$I77,+IF(K$8='5.Variables'!$B$86,+'5.Variables'!$I91,+IF(K$8='5.Variables'!$B$100,+'5.Variables'!$I105,0))))))</f>
        <v>0</v>
      </c>
      <c r="L52" s="292">
        <f>IF(L$8='5.Variables'!$B$10,+'5.Variables'!$I24,+IF(L$8='5.Variables'!$B$34,+'5.Variables'!$I48,+IF(L$8='5.Variables'!$B$58,+'5.Variables'!$I63,+IF(L$8='5.Variables'!$B$72,+'5.Variables'!$I77,+IF(L$8='5.Variables'!$B$86,+'5.Variables'!$I91,+IF(L$8='5.Variables'!$B$100,+'5.Variables'!$I105,0))))))</f>
        <v>0</v>
      </c>
      <c r="M52" s="143"/>
      <c r="N52" s="167">
        <f t="shared" si="2"/>
        <v>407526.34127411956</v>
      </c>
      <c r="O52" s="171"/>
      <c r="P52" s="143"/>
      <c r="Q52" s="148">
        <f t="shared" si="6"/>
        <v>2017</v>
      </c>
      <c r="R52" s="341">
        <f t="shared" si="7"/>
        <v>4140210.33</v>
      </c>
      <c r="S52" s="341">
        <f t="shared" si="8"/>
        <v>4103977.131062842</v>
      </c>
      <c r="T52" s="173">
        <f t="shared" si="9"/>
        <v>8.7515358035344312E-3</v>
      </c>
      <c r="U52" s="176"/>
      <c r="V52" s="143"/>
      <c r="W52"/>
      <c r="X52"/>
      <c r="Y52"/>
      <c r="Z52" s="143"/>
      <c r="AA52" s="143"/>
      <c r="AB52" s="143"/>
      <c r="AC52" s="143"/>
      <c r="AD52" s="143"/>
      <c r="AE52" s="143"/>
      <c r="AF52" s="143"/>
      <c r="AG52" s="143"/>
      <c r="AH52" s="143"/>
      <c r="AI52" s="143"/>
    </row>
    <row r="53" spans="1:35" x14ac:dyDescent="0.3">
      <c r="A53" s="339">
        <f t="shared" si="1"/>
        <v>44</v>
      </c>
      <c r="B53" s="166" t="str">
        <f>CONCATENATE('3. Consumption by Rate Class'!B59,"-",'3. Consumption by Rate Class'!C59)</f>
        <v>2016-August</v>
      </c>
      <c r="C53" s="169">
        <v>382087.69</v>
      </c>
      <c r="D53" s="367"/>
      <c r="E53" s="367"/>
      <c r="F53" s="167">
        <f t="shared" si="5"/>
        <v>382087.69</v>
      </c>
      <c r="G53" s="292">
        <f>IF(G$8='5.Variables'!$B$10,+'5.Variables'!$J24,+IF(G$8='5.Variables'!$B$34,+'5.Variables'!$J48,+IF(G$8='5.Variables'!$B$58,+'5.Variables'!$J63,+IF(G$8='5.Variables'!$B$72,+'5.Variables'!$J77,+IF(G$8='5.Variables'!$B$86,+'5.Variables'!$J91,+IF(G$8='5.Variables'!$B$100,+'5.Variables'!$J105,0))))))</f>
        <v>0.4</v>
      </c>
      <c r="H53" s="292">
        <f>IF(H$8='5.Variables'!$B$10,+'5.Variables'!$J24,+IF(H$8='5.Variables'!$B$34,+'5.Variables'!$J48,+IF(H$8='5.Variables'!$B$58,+'5.Variables'!$J63,+IF(H$8='5.Variables'!$B$72,+'5.Variables'!$J77,+IF(H$8='5.Variables'!$B$86,+'5.Variables'!$J91,+IF(H$8='5.Variables'!$B$100,+'5.Variables'!$J105,0))))))</f>
        <v>125.8</v>
      </c>
      <c r="I53" s="292">
        <f>IF(I$8='5.Variables'!$B$10,+'5.Variables'!$J24,+IF(I$8='5.Variables'!$B$34,+'5.Variables'!$J48,+IF(I$8='5.Variables'!$B$58,+'5.Variables'!$J63,+IF(I$8='5.Variables'!$B$72,+'5.Variables'!$J77,+IF(I$8='5.Variables'!$B$86,+'5.Variables'!$J91,+IF(I$8='5.Variables'!$B$100,+'5.Variables'!$J105,0))))))</f>
        <v>31</v>
      </c>
      <c r="J53" s="292">
        <f>IF(J$8='5.Variables'!$B$10,+'5.Variables'!$J24,+IF(J$8='5.Variables'!$B$34,+'5.Variables'!$J48,+IF(J$8='5.Variables'!$B$58,+'5.Variables'!$J63,+IF(J$8='5.Variables'!$B$72,+'5.Variables'!$J77,+IF(J$8='5.Variables'!$B$86,+'5.Variables'!$J91,+IF(J$8='5.Variables'!$B$100,+'5.Variables'!$J105,0))))))</f>
        <v>0</v>
      </c>
      <c r="K53" s="292">
        <f>IF(K$8='5.Variables'!$B$10,+'5.Variables'!$J24,+IF(K$8='5.Variables'!$B$34,+'5.Variables'!$J48,+IF(K$8='5.Variables'!$B$58,+'5.Variables'!$J63,+IF(K$8='5.Variables'!$B$72,+'5.Variables'!$J77,+IF(K$8='5.Variables'!$B$86,+'5.Variables'!$J91,+IF(K$8='5.Variables'!$B$100,+'5.Variables'!$J105,0))))))</f>
        <v>0</v>
      </c>
      <c r="L53" s="292">
        <f>IF(L$8='5.Variables'!$B$10,+'5.Variables'!$J24,+IF(L$8='5.Variables'!$B$34,+'5.Variables'!$J48,+IF(L$8='5.Variables'!$B$58,+'5.Variables'!$J63,+IF(L$8='5.Variables'!$B$72,+'5.Variables'!$J77,+IF(L$8='5.Variables'!$B$86,+'5.Variables'!$J91,+IF(L$8='5.Variables'!$B$100,+'5.Variables'!$J105,0))))))</f>
        <v>0</v>
      </c>
      <c r="M53" s="143"/>
      <c r="N53" s="167">
        <f t="shared" si="2"/>
        <v>410789.58819839125</v>
      </c>
      <c r="O53" s="171"/>
      <c r="P53" s="143"/>
      <c r="Q53" s="148">
        <f t="shared" si="6"/>
        <v>2018</v>
      </c>
      <c r="R53" s="341">
        <f t="shared" si="7"/>
        <v>4263662.8500000006</v>
      </c>
      <c r="S53" s="341">
        <f t="shared" si="8"/>
        <v>4147837.2726249164</v>
      </c>
      <c r="T53" s="173">
        <f t="shared" si="9"/>
        <v>2.7165744912284552E-2</v>
      </c>
      <c r="U53" s="176"/>
      <c r="V53" s="143"/>
      <c r="W53"/>
      <c r="X53"/>
      <c r="Y53"/>
      <c r="Z53" s="143"/>
      <c r="AA53" s="143"/>
      <c r="AB53" s="143"/>
      <c r="AC53" s="143"/>
      <c r="AD53" s="143"/>
      <c r="AE53" s="143"/>
      <c r="AF53" s="143"/>
      <c r="AG53" s="143"/>
      <c r="AH53" s="143"/>
      <c r="AI53" s="143"/>
    </row>
    <row r="54" spans="1:35" x14ac:dyDescent="0.3">
      <c r="A54" s="339">
        <f t="shared" si="1"/>
        <v>45</v>
      </c>
      <c r="B54" s="166" t="str">
        <f>CONCATENATE('3. Consumption by Rate Class'!B60,"-",'3. Consumption by Rate Class'!C60)</f>
        <v>2016-September</v>
      </c>
      <c r="C54" s="169">
        <v>360163.38</v>
      </c>
      <c r="D54" s="367"/>
      <c r="E54" s="367"/>
      <c r="F54" s="167">
        <f t="shared" si="5"/>
        <v>360163.38</v>
      </c>
      <c r="G54" s="292">
        <f>IF(G$8='5.Variables'!$B$10,+'5.Variables'!$K24,+IF(G$8='5.Variables'!$B$34,+'5.Variables'!$K48,+IF(G$8='5.Variables'!$B$58,+'5.Variables'!$K63,+IF(G$8='5.Variables'!$B$72,+'5.Variables'!$K77,+IF(G$8='5.Variables'!$B$86,+'5.Variables'!$K91,+IF(G$8='5.Variables'!$B$100,+'5.Variables'!$K105,0))))))</f>
        <v>45.4</v>
      </c>
      <c r="H54" s="292">
        <f>IF(H$8='5.Variables'!$B$10,+'5.Variables'!$K24,+IF(H$8='5.Variables'!$B$34,+'5.Variables'!$K48,+IF(H$8='5.Variables'!$B$58,+'5.Variables'!$K63,+IF(H$8='5.Variables'!$B$72,+'5.Variables'!$K77,+IF(H$8='5.Variables'!$B$86,+'5.Variables'!$K91,+IF(H$8='5.Variables'!$B$100,+'5.Variables'!$K105,0))))))</f>
        <v>41.4</v>
      </c>
      <c r="I54" s="292">
        <f>IF(I$8='5.Variables'!$B$10,+'5.Variables'!$K24,+IF(I$8='5.Variables'!$B$34,+'5.Variables'!$K48,+IF(I$8='5.Variables'!$B$58,+'5.Variables'!$K63,+IF(I$8='5.Variables'!$B$72,+'5.Variables'!$K77,+IF(I$8='5.Variables'!$B$86,+'5.Variables'!$K91,+IF(I$8='5.Variables'!$B$100,+'5.Variables'!$K105,0))))))</f>
        <v>30</v>
      </c>
      <c r="J54" s="292">
        <f>IF(J$8='5.Variables'!$B$10,+'5.Variables'!$K24,+IF(J$8='5.Variables'!$B$34,+'5.Variables'!$K48,+IF(J$8='5.Variables'!$B$58,+'5.Variables'!$K63,+IF(J$8='5.Variables'!$B$72,+'5.Variables'!$K77,+IF(J$8='5.Variables'!$B$86,+'5.Variables'!$K91,+IF(J$8='5.Variables'!$B$100,+'5.Variables'!$K105,0))))))</f>
        <v>1</v>
      </c>
      <c r="K54" s="292">
        <f>IF(K$8='5.Variables'!$B$10,+'5.Variables'!$K24,+IF(K$8='5.Variables'!$B$34,+'5.Variables'!$K48,+IF(K$8='5.Variables'!$B$58,+'5.Variables'!$K63,+IF(K$8='5.Variables'!$B$72,+'5.Variables'!$K77,+IF(K$8='5.Variables'!$B$86,+'5.Variables'!$K91,+IF(K$8='5.Variables'!$B$100,+'5.Variables'!$K105,0))))))</f>
        <v>0</v>
      </c>
      <c r="L54" s="292">
        <f>IF(L$8='5.Variables'!$B$10,+'5.Variables'!$K24,+IF(L$8='5.Variables'!$B$34,+'5.Variables'!$K48,+IF(L$8='5.Variables'!$B$58,+'5.Variables'!$K63,+IF(L$8='5.Variables'!$B$72,+'5.Variables'!$K77,+IF(L$8='5.Variables'!$B$86,+'5.Variables'!$K91,+IF(L$8='5.Variables'!$B$100,+'5.Variables'!$K105,0))))))</f>
        <v>0</v>
      </c>
      <c r="M54" s="143"/>
      <c r="N54" s="167">
        <f t="shared" si="2"/>
        <v>353191.54004527861</v>
      </c>
      <c r="O54" s="171"/>
      <c r="P54" s="143"/>
      <c r="Q54" s="148">
        <f t="shared" si="6"/>
        <v>2019</v>
      </c>
      <c r="R54" s="341">
        <f t="shared" si="7"/>
        <v>4201222.58</v>
      </c>
      <c r="S54" s="341">
        <f t="shared" si="8"/>
        <v>4070933.0689027645</v>
      </c>
      <c r="T54" s="173">
        <f t="shared" si="9"/>
        <v>3.1012284785262582E-2</v>
      </c>
      <c r="U54" s="176"/>
      <c r="V54" s="143"/>
      <c r="W54"/>
      <c r="X54"/>
      <c r="Y54"/>
      <c r="Z54" s="143"/>
      <c r="AA54" s="143"/>
      <c r="AB54" s="143"/>
      <c r="AC54" s="143"/>
      <c r="AD54" s="143"/>
      <c r="AE54" s="143"/>
      <c r="AF54" s="143"/>
      <c r="AG54" s="143"/>
      <c r="AH54" s="143"/>
      <c r="AI54" s="143"/>
    </row>
    <row r="55" spans="1:35" x14ac:dyDescent="0.3">
      <c r="A55" s="339">
        <f t="shared" si="1"/>
        <v>46</v>
      </c>
      <c r="B55" s="166" t="str">
        <f>CONCATENATE('3. Consumption by Rate Class'!B61,"-",'3. Consumption by Rate Class'!C61)</f>
        <v>2016-October</v>
      </c>
      <c r="C55" s="169">
        <v>336042.38</v>
      </c>
      <c r="D55" s="367"/>
      <c r="E55" s="367"/>
      <c r="F55" s="167">
        <f t="shared" si="5"/>
        <v>336042.38</v>
      </c>
      <c r="G55" s="292">
        <f>IF(G$8='5.Variables'!$B$10,+'5.Variables'!$L24,+IF(G$8='5.Variables'!$B$34,+'5.Variables'!$L48,+IF(G$8='5.Variables'!$B$58,+'5.Variables'!$L63,+IF(G$8='5.Variables'!$B$72,+'5.Variables'!$L77,+IF(G$8='5.Variables'!$B$86,+'5.Variables'!$L91,+IF(G$8='5.Variables'!$B$100,+'5.Variables'!$L105,0))))))</f>
        <v>198.3</v>
      </c>
      <c r="H55" s="292">
        <f>IF(H$8='5.Variables'!$B$10,+'5.Variables'!$L24,+IF(H$8='5.Variables'!$B$34,+'5.Variables'!$L48,+IF(H$8='5.Variables'!$B$58,+'5.Variables'!$L63,+IF(H$8='5.Variables'!$B$72,+'5.Variables'!$L77,+IF(H$8='5.Variables'!$B$86,+'5.Variables'!$L91,+IF(H$8='5.Variables'!$B$100,+'5.Variables'!$L105,0))))))</f>
        <v>4.5</v>
      </c>
      <c r="I55" s="292">
        <f>IF(I$8='5.Variables'!$B$10,+'5.Variables'!$L24,+IF(I$8='5.Variables'!$B$34,+'5.Variables'!$L48,+IF(I$8='5.Variables'!$B$58,+'5.Variables'!$L63,+IF(I$8='5.Variables'!$B$72,+'5.Variables'!$L77,+IF(I$8='5.Variables'!$B$86,+'5.Variables'!$L91,+IF(I$8='5.Variables'!$B$100,+'5.Variables'!$L105,0))))))</f>
        <v>31</v>
      </c>
      <c r="J55" s="292">
        <f>IF(J$8='5.Variables'!$B$10,+'5.Variables'!$L24,+IF(J$8='5.Variables'!$B$34,+'5.Variables'!$L48,+IF(J$8='5.Variables'!$B$58,+'5.Variables'!$L63,+IF(J$8='5.Variables'!$B$72,+'5.Variables'!$L77,+IF(J$8='5.Variables'!$B$86,+'5.Variables'!$L91,+IF(J$8='5.Variables'!$B$100,+'5.Variables'!$L105,0))))))</f>
        <v>1</v>
      </c>
      <c r="K55" s="292">
        <f>IF(K$8='5.Variables'!$B$10,+'5.Variables'!$L24,+IF(K$8='5.Variables'!$B$34,+'5.Variables'!$L48,+IF(K$8='5.Variables'!$B$58,+'5.Variables'!$L63,+IF(K$8='5.Variables'!$B$72,+'5.Variables'!$L77,+IF(K$8='5.Variables'!$B$86,+'5.Variables'!$L91,+IF(K$8='5.Variables'!$B$100,+'5.Variables'!$L105,0))))))</f>
        <v>0</v>
      </c>
      <c r="L55" s="292">
        <f>IF(L$8='5.Variables'!$B$10,+'5.Variables'!$L24,+IF(L$8='5.Variables'!$B$34,+'5.Variables'!$L48,+IF(L$8='5.Variables'!$B$58,+'5.Variables'!$L63,+IF(L$8='5.Variables'!$B$72,+'5.Variables'!$L77,+IF(L$8='5.Variables'!$B$86,+'5.Variables'!$L91,+IF(L$8='5.Variables'!$B$100,+'5.Variables'!$L105,0))))))</f>
        <v>0</v>
      </c>
      <c r="M55" s="143"/>
      <c r="N55" s="167">
        <f t="shared" si="2"/>
        <v>343687.58177416411</v>
      </c>
      <c r="O55" s="171"/>
      <c r="P55" s="143"/>
      <c r="Q55" s="148">
        <f t="shared" si="6"/>
        <v>2020</v>
      </c>
      <c r="R55" s="341" t="e">
        <f t="shared" si="7"/>
        <v>#REF!</v>
      </c>
      <c r="S55" s="341">
        <f t="shared" si="8"/>
        <v>4156693.7707701018</v>
      </c>
      <c r="T55" s="173" t="e">
        <f t="shared" si="9"/>
        <v>#REF!</v>
      </c>
      <c r="U55" s="176"/>
      <c r="V55" s="143"/>
      <c r="W55"/>
      <c r="X55"/>
      <c r="Y55"/>
      <c r="Z55" s="143"/>
      <c r="AA55" s="143"/>
      <c r="AB55" s="143"/>
      <c r="AC55" s="143"/>
      <c r="AD55" s="143"/>
      <c r="AE55" s="143"/>
      <c r="AF55" s="143"/>
      <c r="AG55" s="143"/>
      <c r="AH55" s="143"/>
      <c r="AI55" s="143"/>
    </row>
    <row r="56" spans="1:35" x14ac:dyDescent="0.3">
      <c r="A56" s="339">
        <f t="shared" si="1"/>
        <v>47</v>
      </c>
      <c r="B56" s="166" t="str">
        <f>CONCATENATE('3. Consumption by Rate Class'!B62,"-",'3. Consumption by Rate Class'!C62)</f>
        <v>2016-November</v>
      </c>
      <c r="C56" s="169">
        <v>320582.86</v>
      </c>
      <c r="D56" s="367"/>
      <c r="E56" s="367"/>
      <c r="F56" s="167">
        <f t="shared" si="5"/>
        <v>320582.86</v>
      </c>
      <c r="G56" s="292">
        <f>IF(G$8='5.Variables'!$B$10,+'5.Variables'!$M24,+IF(G$8='5.Variables'!$B$34,+'5.Variables'!$M48,+IF(G$8='5.Variables'!$B$58,+'5.Variables'!$M63,+IF(G$8='5.Variables'!$B$72,+'5.Variables'!$M77,+IF(G$8='5.Variables'!$B$86,+'5.Variables'!$M91,+IF(G$8='5.Variables'!$B$100,+'5.Variables'!$M105,0))))))</f>
        <v>249.1</v>
      </c>
      <c r="H56" s="292">
        <f>IF(H$8='5.Variables'!$B$10,+'5.Variables'!$M24,+IF(H$8='5.Variables'!$B$34,+'5.Variables'!$M48,+IF(H$8='5.Variables'!$B$58,+'5.Variables'!$M63,+IF(H$8='5.Variables'!$B$72,+'5.Variables'!$M77,+IF(H$8='5.Variables'!$B$86,+'5.Variables'!$M91,+IF(H$8='5.Variables'!$B$100,+'5.Variables'!$M105,0))))))</f>
        <v>0</v>
      </c>
      <c r="I56" s="292">
        <f>IF(I$8='5.Variables'!$B$10,+'5.Variables'!$M24,+IF(I$8='5.Variables'!$B$34,+'5.Variables'!$M48,+IF(I$8='5.Variables'!$B$58,+'5.Variables'!$M63,+IF(I$8='5.Variables'!$B$72,+'5.Variables'!$M77,+IF(I$8='5.Variables'!$B$86,+'5.Variables'!$M91,+IF(I$8='5.Variables'!$B$100,+'5.Variables'!$M105,0))))))</f>
        <v>30</v>
      </c>
      <c r="J56" s="292">
        <f>IF(J$8='5.Variables'!$B$10,+'5.Variables'!$M24,+IF(J$8='5.Variables'!$B$34,+'5.Variables'!$M48,+IF(J$8='5.Variables'!$B$58,+'5.Variables'!$M63,+IF(J$8='5.Variables'!$B$72,+'5.Variables'!$M77,+IF(J$8='5.Variables'!$B$86,+'5.Variables'!$M91,+IF(J$8='5.Variables'!$B$100,+'5.Variables'!$M105,0))))))</f>
        <v>1</v>
      </c>
      <c r="K56" s="292">
        <f>IF(K$8='5.Variables'!$B$10,+'5.Variables'!$M24,+IF(K$8='5.Variables'!$B$34,+'5.Variables'!$M48,+IF(K$8='5.Variables'!$B$58,+'5.Variables'!$M63,+IF(K$8='5.Variables'!$B$72,+'5.Variables'!$M77,+IF(K$8='5.Variables'!$B$86,+'5.Variables'!$M91,+IF(K$8='5.Variables'!$B$100,+'5.Variables'!$M105,0))))))</f>
        <v>0</v>
      </c>
      <c r="L56" s="292">
        <f>IF(L$8='5.Variables'!$B$10,+'5.Variables'!$M24,+IF(L$8='5.Variables'!$B$34,+'5.Variables'!$M48,+IF(L$8='5.Variables'!$B$58,+'5.Variables'!$M63,+IF(L$8='5.Variables'!$B$72,+'5.Variables'!$M77,+IF(L$8='5.Variables'!$B$86,+'5.Variables'!$M91,+IF(L$8='5.Variables'!$B$100,+'5.Variables'!$M105,0))))))</f>
        <v>0</v>
      </c>
      <c r="M56" s="143"/>
      <c r="N56" s="167">
        <f t="shared" si="2"/>
        <v>327465.38684629748</v>
      </c>
      <c r="O56" s="171"/>
      <c r="P56" s="143"/>
      <c r="Q56" s="148">
        <f t="shared" si="6"/>
        <v>2021</v>
      </c>
      <c r="R56" s="341" t="e">
        <f t="shared" si="7"/>
        <v>#REF!</v>
      </c>
      <c r="S56" s="341">
        <f t="shared" si="8"/>
        <v>4151679.7306457101</v>
      </c>
      <c r="T56" s="173" t="e">
        <f t="shared" si="9"/>
        <v>#REF!</v>
      </c>
      <c r="U56" s="176"/>
      <c r="V56" s="143"/>
      <c r="W56"/>
      <c r="X56"/>
      <c r="Y56"/>
      <c r="Z56" s="143"/>
      <c r="AA56" s="143"/>
      <c r="AB56" s="143"/>
      <c r="AC56" s="143"/>
      <c r="AD56" s="143"/>
      <c r="AE56" s="143"/>
      <c r="AF56" s="143"/>
      <c r="AG56" s="143"/>
      <c r="AH56" s="143"/>
      <c r="AI56" s="143"/>
    </row>
    <row r="57" spans="1:35" x14ac:dyDescent="0.3">
      <c r="A57" s="339">
        <f t="shared" si="1"/>
        <v>48</v>
      </c>
      <c r="B57" s="166" t="str">
        <f>CONCATENATE('3. Consumption by Rate Class'!B63,"-",'3. Consumption by Rate Class'!C63)</f>
        <v>2016-December</v>
      </c>
      <c r="C57" s="169">
        <v>332660.37</v>
      </c>
      <c r="D57" s="367"/>
      <c r="E57" s="367"/>
      <c r="F57" s="167">
        <f t="shared" si="5"/>
        <v>332660.37</v>
      </c>
      <c r="G57" s="292">
        <f>IF(G$8='5.Variables'!$B$10,+'5.Variables'!$N24,+IF(G$8='5.Variables'!$B$34,+'5.Variables'!$N48,+IF(G$8='5.Variables'!$B$58,+'5.Variables'!$N63,+IF(G$8='5.Variables'!$B$72,+'5.Variables'!$N77,+IF(G$8='5.Variables'!$B$86,+'5.Variables'!$N91,+IF(G$8='5.Variables'!$B$100,+'5.Variables'!$N105,0))))))</f>
        <v>596.4</v>
      </c>
      <c r="H57" s="292">
        <f>IF(H$8='5.Variables'!$B$10,+'5.Variables'!$N24,+IF(H$8='5.Variables'!$B$34,+'5.Variables'!$N48,+IF(H$8='5.Variables'!$B$58,+'5.Variables'!$N63,+IF(H$8='5.Variables'!$B$72,+'5.Variables'!$N77,+IF(H$8='5.Variables'!$B$86,+'5.Variables'!$N91,+IF(H$8='5.Variables'!$B$100,+'5.Variables'!$N105,0))))))</f>
        <v>0</v>
      </c>
      <c r="I57" s="292">
        <f>IF(I$8='5.Variables'!$B$10,+'5.Variables'!$N24,+IF(I$8='5.Variables'!$B$34,+'5.Variables'!$N48,+IF(I$8='5.Variables'!$B$58,+'5.Variables'!$N63,+IF(I$8='5.Variables'!$B$72,+'5.Variables'!$N77,+IF(I$8='5.Variables'!$B$86,+'5.Variables'!$N91,+IF(I$8='5.Variables'!$B$100,+'5.Variables'!$N105,0))))))</f>
        <v>31</v>
      </c>
      <c r="J57" s="292">
        <f>IF(J$8='5.Variables'!$B$10,+'5.Variables'!$N24,+IF(J$8='5.Variables'!$B$34,+'5.Variables'!$N48,+IF(J$8='5.Variables'!$B$58,+'5.Variables'!$N63,+IF(J$8='5.Variables'!$B$72,+'5.Variables'!$N77,+IF(J$8='5.Variables'!$B$86,+'5.Variables'!$N91,+IF(J$8='5.Variables'!$B$100,+'5.Variables'!$N105,0))))))</f>
        <v>0</v>
      </c>
      <c r="K57" s="292">
        <f>IF(K$8='5.Variables'!$B$10,+'5.Variables'!$N24,+IF(K$8='5.Variables'!$B$34,+'5.Variables'!$N48,+IF(K$8='5.Variables'!$B$58,+'5.Variables'!$N63,+IF(K$8='5.Variables'!$B$72,+'5.Variables'!$N77,+IF(K$8='5.Variables'!$B$86,+'5.Variables'!$N91,+IF(K$8='5.Variables'!$B$100,+'5.Variables'!$N105,0))))))</f>
        <v>0</v>
      </c>
      <c r="L57" s="292">
        <f>IF(L$8='5.Variables'!$B$10,+'5.Variables'!$N24,+IF(L$8='5.Variables'!$B$34,+'5.Variables'!$N48,+IF(L$8='5.Variables'!$B$58,+'5.Variables'!$N63,+IF(L$8='5.Variables'!$B$72,+'5.Variables'!$N77,+IF(L$8='5.Variables'!$B$86,+'5.Variables'!$N91,+IF(L$8='5.Variables'!$B$100,+'5.Variables'!$N105,0))))))</f>
        <v>0</v>
      </c>
      <c r="M57" s="143"/>
      <c r="N57" s="167">
        <f t="shared" si="2"/>
        <v>333729.0559469944</v>
      </c>
      <c r="O57" s="171">
        <f>SUM(N46:N57)</f>
        <v>4177827.3173012421</v>
      </c>
      <c r="P57" s="143"/>
      <c r="Q57" s="148">
        <f t="shared" si="6"/>
        <v>2022</v>
      </c>
      <c r="R57" s="341" t="e">
        <f t="shared" si="7"/>
        <v>#REF!</v>
      </c>
      <c r="S57" s="341">
        <f t="shared" si="8"/>
        <v>4116389.8780543394</v>
      </c>
      <c r="T57" s="173" t="e">
        <f t="shared" si="9"/>
        <v>#REF!</v>
      </c>
      <c r="U57" s="176"/>
      <c r="V57" s="143"/>
      <c r="W57"/>
      <c r="X57"/>
      <c r="Y57"/>
      <c r="Z57" s="143"/>
      <c r="AA57" s="143"/>
      <c r="AB57" s="143"/>
      <c r="AC57" s="143"/>
      <c r="AD57" s="143"/>
      <c r="AE57" s="143"/>
      <c r="AF57" s="143"/>
      <c r="AG57" s="143"/>
      <c r="AH57" s="143"/>
      <c r="AI57" s="143"/>
    </row>
    <row r="58" spans="1:35" x14ac:dyDescent="0.3">
      <c r="A58" s="339">
        <f t="shared" si="1"/>
        <v>49</v>
      </c>
      <c r="B58" s="166" t="str">
        <f>CONCATENATE('3. Consumption by Rate Class'!B64,"-",'3. Consumption by Rate Class'!C64)</f>
        <v>2017-January</v>
      </c>
      <c r="C58" s="169">
        <v>325317.21000000002</v>
      </c>
      <c r="D58" s="367"/>
      <c r="E58" s="367"/>
      <c r="F58" s="167">
        <f t="shared" si="5"/>
        <v>325317.21000000002</v>
      </c>
      <c r="G58" s="292">
        <f>IF(G$8='5.Variables'!$B$10,+'5.Variables'!$C25,+IF(G$8='5.Variables'!$B$34,+'5.Variables'!$C49,+IF(G$8='5.Variables'!$B$58,+'5.Variables'!$C64,+IF(G$8='5.Variables'!$B$72,+'5.Variables'!$C78,+IF(G$8='5.Variables'!$B$86,+'5.Variables'!$C92,+IF(G$8='5.Variables'!$B$100,+'5.Variables'!$C106,0))))))</f>
        <v>641</v>
      </c>
      <c r="H58" s="292">
        <f>IF(H$8='5.Variables'!$B$10,+'5.Variables'!$C25,+IF(H$8='5.Variables'!$B$34,+'5.Variables'!$C49,+IF(H$8='5.Variables'!$B$58,+'5.Variables'!$C64,+IF(H$8='5.Variables'!$B$72,+'5.Variables'!$C78,+IF(H$8='5.Variables'!$B$86,+'5.Variables'!$C92,+IF(H$8='5.Variables'!$B$100,+'5.Variables'!$C106,0))))))</f>
        <v>0</v>
      </c>
      <c r="I58" s="292">
        <f>IF(I$8='5.Variables'!$B$10,+'5.Variables'!$C25,+IF(I$8='5.Variables'!$B$34,+'5.Variables'!$C49,+IF(I$8='5.Variables'!$B$58,+'5.Variables'!$C64,+IF(I$8='5.Variables'!$B$72,+'5.Variables'!$C78,+IF(I$8='5.Variables'!$B$86,+'5.Variables'!$C92,+IF(I$8='5.Variables'!$B$100,+'5.Variables'!$C106,0))))))</f>
        <v>31</v>
      </c>
      <c r="J58" s="292">
        <f>IF(J$8='5.Variables'!$B$10,+'5.Variables'!$C25,+IF(J$8='5.Variables'!$B$34,+'5.Variables'!$C49,+IF(J$8='5.Variables'!$B$58,+'5.Variables'!$C64,+IF(J$8='5.Variables'!$B$72,+'5.Variables'!$C78,+IF(J$8='5.Variables'!$B$86,+'5.Variables'!$C92,+IF(J$8='5.Variables'!$B$100,+'5.Variables'!$C106,0))))))</f>
        <v>0</v>
      </c>
      <c r="K58" s="292">
        <f>IF(K$8='5.Variables'!$B$10,+'5.Variables'!$C25,+IF(K$8='5.Variables'!$B$34,+'5.Variables'!$C49,+IF(K$8='5.Variables'!$B$58,+'5.Variables'!$C64,+IF(K$8='5.Variables'!$B$72,+'5.Variables'!$C78,+IF(K$8='5.Variables'!$B$86,+'5.Variables'!$C92,+IF(K$8='5.Variables'!$B$100,+'5.Variables'!$C106,0))))))</f>
        <v>0</v>
      </c>
      <c r="L58" s="292">
        <f>IF(L$8='5.Variables'!$B$10,+'5.Variables'!$C25,+IF(L$8='5.Variables'!$B$34,+'5.Variables'!$C49,+IF(L$8='5.Variables'!$B$58,+'5.Variables'!$C64,+IF(L$8='5.Variables'!$B$72,+'5.Variables'!$C78,+IF(L$8='5.Variables'!$B$86,+'5.Variables'!$C92,+IF(L$8='5.Variables'!$B$100,+'5.Variables'!$C106,0))))))</f>
        <v>0</v>
      </c>
      <c r="M58" s="143"/>
      <c r="N58" s="167">
        <f t="shared" si="2"/>
        <v>331569.81882190239</v>
      </c>
      <c r="O58" s="171"/>
      <c r="P58" s="143"/>
      <c r="Q58" s="177" t="s">
        <v>44</v>
      </c>
      <c r="R58" s="177"/>
      <c r="S58" s="177"/>
      <c r="T58" s="178" t="e">
        <f>AVERAGE(T48:T57)</f>
        <v>#REF!</v>
      </c>
      <c r="U58" s="143"/>
      <c r="V58" s="143"/>
      <c r="W58"/>
      <c r="X58"/>
      <c r="Y58"/>
      <c r="Z58" s="143"/>
      <c r="AA58" s="143"/>
      <c r="AB58" s="143"/>
      <c r="AC58" s="143"/>
      <c r="AD58" s="143"/>
      <c r="AE58" s="143"/>
      <c r="AF58" s="143"/>
      <c r="AG58" s="143"/>
      <c r="AH58" s="143"/>
      <c r="AI58" s="143"/>
    </row>
    <row r="59" spans="1:35" x14ac:dyDescent="0.3">
      <c r="A59" s="339">
        <f t="shared" si="1"/>
        <v>50</v>
      </c>
      <c r="B59" s="166" t="str">
        <f>CONCATENATE('3. Consumption by Rate Class'!B65,"-",'3. Consumption by Rate Class'!C65)</f>
        <v>2017-February</v>
      </c>
      <c r="C59" s="169">
        <v>298766.8</v>
      </c>
      <c r="D59" s="367"/>
      <c r="E59" s="367"/>
      <c r="F59" s="167">
        <f t="shared" si="5"/>
        <v>298766.8</v>
      </c>
      <c r="G59" s="292">
        <f>IF(G$8='5.Variables'!$B$10,+'5.Variables'!$D25,+IF(G$8='5.Variables'!$B$34,+'5.Variables'!$D49,+IF(G$8='5.Variables'!$B$58,+'5.Variables'!$D64,+IF(G$8='5.Variables'!$B$72,+'5.Variables'!$D78,+IF(G$8='5.Variables'!$B$86,+'5.Variables'!$D92,+IF(G$8='5.Variables'!$B$100,+'5.Variables'!$D106,0))))))</f>
        <v>512.4</v>
      </c>
      <c r="H59" s="292">
        <f>IF(H$8='5.Variables'!$B$10,+'5.Variables'!$D25,+IF(H$8='5.Variables'!$B$34,+'5.Variables'!$D49,+IF(H$8='5.Variables'!$B$58,+'5.Variables'!$D64,+IF(H$8='5.Variables'!$B$72,+'5.Variables'!$D78,+IF(H$8='5.Variables'!$B$86,+'5.Variables'!$D92,+IF(H$8='5.Variables'!$B$100,+'5.Variables'!$D106,0))))))</f>
        <v>0</v>
      </c>
      <c r="I59" s="292">
        <f>IF(I$8='5.Variables'!$B$10,+'5.Variables'!$D25,+IF(I$8='5.Variables'!$B$34,+'5.Variables'!$D49,+IF(I$8='5.Variables'!$B$58,+'5.Variables'!$D64,+IF(I$8='5.Variables'!$B$72,+'5.Variables'!$D78,+IF(I$8='5.Variables'!$B$86,+'5.Variables'!$D92,+IF(I$8='5.Variables'!$B$100,+'5.Variables'!$D106,0))))))</f>
        <v>28</v>
      </c>
      <c r="J59" s="292">
        <f>IF(J$8='5.Variables'!$B$10,+'5.Variables'!$D25,+IF(J$8='5.Variables'!$B$34,+'5.Variables'!$D49,+IF(J$8='5.Variables'!$B$58,+'5.Variables'!$D64,+IF(J$8='5.Variables'!$B$72,+'5.Variables'!$D78,+IF(J$8='5.Variables'!$B$86,+'5.Variables'!$D92,+IF(J$8='5.Variables'!$B$100,+'5.Variables'!$D106,0))))))</f>
        <v>0</v>
      </c>
      <c r="K59" s="292">
        <f>IF(K$8='5.Variables'!$B$10,+'5.Variables'!$D25,+IF(K$8='5.Variables'!$B$34,+'5.Variables'!$D49,+IF(K$8='5.Variables'!$B$58,+'5.Variables'!$D64,+IF(K$8='5.Variables'!$B$72,+'5.Variables'!$D78,+IF(K$8='5.Variables'!$B$86,+'5.Variables'!$D92,+IF(K$8='5.Variables'!$B$100,+'5.Variables'!$D106,0))))))</f>
        <v>0</v>
      </c>
      <c r="L59" s="292">
        <f>IF(L$8='5.Variables'!$B$10,+'5.Variables'!$D25,+IF(L$8='5.Variables'!$B$34,+'5.Variables'!$D49,+IF(L$8='5.Variables'!$B$58,+'5.Variables'!$D64,+IF(L$8='5.Variables'!$B$72,+'5.Variables'!$D78,+IF(L$8='5.Variables'!$B$86,+'5.Variables'!$D92,+IF(L$8='5.Variables'!$B$100,+'5.Variables'!$D106,0))))))</f>
        <v>0</v>
      </c>
      <c r="M59" s="143"/>
      <c r="N59" s="167">
        <f t="shared" si="2"/>
        <v>301680.55248894554</v>
      </c>
      <c r="O59" s="171"/>
      <c r="P59" s="143"/>
      <c r="Q59" s="177" t="s">
        <v>46</v>
      </c>
      <c r="R59" s="143"/>
      <c r="S59" s="143"/>
      <c r="T59" s="178" t="e">
        <f>MEDIAN(T48:T57)</f>
        <v>#REF!</v>
      </c>
      <c r="U59" s="143"/>
      <c r="V59" s="143"/>
      <c r="W59"/>
      <c r="X59"/>
      <c r="Y59"/>
      <c r="Z59" s="143"/>
      <c r="AA59" s="143"/>
      <c r="AB59" s="143"/>
      <c r="AC59" s="143"/>
      <c r="AD59" s="143"/>
      <c r="AE59" s="143"/>
      <c r="AF59" s="143"/>
      <c r="AG59" s="143"/>
      <c r="AH59" s="143"/>
      <c r="AI59" s="143"/>
    </row>
    <row r="60" spans="1:35" x14ac:dyDescent="0.3">
      <c r="A60" s="339">
        <f t="shared" si="1"/>
        <v>51</v>
      </c>
      <c r="B60" s="166" t="str">
        <f>CONCATENATE('3. Consumption by Rate Class'!B66,"-",'3. Consumption by Rate Class'!C66)</f>
        <v>2017-March</v>
      </c>
      <c r="C60" s="169">
        <v>322550.68</v>
      </c>
      <c r="D60" s="367"/>
      <c r="E60" s="367"/>
      <c r="F60" s="167">
        <f t="shared" si="5"/>
        <v>322550.68</v>
      </c>
      <c r="G60" s="292">
        <f>IF(G$8='5.Variables'!$B$10,+'5.Variables'!$E25,+IF(G$8='5.Variables'!$B$34,+'5.Variables'!$E49,+IF(G$8='5.Variables'!$B$58,+'5.Variables'!$E64,+IF(G$8='5.Variables'!$B$72,+'5.Variables'!$E78,+IF(G$8='5.Variables'!$B$86,+'5.Variables'!$E92,+IF(G$8='5.Variables'!$B$100,+'5.Variables'!$E106,0))))))</f>
        <v>594.29999999999995</v>
      </c>
      <c r="H60" s="292">
        <f>IF(H$8='5.Variables'!$B$10,+'5.Variables'!$E25,+IF(H$8='5.Variables'!$B$34,+'5.Variables'!$E49,+IF(H$8='5.Variables'!$B$58,+'5.Variables'!$E64,+IF(H$8='5.Variables'!$B$72,+'5.Variables'!$E78,+IF(H$8='5.Variables'!$B$86,+'5.Variables'!$E92,+IF(H$8='5.Variables'!$B$100,+'5.Variables'!$E106,0))))))</f>
        <v>0</v>
      </c>
      <c r="I60" s="292">
        <f>IF(I$8='5.Variables'!$B$10,+'5.Variables'!$E25,+IF(I$8='5.Variables'!$B$34,+'5.Variables'!$E49,+IF(I$8='5.Variables'!$B$58,+'5.Variables'!$E64,+IF(I$8='5.Variables'!$B$72,+'5.Variables'!$E78,+IF(I$8='5.Variables'!$B$86,+'5.Variables'!$E92,+IF(I$8='5.Variables'!$B$100,+'5.Variables'!$E106,0))))))</f>
        <v>31</v>
      </c>
      <c r="J60" s="292">
        <f>IF(J$8='5.Variables'!$B$10,+'5.Variables'!$E25,+IF(J$8='5.Variables'!$B$34,+'5.Variables'!$E49,+IF(J$8='5.Variables'!$B$58,+'5.Variables'!$E64,+IF(J$8='5.Variables'!$B$72,+'5.Variables'!$E78,+IF(J$8='5.Variables'!$B$86,+'5.Variables'!$E92,+IF(J$8='5.Variables'!$B$100,+'5.Variables'!$E106,0))))))</f>
        <v>1</v>
      </c>
      <c r="K60" s="292">
        <f>IF(K$8='5.Variables'!$B$10,+'5.Variables'!$E25,+IF(K$8='5.Variables'!$B$34,+'5.Variables'!$E49,+IF(K$8='5.Variables'!$B$58,+'5.Variables'!$E64,+IF(K$8='5.Variables'!$B$72,+'5.Variables'!$E78,+IF(K$8='5.Variables'!$B$86,+'5.Variables'!$E92,+IF(K$8='5.Variables'!$B$100,+'5.Variables'!$E106,0))))))</f>
        <v>0</v>
      </c>
      <c r="L60" s="292">
        <f>IF(L$8='5.Variables'!$B$10,+'5.Variables'!$E25,+IF(L$8='5.Variables'!$B$34,+'5.Variables'!$E49,+IF(L$8='5.Variables'!$B$58,+'5.Variables'!$E64,+IF(L$8='5.Variables'!$B$72,+'5.Variables'!$E78,+IF(L$8='5.Variables'!$B$86,+'5.Variables'!$E92,+IF(L$8='5.Variables'!$B$100,+'5.Variables'!$E106,0))))))</f>
        <v>0</v>
      </c>
      <c r="M60" s="143"/>
      <c r="N60" s="167">
        <f t="shared" si="2"/>
        <v>322791.4945143949</v>
      </c>
      <c r="O60" s="171"/>
      <c r="P60" s="143"/>
      <c r="Q60" s="143"/>
      <c r="R60" s="143"/>
      <c r="S60" s="143"/>
      <c r="T60" s="143"/>
      <c r="U60" s="143"/>
      <c r="V60" s="143"/>
      <c r="W60"/>
      <c r="X60"/>
      <c r="Y60"/>
      <c r="Z60" s="143"/>
      <c r="AA60" s="143"/>
      <c r="AB60" s="143"/>
      <c r="AC60" s="143"/>
      <c r="AD60" s="143"/>
      <c r="AE60" s="143"/>
      <c r="AF60" s="143"/>
      <c r="AG60" s="143"/>
      <c r="AH60" s="143"/>
      <c r="AI60" s="143"/>
    </row>
    <row r="61" spans="1:35" x14ac:dyDescent="0.3">
      <c r="A61" s="339">
        <f t="shared" si="1"/>
        <v>52</v>
      </c>
      <c r="B61" s="166" t="str">
        <f>CONCATENATE('3. Consumption by Rate Class'!B67,"-",'3. Consumption by Rate Class'!C67)</f>
        <v>2017-April</v>
      </c>
      <c r="C61" s="169">
        <v>311980.92</v>
      </c>
      <c r="D61" s="367"/>
      <c r="E61" s="367"/>
      <c r="F61" s="167">
        <f t="shared" si="5"/>
        <v>311980.92</v>
      </c>
      <c r="G61" s="292">
        <f>IF(G$8='5.Variables'!$B$10,+'5.Variables'!$F25,+IF(G$8='5.Variables'!$B$34,+'5.Variables'!$F49,+IF(G$8='5.Variables'!$B$58,+'5.Variables'!$F64,+IF(G$8='5.Variables'!$B$72,+'5.Variables'!$F78,+IF(G$8='5.Variables'!$B$86,+'5.Variables'!$F92,+IF(G$8='5.Variables'!$B$100,+'5.Variables'!$F106,0))))))</f>
        <v>298.89999999999998</v>
      </c>
      <c r="H61" s="292">
        <f>IF(H$8='5.Variables'!$B$10,+'5.Variables'!$F25,+IF(H$8='5.Variables'!$B$34,+'5.Variables'!$F49,+IF(H$8='5.Variables'!$B$58,+'5.Variables'!$F64,+IF(H$8='5.Variables'!$B$72,+'5.Variables'!$F78,+IF(H$8='5.Variables'!$B$86,+'5.Variables'!$F92,+IF(H$8='5.Variables'!$B$100,+'5.Variables'!$F106,0))))))</f>
        <v>0.5</v>
      </c>
      <c r="I61" s="292">
        <f>IF(I$8='5.Variables'!$B$10,+'5.Variables'!$F25,+IF(I$8='5.Variables'!$B$34,+'5.Variables'!$F49,+IF(I$8='5.Variables'!$B$58,+'5.Variables'!$F64,+IF(I$8='5.Variables'!$B$72,+'5.Variables'!$F78,+IF(I$8='5.Variables'!$B$86,+'5.Variables'!$F92,+IF(I$8='5.Variables'!$B$100,+'5.Variables'!$F106,0))))))</f>
        <v>30</v>
      </c>
      <c r="J61" s="292">
        <f>IF(J$8='5.Variables'!$B$10,+'5.Variables'!$F25,+IF(J$8='5.Variables'!$B$34,+'5.Variables'!$F49,+IF(J$8='5.Variables'!$B$58,+'5.Variables'!$F64,+IF(J$8='5.Variables'!$B$72,+'5.Variables'!$F78,+IF(J$8='5.Variables'!$B$86,+'5.Variables'!$F92,+IF(J$8='5.Variables'!$B$100,+'5.Variables'!$F106,0))))))</f>
        <v>1</v>
      </c>
      <c r="K61" s="292">
        <f>IF(K$8='5.Variables'!$B$10,+'5.Variables'!$F25,+IF(K$8='5.Variables'!$B$34,+'5.Variables'!$F49,+IF(K$8='5.Variables'!$B$58,+'5.Variables'!$F64,+IF(K$8='5.Variables'!$B$72,+'5.Variables'!$F78,+IF(K$8='5.Variables'!$B$86,+'5.Variables'!$F92,+IF(K$8='5.Variables'!$B$100,+'5.Variables'!$F106,0))))))</f>
        <v>0</v>
      </c>
      <c r="L61" s="292">
        <f>IF(L$8='5.Variables'!$B$10,+'5.Variables'!$F25,+IF(L$8='5.Variables'!$B$34,+'5.Variables'!$F49,+IF(L$8='5.Variables'!$B$58,+'5.Variables'!$F64,+IF(L$8='5.Variables'!$B$72,+'5.Variables'!$F78,+IF(L$8='5.Variables'!$B$86,+'5.Variables'!$F92,+IF(L$8='5.Variables'!$B$100,+'5.Variables'!$F106,0))))))</f>
        <v>0</v>
      </c>
      <c r="M61" s="143"/>
      <c r="N61" s="167">
        <f t="shared" si="2"/>
        <v>325245.99848252832</v>
      </c>
      <c r="O61" s="171"/>
      <c r="P61" s="143"/>
      <c r="Q61" s="143" t="s">
        <v>89</v>
      </c>
      <c r="R61" s="143"/>
      <c r="S61" s="143"/>
      <c r="T61" s="143"/>
      <c r="U61" s="143"/>
      <c r="V61" s="143"/>
      <c r="W61"/>
      <c r="X61"/>
      <c r="Y61"/>
      <c r="Z61" s="143"/>
      <c r="AA61" s="143"/>
      <c r="AB61" s="143"/>
      <c r="AC61" s="143"/>
      <c r="AD61" s="143"/>
      <c r="AE61" s="143"/>
      <c r="AF61" s="143"/>
      <c r="AG61" s="143"/>
      <c r="AH61" s="143"/>
      <c r="AI61" s="143"/>
    </row>
    <row r="62" spans="1:35" x14ac:dyDescent="0.3">
      <c r="A62" s="339">
        <f t="shared" si="1"/>
        <v>53</v>
      </c>
      <c r="B62" s="166" t="str">
        <f>CONCATENATE('3. Consumption by Rate Class'!B68,"-",'3. Consumption by Rate Class'!C68)</f>
        <v>2017-May</v>
      </c>
      <c r="C62" s="169">
        <v>333903.69</v>
      </c>
      <c r="D62" s="367"/>
      <c r="E62" s="367"/>
      <c r="F62" s="167">
        <f t="shared" si="5"/>
        <v>333903.69</v>
      </c>
      <c r="G62" s="292">
        <f>IF(G$8='5.Variables'!$B$10,+'5.Variables'!$G25,+IF(G$8='5.Variables'!$B$34,+'5.Variables'!$G49,+IF(G$8='5.Variables'!$B$58,+'5.Variables'!$G64,+IF(G$8='5.Variables'!$B$72,+'5.Variables'!$G78,+IF(G$8='5.Variables'!$B$86,+'5.Variables'!$G92,+IF(G$8='5.Variables'!$B$100,+'5.Variables'!$G106,0))))))</f>
        <v>221</v>
      </c>
      <c r="H62" s="292">
        <f>IF(H$8='5.Variables'!$B$10,+'5.Variables'!$G25,+IF(H$8='5.Variables'!$B$34,+'5.Variables'!$G49,+IF(H$8='5.Variables'!$B$58,+'5.Variables'!$G64,+IF(H$8='5.Variables'!$B$72,+'5.Variables'!$G78,+IF(H$8='5.Variables'!$B$86,+'5.Variables'!$G92,+IF(H$8='5.Variables'!$B$100,+'5.Variables'!$G106,0))))))</f>
        <v>8.6</v>
      </c>
      <c r="I62" s="292">
        <f>IF(I$8='5.Variables'!$B$10,+'5.Variables'!$G25,+IF(I$8='5.Variables'!$B$34,+'5.Variables'!$G49,+IF(I$8='5.Variables'!$B$58,+'5.Variables'!$G64,+IF(I$8='5.Variables'!$B$72,+'5.Variables'!$G78,+IF(I$8='5.Variables'!$B$86,+'5.Variables'!$G92,+IF(I$8='5.Variables'!$B$100,+'5.Variables'!$G106,0))))))</f>
        <v>31</v>
      </c>
      <c r="J62" s="292">
        <f>IF(J$8='5.Variables'!$B$10,+'5.Variables'!$G25,+IF(J$8='5.Variables'!$B$34,+'5.Variables'!$G49,+IF(J$8='5.Variables'!$B$58,+'5.Variables'!$G64,+IF(J$8='5.Variables'!$B$72,+'5.Variables'!$G78,+IF(J$8='5.Variables'!$B$86,+'5.Variables'!$G92,+IF(J$8='5.Variables'!$B$100,+'5.Variables'!$G106,0))))))</f>
        <v>1</v>
      </c>
      <c r="K62" s="292">
        <f>IF(K$8='5.Variables'!$B$10,+'5.Variables'!$G25,+IF(K$8='5.Variables'!$B$34,+'5.Variables'!$G49,+IF(K$8='5.Variables'!$B$58,+'5.Variables'!$G64,+IF(K$8='5.Variables'!$B$72,+'5.Variables'!$G78,+IF(K$8='5.Variables'!$B$86,+'5.Variables'!$G92,+IF(K$8='5.Variables'!$B$100,+'5.Variables'!$G106,0))))))</f>
        <v>0</v>
      </c>
      <c r="L62" s="292">
        <f>IF(L$8='5.Variables'!$B$10,+'5.Variables'!$G25,+IF(L$8='5.Variables'!$B$34,+'5.Variables'!$G49,+IF(L$8='5.Variables'!$B$58,+'5.Variables'!$G64,+IF(L$8='5.Variables'!$B$72,+'5.Variables'!$G78,+IF(L$8='5.Variables'!$B$86,+'5.Variables'!$G92,+IF(L$8='5.Variables'!$B$100,+'5.Variables'!$G106,0))))))</f>
        <v>0</v>
      </c>
      <c r="M62" s="143"/>
      <c r="N62" s="167">
        <f t="shared" si="2"/>
        <v>344159.70458280324</v>
      </c>
      <c r="O62" s="171"/>
      <c r="P62" s="143"/>
      <c r="Q62" s="143" t="s">
        <v>132</v>
      </c>
      <c r="R62" s="143"/>
      <c r="S62" s="143"/>
      <c r="T62" s="143"/>
      <c r="U62" s="143"/>
      <c r="V62" s="143"/>
      <c r="W62"/>
      <c r="X62"/>
      <c r="Y62"/>
      <c r="Z62" s="143"/>
      <c r="AA62" s="143"/>
      <c r="AB62" s="143"/>
      <c r="AC62" s="143"/>
      <c r="AD62" s="143"/>
      <c r="AE62" s="143"/>
      <c r="AF62" s="143"/>
      <c r="AG62" s="143"/>
      <c r="AH62" s="143"/>
      <c r="AI62" s="143"/>
    </row>
    <row r="63" spans="1:35" x14ac:dyDescent="0.3">
      <c r="A63" s="339">
        <f t="shared" si="1"/>
        <v>54</v>
      </c>
      <c r="B63" s="166" t="str">
        <f>CONCATENATE('3. Consumption by Rate Class'!B69,"-",'3. Consumption by Rate Class'!C69)</f>
        <v>2017-June</v>
      </c>
      <c r="C63" s="169">
        <v>343356.98</v>
      </c>
      <c r="D63" s="367"/>
      <c r="E63" s="367"/>
      <c r="F63" s="167">
        <f t="shared" si="5"/>
        <v>343356.98</v>
      </c>
      <c r="G63" s="292">
        <f>IF(G$8='5.Variables'!$B$10,+'5.Variables'!$H25,+IF(G$8='5.Variables'!$B$34,+'5.Variables'!$H49,+IF(G$8='5.Variables'!$B$58,+'5.Variables'!$H64,+IF(G$8='5.Variables'!$B$72,+'5.Variables'!$H78,+IF(G$8='5.Variables'!$B$86,+'5.Variables'!$H92,+IF(G$8='5.Variables'!$B$100,+'5.Variables'!$H106,0))))))</f>
        <v>59.8</v>
      </c>
      <c r="H63" s="292">
        <f>IF(H$8='5.Variables'!$B$10,+'5.Variables'!$H25,+IF(H$8='5.Variables'!$B$34,+'5.Variables'!$H49,+IF(H$8='5.Variables'!$B$58,+'5.Variables'!$H64,+IF(H$8='5.Variables'!$B$72,+'5.Variables'!$H78,+IF(H$8='5.Variables'!$B$86,+'5.Variables'!$H92,+IF(H$8='5.Variables'!$B$100,+'5.Variables'!$H106,0))))))</f>
        <v>40.9</v>
      </c>
      <c r="I63" s="292">
        <f>IF(I$8='5.Variables'!$B$10,+'5.Variables'!$H25,+IF(I$8='5.Variables'!$B$34,+'5.Variables'!$H49,+IF(I$8='5.Variables'!$B$58,+'5.Variables'!$H64,+IF(I$8='5.Variables'!$B$72,+'5.Variables'!$H78,+IF(I$8='5.Variables'!$B$86,+'5.Variables'!$H92,+IF(I$8='5.Variables'!$B$100,+'5.Variables'!$H106,0))))))</f>
        <v>30</v>
      </c>
      <c r="J63" s="292">
        <f>IF(J$8='5.Variables'!$B$10,+'5.Variables'!$H25,+IF(J$8='5.Variables'!$B$34,+'5.Variables'!$H49,+IF(J$8='5.Variables'!$B$58,+'5.Variables'!$H64,+IF(J$8='5.Variables'!$B$72,+'5.Variables'!$H78,+IF(J$8='5.Variables'!$B$86,+'5.Variables'!$H92,+IF(J$8='5.Variables'!$B$100,+'5.Variables'!$H106,0))))))</f>
        <v>0</v>
      </c>
      <c r="K63" s="292">
        <f>IF(K$8='5.Variables'!$B$10,+'5.Variables'!$H25,+IF(K$8='5.Variables'!$B$34,+'5.Variables'!$H49,+IF(K$8='5.Variables'!$B$58,+'5.Variables'!$H64,+IF(K$8='5.Variables'!$B$72,+'5.Variables'!$H78,+IF(K$8='5.Variables'!$B$86,+'5.Variables'!$H92,+IF(K$8='5.Variables'!$B$100,+'5.Variables'!$H106,0))))))</f>
        <v>0</v>
      </c>
      <c r="L63" s="292">
        <f>IF(L$8='5.Variables'!$B$10,+'5.Variables'!$H25,+IF(L$8='5.Variables'!$B$34,+'5.Variables'!$H49,+IF(L$8='5.Variables'!$B$58,+'5.Variables'!$H64,+IF(L$8='5.Variables'!$B$72,+'5.Variables'!$H78,+IF(L$8='5.Variables'!$B$86,+'5.Variables'!$H92,+IF(L$8='5.Variables'!$B$100,+'5.Variables'!$H106,0))))))</f>
        <v>0</v>
      </c>
      <c r="M63" s="143"/>
      <c r="N63" s="167">
        <f t="shared" si="2"/>
        <v>363342.01841859316</v>
      </c>
      <c r="O63" s="171"/>
      <c r="P63" s="143"/>
      <c r="Q63"/>
      <c r="R63"/>
      <c r="S63"/>
      <c r="T63"/>
      <c r="U63"/>
      <c r="V63"/>
      <c r="W63"/>
      <c r="X63"/>
      <c r="Y63"/>
      <c r="Z63" s="143"/>
      <c r="AA63" s="143"/>
      <c r="AB63" s="143"/>
      <c r="AC63" s="143"/>
      <c r="AD63" s="143"/>
      <c r="AE63" s="143"/>
      <c r="AF63" s="143"/>
      <c r="AG63" s="143"/>
      <c r="AH63" s="143"/>
      <c r="AI63" s="143"/>
    </row>
    <row r="64" spans="1:35" x14ac:dyDescent="0.3">
      <c r="A64" s="339">
        <f t="shared" si="1"/>
        <v>55</v>
      </c>
      <c r="B64" s="166" t="str">
        <f>CONCATENATE('3. Consumption by Rate Class'!B70,"-",'3. Consumption by Rate Class'!C70)</f>
        <v>2017-July</v>
      </c>
      <c r="C64" s="169">
        <v>392607.96</v>
      </c>
      <c r="D64" s="367"/>
      <c r="E64" s="367"/>
      <c r="F64" s="167">
        <f t="shared" si="5"/>
        <v>392607.96</v>
      </c>
      <c r="G64" s="292">
        <f>IF(G$8='5.Variables'!$B$10,+'5.Variables'!$I25,+IF(G$8='5.Variables'!$B$34,+'5.Variables'!$I49,+IF(G$8='5.Variables'!$B$58,+'5.Variables'!$I64,+IF(G$8='5.Variables'!$B$72,+'5.Variables'!$I78,+IF(G$8='5.Variables'!$B$86,+'5.Variables'!$I92,+IF(G$8='5.Variables'!$B$100,+'5.Variables'!$I106,0))))))</f>
        <v>3.9</v>
      </c>
      <c r="H64" s="292">
        <f>IF(H$8='5.Variables'!$B$10,+'5.Variables'!$I25,+IF(H$8='5.Variables'!$B$34,+'5.Variables'!$I49,+IF(H$8='5.Variables'!$B$58,+'5.Variables'!$I64,+IF(H$8='5.Variables'!$B$72,+'5.Variables'!$I78,+IF(H$8='5.Variables'!$B$86,+'5.Variables'!$I92,+IF(H$8='5.Variables'!$B$100,+'5.Variables'!$I106,0))))))</f>
        <v>61.8</v>
      </c>
      <c r="I64" s="292">
        <f>IF(I$8='5.Variables'!$B$10,+'5.Variables'!$I25,+IF(I$8='5.Variables'!$B$34,+'5.Variables'!$I49,+IF(I$8='5.Variables'!$B$58,+'5.Variables'!$I64,+IF(I$8='5.Variables'!$B$72,+'5.Variables'!$I78,+IF(I$8='5.Variables'!$B$86,+'5.Variables'!$I92,+IF(I$8='5.Variables'!$B$100,+'5.Variables'!$I106,0))))))</f>
        <v>31</v>
      </c>
      <c r="J64" s="292">
        <f>IF(J$8='5.Variables'!$B$10,+'5.Variables'!$I25,+IF(J$8='5.Variables'!$B$34,+'5.Variables'!$I49,+IF(J$8='5.Variables'!$B$58,+'5.Variables'!$I64,+IF(J$8='5.Variables'!$B$72,+'5.Variables'!$I78,+IF(J$8='5.Variables'!$B$86,+'5.Variables'!$I92,+IF(J$8='5.Variables'!$B$100,+'5.Variables'!$I106,0))))))</f>
        <v>0</v>
      </c>
      <c r="K64" s="292">
        <f>IF(K$8='5.Variables'!$B$10,+'5.Variables'!$I25,+IF(K$8='5.Variables'!$B$34,+'5.Variables'!$I49,+IF(K$8='5.Variables'!$B$58,+'5.Variables'!$I64,+IF(K$8='5.Variables'!$B$72,+'5.Variables'!$I78,+IF(K$8='5.Variables'!$B$86,+'5.Variables'!$I92,+IF(K$8='5.Variables'!$B$100,+'5.Variables'!$I106,0))))))</f>
        <v>0</v>
      </c>
      <c r="L64" s="292">
        <f>IF(L$8='5.Variables'!$B$10,+'5.Variables'!$I25,+IF(L$8='5.Variables'!$B$34,+'5.Variables'!$I49,+IF(L$8='5.Variables'!$B$58,+'5.Variables'!$I64,+IF(L$8='5.Variables'!$B$72,+'5.Variables'!$I78,+IF(L$8='5.Variables'!$B$86,+'5.Variables'!$I92,+IF(L$8='5.Variables'!$B$100,+'5.Variables'!$I106,0))))))</f>
        <v>0</v>
      </c>
      <c r="M64" s="143"/>
      <c r="N64" s="167">
        <f t="shared" si="2"/>
        <v>386095.5485338486</v>
      </c>
      <c r="O64" s="171"/>
      <c r="P64" s="143"/>
      <c r="Q64"/>
      <c r="R64"/>
      <c r="S64"/>
      <c r="T64"/>
      <c r="U64"/>
      <c r="V64"/>
      <c r="W64"/>
      <c r="X64"/>
      <c r="Y64"/>
      <c r="Z64" s="143"/>
      <c r="AA64" s="143"/>
      <c r="AB64" s="143"/>
      <c r="AC64" s="143"/>
      <c r="AD64" s="143"/>
      <c r="AE64" s="143"/>
      <c r="AF64" s="143"/>
      <c r="AG64" s="143"/>
      <c r="AH64" s="143"/>
      <c r="AI64" s="143"/>
    </row>
    <row r="65" spans="1:35" x14ac:dyDescent="0.3">
      <c r="A65" s="339">
        <f t="shared" si="1"/>
        <v>56</v>
      </c>
      <c r="B65" s="166" t="str">
        <f>CONCATENATE('3. Consumption by Rate Class'!B71,"-",'3. Consumption by Rate Class'!C71)</f>
        <v>2017-August</v>
      </c>
      <c r="C65" s="169">
        <v>405962.81</v>
      </c>
      <c r="D65" s="367"/>
      <c r="E65" s="367"/>
      <c r="F65" s="167">
        <f t="shared" si="5"/>
        <v>405962.81</v>
      </c>
      <c r="G65" s="292">
        <f>IF(G$8='5.Variables'!$B$10,+'5.Variables'!$J25,+IF(G$8='5.Variables'!$B$34,+'5.Variables'!$J49,+IF(G$8='5.Variables'!$B$58,+'5.Variables'!$J64,+IF(G$8='5.Variables'!$B$72,+'5.Variables'!$J78,+IF(G$8='5.Variables'!$B$86,+'5.Variables'!$J92,+IF(G$8='5.Variables'!$B$100,+'5.Variables'!$J106,0))))))</f>
        <v>19.3</v>
      </c>
      <c r="H65" s="292">
        <f>IF(H$8='5.Variables'!$B$10,+'5.Variables'!$J25,+IF(H$8='5.Variables'!$B$34,+'5.Variables'!$J49,+IF(H$8='5.Variables'!$B$58,+'5.Variables'!$J64,+IF(H$8='5.Variables'!$B$72,+'5.Variables'!$J78,+IF(H$8='5.Variables'!$B$86,+'5.Variables'!$J92,+IF(H$8='5.Variables'!$B$100,+'5.Variables'!$J106,0))))))</f>
        <v>44.6</v>
      </c>
      <c r="I65" s="292">
        <f>IF(I$8='5.Variables'!$B$10,+'5.Variables'!$J25,+IF(I$8='5.Variables'!$B$34,+'5.Variables'!$J49,+IF(I$8='5.Variables'!$B$58,+'5.Variables'!$J64,+IF(I$8='5.Variables'!$B$72,+'5.Variables'!$J78,+IF(I$8='5.Variables'!$B$86,+'5.Variables'!$J92,+IF(I$8='5.Variables'!$B$100,+'5.Variables'!$J106,0))))))</f>
        <v>31</v>
      </c>
      <c r="J65" s="292">
        <f>IF(J$8='5.Variables'!$B$10,+'5.Variables'!$J25,+IF(J$8='5.Variables'!$B$34,+'5.Variables'!$J49,+IF(J$8='5.Variables'!$B$58,+'5.Variables'!$J64,+IF(J$8='5.Variables'!$B$72,+'5.Variables'!$J78,+IF(J$8='5.Variables'!$B$86,+'5.Variables'!$J92,+IF(J$8='5.Variables'!$B$100,+'5.Variables'!$J106,0))))))</f>
        <v>0</v>
      </c>
      <c r="K65" s="292">
        <f>IF(K$8='5.Variables'!$B$10,+'5.Variables'!$J25,+IF(K$8='5.Variables'!$B$34,+'5.Variables'!$J49,+IF(K$8='5.Variables'!$B$58,+'5.Variables'!$J64,+IF(K$8='5.Variables'!$B$72,+'5.Variables'!$J78,+IF(K$8='5.Variables'!$B$86,+'5.Variables'!$J92,+IF(K$8='5.Variables'!$B$100,+'5.Variables'!$J106,0))))))</f>
        <v>0</v>
      </c>
      <c r="L65" s="292">
        <f>IF(L$8='5.Variables'!$B$10,+'5.Variables'!$J25,+IF(L$8='5.Variables'!$B$34,+'5.Variables'!$J49,+IF(L$8='5.Variables'!$B$58,+'5.Variables'!$J64,+IF(L$8='5.Variables'!$B$72,+'5.Variables'!$J78,+IF(L$8='5.Variables'!$B$86,+'5.Variables'!$J92,+IF(L$8='5.Variables'!$B$100,+'5.Variables'!$J106,0))))))</f>
        <v>0</v>
      </c>
      <c r="M65" s="143"/>
      <c r="N65" s="167">
        <f t="shared" si="2"/>
        <v>378758.99803531158</v>
      </c>
      <c r="O65" s="171"/>
      <c r="P65" s="143"/>
      <c r="Q65"/>
      <c r="R65"/>
      <c r="S65"/>
      <c r="T65"/>
      <c r="U65"/>
      <c r="V65"/>
      <c r="W65"/>
      <c r="X65"/>
      <c r="Y65"/>
      <c r="Z65" s="143"/>
      <c r="AA65" s="143"/>
      <c r="AB65" s="143"/>
      <c r="AC65" s="143"/>
      <c r="AD65" s="143"/>
      <c r="AE65" s="143"/>
      <c r="AF65" s="143"/>
      <c r="AG65" s="143"/>
      <c r="AH65" s="143"/>
      <c r="AI65" s="143"/>
    </row>
    <row r="66" spans="1:35" x14ac:dyDescent="0.3">
      <c r="A66" s="339">
        <f t="shared" si="1"/>
        <v>57</v>
      </c>
      <c r="B66" s="166" t="str">
        <f>CONCATENATE('3. Consumption by Rate Class'!B72,"-",'3. Consumption by Rate Class'!C72)</f>
        <v>2017-September</v>
      </c>
      <c r="C66" s="169">
        <v>361913.15</v>
      </c>
      <c r="D66" s="367"/>
      <c r="E66" s="367"/>
      <c r="F66" s="167">
        <f t="shared" si="5"/>
        <v>361913.15</v>
      </c>
      <c r="G66" s="292">
        <f>IF(G$8='5.Variables'!$B$10,+'5.Variables'!$K25,+IF(G$8='5.Variables'!$B$34,+'5.Variables'!$K49,+IF(G$8='5.Variables'!$B$58,+'5.Variables'!$K64,+IF(G$8='5.Variables'!$B$72,+'5.Variables'!$K78,+IF(G$8='5.Variables'!$B$86,+'5.Variables'!$K92,+IF(G$8='5.Variables'!$B$100,+'5.Variables'!$K106,0))))))</f>
        <v>69</v>
      </c>
      <c r="H66" s="292">
        <f>IF(H$8='5.Variables'!$B$10,+'5.Variables'!$K25,+IF(H$8='5.Variables'!$B$34,+'5.Variables'!$K49,+IF(H$8='5.Variables'!$B$58,+'5.Variables'!$K64,+IF(H$8='5.Variables'!$B$72,+'5.Variables'!$K78,+IF(H$8='5.Variables'!$B$86,+'5.Variables'!$K92,+IF(H$8='5.Variables'!$B$100,+'5.Variables'!$K106,0))))))</f>
        <v>52</v>
      </c>
      <c r="I66" s="292">
        <f>IF(I$8='5.Variables'!$B$10,+'5.Variables'!$K25,+IF(I$8='5.Variables'!$B$34,+'5.Variables'!$K49,+IF(I$8='5.Variables'!$B$58,+'5.Variables'!$K64,+IF(I$8='5.Variables'!$B$72,+'5.Variables'!$K78,+IF(I$8='5.Variables'!$B$86,+'5.Variables'!$K92,+IF(I$8='5.Variables'!$B$100,+'5.Variables'!$K106,0))))))</f>
        <v>30</v>
      </c>
      <c r="J66" s="292">
        <f>IF(J$8='5.Variables'!$B$10,+'5.Variables'!$K25,+IF(J$8='5.Variables'!$B$34,+'5.Variables'!$K49,+IF(J$8='5.Variables'!$B$58,+'5.Variables'!$K64,+IF(J$8='5.Variables'!$B$72,+'5.Variables'!$K78,+IF(J$8='5.Variables'!$B$86,+'5.Variables'!$K92,+IF(J$8='5.Variables'!$B$100,+'5.Variables'!$K106,0))))))</f>
        <v>1</v>
      </c>
      <c r="K66" s="292">
        <f>IF(K$8='5.Variables'!$B$10,+'5.Variables'!$K25,+IF(K$8='5.Variables'!$B$34,+'5.Variables'!$K49,+IF(K$8='5.Variables'!$B$58,+'5.Variables'!$K64,+IF(K$8='5.Variables'!$B$72,+'5.Variables'!$K78,+IF(K$8='5.Variables'!$B$86,+'5.Variables'!$K92,+IF(K$8='5.Variables'!$B$100,+'5.Variables'!$K106,0))))))</f>
        <v>0</v>
      </c>
      <c r="L66" s="292">
        <f>IF(L$8='5.Variables'!$B$10,+'5.Variables'!$K25,+IF(L$8='5.Variables'!$B$34,+'5.Variables'!$K49,+IF(L$8='5.Variables'!$B$58,+'5.Variables'!$K64,+IF(L$8='5.Variables'!$B$72,+'5.Variables'!$K78,+IF(L$8='5.Variables'!$B$86,+'5.Variables'!$K92,+IF(L$8='5.Variables'!$B$100,+'5.Variables'!$K106,0))))))</f>
        <v>0</v>
      </c>
      <c r="M66" s="143"/>
      <c r="N66" s="167">
        <f t="shared" si="2"/>
        <v>356110.86976106098</v>
      </c>
      <c r="O66" s="171"/>
      <c r="P66" s="143"/>
      <c r="Q66"/>
      <c r="R66"/>
      <c r="S66"/>
      <c r="T66"/>
      <c r="U66"/>
      <c r="V66"/>
      <c r="W66"/>
      <c r="X66"/>
      <c r="Y66"/>
      <c r="Z66" s="143"/>
      <c r="AA66" s="143"/>
      <c r="AB66" s="143"/>
      <c r="AC66" s="143"/>
      <c r="AD66" s="143"/>
      <c r="AE66" s="143"/>
      <c r="AF66" s="143"/>
      <c r="AG66" s="143"/>
      <c r="AH66" s="143"/>
      <c r="AI66" s="143"/>
    </row>
    <row r="67" spans="1:35" x14ac:dyDescent="0.3">
      <c r="A67" s="339">
        <f t="shared" si="1"/>
        <v>58</v>
      </c>
      <c r="B67" s="166" t="str">
        <f>CONCATENATE('3. Consumption by Rate Class'!B73,"-",'3. Consumption by Rate Class'!C73)</f>
        <v>2017-October</v>
      </c>
      <c r="C67" s="169">
        <v>338114.58</v>
      </c>
      <c r="D67" s="367"/>
      <c r="E67" s="367"/>
      <c r="F67" s="167">
        <f t="shared" si="5"/>
        <v>338114.58</v>
      </c>
      <c r="G67" s="292">
        <f>IF(G$8='5.Variables'!$B$10,+'5.Variables'!$L25,+IF(G$8='5.Variables'!$B$34,+'5.Variables'!$L49,+IF(G$8='5.Variables'!$B$58,+'5.Variables'!$L64,+IF(G$8='5.Variables'!$B$72,+'5.Variables'!$L78,+IF(G$8='5.Variables'!$B$86,+'5.Variables'!$L92,+IF(G$8='5.Variables'!$B$100,+'5.Variables'!$L106,0))))))</f>
        <v>158.19999999999999</v>
      </c>
      <c r="H67" s="292">
        <f>IF(H$8='5.Variables'!$B$10,+'5.Variables'!$L25,+IF(H$8='5.Variables'!$B$34,+'5.Variables'!$L49,+IF(H$8='5.Variables'!$B$58,+'5.Variables'!$L64,+IF(H$8='5.Variables'!$B$72,+'5.Variables'!$L78,+IF(H$8='5.Variables'!$B$86,+'5.Variables'!$L92,+IF(H$8='5.Variables'!$B$100,+'5.Variables'!$L106,0))))))</f>
        <v>5.5</v>
      </c>
      <c r="I67" s="292">
        <f>IF(I$8='5.Variables'!$B$10,+'5.Variables'!$L25,+IF(I$8='5.Variables'!$B$34,+'5.Variables'!$L49,+IF(I$8='5.Variables'!$B$58,+'5.Variables'!$L64,+IF(I$8='5.Variables'!$B$72,+'5.Variables'!$L78,+IF(I$8='5.Variables'!$B$86,+'5.Variables'!$L92,+IF(I$8='5.Variables'!$B$100,+'5.Variables'!$L106,0))))))</f>
        <v>31</v>
      </c>
      <c r="J67" s="292">
        <f>IF(J$8='5.Variables'!$B$10,+'5.Variables'!$L25,+IF(J$8='5.Variables'!$B$34,+'5.Variables'!$L49,+IF(J$8='5.Variables'!$B$58,+'5.Variables'!$L64,+IF(J$8='5.Variables'!$B$72,+'5.Variables'!$L78,+IF(J$8='5.Variables'!$B$86,+'5.Variables'!$L92,+IF(J$8='5.Variables'!$B$100,+'5.Variables'!$L106,0))))))</f>
        <v>1</v>
      </c>
      <c r="K67" s="292">
        <f>IF(K$8='5.Variables'!$B$10,+'5.Variables'!$L25,+IF(K$8='5.Variables'!$B$34,+'5.Variables'!$L49,+IF(K$8='5.Variables'!$B$58,+'5.Variables'!$L64,+IF(K$8='5.Variables'!$B$72,+'5.Variables'!$L78,+IF(K$8='5.Variables'!$B$86,+'5.Variables'!$L92,+IF(K$8='5.Variables'!$B$100,+'5.Variables'!$L106,0))))))</f>
        <v>0</v>
      </c>
      <c r="L67" s="292">
        <f>IF(L$8='5.Variables'!$B$10,+'5.Variables'!$L25,+IF(L$8='5.Variables'!$B$34,+'5.Variables'!$L49,+IF(L$8='5.Variables'!$B$58,+'5.Variables'!$L64,+IF(L$8='5.Variables'!$B$72,+'5.Variables'!$L78,+IF(L$8='5.Variables'!$B$86,+'5.Variables'!$L92,+IF(L$8='5.Variables'!$B$100,+'5.Variables'!$L106,0))))))</f>
        <v>0</v>
      </c>
      <c r="M67" s="143"/>
      <c r="N67" s="167">
        <f t="shared" si="2"/>
        <v>346012.15541378601</v>
      </c>
      <c r="O67" s="171"/>
      <c r="P67" s="143"/>
      <c r="Q67"/>
      <c r="R67"/>
      <c r="S67"/>
      <c r="T67"/>
      <c r="U67"/>
      <c r="V67"/>
      <c r="W67"/>
      <c r="X67"/>
      <c r="Y67"/>
      <c r="Z67" s="143"/>
      <c r="AA67" s="143"/>
      <c r="AB67" s="143"/>
      <c r="AC67" s="143"/>
      <c r="AD67" s="143"/>
      <c r="AE67" s="143"/>
      <c r="AF67" s="143"/>
      <c r="AG67" s="143"/>
      <c r="AH67" s="143"/>
      <c r="AI67" s="143"/>
    </row>
    <row r="68" spans="1:35" x14ac:dyDescent="0.3">
      <c r="A68" s="339">
        <f t="shared" si="1"/>
        <v>59</v>
      </c>
      <c r="B68" s="166" t="str">
        <f>CONCATENATE('3. Consumption by Rate Class'!B74,"-",'3. Consumption by Rate Class'!C74)</f>
        <v>2017-November</v>
      </c>
      <c r="C68" s="169">
        <v>334022.76</v>
      </c>
      <c r="D68" s="367"/>
      <c r="E68" s="367"/>
      <c r="F68" s="167">
        <f t="shared" si="5"/>
        <v>334022.76</v>
      </c>
      <c r="G68" s="292">
        <f>IF(G$8='5.Variables'!$B$10,+'5.Variables'!$M25,+IF(G$8='5.Variables'!$B$34,+'5.Variables'!$M49,+IF(G$8='5.Variables'!$B$58,+'5.Variables'!$M64,+IF(G$8='5.Variables'!$B$72,+'5.Variables'!$M78,+IF(G$8='5.Variables'!$B$86,+'5.Variables'!$M92,+IF(G$8='5.Variables'!$B$100,+'5.Variables'!$M106,0))))))</f>
        <v>444.8</v>
      </c>
      <c r="H68" s="292">
        <f>IF(H$8='5.Variables'!$B$10,+'5.Variables'!$M25,+IF(H$8='5.Variables'!$B$34,+'5.Variables'!$M49,+IF(H$8='5.Variables'!$B$58,+'5.Variables'!$M64,+IF(H$8='5.Variables'!$B$72,+'5.Variables'!$M78,+IF(H$8='5.Variables'!$B$86,+'5.Variables'!$M92,+IF(H$8='5.Variables'!$B$100,+'5.Variables'!$M106,0))))))</f>
        <v>0</v>
      </c>
      <c r="I68" s="292">
        <f>IF(I$8='5.Variables'!$B$10,+'5.Variables'!$M25,+IF(I$8='5.Variables'!$B$34,+'5.Variables'!$M49,+IF(I$8='5.Variables'!$B$58,+'5.Variables'!$M64,+IF(I$8='5.Variables'!$B$72,+'5.Variables'!$M78,+IF(I$8='5.Variables'!$B$86,+'5.Variables'!$M92,+IF(I$8='5.Variables'!$B$100,+'5.Variables'!$M106,0))))))</f>
        <v>30</v>
      </c>
      <c r="J68" s="292">
        <f>IF(J$8='5.Variables'!$B$10,+'5.Variables'!$M25,+IF(J$8='5.Variables'!$B$34,+'5.Variables'!$M49,+IF(J$8='5.Variables'!$B$58,+'5.Variables'!$M64,+IF(J$8='5.Variables'!$B$72,+'5.Variables'!$M78,+IF(J$8='5.Variables'!$B$86,+'5.Variables'!$M92,+IF(J$8='5.Variables'!$B$100,+'5.Variables'!$M106,0))))))</f>
        <v>1</v>
      </c>
      <c r="K68" s="292">
        <f>IF(K$8='5.Variables'!$B$10,+'5.Variables'!$M25,+IF(K$8='5.Variables'!$B$34,+'5.Variables'!$M49,+IF(K$8='5.Variables'!$B$58,+'5.Variables'!$M64,+IF(K$8='5.Variables'!$B$72,+'5.Variables'!$M78,+IF(K$8='5.Variables'!$B$86,+'5.Variables'!$M92,+IF(K$8='5.Variables'!$B$100,+'5.Variables'!$M106,0))))))</f>
        <v>0</v>
      </c>
      <c r="L68" s="292">
        <f>IF(L$8='5.Variables'!$B$10,+'5.Variables'!$M25,+IF(L$8='5.Variables'!$B$34,+'5.Variables'!$M49,+IF(L$8='5.Variables'!$B$58,+'5.Variables'!$M64,+IF(L$8='5.Variables'!$B$72,+'5.Variables'!$M78,+IF(L$8='5.Variables'!$B$86,+'5.Variables'!$M92,+IF(L$8='5.Variables'!$B$100,+'5.Variables'!$M106,0))))))</f>
        <v>0</v>
      </c>
      <c r="M68" s="143"/>
      <c r="N68" s="167">
        <f t="shared" si="2"/>
        <v>317990.88672565838</v>
      </c>
      <c r="O68" s="171"/>
      <c r="P68" s="143"/>
      <c r="Q68"/>
      <c r="R68"/>
      <c r="S68"/>
      <c r="T68"/>
      <c r="U68"/>
      <c r="V68"/>
      <c r="W68"/>
      <c r="X68"/>
      <c r="Y68"/>
      <c r="Z68" s="143"/>
      <c r="AA68" s="143"/>
      <c r="AB68" s="143"/>
      <c r="AC68" s="143"/>
      <c r="AD68" s="143"/>
      <c r="AE68" s="143"/>
      <c r="AF68" s="143"/>
      <c r="AG68" s="143"/>
      <c r="AH68" s="143"/>
      <c r="AI68" s="143"/>
    </row>
    <row r="69" spans="1:35" x14ac:dyDescent="0.3">
      <c r="A69" s="339">
        <f t="shared" si="1"/>
        <v>60</v>
      </c>
      <c r="B69" s="166" t="str">
        <f>CONCATENATE('3. Consumption by Rate Class'!B75,"-",'3. Consumption by Rate Class'!C75)</f>
        <v>2017-December</v>
      </c>
      <c r="C69" s="169">
        <v>371712.79</v>
      </c>
      <c r="D69" s="367"/>
      <c r="E69" s="367"/>
      <c r="F69" s="167">
        <f t="shared" si="5"/>
        <v>371712.79</v>
      </c>
      <c r="G69" s="292">
        <f>IF(G$8='5.Variables'!$B$10,+'5.Variables'!$N25,+IF(G$8='5.Variables'!$B$34,+'5.Variables'!$N49,+IF(G$8='5.Variables'!$B$58,+'5.Variables'!$N64,+IF(G$8='5.Variables'!$B$72,+'5.Variables'!$N78,+IF(G$8='5.Variables'!$B$86,+'5.Variables'!$N92,+IF(G$8='5.Variables'!$B$100,+'5.Variables'!$N106,0))))))</f>
        <v>668.9</v>
      </c>
      <c r="H69" s="292">
        <f>IF(H$8='5.Variables'!$B$10,+'5.Variables'!$N25,+IF(H$8='5.Variables'!$B$34,+'5.Variables'!$N49,+IF(H$8='5.Variables'!$B$58,+'5.Variables'!$N64,+IF(H$8='5.Variables'!$B$72,+'5.Variables'!$N78,+IF(H$8='5.Variables'!$B$86,+'5.Variables'!$N92,+IF(H$8='5.Variables'!$B$100,+'5.Variables'!$N106,0))))))</f>
        <v>0</v>
      </c>
      <c r="I69" s="292">
        <f>IF(I$8='5.Variables'!$B$10,+'5.Variables'!$N25,+IF(I$8='5.Variables'!$B$34,+'5.Variables'!$N49,+IF(I$8='5.Variables'!$B$58,+'5.Variables'!$N64,+IF(I$8='5.Variables'!$B$72,+'5.Variables'!$N78,+IF(I$8='5.Variables'!$B$86,+'5.Variables'!$N92,+IF(I$8='5.Variables'!$B$100,+'5.Variables'!$N106,0))))))</f>
        <v>31</v>
      </c>
      <c r="J69" s="292">
        <f>IF(J$8='5.Variables'!$B$10,+'5.Variables'!$N25,+IF(J$8='5.Variables'!$B$34,+'5.Variables'!$N49,+IF(J$8='5.Variables'!$B$58,+'5.Variables'!$N64,+IF(J$8='5.Variables'!$B$72,+'5.Variables'!$N78,+IF(J$8='5.Variables'!$B$86,+'5.Variables'!$N92,+IF(J$8='5.Variables'!$B$100,+'5.Variables'!$N106,0))))))</f>
        <v>0</v>
      </c>
      <c r="K69" s="292">
        <f>IF(K$8='5.Variables'!$B$10,+'5.Variables'!$N25,+IF(K$8='5.Variables'!$B$34,+'5.Variables'!$N49,+IF(K$8='5.Variables'!$B$58,+'5.Variables'!$N64,+IF(K$8='5.Variables'!$B$72,+'5.Variables'!$N78,+IF(K$8='5.Variables'!$B$86,+'5.Variables'!$N92,+IF(K$8='5.Variables'!$B$100,+'5.Variables'!$N106,0))))))</f>
        <v>0</v>
      </c>
      <c r="L69" s="292">
        <f>IF(L$8='5.Variables'!$B$10,+'5.Variables'!$N25,+IF(L$8='5.Variables'!$B$34,+'5.Variables'!$N49,+IF(L$8='5.Variables'!$B$58,+'5.Variables'!$N64,+IF(L$8='5.Variables'!$B$72,+'5.Variables'!$N78,+IF(L$8='5.Variables'!$B$86,+'5.Variables'!$N92,+IF(L$8='5.Variables'!$B$100,+'5.Variables'!$N106,0))))))</f>
        <v>0</v>
      </c>
      <c r="M69" s="143"/>
      <c r="N69" s="167">
        <f t="shared" si="2"/>
        <v>330219.08528400853</v>
      </c>
      <c r="O69" s="171">
        <f>SUM(N58:N69)</f>
        <v>4103977.131062842</v>
      </c>
      <c r="P69" s="143"/>
      <c r="Q69"/>
      <c r="R69"/>
      <c r="S69"/>
      <c r="T69"/>
      <c r="U69"/>
      <c r="V69"/>
      <c r="W69"/>
      <c r="X69"/>
      <c r="Y69"/>
      <c r="Z69" s="143"/>
      <c r="AA69" s="143"/>
      <c r="AB69" s="143"/>
      <c r="AC69" s="143"/>
      <c r="AD69" s="143"/>
      <c r="AE69" s="143"/>
      <c r="AF69" s="143"/>
      <c r="AG69" s="143"/>
      <c r="AH69" s="143"/>
      <c r="AI69" s="143"/>
    </row>
    <row r="70" spans="1:35" x14ac:dyDescent="0.3">
      <c r="A70" s="339">
        <f t="shared" si="1"/>
        <v>61</v>
      </c>
      <c r="B70" s="166" t="str">
        <f>CONCATENATE('3. Consumption by Rate Class'!B76,"-",'3. Consumption by Rate Class'!C76)</f>
        <v>2018-January</v>
      </c>
      <c r="C70" s="169">
        <v>338688.3</v>
      </c>
      <c r="D70" s="367"/>
      <c r="E70" s="367"/>
      <c r="F70" s="167">
        <f t="shared" si="5"/>
        <v>338688.3</v>
      </c>
      <c r="G70" s="292">
        <f>IF(G$8='5.Variables'!$B$10,+'5.Variables'!$C26,+IF(G$8='5.Variables'!$B$34,+'5.Variables'!$C50,+IF(G$8='5.Variables'!$B$58,+'5.Variables'!$C65,+IF(G$8='5.Variables'!$B$72,+'5.Variables'!$C79,+IF(G$8='5.Variables'!$B$86,+'5.Variables'!$C93,+IF(G$8='5.Variables'!$B$100,+'5.Variables'!$C107,0))))))</f>
        <v>671.9</v>
      </c>
      <c r="H70" s="292">
        <f>IF(H$8='5.Variables'!$B$10,+'5.Variables'!$C26,+IF(H$8='5.Variables'!$B$34,+'5.Variables'!$C50,+IF(H$8='5.Variables'!$B$58,+'5.Variables'!$C65,+IF(H$8='5.Variables'!$B$72,+'5.Variables'!$C79,+IF(H$8='5.Variables'!$B$86,+'5.Variables'!$C93,+IF(H$8='5.Variables'!$B$100,+'5.Variables'!$C107,0))))))</f>
        <v>0</v>
      </c>
      <c r="I70" s="292">
        <f>IF(I$8='5.Variables'!$B$10,+'5.Variables'!$C26,+IF(I$8='5.Variables'!$B$34,+'5.Variables'!$C50,+IF(I$8='5.Variables'!$B$58,+'5.Variables'!$C65,+IF(I$8='5.Variables'!$B$72,+'5.Variables'!$C79,+IF(I$8='5.Variables'!$B$86,+'5.Variables'!$C93,+IF(I$8='5.Variables'!$B$100,+'5.Variables'!$C107,0))))))</f>
        <v>31</v>
      </c>
      <c r="J70" s="292">
        <f>IF(J$8='5.Variables'!$B$10,+'5.Variables'!$C26,+IF(J$8='5.Variables'!$B$34,+'5.Variables'!$C50,+IF(J$8='5.Variables'!$B$58,+'5.Variables'!$C65,+IF(J$8='5.Variables'!$B$72,+'5.Variables'!$C79,+IF(J$8='5.Variables'!$B$86,+'5.Variables'!$C93,+IF(J$8='5.Variables'!$B$100,+'5.Variables'!$C107,0))))))</f>
        <v>0</v>
      </c>
      <c r="K70" s="292">
        <f>IF(K$8='5.Variables'!$B$10,+'5.Variables'!$C26,+IF(K$8='5.Variables'!$B$34,+'5.Variables'!$C50,+IF(K$8='5.Variables'!$B$58,+'5.Variables'!$C65,+IF(K$8='5.Variables'!$B$72,+'5.Variables'!$C79,+IF(K$8='5.Variables'!$B$86,+'5.Variables'!$C93,+IF(K$8='5.Variables'!$B$100,+'5.Variables'!$C107,0))))))</f>
        <v>0</v>
      </c>
      <c r="L70" s="292">
        <f>IF(L$8='5.Variables'!$B$10,+'5.Variables'!$C26,+IF(L$8='5.Variables'!$B$34,+'5.Variables'!$C50,+IF(L$8='5.Variables'!$B$58,+'5.Variables'!$C65,+IF(L$8='5.Variables'!$B$72,+'5.Variables'!$C79,+IF(L$8='5.Variables'!$B$86,+'5.Variables'!$C93,+IF(L$8='5.Variables'!$B$100,+'5.Variables'!$C107,0))))))</f>
        <v>0</v>
      </c>
      <c r="M70" s="143"/>
      <c r="N70" s="167">
        <f t="shared" si="2"/>
        <v>330073.8451186436</v>
      </c>
      <c r="O70" s="171"/>
      <c r="P70" s="143"/>
      <c r="Q70"/>
      <c r="R70"/>
      <c r="S70"/>
      <c r="T70"/>
      <c r="U70"/>
      <c r="V70"/>
      <c r="W70"/>
      <c r="X70"/>
      <c r="Y70"/>
      <c r="Z70" s="143"/>
      <c r="AA70" s="143"/>
      <c r="AB70" s="143"/>
      <c r="AC70" s="143"/>
      <c r="AD70" s="143"/>
      <c r="AE70" s="143"/>
      <c r="AF70" s="143"/>
      <c r="AG70" s="143"/>
      <c r="AH70" s="143"/>
      <c r="AI70" s="143"/>
    </row>
    <row r="71" spans="1:35" x14ac:dyDescent="0.3">
      <c r="A71" s="339">
        <f t="shared" si="1"/>
        <v>62</v>
      </c>
      <c r="B71" s="166" t="str">
        <f>CONCATENATE('3. Consumption by Rate Class'!B77,"-",'3. Consumption by Rate Class'!C77)</f>
        <v>2018-February</v>
      </c>
      <c r="C71" s="169">
        <v>296383.77</v>
      </c>
      <c r="D71" s="367"/>
      <c r="E71" s="367"/>
      <c r="F71" s="167">
        <f t="shared" si="5"/>
        <v>296383.77</v>
      </c>
      <c r="G71" s="292">
        <f>IF(G$8='5.Variables'!$B$10,+'5.Variables'!$D26,+IF(G$8='5.Variables'!$B$34,+'5.Variables'!$D50,+IF(G$8='5.Variables'!$B$58,+'5.Variables'!$D65,+IF(G$8='5.Variables'!$B$72,+'5.Variables'!$D79,+IF(G$8='5.Variables'!$B$86,+'5.Variables'!$D93,+IF(G$8='5.Variables'!$B$100,+'5.Variables'!$D107,0))))))</f>
        <v>554.20000000000005</v>
      </c>
      <c r="H71" s="292">
        <f>IF(H$8='5.Variables'!$B$10,+'5.Variables'!$D26,+IF(H$8='5.Variables'!$B$34,+'5.Variables'!$D50,+IF(H$8='5.Variables'!$B$58,+'5.Variables'!$D65,+IF(H$8='5.Variables'!$B$72,+'5.Variables'!$D79,+IF(H$8='5.Variables'!$B$86,+'5.Variables'!$D93,+IF(H$8='5.Variables'!$B$100,+'5.Variables'!$D107,0))))))</f>
        <v>0</v>
      </c>
      <c r="I71" s="292">
        <f>IF(I$8='5.Variables'!$B$10,+'5.Variables'!$D26,+IF(I$8='5.Variables'!$B$34,+'5.Variables'!$D50,+IF(I$8='5.Variables'!$B$58,+'5.Variables'!$D65,+IF(I$8='5.Variables'!$B$72,+'5.Variables'!$D79,+IF(I$8='5.Variables'!$B$86,+'5.Variables'!$D93,+IF(I$8='5.Variables'!$B$100,+'5.Variables'!$D107,0))))))</f>
        <v>28</v>
      </c>
      <c r="J71" s="292">
        <f>IF(J$8='5.Variables'!$B$10,+'5.Variables'!$D26,+IF(J$8='5.Variables'!$B$34,+'5.Variables'!$D50,+IF(J$8='5.Variables'!$B$58,+'5.Variables'!$D65,+IF(J$8='5.Variables'!$B$72,+'5.Variables'!$D79,+IF(J$8='5.Variables'!$B$86,+'5.Variables'!$D93,+IF(J$8='5.Variables'!$B$100,+'5.Variables'!$D107,0))))))</f>
        <v>0</v>
      </c>
      <c r="K71" s="292">
        <f>IF(K$8='5.Variables'!$B$10,+'5.Variables'!$D26,+IF(K$8='5.Variables'!$B$34,+'5.Variables'!$D50,+IF(K$8='5.Variables'!$B$58,+'5.Variables'!$D65,+IF(K$8='5.Variables'!$B$72,+'5.Variables'!$D79,+IF(K$8='5.Variables'!$B$86,+'5.Variables'!$D93,+IF(K$8='5.Variables'!$B$100,+'5.Variables'!$D107,0))))))</f>
        <v>0</v>
      </c>
      <c r="L71" s="292">
        <f>IF(L$8='5.Variables'!$B$10,+'5.Variables'!$D26,+IF(L$8='5.Variables'!$B$34,+'5.Variables'!$D50,+IF(L$8='5.Variables'!$B$58,+'5.Variables'!$D65,+IF(L$8='5.Variables'!$B$72,+'5.Variables'!$D79,+IF(L$8='5.Variables'!$B$86,+'5.Variables'!$D93,+IF(L$8='5.Variables'!$B$100,+'5.Variables'!$D107,0))))))</f>
        <v>0</v>
      </c>
      <c r="M71" s="143"/>
      <c r="N71" s="167">
        <f t="shared" si="2"/>
        <v>299656.87285152747</v>
      </c>
      <c r="O71" s="171"/>
      <c r="P71" s="143"/>
      <c r="Q71"/>
      <c r="R71"/>
      <c r="S71"/>
      <c r="T71"/>
      <c r="U71"/>
      <c r="V71"/>
      <c r="W71"/>
      <c r="X71"/>
      <c r="Y71"/>
      <c r="Z71" s="143"/>
      <c r="AA71" s="143"/>
      <c r="AB71" s="143"/>
      <c r="AC71" s="143"/>
      <c r="AD71" s="143"/>
      <c r="AE71" s="143"/>
      <c r="AF71" s="143"/>
      <c r="AG71" s="143"/>
      <c r="AH71" s="143"/>
      <c r="AI71" s="143"/>
    </row>
    <row r="72" spans="1:35" x14ac:dyDescent="0.3">
      <c r="A72" s="339">
        <f t="shared" si="1"/>
        <v>63</v>
      </c>
      <c r="B72" s="166" t="str">
        <f>CONCATENATE('3. Consumption by Rate Class'!B78,"-",'3. Consumption by Rate Class'!C78)</f>
        <v>2018-March</v>
      </c>
      <c r="C72" s="169">
        <v>334687.71999999991</v>
      </c>
      <c r="D72" s="367"/>
      <c r="E72" s="367"/>
      <c r="F72" s="167">
        <f t="shared" si="5"/>
        <v>334687.71999999991</v>
      </c>
      <c r="G72" s="292">
        <f>IF(G$8='5.Variables'!$B$10,+'5.Variables'!$E26,+IF(G$8='5.Variables'!$B$34,+'5.Variables'!$E50,+IF(G$8='5.Variables'!$B$58,+'5.Variables'!$E65,+IF(G$8='5.Variables'!$B$72,+'5.Variables'!$E79,+IF(G$8='5.Variables'!$B$86,+'5.Variables'!$E93,+IF(G$8='5.Variables'!$B$100,+'5.Variables'!$E107,0))))))</f>
        <v>559.29999999999995</v>
      </c>
      <c r="H72" s="292">
        <f>IF(H$8='5.Variables'!$B$10,+'5.Variables'!$E26,+IF(H$8='5.Variables'!$B$34,+'5.Variables'!$E50,+IF(H$8='5.Variables'!$B$58,+'5.Variables'!$E65,+IF(H$8='5.Variables'!$B$72,+'5.Variables'!$E79,+IF(H$8='5.Variables'!$B$86,+'5.Variables'!$E93,+IF(H$8='5.Variables'!$B$100,+'5.Variables'!$E107,0))))))</f>
        <v>0</v>
      </c>
      <c r="I72" s="292">
        <f>IF(I$8='5.Variables'!$B$10,+'5.Variables'!$E26,+IF(I$8='5.Variables'!$B$34,+'5.Variables'!$E50,+IF(I$8='5.Variables'!$B$58,+'5.Variables'!$E65,+IF(I$8='5.Variables'!$B$72,+'5.Variables'!$E79,+IF(I$8='5.Variables'!$B$86,+'5.Variables'!$E93,+IF(I$8='5.Variables'!$B$100,+'5.Variables'!$E107,0))))))</f>
        <v>31</v>
      </c>
      <c r="J72" s="292">
        <f>IF(J$8='5.Variables'!$B$10,+'5.Variables'!$E26,+IF(J$8='5.Variables'!$B$34,+'5.Variables'!$E50,+IF(J$8='5.Variables'!$B$58,+'5.Variables'!$E65,+IF(J$8='5.Variables'!$B$72,+'5.Variables'!$E79,+IF(J$8='5.Variables'!$B$86,+'5.Variables'!$E93,+IF(J$8='5.Variables'!$B$100,+'5.Variables'!$E107,0))))))</f>
        <v>1</v>
      </c>
      <c r="K72" s="292">
        <f>IF(K$8='5.Variables'!$B$10,+'5.Variables'!$E26,+IF(K$8='5.Variables'!$B$34,+'5.Variables'!$E50,+IF(K$8='5.Variables'!$B$58,+'5.Variables'!$E65,+IF(K$8='5.Variables'!$B$72,+'5.Variables'!$E79,+IF(K$8='5.Variables'!$B$86,+'5.Variables'!$E93,+IF(K$8='5.Variables'!$B$100,+'5.Variables'!$E107,0))))))</f>
        <v>0</v>
      </c>
      <c r="L72" s="292">
        <f>IF(L$8='5.Variables'!$B$10,+'5.Variables'!$E26,+IF(L$8='5.Variables'!$B$34,+'5.Variables'!$E50,+IF(L$8='5.Variables'!$B$58,+'5.Variables'!$E65,+IF(L$8='5.Variables'!$B$72,+'5.Variables'!$E79,+IF(L$8='5.Variables'!$B$86,+'5.Variables'!$E93,+IF(L$8='5.Variables'!$B$100,+'5.Variables'!$E107,0))))))</f>
        <v>0</v>
      </c>
      <c r="M72" s="143"/>
      <c r="N72" s="167">
        <f t="shared" si="2"/>
        <v>324485.96311031911</v>
      </c>
      <c r="O72" s="171"/>
      <c r="P72" s="143"/>
      <c r="Q72"/>
      <c r="R72"/>
      <c r="S72"/>
      <c r="T72"/>
      <c r="U72"/>
      <c r="V72"/>
      <c r="W72"/>
      <c r="X72"/>
      <c r="Y72"/>
      <c r="Z72" s="143"/>
      <c r="AA72" s="143"/>
      <c r="AB72" s="143"/>
      <c r="AC72" s="143"/>
      <c r="AD72" s="143"/>
      <c r="AE72" s="143"/>
      <c r="AF72" s="143"/>
      <c r="AG72" s="143"/>
      <c r="AH72" s="143"/>
      <c r="AI72" s="143"/>
    </row>
    <row r="73" spans="1:35" x14ac:dyDescent="0.3">
      <c r="A73" s="339">
        <f t="shared" si="1"/>
        <v>64</v>
      </c>
      <c r="B73" s="166" t="str">
        <f>CONCATENATE('3. Consumption by Rate Class'!B79,"-",'3. Consumption by Rate Class'!C79)</f>
        <v>2018-April</v>
      </c>
      <c r="C73" s="169">
        <v>334650.61</v>
      </c>
      <c r="D73" s="367"/>
      <c r="E73" s="367"/>
      <c r="F73" s="167">
        <f t="shared" si="5"/>
        <v>334650.61</v>
      </c>
      <c r="G73" s="292">
        <f>IF(G$8='5.Variables'!$B$10,+'5.Variables'!$F26,+IF(G$8='5.Variables'!$B$34,+'5.Variables'!$F50,+IF(G$8='5.Variables'!$B$58,+'5.Variables'!$F65,+IF(G$8='5.Variables'!$B$72,+'5.Variables'!$F79,+IF(G$8='5.Variables'!$B$86,+'5.Variables'!$F93,+IF(G$8='5.Variables'!$B$100,+'5.Variables'!$F107,0))))))</f>
        <v>472.4</v>
      </c>
      <c r="H73" s="292">
        <f>IF(H$8='5.Variables'!$B$10,+'5.Variables'!$F26,+IF(H$8='5.Variables'!$B$34,+'5.Variables'!$F50,+IF(H$8='5.Variables'!$B$58,+'5.Variables'!$F65,+IF(H$8='5.Variables'!$B$72,+'5.Variables'!$F79,+IF(H$8='5.Variables'!$B$86,+'5.Variables'!$F93,+IF(H$8='5.Variables'!$B$100,+'5.Variables'!$F107,0))))))</f>
        <v>0</v>
      </c>
      <c r="I73" s="292">
        <f>IF(I$8='5.Variables'!$B$10,+'5.Variables'!$F26,+IF(I$8='5.Variables'!$B$34,+'5.Variables'!$F50,+IF(I$8='5.Variables'!$B$58,+'5.Variables'!$F65,+IF(I$8='5.Variables'!$B$72,+'5.Variables'!$F79,+IF(I$8='5.Variables'!$B$86,+'5.Variables'!$F93,+IF(I$8='5.Variables'!$B$100,+'5.Variables'!$F107,0))))))</f>
        <v>30</v>
      </c>
      <c r="J73" s="292">
        <f>IF(J$8='5.Variables'!$B$10,+'5.Variables'!$F26,+IF(J$8='5.Variables'!$B$34,+'5.Variables'!$F50,+IF(J$8='5.Variables'!$B$58,+'5.Variables'!$F65,+IF(J$8='5.Variables'!$B$72,+'5.Variables'!$F79,+IF(J$8='5.Variables'!$B$86,+'5.Variables'!$F93,+IF(J$8='5.Variables'!$B$100,+'5.Variables'!$F107,0))))))</f>
        <v>1</v>
      </c>
      <c r="K73" s="292">
        <f>IF(K$8='5.Variables'!$B$10,+'5.Variables'!$F26,+IF(K$8='5.Variables'!$B$34,+'5.Variables'!$F50,+IF(K$8='5.Variables'!$B$58,+'5.Variables'!$F65,+IF(K$8='5.Variables'!$B$72,+'5.Variables'!$F79,+IF(K$8='5.Variables'!$B$86,+'5.Variables'!$F93,+IF(K$8='5.Variables'!$B$100,+'5.Variables'!$F107,0))))))</f>
        <v>0</v>
      </c>
      <c r="L73" s="292">
        <f>IF(L$8='5.Variables'!$B$10,+'5.Variables'!$F26,+IF(L$8='5.Variables'!$B$34,+'5.Variables'!$F50,+IF(L$8='5.Variables'!$B$58,+'5.Variables'!$F65,+IF(L$8='5.Variables'!$B$72,+'5.Variables'!$F79,+IF(L$8='5.Variables'!$B$86,+'5.Variables'!$F93,+IF(L$8='5.Variables'!$B$100,+'5.Variables'!$F107,0))))))</f>
        <v>0</v>
      </c>
      <c r="M73" s="143"/>
      <c r="N73" s="167">
        <f t="shared" si="2"/>
        <v>316654.677204301</v>
      </c>
      <c r="O73" s="171"/>
      <c r="P73" s="143"/>
      <c r="Q73"/>
      <c r="R73"/>
      <c r="S73"/>
      <c r="T73"/>
      <c r="U73"/>
      <c r="V73"/>
      <c r="W73"/>
      <c r="X73"/>
      <c r="Y73"/>
      <c r="Z73" s="143"/>
      <c r="AA73" s="143"/>
      <c r="AB73" s="143"/>
      <c r="AC73" s="143"/>
      <c r="AD73" s="143"/>
      <c r="AE73" s="143"/>
      <c r="AF73" s="143"/>
      <c r="AG73" s="143"/>
      <c r="AH73" s="143"/>
      <c r="AI73" s="143"/>
    </row>
    <row r="74" spans="1:35" x14ac:dyDescent="0.3">
      <c r="A74" s="339">
        <f t="shared" si="1"/>
        <v>65</v>
      </c>
      <c r="B74" s="166" t="str">
        <f>CONCATENATE('3. Consumption by Rate Class'!B80,"-",'3. Consumption by Rate Class'!C80)</f>
        <v>2018-May</v>
      </c>
      <c r="C74" s="169">
        <v>375222.38</v>
      </c>
      <c r="D74" s="367"/>
      <c r="E74" s="367"/>
      <c r="F74" s="167">
        <f t="shared" ref="F74:F105" si="10">SUM(C74:E74)</f>
        <v>375222.38</v>
      </c>
      <c r="G74" s="292">
        <f>IF(G$8='5.Variables'!$B$10,+'5.Variables'!$G26,+IF(G$8='5.Variables'!$B$34,+'5.Variables'!$G50,+IF(G$8='5.Variables'!$B$58,+'5.Variables'!$G65,+IF(G$8='5.Variables'!$B$72,+'5.Variables'!$G79,+IF(G$8='5.Variables'!$B$86,+'5.Variables'!$G93,+IF(G$8='5.Variables'!$B$100,+'5.Variables'!$G107,0))))))</f>
        <v>138.80000000000001</v>
      </c>
      <c r="H74" s="292">
        <f>IF(H$8='5.Variables'!$B$10,+'5.Variables'!$G26,+IF(H$8='5.Variables'!$B$34,+'5.Variables'!$G50,+IF(H$8='5.Variables'!$B$58,+'5.Variables'!$G65,+IF(H$8='5.Variables'!$B$72,+'5.Variables'!$G79,+IF(H$8='5.Variables'!$B$86,+'5.Variables'!$G93,+IF(H$8='5.Variables'!$B$100,+'5.Variables'!$G107,0))))))</f>
        <v>26.8</v>
      </c>
      <c r="I74" s="292">
        <f>IF(I$8='5.Variables'!$B$10,+'5.Variables'!$G26,+IF(I$8='5.Variables'!$B$34,+'5.Variables'!$G50,+IF(I$8='5.Variables'!$B$58,+'5.Variables'!$G65,+IF(I$8='5.Variables'!$B$72,+'5.Variables'!$G79,+IF(I$8='5.Variables'!$B$86,+'5.Variables'!$G93,+IF(I$8='5.Variables'!$B$100,+'5.Variables'!$G107,0))))))</f>
        <v>31</v>
      </c>
      <c r="J74" s="292">
        <f>IF(J$8='5.Variables'!$B$10,+'5.Variables'!$G26,+IF(J$8='5.Variables'!$B$34,+'5.Variables'!$G50,+IF(J$8='5.Variables'!$B$58,+'5.Variables'!$G65,+IF(J$8='5.Variables'!$B$72,+'5.Variables'!$G79,+IF(J$8='5.Variables'!$B$86,+'5.Variables'!$G93,+IF(J$8='5.Variables'!$B$100,+'5.Variables'!$G107,0))))))</f>
        <v>1</v>
      </c>
      <c r="K74" s="292">
        <f>IF(K$8='5.Variables'!$B$10,+'5.Variables'!$G26,+IF(K$8='5.Variables'!$B$34,+'5.Variables'!$G50,+IF(K$8='5.Variables'!$B$58,+'5.Variables'!$G65,+IF(K$8='5.Variables'!$B$72,+'5.Variables'!$G79,+IF(K$8='5.Variables'!$B$86,+'5.Variables'!$G93,+IF(K$8='5.Variables'!$B$100,+'5.Variables'!$G107,0))))))</f>
        <v>0</v>
      </c>
      <c r="L74" s="292">
        <f>IF(L$8='5.Variables'!$B$10,+'5.Variables'!$G26,+IF(L$8='5.Variables'!$B$34,+'5.Variables'!$G50,+IF(L$8='5.Variables'!$B$58,+'5.Variables'!$G65,+IF(L$8='5.Variables'!$B$72,+'5.Variables'!$G79,+IF(L$8='5.Variables'!$B$86,+'5.Variables'!$G93,+IF(L$8='5.Variables'!$B$100,+'5.Variables'!$G107,0))))))</f>
        <v>0</v>
      </c>
      <c r="M74" s="143"/>
      <c r="N74" s="167">
        <f t="shared" si="2"/>
        <v>355113.4661927101</v>
      </c>
      <c r="O74" s="171"/>
      <c r="P74" s="143"/>
      <c r="Q74"/>
      <c r="R74"/>
      <c r="S74"/>
      <c r="T74"/>
      <c r="U74"/>
      <c r="V74"/>
      <c r="W74"/>
      <c r="X74"/>
      <c r="Y74"/>
      <c r="Z74" s="143"/>
      <c r="AA74" s="143"/>
      <c r="AB74" s="143"/>
      <c r="AC74" s="143"/>
      <c r="AD74" s="143"/>
      <c r="AE74" s="143"/>
      <c r="AF74" s="143"/>
      <c r="AG74" s="143"/>
      <c r="AH74" s="143"/>
      <c r="AI74" s="143"/>
    </row>
    <row r="75" spans="1:35" x14ac:dyDescent="0.3">
      <c r="A75" s="339">
        <f t="shared" si="1"/>
        <v>66</v>
      </c>
      <c r="B75" s="166" t="str">
        <f>CONCATENATE('3. Consumption by Rate Class'!B81,"-",'3. Consumption by Rate Class'!C81)</f>
        <v>2018-June</v>
      </c>
      <c r="C75" s="169">
        <v>372202.23</v>
      </c>
      <c r="D75" s="367"/>
      <c r="E75" s="367"/>
      <c r="F75" s="167">
        <f t="shared" si="10"/>
        <v>372202.23</v>
      </c>
      <c r="G75" s="292">
        <f>IF(G$8='5.Variables'!$B$10,+'5.Variables'!$H26,+IF(G$8='5.Variables'!$B$34,+'5.Variables'!$H50,+IF(G$8='5.Variables'!$B$58,+'5.Variables'!$H65,+IF(G$8='5.Variables'!$B$72,+'5.Variables'!$H79,+IF(G$8='5.Variables'!$B$86,+'5.Variables'!$H93,+IF(G$8='5.Variables'!$B$100,+'5.Variables'!$H107,0))))))</f>
        <v>66.400000000000006</v>
      </c>
      <c r="H75" s="292">
        <f>IF(H$8='5.Variables'!$B$10,+'5.Variables'!$H26,+IF(H$8='5.Variables'!$B$34,+'5.Variables'!$H50,+IF(H$8='5.Variables'!$B$58,+'5.Variables'!$H65,+IF(H$8='5.Variables'!$B$72,+'5.Variables'!$H79,+IF(H$8='5.Variables'!$B$86,+'5.Variables'!$H93,+IF(H$8='5.Variables'!$B$100,+'5.Variables'!$H107,0))))))</f>
        <v>31.4</v>
      </c>
      <c r="I75" s="292">
        <f>IF(I$8='5.Variables'!$B$10,+'5.Variables'!$H26,+IF(I$8='5.Variables'!$B$34,+'5.Variables'!$H50,+IF(I$8='5.Variables'!$B$58,+'5.Variables'!$H65,+IF(I$8='5.Variables'!$B$72,+'5.Variables'!$H79,+IF(I$8='5.Variables'!$B$86,+'5.Variables'!$H93,+IF(I$8='5.Variables'!$B$100,+'5.Variables'!$H107,0))))))</f>
        <v>30</v>
      </c>
      <c r="J75" s="292">
        <f>IF(J$8='5.Variables'!$B$10,+'5.Variables'!$H26,+IF(J$8='5.Variables'!$B$34,+'5.Variables'!$H50,+IF(J$8='5.Variables'!$B$58,+'5.Variables'!$H65,+IF(J$8='5.Variables'!$B$72,+'5.Variables'!$H79,+IF(J$8='5.Variables'!$B$86,+'5.Variables'!$H93,+IF(J$8='5.Variables'!$B$100,+'5.Variables'!$H107,0))))))</f>
        <v>0</v>
      </c>
      <c r="K75" s="292">
        <f>IF(K$8='5.Variables'!$B$10,+'5.Variables'!$H26,+IF(K$8='5.Variables'!$B$34,+'5.Variables'!$H50,+IF(K$8='5.Variables'!$B$58,+'5.Variables'!$H65,+IF(K$8='5.Variables'!$B$72,+'5.Variables'!$H79,+IF(K$8='5.Variables'!$B$86,+'5.Variables'!$H93,+IF(K$8='5.Variables'!$B$100,+'5.Variables'!$H107,0))))))</f>
        <v>0</v>
      </c>
      <c r="L75" s="292">
        <f>IF(L$8='5.Variables'!$B$10,+'5.Variables'!$H26,+IF(L$8='5.Variables'!$B$34,+'5.Variables'!$H50,+IF(L$8='5.Variables'!$B$58,+'5.Variables'!$H65,+IF(L$8='5.Variables'!$B$72,+'5.Variables'!$H79,+IF(L$8='5.Variables'!$B$86,+'5.Variables'!$H93,+IF(L$8='5.Variables'!$B$100,+'5.Variables'!$H107,0))))))</f>
        <v>0</v>
      </c>
      <c r="M75" s="143"/>
      <c r="N75" s="167">
        <f t="shared" ref="N75:N138" si="11">$R$24+(G75*$R$25)+(H75*$R$26)+(I75*$R$27)+(J75*$R$28)+(K75*$R$29)+(L75*$R$30)</f>
        <v>359382.12081030553</v>
      </c>
      <c r="O75" s="171"/>
      <c r="P75" s="143"/>
      <c r="Q75"/>
      <c r="R75"/>
      <c r="S75"/>
      <c r="T75"/>
      <c r="U75"/>
      <c r="V75"/>
      <c r="W75"/>
      <c r="X75"/>
      <c r="Y75"/>
      <c r="Z75" s="143"/>
      <c r="AA75" s="143"/>
      <c r="AB75" s="143"/>
      <c r="AC75" s="143"/>
      <c r="AD75" s="143"/>
      <c r="AE75" s="143"/>
      <c r="AF75" s="143"/>
      <c r="AG75" s="143"/>
      <c r="AH75" s="143"/>
      <c r="AI75" s="143"/>
    </row>
    <row r="76" spans="1:35" x14ac:dyDescent="0.3">
      <c r="A76" s="339">
        <f t="shared" ref="A76:A139" si="12">+A75+1</f>
        <v>67</v>
      </c>
      <c r="B76" s="166" t="str">
        <f>CONCATENATE('3. Consumption by Rate Class'!B82,"-",'3. Consumption by Rate Class'!C82)</f>
        <v>2018-July</v>
      </c>
      <c r="C76" s="169">
        <v>415419.04</v>
      </c>
      <c r="D76" s="367"/>
      <c r="E76" s="367"/>
      <c r="F76" s="167">
        <f t="shared" si="10"/>
        <v>415419.04</v>
      </c>
      <c r="G76" s="292">
        <f>IF(G$8='5.Variables'!$B$10,+'5.Variables'!$I26,+IF(G$8='5.Variables'!$B$34,+'5.Variables'!$I50,+IF(G$8='5.Variables'!$B$58,+'5.Variables'!$I65,+IF(G$8='5.Variables'!$B$72,+'5.Variables'!$I79,+IF(G$8='5.Variables'!$B$86,+'5.Variables'!$I93,+IF(G$8='5.Variables'!$B$100,+'5.Variables'!$I107,0))))))</f>
        <v>4.8</v>
      </c>
      <c r="H76" s="292">
        <f>IF(H$8='5.Variables'!$B$10,+'5.Variables'!$I26,+IF(H$8='5.Variables'!$B$34,+'5.Variables'!$I50,+IF(H$8='5.Variables'!$B$58,+'5.Variables'!$I65,+IF(H$8='5.Variables'!$B$72,+'5.Variables'!$I79,+IF(H$8='5.Variables'!$B$86,+'5.Variables'!$I93,+IF(H$8='5.Variables'!$B$100,+'5.Variables'!$I107,0))))))</f>
        <v>109.3</v>
      </c>
      <c r="I76" s="292">
        <f>IF(I$8='5.Variables'!$B$10,+'5.Variables'!$I26,+IF(I$8='5.Variables'!$B$34,+'5.Variables'!$I50,+IF(I$8='5.Variables'!$B$58,+'5.Variables'!$I65,+IF(I$8='5.Variables'!$B$72,+'5.Variables'!$I79,+IF(I$8='5.Variables'!$B$86,+'5.Variables'!$I93,+IF(I$8='5.Variables'!$B$100,+'5.Variables'!$I107,0))))))</f>
        <v>31</v>
      </c>
      <c r="J76" s="292">
        <f>IF(J$8='5.Variables'!$B$10,+'5.Variables'!$I26,+IF(J$8='5.Variables'!$B$34,+'5.Variables'!$I50,+IF(J$8='5.Variables'!$B$58,+'5.Variables'!$I65,+IF(J$8='5.Variables'!$B$72,+'5.Variables'!$I79,+IF(J$8='5.Variables'!$B$86,+'5.Variables'!$I93,+IF(J$8='5.Variables'!$B$100,+'5.Variables'!$I107,0))))))</f>
        <v>0</v>
      </c>
      <c r="K76" s="292">
        <f>IF(K$8='5.Variables'!$B$10,+'5.Variables'!$I26,+IF(K$8='5.Variables'!$B$34,+'5.Variables'!$I50,+IF(K$8='5.Variables'!$B$58,+'5.Variables'!$I65,+IF(K$8='5.Variables'!$B$72,+'5.Variables'!$I79,+IF(K$8='5.Variables'!$B$86,+'5.Variables'!$I93,+IF(K$8='5.Variables'!$B$100,+'5.Variables'!$I107,0))))))</f>
        <v>0</v>
      </c>
      <c r="L76" s="292">
        <f>IF(L$8='5.Variables'!$B$10,+'5.Variables'!$I26,+IF(L$8='5.Variables'!$B$34,+'5.Variables'!$I50,+IF(L$8='5.Variables'!$B$58,+'5.Variables'!$I65,+IF(L$8='5.Variables'!$B$72,+'5.Variables'!$I79,+IF(L$8='5.Variables'!$B$86,+'5.Variables'!$I93,+IF(L$8='5.Variables'!$B$100,+'5.Variables'!$I107,0))))))</f>
        <v>0</v>
      </c>
      <c r="M76" s="143"/>
      <c r="N76" s="167">
        <f t="shared" si="11"/>
        <v>404253.82270666311</v>
      </c>
      <c r="O76" s="171"/>
      <c r="P76" s="143"/>
      <c r="Q76"/>
      <c r="R76"/>
      <c r="S76"/>
      <c r="T76"/>
      <c r="U76"/>
      <c r="V76"/>
      <c r="W76"/>
      <c r="X76"/>
      <c r="Y76"/>
      <c r="Z76" s="143"/>
      <c r="AA76" s="143"/>
      <c r="AB76" s="143"/>
      <c r="AC76" s="143"/>
      <c r="AD76" s="143"/>
      <c r="AE76" s="143"/>
      <c r="AF76" s="143"/>
      <c r="AG76" s="143"/>
      <c r="AH76" s="143"/>
      <c r="AI76" s="143"/>
    </row>
    <row r="77" spans="1:35" x14ac:dyDescent="0.3">
      <c r="A77" s="339">
        <f t="shared" si="12"/>
        <v>68</v>
      </c>
      <c r="B77" s="166" t="str">
        <f>CONCATENATE('3. Consumption by Rate Class'!B83,"-",'3. Consumption by Rate Class'!C83)</f>
        <v>2018-August</v>
      </c>
      <c r="C77" s="169">
        <v>417015.03999999992</v>
      </c>
      <c r="D77" s="367"/>
      <c r="E77" s="367"/>
      <c r="F77" s="167">
        <f t="shared" si="10"/>
        <v>417015.03999999992</v>
      </c>
      <c r="G77" s="292">
        <f>IF(G$8='5.Variables'!$B$10,+'5.Variables'!$J26,+IF(G$8='5.Variables'!$B$34,+'5.Variables'!$J50,+IF(G$8='5.Variables'!$B$58,+'5.Variables'!$J65,+IF(G$8='5.Variables'!$B$72,+'5.Variables'!$J79,+IF(G$8='5.Variables'!$B$86,+'5.Variables'!$J93,+IF(G$8='5.Variables'!$B$100,+'5.Variables'!$J107,0))))))</f>
        <v>3.7</v>
      </c>
      <c r="H77" s="292">
        <f>IF(H$8='5.Variables'!$B$10,+'5.Variables'!$J26,+IF(H$8='5.Variables'!$B$34,+'5.Variables'!$J50,+IF(H$8='5.Variables'!$B$58,+'5.Variables'!$J65,+IF(H$8='5.Variables'!$B$72,+'5.Variables'!$J79,+IF(H$8='5.Variables'!$B$86,+'5.Variables'!$J93,+IF(H$8='5.Variables'!$B$100,+'5.Variables'!$J107,0))))))</f>
        <v>122.1</v>
      </c>
      <c r="I77" s="292">
        <f>IF(I$8='5.Variables'!$B$10,+'5.Variables'!$J26,+IF(I$8='5.Variables'!$B$34,+'5.Variables'!$J50,+IF(I$8='5.Variables'!$B$58,+'5.Variables'!$J65,+IF(I$8='5.Variables'!$B$72,+'5.Variables'!$J79,+IF(I$8='5.Variables'!$B$86,+'5.Variables'!$J93,+IF(I$8='5.Variables'!$B$100,+'5.Variables'!$J107,0))))))</f>
        <v>31</v>
      </c>
      <c r="J77" s="292">
        <f>IF(J$8='5.Variables'!$B$10,+'5.Variables'!$J26,+IF(J$8='5.Variables'!$B$34,+'5.Variables'!$J50,+IF(J$8='5.Variables'!$B$58,+'5.Variables'!$J65,+IF(J$8='5.Variables'!$B$72,+'5.Variables'!$J79,+IF(J$8='5.Variables'!$B$86,+'5.Variables'!$J93,+IF(J$8='5.Variables'!$B$100,+'5.Variables'!$J107,0))))))</f>
        <v>0</v>
      </c>
      <c r="K77" s="292">
        <f>IF(K$8='5.Variables'!$B$10,+'5.Variables'!$J26,+IF(K$8='5.Variables'!$B$34,+'5.Variables'!$J50,+IF(K$8='5.Variables'!$B$58,+'5.Variables'!$J65,+IF(K$8='5.Variables'!$B$72,+'5.Variables'!$J79,+IF(K$8='5.Variables'!$B$86,+'5.Variables'!$J93,+IF(K$8='5.Variables'!$B$100,+'5.Variables'!$J107,0))))))</f>
        <v>0</v>
      </c>
      <c r="L77" s="292">
        <f>IF(L$8='5.Variables'!$B$10,+'5.Variables'!$J26,+IF(L$8='5.Variables'!$B$34,+'5.Variables'!$J50,+IF(L$8='5.Variables'!$B$58,+'5.Variables'!$J65,+IF(L$8='5.Variables'!$B$72,+'5.Variables'!$J79,+IF(L$8='5.Variables'!$B$86,+'5.Variables'!$J93,+IF(L$8='5.Variables'!$B$100,+'5.Variables'!$J107,0))))))</f>
        <v>0</v>
      </c>
      <c r="M77" s="143"/>
      <c r="N77" s="167">
        <f t="shared" si="11"/>
        <v>409211.99599495361</v>
      </c>
      <c r="O77" s="171"/>
      <c r="P77" s="143"/>
      <c r="Q77"/>
      <c r="R77"/>
      <c r="S77"/>
      <c r="T77"/>
      <c r="U77"/>
      <c r="V77"/>
      <c r="W77"/>
      <c r="X77"/>
      <c r="Y77"/>
      <c r="Z77" s="143"/>
      <c r="AA77" s="143"/>
      <c r="AB77" s="143"/>
      <c r="AC77" s="143"/>
      <c r="AD77" s="143"/>
      <c r="AE77" s="143"/>
      <c r="AF77" s="143"/>
      <c r="AG77" s="143"/>
      <c r="AH77" s="143"/>
      <c r="AI77" s="143"/>
    </row>
    <row r="78" spans="1:35" x14ac:dyDescent="0.3">
      <c r="A78" s="339">
        <f t="shared" si="12"/>
        <v>69</v>
      </c>
      <c r="B78" s="166" t="str">
        <f>CONCATENATE('3. Consumption by Rate Class'!B84,"-",'3. Consumption by Rate Class'!C84)</f>
        <v>2018-September</v>
      </c>
      <c r="C78" s="169">
        <v>363280.95</v>
      </c>
      <c r="D78" s="367"/>
      <c r="E78" s="367"/>
      <c r="F78" s="167">
        <f t="shared" si="10"/>
        <v>363280.95</v>
      </c>
      <c r="G78" s="292">
        <f>IF(G$8='5.Variables'!$B$10,+'5.Variables'!$K26,+IF(G$8='5.Variables'!$B$34,+'5.Variables'!$K50,+IF(G$8='5.Variables'!$B$58,+'5.Variables'!$K65,+IF(G$8='5.Variables'!$B$72,+'5.Variables'!$K79,+IF(G$8='5.Variables'!$B$86,+'5.Variables'!$K93,+IF(G$8='5.Variables'!$B$100,+'5.Variables'!$K107,0))))))</f>
        <v>75.900000000000006</v>
      </c>
      <c r="H78" s="292">
        <f>IF(H$8='5.Variables'!$B$10,+'5.Variables'!$K26,+IF(H$8='5.Variables'!$B$34,+'5.Variables'!$K50,+IF(H$8='5.Variables'!$B$58,+'5.Variables'!$K65,+IF(H$8='5.Variables'!$B$72,+'5.Variables'!$K79,+IF(H$8='5.Variables'!$B$86,+'5.Variables'!$K93,+IF(H$8='5.Variables'!$B$100,+'5.Variables'!$K107,0))))))</f>
        <v>54.8</v>
      </c>
      <c r="I78" s="292">
        <f>IF(I$8='5.Variables'!$B$10,+'5.Variables'!$K26,+IF(I$8='5.Variables'!$B$34,+'5.Variables'!$K50,+IF(I$8='5.Variables'!$B$58,+'5.Variables'!$K65,+IF(I$8='5.Variables'!$B$72,+'5.Variables'!$K79,+IF(I$8='5.Variables'!$B$86,+'5.Variables'!$K93,+IF(I$8='5.Variables'!$B$100,+'5.Variables'!$K107,0))))))</f>
        <v>30</v>
      </c>
      <c r="J78" s="292">
        <f>IF(J$8='5.Variables'!$B$10,+'5.Variables'!$K26,+IF(J$8='5.Variables'!$B$34,+'5.Variables'!$K50,+IF(J$8='5.Variables'!$B$58,+'5.Variables'!$K65,+IF(J$8='5.Variables'!$B$72,+'5.Variables'!$K79,+IF(J$8='5.Variables'!$B$86,+'5.Variables'!$K93,+IF(J$8='5.Variables'!$B$100,+'5.Variables'!$K107,0))))))</f>
        <v>1</v>
      </c>
      <c r="K78" s="292">
        <f>IF(K$8='5.Variables'!$B$10,+'5.Variables'!$K26,+IF(K$8='5.Variables'!$B$34,+'5.Variables'!$K50,+IF(K$8='5.Variables'!$B$58,+'5.Variables'!$K65,+IF(K$8='5.Variables'!$B$72,+'5.Variables'!$K79,+IF(K$8='5.Variables'!$B$86,+'5.Variables'!$K93,+IF(K$8='5.Variables'!$B$100,+'5.Variables'!$K107,0))))))</f>
        <v>0</v>
      </c>
      <c r="L78" s="292">
        <f>IF(L$8='5.Variables'!$B$10,+'5.Variables'!$K26,+IF(L$8='5.Variables'!$B$34,+'5.Variables'!$K50,+IF(L$8='5.Variables'!$B$58,+'5.Variables'!$K65,+IF(L$8='5.Variables'!$B$72,+'5.Variables'!$K79,+IF(L$8='5.Variables'!$B$86,+'5.Variables'!$K93,+IF(L$8='5.Variables'!$B$100,+'5.Variables'!$K107,0))))))</f>
        <v>0</v>
      </c>
      <c r="M78" s="143"/>
      <c r="N78" s="167">
        <f t="shared" si="11"/>
        <v>356849.76831593824</v>
      </c>
      <c r="O78" s="171"/>
      <c r="P78" s="143"/>
      <c r="Q78"/>
      <c r="R78"/>
      <c r="S78"/>
      <c r="T78"/>
      <c r="U78"/>
      <c r="V78"/>
      <c r="W78"/>
      <c r="X78"/>
      <c r="Y78"/>
      <c r="Z78" s="143"/>
      <c r="AA78" s="143"/>
      <c r="AB78" s="143"/>
      <c r="AC78" s="143"/>
      <c r="AD78" s="143"/>
      <c r="AE78" s="143"/>
      <c r="AF78" s="143"/>
      <c r="AG78" s="143"/>
      <c r="AH78" s="143"/>
      <c r="AI78" s="143"/>
    </row>
    <row r="79" spans="1:35" x14ac:dyDescent="0.3">
      <c r="A79" s="339">
        <f t="shared" si="12"/>
        <v>70</v>
      </c>
      <c r="B79" s="166" t="str">
        <f>CONCATENATE('3. Consumption by Rate Class'!B85,"-",'3. Consumption by Rate Class'!C85)</f>
        <v>2018-October</v>
      </c>
      <c r="C79" s="169">
        <v>350795.93</v>
      </c>
      <c r="D79" s="367"/>
      <c r="E79" s="367"/>
      <c r="F79" s="167">
        <f t="shared" si="10"/>
        <v>350795.93</v>
      </c>
      <c r="G79" s="292">
        <f>IF(G$8='5.Variables'!$B$10,+'5.Variables'!$L26,+IF(G$8='5.Variables'!$B$34,+'5.Variables'!$L50,+IF(G$8='5.Variables'!$B$58,+'5.Variables'!$L65,+IF(G$8='5.Variables'!$B$72,+'5.Variables'!$L79,+IF(G$8='5.Variables'!$B$86,+'5.Variables'!$L93,+IF(G$8='5.Variables'!$B$100,+'5.Variables'!$L107,0))))))</f>
        <v>279.5</v>
      </c>
      <c r="H79" s="292">
        <f>IF(H$8='5.Variables'!$B$10,+'5.Variables'!$L26,+IF(H$8='5.Variables'!$B$34,+'5.Variables'!$L50,+IF(H$8='5.Variables'!$B$58,+'5.Variables'!$L65,+IF(H$8='5.Variables'!$B$72,+'5.Variables'!$L79,+IF(H$8='5.Variables'!$B$86,+'5.Variables'!$L93,+IF(H$8='5.Variables'!$B$100,+'5.Variables'!$L107,0))))))</f>
        <v>12.6</v>
      </c>
      <c r="I79" s="292">
        <f>IF(I$8='5.Variables'!$B$10,+'5.Variables'!$L26,+IF(I$8='5.Variables'!$B$34,+'5.Variables'!$L50,+IF(I$8='5.Variables'!$B$58,+'5.Variables'!$L65,+IF(I$8='5.Variables'!$B$72,+'5.Variables'!$L79,+IF(I$8='5.Variables'!$B$86,+'5.Variables'!$L93,+IF(I$8='5.Variables'!$B$100,+'5.Variables'!$L107,0))))))</f>
        <v>31</v>
      </c>
      <c r="J79" s="292">
        <f>IF(J$8='5.Variables'!$B$10,+'5.Variables'!$L26,+IF(J$8='5.Variables'!$B$34,+'5.Variables'!$L50,+IF(J$8='5.Variables'!$B$58,+'5.Variables'!$L65,+IF(J$8='5.Variables'!$B$72,+'5.Variables'!$L79,+IF(J$8='5.Variables'!$B$86,+'5.Variables'!$L93,+IF(J$8='5.Variables'!$B$100,+'5.Variables'!$L107,0))))))</f>
        <v>1</v>
      </c>
      <c r="K79" s="292">
        <f>IF(K$8='5.Variables'!$B$10,+'5.Variables'!$L26,+IF(K$8='5.Variables'!$B$34,+'5.Variables'!$L50,+IF(K$8='5.Variables'!$B$58,+'5.Variables'!$L65,+IF(K$8='5.Variables'!$B$72,+'5.Variables'!$L79,+IF(K$8='5.Variables'!$B$86,+'5.Variables'!$L93,+IF(K$8='5.Variables'!$B$100,+'5.Variables'!$L107,0))))))</f>
        <v>0</v>
      </c>
      <c r="L79" s="292">
        <f>IF(L$8='5.Variables'!$B$10,+'5.Variables'!$L26,+IF(L$8='5.Variables'!$B$34,+'5.Variables'!$L50,+IF(L$8='5.Variables'!$B$58,+'5.Variables'!$L65,+IF(L$8='5.Variables'!$B$72,+'5.Variables'!$L79,+IF(L$8='5.Variables'!$B$86,+'5.Variables'!$L93,+IF(L$8='5.Variables'!$B$100,+'5.Variables'!$L107,0))))))</f>
        <v>0</v>
      </c>
      <c r="M79" s="143"/>
      <c r="N79" s="167">
        <f t="shared" si="11"/>
        <v>342860.30840849644</v>
      </c>
      <c r="O79" s="171"/>
      <c r="P79" s="143"/>
      <c r="Q79"/>
      <c r="R79"/>
      <c r="S79"/>
      <c r="T79"/>
      <c r="U79"/>
      <c r="V79"/>
      <c r="W79"/>
      <c r="X79"/>
      <c r="Y79"/>
      <c r="Z79" s="143"/>
      <c r="AA79" s="143"/>
      <c r="AB79" s="143"/>
      <c r="AC79" s="143"/>
      <c r="AD79" s="143"/>
      <c r="AE79" s="143"/>
      <c r="AF79" s="143"/>
      <c r="AG79" s="143"/>
      <c r="AH79" s="143"/>
      <c r="AI79" s="143"/>
    </row>
    <row r="80" spans="1:35" x14ac:dyDescent="0.3">
      <c r="A80" s="339">
        <f t="shared" si="12"/>
        <v>71</v>
      </c>
      <c r="B80" s="166" t="str">
        <f>CONCATENATE('3. Consumption by Rate Class'!B86,"-",'3. Consumption by Rate Class'!C86)</f>
        <v>2018-November</v>
      </c>
      <c r="C80" s="169">
        <v>331007.25</v>
      </c>
      <c r="D80" s="367"/>
      <c r="E80" s="367"/>
      <c r="F80" s="167">
        <f t="shared" si="10"/>
        <v>331007.25</v>
      </c>
      <c r="G80" s="292">
        <f>IF(G$8='5.Variables'!$B$10,+'5.Variables'!$M26,+IF(G$8='5.Variables'!$B$34,+'5.Variables'!$M50,+IF(G$8='5.Variables'!$B$58,+'5.Variables'!$M65,+IF(G$8='5.Variables'!$B$72,+'5.Variables'!$M79,+IF(G$8='5.Variables'!$B$86,+'5.Variables'!$M93,+IF(G$8='5.Variables'!$B$100,+'5.Variables'!$M107,0))))))</f>
        <v>503</v>
      </c>
      <c r="H80" s="292">
        <f>IF(H$8='5.Variables'!$B$10,+'5.Variables'!$M26,+IF(H$8='5.Variables'!$B$34,+'5.Variables'!$M50,+IF(H$8='5.Variables'!$B$58,+'5.Variables'!$M65,+IF(H$8='5.Variables'!$B$72,+'5.Variables'!$M79,+IF(H$8='5.Variables'!$B$86,+'5.Variables'!$M93,+IF(H$8='5.Variables'!$B$100,+'5.Variables'!$M107,0))))))</f>
        <v>0</v>
      </c>
      <c r="I80" s="292">
        <f>IF(I$8='5.Variables'!$B$10,+'5.Variables'!$M26,+IF(I$8='5.Variables'!$B$34,+'5.Variables'!$M50,+IF(I$8='5.Variables'!$B$58,+'5.Variables'!$M65,+IF(I$8='5.Variables'!$B$72,+'5.Variables'!$M79,+IF(I$8='5.Variables'!$B$86,+'5.Variables'!$M93,+IF(I$8='5.Variables'!$B$100,+'5.Variables'!$M107,0))))))</f>
        <v>30</v>
      </c>
      <c r="J80" s="292">
        <f>IF(J$8='5.Variables'!$B$10,+'5.Variables'!$M26,+IF(J$8='5.Variables'!$B$34,+'5.Variables'!$M50,+IF(J$8='5.Variables'!$B$58,+'5.Variables'!$M65,+IF(J$8='5.Variables'!$B$72,+'5.Variables'!$M79,+IF(J$8='5.Variables'!$B$86,+'5.Variables'!$M93,+IF(J$8='5.Variables'!$B$100,+'5.Variables'!$M107,0))))))</f>
        <v>1</v>
      </c>
      <c r="K80" s="292">
        <f>IF(K$8='5.Variables'!$B$10,+'5.Variables'!$M26,+IF(K$8='5.Variables'!$B$34,+'5.Variables'!$M50,+IF(K$8='5.Variables'!$B$58,+'5.Variables'!$M65,+IF(K$8='5.Variables'!$B$72,+'5.Variables'!$M79,+IF(K$8='5.Variables'!$B$86,+'5.Variables'!$M93,+IF(K$8='5.Variables'!$B$100,+'5.Variables'!$M107,0))))))</f>
        <v>0</v>
      </c>
      <c r="L80" s="292">
        <f>IF(L$8='5.Variables'!$B$10,+'5.Variables'!$M26,+IF(L$8='5.Variables'!$B$34,+'5.Variables'!$M50,+IF(L$8='5.Variables'!$B$58,+'5.Variables'!$M65,+IF(L$8='5.Variables'!$B$72,+'5.Variables'!$M79,+IF(L$8='5.Variables'!$B$86,+'5.Variables'!$M93,+IF(L$8='5.Variables'!$B$100,+'5.Variables'!$M107,0))))))</f>
        <v>0</v>
      </c>
      <c r="M80" s="143"/>
      <c r="N80" s="167">
        <f t="shared" si="11"/>
        <v>315173.22751757869</v>
      </c>
      <c r="O80" s="171"/>
      <c r="P80" s="143"/>
      <c r="Q80"/>
      <c r="R80"/>
      <c r="S80"/>
      <c r="T80"/>
      <c r="U80"/>
      <c r="V80"/>
      <c r="W80"/>
      <c r="X80"/>
      <c r="Y80"/>
      <c r="Z80" s="143"/>
      <c r="AA80" s="143"/>
      <c r="AB80" s="143"/>
      <c r="AC80" s="143"/>
      <c r="AD80" s="143"/>
      <c r="AE80" s="143"/>
      <c r="AF80" s="143"/>
      <c r="AG80" s="143"/>
      <c r="AH80" s="143"/>
      <c r="AI80" s="143"/>
    </row>
    <row r="81" spans="1:35" x14ac:dyDescent="0.3">
      <c r="A81" s="339">
        <f t="shared" si="12"/>
        <v>72</v>
      </c>
      <c r="B81" s="166" t="str">
        <f>CONCATENATE('3. Consumption by Rate Class'!B87,"-",'3. Consumption by Rate Class'!C87)</f>
        <v>2018-December</v>
      </c>
      <c r="C81" s="169">
        <v>334309.63</v>
      </c>
      <c r="D81" s="367"/>
      <c r="E81" s="367"/>
      <c r="F81" s="167">
        <f t="shared" si="10"/>
        <v>334309.63</v>
      </c>
      <c r="G81" s="292">
        <f>IF(G$8='5.Variables'!$B$10,+'5.Variables'!$N26,+IF(G$8='5.Variables'!$B$34,+'5.Variables'!$N50,+IF(G$8='5.Variables'!$B$58,+'5.Variables'!$N65,+IF(G$8='5.Variables'!$B$72,+'5.Variables'!$N79,+IF(G$8='5.Variables'!$B$86,+'5.Variables'!$N93,+IF(G$8='5.Variables'!$B$100,+'5.Variables'!$N107,0))))))</f>
        <v>588.29999999999995</v>
      </c>
      <c r="H81" s="292">
        <f>IF(H$8='5.Variables'!$B$10,+'5.Variables'!$N26,+IF(H$8='5.Variables'!$B$34,+'5.Variables'!$N50,+IF(H$8='5.Variables'!$B$58,+'5.Variables'!$N65,+IF(H$8='5.Variables'!$B$72,+'5.Variables'!$N79,+IF(H$8='5.Variables'!$B$86,+'5.Variables'!$N93,+IF(H$8='5.Variables'!$B$100,+'5.Variables'!$N107,0))))))</f>
        <v>0</v>
      </c>
      <c r="I81" s="292">
        <f>IF(I$8='5.Variables'!$B$10,+'5.Variables'!$N26,+IF(I$8='5.Variables'!$B$34,+'5.Variables'!$N50,+IF(I$8='5.Variables'!$B$58,+'5.Variables'!$N65,+IF(I$8='5.Variables'!$B$72,+'5.Variables'!$N79,+IF(I$8='5.Variables'!$B$86,+'5.Variables'!$N93,+IF(I$8='5.Variables'!$B$100,+'5.Variables'!$N107,0))))))</f>
        <v>31</v>
      </c>
      <c r="J81" s="292">
        <f>IF(J$8='5.Variables'!$B$10,+'5.Variables'!$N26,+IF(J$8='5.Variables'!$B$34,+'5.Variables'!$N50,+IF(J$8='5.Variables'!$B$58,+'5.Variables'!$N65,+IF(J$8='5.Variables'!$B$72,+'5.Variables'!$N79,+IF(J$8='5.Variables'!$B$86,+'5.Variables'!$N93,+IF(J$8='5.Variables'!$B$100,+'5.Variables'!$N107,0))))))</f>
        <v>0</v>
      </c>
      <c r="K81" s="292">
        <f>IF(K$8='5.Variables'!$B$10,+'5.Variables'!$N26,+IF(K$8='5.Variables'!$B$34,+'5.Variables'!$N50,+IF(K$8='5.Variables'!$B$58,+'5.Variables'!$N65,+IF(K$8='5.Variables'!$B$72,+'5.Variables'!$N79,+IF(K$8='5.Variables'!$B$86,+'5.Variables'!$N93,+IF(K$8='5.Variables'!$B$100,+'5.Variables'!$N107,0))))))</f>
        <v>0</v>
      </c>
      <c r="L81" s="292">
        <f>IF(L$8='5.Variables'!$B$10,+'5.Variables'!$N26,+IF(L$8='5.Variables'!$B$34,+'5.Variables'!$N50,+IF(L$8='5.Variables'!$B$58,+'5.Variables'!$N65,+IF(L$8='5.Variables'!$B$72,+'5.Variables'!$N79,+IF(L$8='5.Variables'!$B$86,+'5.Variables'!$N93,+IF(L$8='5.Variables'!$B$100,+'5.Variables'!$N107,0))))))</f>
        <v>0</v>
      </c>
      <c r="M81" s="143"/>
      <c r="N81" s="167">
        <f t="shared" si="11"/>
        <v>334121.20439347968</v>
      </c>
      <c r="O81" s="171">
        <f>SUM(N70:N81)</f>
        <v>4147837.2726249164</v>
      </c>
      <c r="P81" s="143"/>
      <c r="Q81"/>
      <c r="R81"/>
      <c r="S81"/>
      <c r="T81"/>
      <c r="U81"/>
      <c r="V81"/>
      <c r="W81"/>
      <c r="X81"/>
      <c r="Y81"/>
      <c r="Z81" s="143"/>
      <c r="AA81" s="143"/>
      <c r="AB81" s="143"/>
      <c r="AC81" s="143"/>
      <c r="AD81" s="143"/>
      <c r="AE81" s="143"/>
      <c r="AF81" s="143"/>
      <c r="AG81" s="143"/>
      <c r="AH81" s="143"/>
      <c r="AI81" s="143"/>
    </row>
    <row r="82" spans="1:35" x14ac:dyDescent="0.3">
      <c r="A82" s="339">
        <f t="shared" si="12"/>
        <v>73</v>
      </c>
      <c r="B82" s="166" t="str">
        <f>CONCATENATE('3. Consumption by Rate Class'!B88,"-",'3. Consumption by Rate Class'!C88)</f>
        <v>2019-January</v>
      </c>
      <c r="C82" s="169">
        <v>327179.09999999998</v>
      </c>
      <c r="D82" s="367"/>
      <c r="E82" s="367"/>
      <c r="F82" s="167">
        <f t="shared" si="10"/>
        <v>327179.09999999998</v>
      </c>
      <c r="G82" s="292">
        <f>IF(G$8='5.Variables'!$B$10,+'5.Variables'!$C27,+IF(G$8='5.Variables'!$B$34,+'5.Variables'!$C51,+IF(G$8='5.Variables'!$B$58,+'5.Variables'!$C66,+IF(G$8='5.Variables'!$B$72,+'5.Variables'!$C80,+IF(G$8='5.Variables'!$B$86,+'5.Variables'!$C94,+IF(G$8='5.Variables'!$B$100,+'5.Variables'!$C108,0))))))</f>
        <v>777.9</v>
      </c>
      <c r="H82" s="292">
        <f>IF(H$8='5.Variables'!$B$10,+'5.Variables'!$C27,+IF(H$8='5.Variables'!$B$34,+'5.Variables'!$C51,+IF(H$8='5.Variables'!$B$58,+'5.Variables'!$C66,+IF(H$8='5.Variables'!$B$72,+'5.Variables'!$C80,+IF(H$8='5.Variables'!$B$86,+'5.Variables'!$C94,+IF(H$8='5.Variables'!$B$100,+'5.Variables'!$C108,0))))))</f>
        <v>0</v>
      </c>
      <c r="I82" s="292">
        <f>IF(I$8='5.Variables'!$B$10,+'5.Variables'!$C27,+IF(I$8='5.Variables'!$B$34,+'5.Variables'!$C51,+IF(I$8='5.Variables'!$B$58,+'5.Variables'!$C66,+IF(I$8='5.Variables'!$B$72,+'5.Variables'!$C80,+IF(I$8='5.Variables'!$B$86,+'5.Variables'!$C94,+IF(I$8='5.Variables'!$B$100,+'5.Variables'!$C108,0))))))</f>
        <v>31</v>
      </c>
      <c r="J82" s="292">
        <f>IF(J$8='5.Variables'!$B$10,+'5.Variables'!$C27,+IF(J$8='5.Variables'!$B$34,+'5.Variables'!$C51,+IF(J$8='5.Variables'!$B$58,+'5.Variables'!$C66,+IF(J$8='5.Variables'!$B$72,+'5.Variables'!$C80,+IF(J$8='5.Variables'!$B$86,+'5.Variables'!$C94,+IF(J$8='5.Variables'!$B$100,+'5.Variables'!$C108,0))))))</f>
        <v>0</v>
      </c>
      <c r="K82" s="292">
        <f>IF(K$8='5.Variables'!$B$10,+'5.Variables'!$C27,+IF(K$8='5.Variables'!$B$34,+'5.Variables'!$C51,+IF(K$8='5.Variables'!$B$58,+'5.Variables'!$C66,+IF(K$8='5.Variables'!$B$72,+'5.Variables'!$C80,+IF(K$8='5.Variables'!$B$86,+'5.Variables'!$C94,+IF(K$8='5.Variables'!$B$100,+'5.Variables'!$C108,0))))))</f>
        <v>0</v>
      </c>
      <c r="L82" s="292">
        <f>IF(L$8='5.Variables'!$B$10,+'5.Variables'!$C27,+IF(L$8='5.Variables'!$B$34,+'5.Variables'!$C51,+IF(L$8='5.Variables'!$B$58,+'5.Variables'!$C66,+IF(L$8='5.Variables'!$B$72,+'5.Variables'!$C80,+IF(L$8='5.Variables'!$B$86,+'5.Variables'!$C94,+IF(L$8='5.Variables'!$B$100,+'5.Variables'!$C108,0))))))</f>
        <v>0</v>
      </c>
      <c r="M82" s="143"/>
      <c r="N82" s="167">
        <f t="shared" si="11"/>
        <v>324942.02594241593</v>
      </c>
      <c r="O82" s="171"/>
      <c r="P82" s="143"/>
      <c r="Q82"/>
      <c r="R82"/>
      <c r="S82"/>
      <c r="T82"/>
      <c r="U82"/>
      <c r="V82"/>
      <c r="W82"/>
      <c r="X82"/>
      <c r="Y82"/>
      <c r="Z82" s="143"/>
      <c r="AA82" s="143"/>
      <c r="AB82" s="143"/>
      <c r="AC82" s="143"/>
      <c r="AD82" s="143"/>
      <c r="AE82" s="143"/>
      <c r="AF82" s="143"/>
      <c r="AG82" s="143"/>
      <c r="AH82" s="143"/>
      <c r="AI82" s="143"/>
    </row>
    <row r="83" spans="1:35" x14ac:dyDescent="0.3">
      <c r="A83" s="339">
        <f t="shared" si="12"/>
        <v>74</v>
      </c>
      <c r="B83" s="166" t="str">
        <f>CONCATENATE('3. Consumption by Rate Class'!B89,"-",'3. Consumption by Rate Class'!C89)</f>
        <v>2019-February</v>
      </c>
      <c r="C83" s="169">
        <v>294143.01</v>
      </c>
      <c r="D83" s="367"/>
      <c r="E83" s="367"/>
      <c r="F83" s="167">
        <f t="shared" si="10"/>
        <v>294143.01</v>
      </c>
      <c r="G83" s="292">
        <f>IF(G$8='5.Variables'!$B$10,+'5.Variables'!$D27,+IF(G$8='5.Variables'!$B$34,+'5.Variables'!$D51,+IF(G$8='5.Variables'!$B$58,+'5.Variables'!$D66,+IF(G$8='5.Variables'!$B$72,+'5.Variables'!$D80,+IF(G$8='5.Variables'!$B$86,+'5.Variables'!$D94,+IF(G$8='5.Variables'!$B$100,+'5.Variables'!$D108,0))))))</f>
        <v>634.4</v>
      </c>
      <c r="H83" s="292">
        <f>IF(H$8='5.Variables'!$B$10,+'5.Variables'!$D27,+IF(H$8='5.Variables'!$B$34,+'5.Variables'!$D51,+IF(H$8='5.Variables'!$B$58,+'5.Variables'!$D66,+IF(H$8='5.Variables'!$B$72,+'5.Variables'!$D80,+IF(H$8='5.Variables'!$B$86,+'5.Variables'!$D94,+IF(H$8='5.Variables'!$B$100,+'5.Variables'!$D108,0))))))</f>
        <v>0</v>
      </c>
      <c r="I83" s="292">
        <f>IF(I$8='5.Variables'!$B$10,+'5.Variables'!$D27,+IF(I$8='5.Variables'!$B$34,+'5.Variables'!$D51,+IF(I$8='5.Variables'!$B$58,+'5.Variables'!$D66,+IF(I$8='5.Variables'!$B$72,+'5.Variables'!$D80,+IF(I$8='5.Variables'!$B$86,+'5.Variables'!$D94,+IF(I$8='5.Variables'!$B$100,+'5.Variables'!$D108,0))))))</f>
        <v>28</v>
      </c>
      <c r="J83" s="292">
        <f>IF(J$8='5.Variables'!$B$10,+'5.Variables'!$D27,+IF(J$8='5.Variables'!$B$34,+'5.Variables'!$D51,+IF(J$8='5.Variables'!$B$58,+'5.Variables'!$D66,+IF(J$8='5.Variables'!$B$72,+'5.Variables'!$D80,+IF(J$8='5.Variables'!$B$86,+'5.Variables'!$D94,+IF(J$8='5.Variables'!$B$100,+'5.Variables'!$D108,0))))))</f>
        <v>0</v>
      </c>
      <c r="K83" s="292">
        <f>IF(K$8='5.Variables'!$B$10,+'5.Variables'!$D27,+IF(K$8='5.Variables'!$B$34,+'5.Variables'!$D51,+IF(K$8='5.Variables'!$B$58,+'5.Variables'!$D66,+IF(K$8='5.Variables'!$B$72,+'5.Variables'!$D80,+IF(K$8='5.Variables'!$B$86,+'5.Variables'!$D94,+IF(K$8='5.Variables'!$B$100,+'5.Variables'!$D108,0))))))</f>
        <v>0</v>
      </c>
      <c r="L83" s="292">
        <f>IF(L$8='5.Variables'!$B$10,+'5.Variables'!$D27,+IF(L$8='5.Variables'!$B$34,+'5.Variables'!$D51,+IF(L$8='5.Variables'!$B$58,+'5.Variables'!$D66,+IF(L$8='5.Variables'!$B$72,+'5.Variables'!$D80,+IF(L$8='5.Variables'!$B$86,+'5.Variables'!$D94,+IF(L$8='5.Variables'!$B$100,+'5.Variables'!$D108,0))))))</f>
        <v>0</v>
      </c>
      <c r="M83" s="143"/>
      <c r="N83" s="167">
        <f t="shared" si="11"/>
        <v>295774.11909743829</v>
      </c>
      <c r="O83" s="171"/>
      <c r="P83" s="143"/>
      <c r="Q83"/>
      <c r="R83"/>
      <c r="S83"/>
      <c r="T83"/>
      <c r="U83"/>
      <c r="V83"/>
      <c r="W83"/>
      <c r="X83"/>
      <c r="Y83"/>
      <c r="Z83" s="143"/>
      <c r="AA83" s="143"/>
      <c r="AB83" s="143"/>
      <c r="AC83" s="143"/>
      <c r="AD83" s="143"/>
      <c r="AE83" s="143"/>
      <c r="AF83" s="143"/>
      <c r="AG83" s="143"/>
      <c r="AH83" s="143"/>
      <c r="AI83" s="143"/>
    </row>
    <row r="84" spans="1:35" x14ac:dyDescent="0.3">
      <c r="A84" s="339">
        <f t="shared" si="12"/>
        <v>75</v>
      </c>
      <c r="B84" s="166" t="str">
        <f>CONCATENATE('3. Consumption by Rate Class'!B90,"-",'3. Consumption by Rate Class'!C90)</f>
        <v>2019-March</v>
      </c>
      <c r="C84" s="169">
        <v>327251.01</v>
      </c>
      <c r="D84" s="367"/>
      <c r="E84" s="367"/>
      <c r="F84" s="167">
        <f t="shared" si="10"/>
        <v>327251.01</v>
      </c>
      <c r="G84" s="292">
        <f>IF(G$8='5.Variables'!$B$10,+'5.Variables'!$E27,+IF(G$8='5.Variables'!$B$34,+'5.Variables'!$E51,+IF(G$8='5.Variables'!$B$58,+'5.Variables'!$E66,+IF(G$8='5.Variables'!$B$72,+'5.Variables'!$E80,+IF(G$8='5.Variables'!$B$86,+'5.Variables'!$E94,+IF(G$8='5.Variables'!$B$100,+'5.Variables'!$E108,0))))))</f>
        <v>585.70000000000005</v>
      </c>
      <c r="H84" s="292">
        <f>IF(H$8='5.Variables'!$B$10,+'5.Variables'!$E27,+IF(H$8='5.Variables'!$B$34,+'5.Variables'!$E51,+IF(H$8='5.Variables'!$B$58,+'5.Variables'!$E66,+IF(H$8='5.Variables'!$B$72,+'5.Variables'!$E80,+IF(H$8='5.Variables'!$B$86,+'5.Variables'!$E94,+IF(H$8='5.Variables'!$B$100,+'5.Variables'!$E108,0))))))</f>
        <v>0</v>
      </c>
      <c r="I84" s="292">
        <f>IF(I$8='5.Variables'!$B$10,+'5.Variables'!$E27,+IF(I$8='5.Variables'!$B$34,+'5.Variables'!$E51,+IF(I$8='5.Variables'!$B$58,+'5.Variables'!$E66,+IF(I$8='5.Variables'!$B$72,+'5.Variables'!$E80,+IF(I$8='5.Variables'!$B$86,+'5.Variables'!$E94,+IF(I$8='5.Variables'!$B$100,+'5.Variables'!$E108,0))))))</f>
        <v>31</v>
      </c>
      <c r="J84" s="292">
        <f>IF(J$8='5.Variables'!$B$10,+'5.Variables'!$E27,+IF(J$8='5.Variables'!$B$34,+'5.Variables'!$E51,+IF(J$8='5.Variables'!$B$58,+'5.Variables'!$E66,+IF(J$8='5.Variables'!$B$72,+'5.Variables'!$E80,+IF(J$8='5.Variables'!$B$86,+'5.Variables'!$E94,+IF(J$8='5.Variables'!$B$100,+'5.Variables'!$E108,0))))))</f>
        <v>1</v>
      </c>
      <c r="K84" s="292">
        <f>IF(K$8='5.Variables'!$B$10,+'5.Variables'!$E27,+IF(K$8='5.Variables'!$B$34,+'5.Variables'!$E51,+IF(K$8='5.Variables'!$B$58,+'5.Variables'!$E66,+IF(K$8='5.Variables'!$B$72,+'5.Variables'!$E80,+IF(K$8='5.Variables'!$B$86,+'5.Variables'!$E94,+IF(K$8='5.Variables'!$B$100,+'5.Variables'!$E108,0))))))</f>
        <v>0</v>
      </c>
      <c r="L84" s="292">
        <f>IF(L$8='5.Variables'!$B$10,+'5.Variables'!$E27,+IF(L$8='5.Variables'!$B$34,+'5.Variables'!$E51,+IF(L$8='5.Variables'!$B$58,+'5.Variables'!$E66,+IF(L$8='5.Variables'!$B$72,+'5.Variables'!$E80,+IF(L$8='5.Variables'!$B$86,+'5.Variables'!$E94,+IF(L$8='5.Variables'!$B$100,+'5.Variables'!$E108,0))))))</f>
        <v>0</v>
      </c>
      <c r="M84" s="143"/>
      <c r="N84" s="167">
        <f t="shared" si="11"/>
        <v>323207.84965510771</v>
      </c>
      <c r="O84" s="171"/>
      <c r="P84" s="143"/>
      <c r="Q84"/>
      <c r="R84"/>
      <c r="S84"/>
      <c r="T84"/>
      <c r="U84"/>
      <c r="V84"/>
      <c r="W84"/>
      <c r="X84"/>
      <c r="Y84"/>
      <c r="Z84" s="143"/>
      <c r="AA84" s="143"/>
      <c r="AB84" s="143"/>
      <c r="AC84" s="143"/>
      <c r="AD84" s="143"/>
      <c r="AE84" s="143"/>
      <c r="AF84" s="143"/>
      <c r="AG84" s="143"/>
      <c r="AH84" s="143"/>
      <c r="AI84" s="143"/>
    </row>
    <row r="85" spans="1:35" x14ac:dyDescent="0.3">
      <c r="A85" s="339">
        <f t="shared" si="12"/>
        <v>76</v>
      </c>
      <c r="B85" s="166" t="str">
        <f>CONCATENATE('3. Consumption by Rate Class'!B91,"-",'3. Consumption by Rate Class'!C91)</f>
        <v>2019-April</v>
      </c>
      <c r="C85" s="169">
        <v>319944.19</v>
      </c>
      <c r="D85" s="367"/>
      <c r="E85" s="367"/>
      <c r="F85" s="167">
        <f t="shared" si="10"/>
        <v>319944.19</v>
      </c>
      <c r="G85" s="292">
        <f>IF(G$8='5.Variables'!$B$10,+'5.Variables'!$F27,+IF(G$8='5.Variables'!$B$34,+'5.Variables'!$F51,+IF(G$8='5.Variables'!$B$58,+'5.Variables'!$F66,+IF(G$8='5.Variables'!$B$72,+'5.Variables'!$F80,+IF(G$8='5.Variables'!$B$86,+'5.Variables'!$F94,+IF(G$8='5.Variables'!$B$100,+'5.Variables'!$F108,0))))))</f>
        <v>391.1</v>
      </c>
      <c r="H85" s="292">
        <f>IF(H$8='5.Variables'!$B$10,+'5.Variables'!$F27,+IF(H$8='5.Variables'!$B$34,+'5.Variables'!$F51,+IF(H$8='5.Variables'!$B$58,+'5.Variables'!$F66,+IF(H$8='5.Variables'!$B$72,+'5.Variables'!$F80,+IF(H$8='5.Variables'!$B$86,+'5.Variables'!$F94,+IF(H$8='5.Variables'!$B$100,+'5.Variables'!$F108,0))))))</f>
        <v>0</v>
      </c>
      <c r="I85" s="292">
        <f>IF(I$8='5.Variables'!$B$10,+'5.Variables'!$F27,+IF(I$8='5.Variables'!$B$34,+'5.Variables'!$F51,+IF(I$8='5.Variables'!$B$58,+'5.Variables'!$F66,+IF(I$8='5.Variables'!$B$72,+'5.Variables'!$F80,+IF(I$8='5.Variables'!$B$86,+'5.Variables'!$F94,+IF(I$8='5.Variables'!$B$100,+'5.Variables'!$F108,0))))))</f>
        <v>30</v>
      </c>
      <c r="J85" s="292">
        <f>IF(J$8='5.Variables'!$B$10,+'5.Variables'!$F27,+IF(J$8='5.Variables'!$B$34,+'5.Variables'!$F51,+IF(J$8='5.Variables'!$B$58,+'5.Variables'!$F66,+IF(J$8='5.Variables'!$B$72,+'5.Variables'!$F80,+IF(J$8='5.Variables'!$B$86,+'5.Variables'!$F94,+IF(J$8='5.Variables'!$B$100,+'5.Variables'!$F108,0))))))</f>
        <v>1</v>
      </c>
      <c r="K85" s="292">
        <f>IF(K$8='5.Variables'!$B$10,+'5.Variables'!$F27,+IF(K$8='5.Variables'!$B$34,+'5.Variables'!$F51,+IF(K$8='5.Variables'!$B$58,+'5.Variables'!$F66,+IF(K$8='5.Variables'!$B$72,+'5.Variables'!$F80,+IF(K$8='5.Variables'!$B$86,+'5.Variables'!$F94,+IF(K$8='5.Variables'!$B$100,+'5.Variables'!$F108,0))))))</f>
        <v>0</v>
      </c>
      <c r="L85" s="292">
        <f>IF(L$8='5.Variables'!$B$10,+'5.Variables'!$F27,+IF(L$8='5.Variables'!$B$34,+'5.Variables'!$F51,+IF(L$8='5.Variables'!$B$58,+'5.Variables'!$F66,+IF(L$8='5.Variables'!$B$72,+'5.Variables'!$F80,+IF(L$8='5.Variables'!$B$86,+'5.Variables'!$F94,+IF(L$8='5.Variables'!$B$100,+'5.Variables'!$F108,0))))))</f>
        <v>0</v>
      </c>
      <c r="M85" s="143"/>
      <c r="N85" s="167">
        <f t="shared" si="11"/>
        <v>320590.68568569067</v>
      </c>
      <c r="O85" s="171"/>
      <c r="P85" s="143"/>
      <c r="Q85"/>
      <c r="R85"/>
      <c r="S85"/>
      <c r="T85"/>
      <c r="U85"/>
      <c r="V85"/>
      <c r="W85"/>
      <c r="X85"/>
      <c r="Y85"/>
      <c r="Z85" s="143"/>
      <c r="AA85" s="143"/>
      <c r="AB85" s="143"/>
      <c r="AC85" s="143"/>
      <c r="AD85" s="143"/>
      <c r="AE85" s="143"/>
      <c r="AF85" s="143"/>
      <c r="AG85" s="143"/>
      <c r="AH85" s="143"/>
      <c r="AI85" s="143"/>
    </row>
    <row r="86" spans="1:35" x14ac:dyDescent="0.3">
      <c r="A86" s="339">
        <f t="shared" si="12"/>
        <v>77</v>
      </c>
      <c r="B86" s="166" t="str">
        <f>CONCATENATE('3. Consumption by Rate Class'!B92,"-",'3. Consumption by Rate Class'!C92)</f>
        <v>2019-May</v>
      </c>
      <c r="C86" s="169">
        <v>353954.52</v>
      </c>
      <c r="D86" s="367"/>
      <c r="E86" s="367"/>
      <c r="F86" s="167">
        <f t="shared" si="10"/>
        <v>353954.52</v>
      </c>
      <c r="G86" s="292">
        <f>IF(G$8='5.Variables'!$B$10,+'5.Variables'!$G27,+IF(G$8='5.Variables'!$B$34,+'5.Variables'!$G51,+IF(G$8='5.Variables'!$B$58,+'5.Variables'!$G66,+IF(G$8='5.Variables'!$B$72,+'5.Variables'!$G80,+IF(G$8='5.Variables'!$B$86,+'5.Variables'!$G94,+IF(G$8='5.Variables'!$B$100,+'5.Variables'!$G108,0))))))</f>
        <v>237</v>
      </c>
      <c r="H86" s="292">
        <f>IF(H$8='5.Variables'!$B$10,+'5.Variables'!$G27,+IF(H$8='5.Variables'!$B$34,+'5.Variables'!$G51,+IF(H$8='5.Variables'!$B$58,+'5.Variables'!$G66,+IF(H$8='5.Variables'!$B$72,+'5.Variables'!$G80,+IF(H$8='5.Variables'!$B$86,+'5.Variables'!$G94,+IF(H$8='5.Variables'!$B$100,+'5.Variables'!$G108,0))))))</f>
        <v>0</v>
      </c>
      <c r="I86" s="292">
        <f>IF(I$8='5.Variables'!$B$10,+'5.Variables'!$G27,+IF(I$8='5.Variables'!$B$34,+'5.Variables'!$G51,+IF(I$8='5.Variables'!$B$58,+'5.Variables'!$G66,+IF(I$8='5.Variables'!$B$72,+'5.Variables'!$G80,+IF(I$8='5.Variables'!$B$86,+'5.Variables'!$G94,+IF(I$8='5.Variables'!$B$100,+'5.Variables'!$G108,0))))))</f>
        <v>31</v>
      </c>
      <c r="J86" s="292">
        <f>IF(J$8='5.Variables'!$B$10,+'5.Variables'!$G27,+IF(J$8='5.Variables'!$B$34,+'5.Variables'!$G51,+IF(J$8='5.Variables'!$B$58,+'5.Variables'!$G66,+IF(J$8='5.Variables'!$B$72,+'5.Variables'!$G80,+IF(J$8='5.Variables'!$B$86,+'5.Variables'!$G94,+IF(J$8='5.Variables'!$B$100,+'5.Variables'!$G108,0))))))</f>
        <v>1</v>
      </c>
      <c r="K86" s="292">
        <f>IF(K$8='5.Variables'!$B$10,+'5.Variables'!$G27,+IF(K$8='5.Variables'!$B$34,+'5.Variables'!$G51,+IF(K$8='5.Variables'!$B$58,+'5.Variables'!$G66,+IF(K$8='5.Variables'!$B$72,+'5.Variables'!$G80,+IF(K$8='5.Variables'!$B$86,+'5.Variables'!$G94,+IF(K$8='5.Variables'!$B$100,+'5.Variables'!$G108,0))))))</f>
        <v>0</v>
      </c>
      <c r="L86" s="292">
        <f>IF(L$8='5.Variables'!$B$10,+'5.Variables'!$G27,+IF(L$8='5.Variables'!$B$34,+'5.Variables'!$G51,+IF(L$8='5.Variables'!$B$58,+'5.Variables'!$G66,+IF(L$8='5.Variables'!$B$72,+'5.Variables'!$G80,+IF(L$8='5.Variables'!$B$86,+'5.Variables'!$G94,+IF(L$8='5.Variables'!$B$100,+'5.Variables'!$G108,0))))))</f>
        <v>0</v>
      </c>
      <c r="M86" s="143"/>
      <c r="N86" s="167">
        <f t="shared" si="11"/>
        <v>340089.5982093584</v>
      </c>
      <c r="O86" s="171"/>
      <c r="P86" s="143"/>
      <c r="Q86"/>
      <c r="R86"/>
      <c r="S86"/>
      <c r="T86"/>
      <c r="U86"/>
      <c r="V86"/>
      <c r="W86"/>
      <c r="X86"/>
      <c r="Y86"/>
      <c r="Z86" s="143"/>
      <c r="AA86" s="143"/>
      <c r="AB86" s="143"/>
      <c r="AC86" s="143"/>
      <c r="AD86" s="143"/>
      <c r="AE86" s="143"/>
      <c r="AF86" s="143"/>
      <c r="AG86" s="143"/>
      <c r="AH86" s="143"/>
      <c r="AI86" s="143"/>
    </row>
    <row r="87" spans="1:35" x14ac:dyDescent="0.3">
      <c r="A87" s="339">
        <f t="shared" si="12"/>
        <v>78</v>
      </c>
      <c r="B87" s="166" t="str">
        <f>CONCATENATE('3. Consumption by Rate Class'!B93,"-",'3. Consumption by Rate Class'!C93)</f>
        <v>2019-June</v>
      </c>
      <c r="C87" s="169">
        <v>353949.88</v>
      </c>
      <c r="D87" s="367"/>
      <c r="E87" s="367"/>
      <c r="F87" s="167">
        <f t="shared" si="10"/>
        <v>353949.88</v>
      </c>
      <c r="G87" s="292">
        <f>IF(G$8='5.Variables'!$B$10,+'5.Variables'!$H27,+IF(G$8='5.Variables'!$B$34,+'5.Variables'!$H51,+IF(G$8='5.Variables'!$B$58,+'5.Variables'!$H66,+IF(G$8='5.Variables'!$B$72,+'5.Variables'!$H80,+IF(G$8='5.Variables'!$B$86,+'5.Variables'!$H94,+IF(G$8='5.Variables'!$B$100,+'5.Variables'!$H108,0))))))</f>
        <v>96.1</v>
      </c>
      <c r="H87" s="292">
        <f>IF(H$8='5.Variables'!$B$10,+'5.Variables'!$H27,+IF(H$8='5.Variables'!$B$34,+'5.Variables'!$H51,+IF(H$8='5.Variables'!$B$58,+'5.Variables'!$H66,+IF(H$8='5.Variables'!$B$72,+'5.Variables'!$H80,+IF(H$8='5.Variables'!$B$86,+'5.Variables'!$H94,+IF(H$8='5.Variables'!$B$100,+'5.Variables'!$H108,0))))))</f>
        <v>16.899999999999999</v>
      </c>
      <c r="I87" s="292">
        <f>IF(I$8='5.Variables'!$B$10,+'5.Variables'!$H27,+IF(I$8='5.Variables'!$B$34,+'5.Variables'!$H51,+IF(I$8='5.Variables'!$B$58,+'5.Variables'!$H66,+IF(I$8='5.Variables'!$B$72,+'5.Variables'!$H80,+IF(I$8='5.Variables'!$B$86,+'5.Variables'!$H94,+IF(I$8='5.Variables'!$B$100,+'5.Variables'!$H108,0))))))</f>
        <v>30</v>
      </c>
      <c r="J87" s="292">
        <f>IF(J$8='5.Variables'!$B$10,+'5.Variables'!$H27,+IF(J$8='5.Variables'!$B$34,+'5.Variables'!$H51,+IF(J$8='5.Variables'!$B$58,+'5.Variables'!$H66,+IF(J$8='5.Variables'!$B$72,+'5.Variables'!$H80,+IF(J$8='5.Variables'!$B$86,+'5.Variables'!$H94,+IF(J$8='5.Variables'!$B$100,+'5.Variables'!$H108,0))))))</f>
        <v>0</v>
      </c>
      <c r="K87" s="292">
        <f>IF(K$8='5.Variables'!$B$10,+'5.Variables'!$H27,+IF(K$8='5.Variables'!$B$34,+'5.Variables'!$H51,+IF(K$8='5.Variables'!$B$58,+'5.Variables'!$H66,+IF(K$8='5.Variables'!$B$72,+'5.Variables'!$H80,+IF(K$8='5.Variables'!$B$86,+'5.Variables'!$H94,+IF(K$8='5.Variables'!$B$100,+'5.Variables'!$H108,0))))))</f>
        <v>0</v>
      </c>
      <c r="L87" s="292">
        <f>IF(L$8='5.Variables'!$B$10,+'5.Variables'!$H27,+IF(L$8='5.Variables'!$B$34,+'5.Variables'!$H51,+IF(L$8='5.Variables'!$B$58,+'5.Variables'!$H66,+IF(L$8='5.Variables'!$B$72,+'5.Variables'!$H80,+IF(L$8='5.Variables'!$B$86,+'5.Variables'!$H94,+IF(L$8='5.Variables'!$B$100,+'5.Variables'!$H108,0))))))</f>
        <v>0</v>
      </c>
      <c r="M87" s="143"/>
      <c r="N87" s="167">
        <f t="shared" si="11"/>
        <v>352387.89011582115</v>
      </c>
      <c r="O87" s="171"/>
      <c r="P87" s="143"/>
      <c r="Q87"/>
      <c r="R87"/>
      <c r="S87"/>
      <c r="T87"/>
      <c r="U87"/>
      <c r="V87"/>
      <c r="W87"/>
      <c r="X87"/>
      <c r="Y87"/>
      <c r="Z87" s="143"/>
      <c r="AA87" s="143"/>
      <c r="AB87" s="143"/>
      <c r="AC87" s="143"/>
      <c r="AD87" s="143"/>
      <c r="AE87" s="143"/>
      <c r="AF87" s="143"/>
      <c r="AG87" s="143"/>
      <c r="AH87" s="143"/>
      <c r="AI87" s="143"/>
    </row>
    <row r="88" spans="1:35" x14ac:dyDescent="0.3">
      <c r="A88" s="339">
        <f t="shared" si="12"/>
        <v>79</v>
      </c>
      <c r="B88" s="166" t="str">
        <f>CONCATENATE('3. Consumption by Rate Class'!B94,"-",'3. Consumption by Rate Class'!C94)</f>
        <v>2019-July</v>
      </c>
      <c r="C88" s="169">
        <v>417351.39</v>
      </c>
      <c r="D88" s="367"/>
      <c r="E88" s="367"/>
      <c r="F88" s="167">
        <f t="shared" si="10"/>
        <v>417351.39</v>
      </c>
      <c r="G88" s="292">
        <f>IF(G$8='5.Variables'!$B$10,+'5.Variables'!$I27,+IF(G$8='5.Variables'!$B$34,+'5.Variables'!$I51,+IF(G$8='5.Variables'!$B$58,+'5.Variables'!$I66,+IF(G$8='5.Variables'!$B$72,+'5.Variables'!$I80,+IF(G$8='5.Variables'!$B$86,+'5.Variables'!$I94,+IF(G$8='5.Variables'!$B$100,+'5.Variables'!$I108,0))))))</f>
        <v>4</v>
      </c>
      <c r="H88" s="292">
        <f>IF(H$8='5.Variables'!$B$10,+'5.Variables'!$I27,+IF(H$8='5.Variables'!$B$34,+'5.Variables'!$I51,+IF(H$8='5.Variables'!$B$58,+'5.Variables'!$I66,+IF(H$8='5.Variables'!$B$72,+'5.Variables'!$I80,+IF(H$8='5.Variables'!$B$86,+'5.Variables'!$I94,+IF(H$8='5.Variables'!$B$100,+'5.Variables'!$I108,0))))))</f>
        <v>93.9</v>
      </c>
      <c r="I88" s="292">
        <f>IF(I$8='5.Variables'!$B$10,+'5.Variables'!$I27,+IF(I$8='5.Variables'!$B$34,+'5.Variables'!$I51,+IF(I$8='5.Variables'!$B$58,+'5.Variables'!$I66,+IF(I$8='5.Variables'!$B$72,+'5.Variables'!$I80,+IF(I$8='5.Variables'!$B$86,+'5.Variables'!$I94,+IF(I$8='5.Variables'!$B$100,+'5.Variables'!$I108,0))))))</f>
        <v>31</v>
      </c>
      <c r="J88" s="292">
        <f>IF(J$8='5.Variables'!$B$10,+'5.Variables'!$I27,+IF(J$8='5.Variables'!$B$34,+'5.Variables'!$I51,+IF(J$8='5.Variables'!$B$58,+'5.Variables'!$I66,+IF(J$8='5.Variables'!$B$72,+'5.Variables'!$I80,+IF(J$8='5.Variables'!$B$86,+'5.Variables'!$I94,+IF(J$8='5.Variables'!$B$100,+'5.Variables'!$I108,0))))))</f>
        <v>0</v>
      </c>
      <c r="K88" s="292">
        <f>IF(K$8='5.Variables'!$B$10,+'5.Variables'!$I27,+IF(K$8='5.Variables'!$B$34,+'5.Variables'!$I51,+IF(K$8='5.Variables'!$B$58,+'5.Variables'!$I66,+IF(K$8='5.Variables'!$B$72,+'5.Variables'!$I80,+IF(K$8='5.Variables'!$B$86,+'5.Variables'!$I94,+IF(K$8='5.Variables'!$B$100,+'5.Variables'!$I108,0))))))</f>
        <v>0</v>
      </c>
      <c r="L88" s="292">
        <f>IF(L$8='5.Variables'!$B$10,+'5.Variables'!$I27,+IF(L$8='5.Variables'!$B$34,+'5.Variables'!$I51,+IF(L$8='5.Variables'!$B$58,+'5.Variables'!$I66,+IF(L$8='5.Variables'!$B$72,+'5.Variables'!$I80,+IF(L$8='5.Variables'!$B$86,+'5.Variables'!$I94,+IF(L$8='5.Variables'!$B$100,+'5.Variables'!$I108,0))))))</f>
        <v>0</v>
      </c>
      <c r="M88" s="143"/>
      <c r="N88" s="167">
        <f t="shared" si="11"/>
        <v>398391.32327373594</v>
      </c>
      <c r="O88" s="171"/>
      <c r="P88" s="143"/>
      <c r="Q88"/>
      <c r="R88"/>
      <c r="S88"/>
      <c r="T88"/>
      <c r="U88"/>
      <c r="V88"/>
      <c r="W88"/>
      <c r="X88"/>
      <c r="Y88"/>
      <c r="Z88" s="143"/>
      <c r="AA88" s="143"/>
      <c r="AB88" s="143"/>
      <c r="AC88" s="143"/>
      <c r="AD88" s="143"/>
      <c r="AE88" s="143"/>
      <c r="AF88" s="143"/>
      <c r="AG88" s="143"/>
      <c r="AH88" s="143"/>
      <c r="AI88" s="143"/>
    </row>
    <row r="89" spans="1:35" x14ac:dyDescent="0.3">
      <c r="A89" s="339">
        <f t="shared" si="12"/>
        <v>80</v>
      </c>
      <c r="B89" s="166" t="str">
        <f>CONCATENATE('3. Consumption by Rate Class'!B95,"-",'3. Consumption by Rate Class'!C95)</f>
        <v>2019-August</v>
      </c>
      <c r="C89" s="169">
        <v>406961.79</v>
      </c>
      <c r="D89" s="367"/>
      <c r="E89" s="367"/>
      <c r="F89" s="167">
        <f t="shared" si="10"/>
        <v>406961.79</v>
      </c>
      <c r="G89" s="292">
        <f>IF(G$8='5.Variables'!$B$10,+'5.Variables'!$J27,+IF(G$8='5.Variables'!$B$34,+'5.Variables'!$J51,+IF(G$8='5.Variables'!$B$58,+'5.Variables'!$J66,+IF(G$8='5.Variables'!$B$72,+'5.Variables'!$J80,+IF(G$8='5.Variables'!$B$86,+'5.Variables'!$J94,+IF(G$8='5.Variables'!$B$100,+'5.Variables'!$J108,0))))))</f>
        <v>7.3</v>
      </c>
      <c r="H89" s="292">
        <f>IF(H$8='5.Variables'!$B$10,+'5.Variables'!$J27,+IF(H$8='5.Variables'!$B$34,+'5.Variables'!$J51,+IF(H$8='5.Variables'!$B$58,+'5.Variables'!$J66,+IF(H$8='5.Variables'!$B$72,+'5.Variables'!$J80,+IF(H$8='5.Variables'!$B$86,+'5.Variables'!$J94,+IF(H$8='5.Variables'!$B$100,+'5.Variables'!$J108,0))))))</f>
        <v>56.7</v>
      </c>
      <c r="I89" s="292">
        <f>IF(I$8='5.Variables'!$B$10,+'5.Variables'!$J27,+IF(I$8='5.Variables'!$B$34,+'5.Variables'!$J51,+IF(I$8='5.Variables'!$B$58,+'5.Variables'!$J66,+IF(I$8='5.Variables'!$B$72,+'5.Variables'!$J80,+IF(I$8='5.Variables'!$B$86,+'5.Variables'!$J94,+IF(I$8='5.Variables'!$B$100,+'5.Variables'!$J108,0))))))</f>
        <v>31</v>
      </c>
      <c r="J89" s="292">
        <f>IF(J$8='5.Variables'!$B$10,+'5.Variables'!$J27,+IF(J$8='5.Variables'!$B$34,+'5.Variables'!$J51,+IF(J$8='5.Variables'!$B$58,+'5.Variables'!$J66,+IF(J$8='5.Variables'!$B$72,+'5.Variables'!$J80,+IF(J$8='5.Variables'!$B$86,+'5.Variables'!$J94,+IF(J$8='5.Variables'!$B$100,+'5.Variables'!$J108,0))))))</f>
        <v>0</v>
      </c>
      <c r="K89" s="292">
        <f>IF(K$8='5.Variables'!$B$10,+'5.Variables'!$J27,+IF(K$8='5.Variables'!$B$34,+'5.Variables'!$J51,+IF(K$8='5.Variables'!$B$58,+'5.Variables'!$J66,+IF(K$8='5.Variables'!$B$72,+'5.Variables'!$J80,+IF(K$8='5.Variables'!$B$86,+'5.Variables'!$J94,+IF(K$8='5.Variables'!$B$100,+'5.Variables'!$J108,0))))))</f>
        <v>0</v>
      </c>
      <c r="L89" s="292">
        <f>IF(L$8='5.Variables'!$B$10,+'5.Variables'!$J27,+IF(L$8='5.Variables'!$B$34,+'5.Variables'!$J51,+IF(L$8='5.Variables'!$B$58,+'5.Variables'!$J66,+IF(L$8='5.Variables'!$B$72,+'5.Variables'!$J80,+IF(L$8='5.Variables'!$B$86,+'5.Variables'!$J94,+IF(L$8='5.Variables'!$B$100,+'5.Variables'!$J108,0))))))</f>
        <v>0</v>
      </c>
      <c r="M89" s="143"/>
      <c r="N89" s="167">
        <f t="shared" si="11"/>
        <v>383976.63952395722</v>
      </c>
      <c r="O89" s="171"/>
      <c r="P89" s="143"/>
      <c r="Q89"/>
      <c r="R89"/>
      <c r="S89"/>
      <c r="T89"/>
      <c r="U89"/>
      <c r="V89"/>
      <c r="W89"/>
      <c r="X89"/>
      <c r="Y89"/>
      <c r="Z89" s="143"/>
      <c r="AA89" s="143"/>
      <c r="AB89" s="143"/>
      <c r="AC89" s="143"/>
      <c r="AD89" s="143"/>
      <c r="AE89" s="143"/>
      <c r="AF89" s="143"/>
      <c r="AG89" s="143"/>
      <c r="AH89" s="143"/>
      <c r="AI89" s="143"/>
    </row>
    <row r="90" spans="1:35" x14ac:dyDescent="0.3">
      <c r="A90" s="339">
        <f t="shared" si="12"/>
        <v>81</v>
      </c>
      <c r="B90" s="166" t="str">
        <f>CONCATENATE('3. Consumption by Rate Class'!B96,"-",'3. Consumption by Rate Class'!C96)</f>
        <v>2019-September</v>
      </c>
      <c r="C90" s="169">
        <v>368617.64000000007</v>
      </c>
      <c r="D90" s="367"/>
      <c r="E90" s="367"/>
      <c r="F90" s="167">
        <f t="shared" si="10"/>
        <v>368617.64000000007</v>
      </c>
      <c r="G90" s="292">
        <f>IF(G$8='5.Variables'!$B$10,+'5.Variables'!$K27,+IF(G$8='5.Variables'!$B$34,+'5.Variables'!$K51,+IF(G$8='5.Variables'!$B$58,+'5.Variables'!$K66,+IF(G$8='5.Variables'!$B$72,+'5.Variables'!$K80,+IF(G$8='5.Variables'!$B$86,+'5.Variables'!$K94,+IF(G$8='5.Variables'!$B$100,+'5.Variables'!$K108,0))))))</f>
        <v>61.6</v>
      </c>
      <c r="H90" s="292">
        <f>IF(H$8='5.Variables'!$B$10,+'5.Variables'!$K27,+IF(H$8='5.Variables'!$B$34,+'5.Variables'!$K51,+IF(H$8='5.Variables'!$B$58,+'5.Variables'!$K66,+IF(H$8='5.Variables'!$B$72,+'5.Variables'!$K80,+IF(H$8='5.Variables'!$B$86,+'5.Variables'!$K94,+IF(H$8='5.Variables'!$B$100,+'5.Variables'!$K108,0))))))</f>
        <v>14.8</v>
      </c>
      <c r="I90" s="292">
        <f>IF(I$8='5.Variables'!$B$10,+'5.Variables'!$K27,+IF(I$8='5.Variables'!$B$34,+'5.Variables'!$K51,+IF(I$8='5.Variables'!$B$58,+'5.Variables'!$K66,+IF(I$8='5.Variables'!$B$72,+'5.Variables'!$K80,+IF(I$8='5.Variables'!$B$86,+'5.Variables'!$K94,+IF(I$8='5.Variables'!$B$100,+'5.Variables'!$K108,0))))))</f>
        <v>30</v>
      </c>
      <c r="J90" s="292">
        <f>IF(J$8='5.Variables'!$B$10,+'5.Variables'!$K27,+IF(J$8='5.Variables'!$B$34,+'5.Variables'!$K51,+IF(J$8='5.Variables'!$B$58,+'5.Variables'!$K66,+IF(J$8='5.Variables'!$B$72,+'5.Variables'!$K80,+IF(J$8='5.Variables'!$B$86,+'5.Variables'!$K94,+IF(J$8='5.Variables'!$B$100,+'5.Variables'!$K108,0))))))</f>
        <v>1</v>
      </c>
      <c r="K90" s="292">
        <f>IF(K$8='5.Variables'!$B$10,+'5.Variables'!$K27,+IF(K$8='5.Variables'!$B$34,+'5.Variables'!$K51,+IF(K$8='5.Variables'!$B$58,+'5.Variables'!$K66,+IF(K$8='5.Variables'!$B$72,+'5.Variables'!$K80,+IF(K$8='5.Variables'!$B$86,+'5.Variables'!$K94,+IF(K$8='5.Variables'!$B$100,+'5.Variables'!$K108,0))))))</f>
        <v>0</v>
      </c>
      <c r="L90" s="292">
        <f>IF(L$8='5.Variables'!$B$10,+'5.Variables'!$K27,+IF(L$8='5.Variables'!$B$34,+'5.Variables'!$K51,+IF(L$8='5.Variables'!$B$58,+'5.Variables'!$K66,+IF(L$8='5.Variables'!$B$72,+'5.Variables'!$K80,+IF(L$8='5.Variables'!$B$86,+'5.Variables'!$K94,+IF(L$8='5.Variables'!$B$100,+'5.Variables'!$K108,0))))))</f>
        <v>0</v>
      </c>
      <c r="M90" s="143"/>
      <c r="N90" s="167">
        <f t="shared" si="11"/>
        <v>342214.20926775056</v>
      </c>
      <c r="O90" s="171"/>
      <c r="P90" s="143"/>
      <c r="Q90"/>
      <c r="R90"/>
      <c r="S90"/>
      <c r="T90"/>
      <c r="U90"/>
      <c r="V90"/>
      <c r="W90"/>
      <c r="X90"/>
      <c r="Y90"/>
      <c r="Z90" s="143"/>
      <c r="AA90" s="143"/>
      <c r="AB90" s="143"/>
      <c r="AC90" s="143"/>
      <c r="AD90" s="143"/>
      <c r="AE90" s="143"/>
      <c r="AF90" s="143"/>
      <c r="AG90" s="143"/>
      <c r="AH90" s="143"/>
      <c r="AI90" s="143"/>
    </row>
    <row r="91" spans="1:35" x14ac:dyDescent="0.3">
      <c r="A91" s="339">
        <f t="shared" si="12"/>
        <v>82</v>
      </c>
      <c r="B91" s="166" t="str">
        <f>CONCATENATE('3. Consumption by Rate Class'!B97,"-",'3. Consumption by Rate Class'!C97)</f>
        <v>2019-October</v>
      </c>
      <c r="C91" s="169">
        <v>345765.47</v>
      </c>
      <c r="D91" s="367"/>
      <c r="E91" s="367"/>
      <c r="F91" s="167">
        <f t="shared" si="10"/>
        <v>345765.47</v>
      </c>
      <c r="G91" s="292">
        <f>IF(G$8='5.Variables'!$B$10,+'5.Variables'!$L27,+IF(G$8='5.Variables'!$B$34,+'5.Variables'!$L51,+IF(G$8='5.Variables'!$B$58,+'5.Variables'!$L66,+IF(G$8='5.Variables'!$B$72,+'5.Variables'!$L80,+IF(G$8='5.Variables'!$B$86,+'5.Variables'!$L94,+IF(G$8='5.Variables'!$B$100,+'5.Variables'!$L108,0))))))</f>
        <v>252.6</v>
      </c>
      <c r="H91" s="292">
        <f>IF(H$8='5.Variables'!$B$10,+'5.Variables'!$L27,+IF(H$8='5.Variables'!$B$34,+'5.Variables'!$L51,+IF(H$8='5.Variables'!$B$58,+'5.Variables'!$L66,+IF(H$8='5.Variables'!$B$72,+'5.Variables'!$L80,+IF(H$8='5.Variables'!$B$86,+'5.Variables'!$L94,+IF(H$8='5.Variables'!$B$100,+'5.Variables'!$L108,0))))))</f>
        <v>3.8</v>
      </c>
      <c r="I91" s="292">
        <f>IF(I$8='5.Variables'!$B$10,+'5.Variables'!$L27,+IF(I$8='5.Variables'!$B$34,+'5.Variables'!$L51,+IF(I$8='5.Variables'!$B$58,+'5.Variables'!$L66,+IF(I$8='5.Variables'!$B$72,+'5.Variables'!$L80,+IF(I$8='5.Variables'!$B$86,+'5.Variables'!$L94,+IF(I$8='5.Variables'!$B$100,+'5.Variables'!$L108,0))))))</f>
        <v>31</v>
      </c>
      <c r="J91" s="292">
        <f>IF(J$8='5.Variables'!$B$10,+'5.Variables'!$L27,+IF(J$8='5.Variables'!$B$34,+'5.Variables'!$L51,+IF(J$8='5.Variables'!$B$58,+'5.Variables'!$L66,+IF(J$8='5.Variables'!$B$72,+'5.Variables'!$L80,+IF(J$8='5.Variables'!$B$86,+'5.Variables'!$L94,+IF(J$8='5.Variables'!$B$100,+'5.Variables'!$L108,0))))))</f>
        <v>1</v>
      </c>
      <c r="K91" s="292">
        <f>IF(K$8='5.Variables'!$B$10,+'5.Variables'!$L27,+IF(K$8='5.Variables'!$B$34,+'5.Variables'!$L51,+IF(K$8='5.Variables'!$B$58,+'5.Variables'!$L66,+IF(K$8='5.Variables'!$B$72,+'5.Variables'!$L80,+IF(K$8='5.Variables'!$B$86,+'5.Variables'!$L94,+IF(K$8='5.Variables'!$B$100,+'5.Variables'!$L108,0))))))</f>
        <v>0</v>
      </c>
      <c r="L91" s="292">
        <f>IF(L$8='5.Variables'!$B$10,+'5.Variables'!$L27,+IF(L$8='5.Variables'!$B$34,+'5.Variables'!$L51,+IF(L$8='5.Variables'!$B$58,+'5.Variables'!$L66,+IF(L$8='5.Variables'!$B$72,+'5.Variables'!$L80,+IF(L$8='5.Variables'!$B$86,+'5.Variables'!$L94,+IF(L$8='5.Variables'!$B$100,+'5.Variables'!$L108,0))))))</f>
        <v>0</v>
      </c>
      <c r="M91" s="143"/>
      <c r="N91" s="167">
        <f t="shared" si="11"/>
        <v>340790.49704725464</v>
      </c>
      <c r="O91" s="171"/>
      <c r="P91" s="143"/>
      <c r="Q91"/>
      <c r="R91"/>
      <c r="S91"/>
      <c r="T91"/>
      <c r="U91"/>
      <c r="V91"/>
      <c r="W91"/>
      <c r="X91"/>
      <c r="Y91"/>
      <c r="Z91" s="143"/>
      <c r="AA91" s="143"/>
      <c r="AB91" s="143"/>
      <c r="AC91" s="143"/>
      <c r="AD91" s="143"/>
      <c r="AE91" s="143"/>
      <c r="AF91" s="143"/>
      <c r="AG91" s="143"/>
      <c r="AH91" s="143"/>
      <c r="AI91" s="143"/>
    </row>
    <row r="92" spans="1:35" x14ac:dyDescent="0.3">
      <c r="A92" s="339">
        <f t="shared" si="12"/>
        <v>83</v>
      </c>
      <c r="B92" s="166" t="str">
        <f>CONCATENATE('3. Consumption by Rate Class'!B98,"-",'3. Consumption by Rate Class'!C98)</f>
        <v>2019-November</v>
      </c>
      <c r="C92" s="169">
        <v>325881.65999999997</v>
      </c>
      <c r="D92" s="367"/>
      <c r="E92" s="367"/>
      <c r="F92" s="167">
        <f t="shared" si="10"/>
        <v>325881.65999999997</v>
      </c>
      <c r="G92" s="292">
        <f>IF(G$8='5.Variables'!$B$10,+'5.Variables'!$M27,+IF(G$8='5.Variables'!$B$34,+'5.Variables'!$M51,+IF(G$8='5.Variables'!$B$58,+'5.Variables'!$M66,+IF(G$8='5.Variables'!$B$72,+'5.Variables'!$M80,+IF(G$8='5.Variables'!$B$86,+'5.Variables'!$M94,+IF(G$8='5.Variables'!$B$100,+'5.Variables'!$M108,0))))))</f>
        <v>523.20000000000005</v>
      </c>
      <c r="H92" s="292">
        <f>IF(H$8='5.Variables'!$B$10,+'5.Variables'!$M27,+IF(H$8='5.Variables'!$B$34,+'5.Variables'!$M51,+IF(H$8='5.Variables'!$B$58,+'5.Variables'!$M66,+IF(H$8='5.Variables'!$B$72,+'5.Variables'!$M80,+IF(H$8='5.Variables'!$B$86,+'5.Variables'!$M94,+IF(H$8='5.Variables'!$B$100,+'5.Variables'!$M108,0))))))</f>
        <v>0</v>
      </c>
      <c r="I92" s="292">
        <f>IF(I$8='5.Variables'!$B$10,+'5.Variables'!$M27,+IF(I$8='5.Variables'!$B$34,+'5.Variables'!$M51,+IF(I$8='5.Variables'!$B$58,+'5.Variables'!$M66,+IF(I$8='5.Variables'!$B$72,+'5.Variables'!$M80,+IF(I$8='5.Variables'!$B$86,+'5.Variables'!$M94,+IF(I$8='5.Variables'!$B$100,+'5.Variables'!$M108,0))))))</f>
        <v>30</v>
      </c>
      <c r="J92" s="292">
        <f>IF(J$8='5.Variables'!$B$10,+'5.Variables'!$M27,+IF(J$8='5.Variables'!$B$34,+'5.Variables'!$M51,+IF(J$8='5.Variables'!$B$58,+'5.Variables'!$M66,+IF(J$8='5.Variables'!$B$72,+'5.Variables'!$M80,+IF(J$8='5.Variables'!$B$86,+'5.Variables'!$M94,+IF(J$8='5.Variables'!$B$100,+'5.Variables'!$M108,0))))))</f>
        <v>1</v>
      </c>
      <c r="K92" s="292">
        <f>IF(K$8='5.Variables'!$B$10,+'5.Variables'!$M27,+IF(K$8='5.Variables'!$B$34,+'5.Variables'!$M51,+IF(K$8='5.Variables'!$B$58,+'5.Variables'!$M66,+IF(K$8='5.Variables'!$B$72,+'5.Variables'!$M80,+IF(K$8='5.Variables'!$B$86,+'5.Variables'!$M94,+IF(K$8='5.Variables'!$B$100,+'5.Variables'!$M108,0))))))</f>
        <v>0</v>
      </c>
      <c r="L92" s="292">
        <f>IF(L$8='5.Variables'!$B$10,+'5.Variables'!$M27,+IF(L$8='5.Variables'!$B$34,+'5.Variables'!$M51,+IF(L$8='5.Variables'!$B$58,+'5.Variables'!$M66,+IF(L$8='5.Variables'!$B$72,+'5.Variables'!$M80,+IF(L$8='5.Variables'!$B$86,+'5.Variables'!$M94,+IF(L$8='5.Variables'!$B$100,+'5.Variables'!$M108,0))))))</f>
        <v>0</v>
      </c>
      <c r="M92" s="143"/>
      <c r="N92" s="167">
        <f t="shared" si="11"/>
        <v>314195.27707078814</v>
      </c>
      <c r="O92" s="171"/>
      <c r="P92" s="143"/>
      <c r="Q92"/>
      <c r="R92"/>
      <c r="S92"/>
      <c r="T92"/>
      <c r="U92"/>
      <c r="V92"/>
      <c r="W92"/>
      <c r="X92"/>
      <c r="Y92"/>
      <c r="Z92" s="143"/>
      <c r="AA92" s="143"/>
      <c r="AB92" s="143"/>
      <c r="AC92" s="143"/>
      <c r="AD92" s="143"/>
      <c r="AE92" s="143"/>
      <c r="AF92" s="143"/>
      <c r="AG92" s="143"/>
      <c r="AH92" s="143"/>
      <c r="AI92" s="143"/>
    </row>
    <row r="93" spans="1:35" x14ac:dyDescent="0.3">
      <c r="A93" s="339">
        <f t="shared" si="12"/>
        <v>84</v>
      </c>
      <c r="B93" s="166" t="str">
        <f>CONCATENATE('3. Consumption by Rate Class'!B99,"-",'3. Consumption by Rate Class'!C99)</f>
        <v>2019-December</v>
      </c>
      <c r="C93" s="169">
        <v>360222.92</v>
      </c>
      <c r="D93" s="367"/>
      <c r="E93" s="367"/>
      <c r="F93" s="167">
        <f t="shared" si="10"/>
        <v>360222.92</v>
      </c>
      <c r="G93" s="292">
        <f>IF(G$8='5.Variables'!$B$10,+'5.Variables'!$N27,+IF(G$8='5.Variables'!$B$34,+'5.Variables'!$N51,+IF(G$8='5.Variables'!$B$58,+'5.Variables'!$N66,+IF(G$8='5.Variables'!$B$72,+'5.Variables'!$N80,+IF(G$8='5.Variables'!$B$86,+'5.Variables'!$N94,+IF(G$8='5.Variables'!$B$100,+'5.Variables'!$N108,0))))))</f>
        <v>583.1</v>
      </c>
      <c r="H93" s="292">
        <f>IF(H$8='5.Variables'!$B$10,+'5.Variables'!$N27,+IF(H$8='5.Variables'!$B$34,+'5.Variables'!$N51,+IF(H$8='5.Variables'!$B$58,+'5.Variables'!$N66,+IF(H$8='5.Variables'!$B$72,+'5.Variables'!$N80,+IF(H$8='5.Variables'!$B$86,+'5.Variables'!$N94,+IF(H$8='5.Variables'!$B$100,+'5.Variables'!$N108,0))))))</f>
        <v>0</v>
      </c>
      <c r="I93" s="292">
        <f>IF(I$8='5.Variables'!$B$10,+'5.Variables'!$N27,+IF(I$8='5.Variables'!$B$34,+'5.Variables'!$N51,+IF(I$8='5.Variables'!$B$58,+'5.Variables'!$N66,+IF(I$8='5.Variables'!$B$72,+'5.Variables'!$N80,+IF(I$8='5.Variables'!$B$86,+'5.Variables'!$N94,+IF(I$8='5.Variables'!$B$100,+'5.Variables'!$N108,0))))))</f>
        <v>31</v>
      </c>
      <c r="J93" s="292">
        <f>IF(J$8='5.Variables'!$B$10,+'5.Variables'!$N27,+IF(J$8='5.Variables'!$B$34,+'5.Variables'!$N51,+IF(J$8='5.Variables'!$B$58,+'5.Variables'!$N66,+IF(J$8='5.Variables'!$B$72,+'5.Variables'!$N80,+IF(J$8='5.Variables'!$B$86,+'5.Variables'!$N94,+IF(J$8='5.Variables'!$B$100,+'5.Variables'!$N108,0))))))</f>
        <v>0</v>
      </c>
      <c r="K93" s="292">
        <f>IF(K$8='5.Variables'!$B$10,+'5.Variables'!$N27,+IF(K$8='5.Variables'!$B$34,+'5.Variables'!$N51,+IF(K$8='5.Variables'!$B$58,+'5.Variables'!$N66,+IF(K$8='5.Variables'!$B$72,+'5.Variables'!$N80,+IF(K$8='5.Variables'!$B$86,+'5.Variables'!$N94,+IF(K$8='5.Variables'!$B$100,+'5.Variables'!$N108,0))))))</f>
        <v>0</v>
      </c>
      <c r="L93" s="292">
        <f>IF(L$8='5.Variables'!$B$10,+'5.Variables'!$N27,+IF(L$8='5.Variables'!$B$34,+'5.Variables'!$N51,+IF(L$8='5.Variables'!$B$58,+'5.Variables'!$N66,+IF(L$8='5.Variables'!$B$72,+'5.Variables'!$N80,+IF(L$8='5.Variables'!$B$86,+'5.Variables'!$N94,+IF(L$8='5.Variables'!$B$100,+'5.Variables'!$N108,0))))))</f>
        <v>0</v>
      </c>
      <c r="M93" s="143"/>
      <c r="N93" s="167">
        <f t="shared" si="11"/>
        <v>334372.95401344559</v>
      </c>
      <c r="O93" s="171">
        <f>SUM(N82:N93)</f>
        <v>4070933.0689027645</v>
      </c>
      <c r="P93" s="143"/>
      <c r="Q93"/>
      <c r="R93"/>
      <c r="S93"/>
      <c r="T93"/>
      <c r="U93"/>
      <c r="V93"/>
      <c r="W93"/>
      <c r="X93"/>
      <c r="Y93"/>
      <c r="Z93" s="143"/>
      <c r="AA93" s="143"/>
      <c r="AB93" s="143"/>
      <c r="AC93" s="143"/>
      <c r="AD93" s="143"/>
      <c r="AE93" s="143"/>
      <c r="AF93" s="143"/>
      <c r="AG93" s="143"/>
      <c r="AH93" s="143"/>
      <c r="AI93" s="143"/>
    </row>
    <row r="94" spans="1:35" x14ac:dyDescent="0.3">
      <c r="A94" s="339">
        <f t="shared" si="12"/>
        <v>85</v>
      </c>
      <c r="B94" s="166" t="str">
        <f>CONCATENATE('3. Consumption by Rate Class'!B100,"-",'3. Consumption by Rate Class'!C100)</f>
        <v>2020-January</v>
      </c>
      <c r="C94" s="366">
        <v>342672.64000000001</v>
      </c>
      <c r="D94" s="367"/>
      <c r="E94" s="367"/>
      <c r="F94" s="167">
        <f t="shared" si="10"/>
        <v>342672.64000000001</v>
      </c>
      <c r="G94" s="292">
        <f>IF(G$8='5.Variables'!$B$10,+'5.Variables'!$C28,+IF(G$8='5.Variables'!$B$34,+'5.Variables'!$C52,+IF(G$8='5.Variables'!$B$58,+'5.Variables'!$C67,+IF(G$8='5.Variables'!$B$72,+'5.Variables'!$C81,+IF(G$8='5.Variables'!$B$86,+'5.Variables'!$C95,+IF(G$8='5.Variables'!$B$100,+'5.Variables'!$C109,0))))))</f>
        <v>613.79999999999995</v>
      </c>
      <c r="H94" s="292">
        <f>IF(H$8='5.Variables'!$B$10,+'5.Variables'!$C28,+IF(H$8='5.Variables'!$B$34,+'5.Variables'!$C52,+IF(H$8='5.Variables'!$B$58,+'5.Variables'!$C67,+IF(H$8='5.Variables'!$B$72,+'5.Variables'!$C81,+IF(H$8='5.Variables'!$B$86,+'5.Variables'!$C95,+IF(H$8='5.Variables'!$B$100,+'5.Variables'!$C109,0))))))</f>
        <v>0</v>
      </c>
      <c r="I94" s="292">
        <f>IF(I$8='5.Variables'!$B$10,+'5.Variables'!$C28,+IF(I$8='5.Variables'!$B$34,+'5.Variables'!$C52,+IF(I$8='5.Variables'!$B$58,+'5.Variables'!$C67,+IF(I$8='5.Variables'!$B$72,+'5.Variables'!$C81,+IF(I$8='5.Variables'!$B$86,+'5.Variables'!$C95,+IF(I$8='5.Variables'!$B$100,+'5.Variables'!$C109,0))))))</f>
        <v>31</v>
      </c>
      <c r="J94" s="292">
        <f>IF(J$8='5.Variables'!$B$10,+'5.Variables'!$C28,+IF(J$8='5.Variables'!$B$34,+'5.Variables'!$C52,+IF(J$8='5.Variables'!$B$58,+'5.Variables'!$C67,+IF(J$8='5.Variables'!$B$72,+'5.Variables'!$C81,+IF(J$8='5.Variables'!$B$86,+'5.Variables'!$C95,+IF(J$8='5.Variables'!$B$100,+'5.Variables'!$C109,0))))))</f>
        <v>0</v>
      </c>
      <c r="K94" s="292">
        <f>IF(K$8='5.Variables'!$B$10,+'5.Variables'!$C28,+IF(K$8='5.Variables'!$B$34,+'5.Variables'!$C52,+IF(K$8='5.Variables'!$B$58,+'5.Variables'!$C67,+IF(K$8='5.Variables'!$B$72,+'5.Variables'!$C81,+IF(K$8='5.Variables'!$B$86,+'5.Variables'!$C95,+IF(K$8='5.Variables'!$B$100,+'5.Variables'!$C109,0))))))</f>
        <v>0</v>
      </c>
      <c r="L94" s="292">
        <f>IF(L$8='5.Variables'!$B$10,+'5.Variables'!$C28,+IF(L$8='5.Variables'!$B$34,+'5.Variables'!$C52,+IF(L$8='5.Variables'!$B$58,+'5.Variables'!$C67,+IF(L$8='5.Variables'!$B$72,+'5.Variables'!$C81,+IF(L$8='5.Variables'!$B$86,+'5.Variables'!$C95,+IF(L$8='5.Variables'!$B$100,+'5.Variables'!$C109,0))))))</f>
        <v>0</v>
      </c>
      <c r="M94" s="143"/>
      <c r="N94" s="167">
        <f t="shared" si="11"/>
        <v>332886.66298787779</v>
      </c>
      <c r="O94" s="171"/>
      <c r="P94" s="143"/>
      <c r="Q94"/>
      <c r="R94"/>
      <c r="S94"/>
      <c r="T94"/>
      <c r="U94"/>
      <c r="V94"/>
      <c r="W94"/>
      <c r="X94"/>
      <c r="Y94"/>
      <c r="Z94" s="143"/>
      <c r="AA94" s="143"/>
      <c r="AB94" s="143"/>
      <c r="AC94" s="143"/>
      <c r="AD94" s="143"/>
      <c r="AE94" s="143"/>
      <c r="AF94" s="143"/>
      <c r="AG94" s="143"/>
      <c r="AH94" s="143"/>
      <c r="AI94" s="143"/>
    </row>
    <row r="95" spans="1:35" x14ac:dyDescent="0.3">
      <c r="A95" s="339">
        <f t="shared" si="12"/>
        <v>86</v>
      </c>
      <c r="B95" s="166" t="str">
        <f>CONCATENATE('3. Consumption by Rate Class'!B101,"-",'3. Consumption by Rate Class'!C101)</f>
        <v>2020-February</v>
      </c>
      <c r="C95" s="366">
        <v>294351.01</v>
      </c>
      <c r="D95" s="367"/>
      <c r="E95" s="367"/>
      <c r="F95" s="167">
        <f t="shared" si="10"/>
        <v>294351.01</v>
      </c>
      <c r="G95" s="292">
        <f>IF(G$8='5.Variables'!$B$10,+'5.Variables'!$D28,+IF(G$8='5.Variables'!$B$34,+'5.Variables'!$D52,+IF(G$8='5.Variables'!$B$58,+'5.Variables'!$D67,+IF(G$8='5.Variables'!$B$72,+'5.Variables'!$D81,+IF(G$8='5.Variables'!$B$86,+'5.Variables'!$D95,+IF(G$8='5.Variables'!$B$100,+'5.Variables'!$D109,0))))))</f>
        <v>621.70000000000005</v>
      </c>
      <c r="H95" s="292">
        <f>IF(H$8='5.Variables'!$B$10,+'5.Variables'!$D28,+IF(H$8='5.Variables'!$B$34,+'5.Variables'!$D52,+IF(H$8='5.Variables'!$B$58,+'5.Variables'!$D67,+IF(H$8='5.Variables'!$B$72,+'5.Variables'!$D81,+IF(H$8='5.Variables'!$B$86,+'5.Variables'!$D95,+IF(H$8='5.Variables'!$B$100,+'5.Variables'!$D109,0))))))</f>
        <v>0</v>
      </c>
      <c r="I95" s="292">
        <f>IF(I$8='5.Variables'!$B$10,+'5.Variables'!$D28,+IF(I$8='5.Variables'!$B$34,+'5.Variables'!$D52,+IF(I$8='5.Variables'!$B$58,+'5.Variables'!$D67,+IF(I$8='5.Variables'!$B$72,+'5.Variables'!$D81,+IF(I$8='5.Variables'!$B$86,+'5.Variables'!$D95,+IF(I$8='5.Variables'!$B$100,+'5.Variables'!$D109,0))))))</f>
        <v>29</v>
      </c>
      <c r="J95" s="292">
        <f>IF(J$8='5.Variables'!$B$10,+'5.Variables'!$D28,+IF(J$8='5.Variables'!$B$34,+'5.Variables'!$D52,+IF(J$8='5.Variables'!$B$58,+'5.Variables'!$D67,+IF(J$8='5.Variables'!$B$72,+'5.Variables'!$D81,+IF(J$8='5.Variables'!$B$86,+'5.Variables'!$D95,+IF(J$8='5.Variables'!$B$100,+'5.Variables'!$D109,0))))))</f>
        <v>0</v>
      </c>
      <c r="K95" s="292">
        <f>IF(K$8='5.Variables'!$B$10,+'5.Variables'!$D28,+IF(K$8='5.Variables'!$B$34,+'5.Variables'!$D52,+IF(K$8='5.Variables'!$B$58,+'5.Variables'!$D67,+IF(K$8='5.Variables'!$B$72,+'5.Variables'!$D81,+IF(K$8='5.Variables'!$B$86,+'5.Variables'!$D95,+IF(K$8='5.Variables'!$B$100,+'5.Variables'!$D109,0))))))</f>
        <v>0</v>
      </c>
      <c r="L95" s="292">
        <f>IF(L$8='5.Variables'!$B$10,+'5.Variables'!$D28,+IF(L$8='5.Variables'!$B$34,+'5.Variables'!$D52,+IF(L$8='5.Variables'!$B$58,+'5.Variables'!$D67,+IF(L$8='5.Variables'!$B$72,+'5.Variables'!$D81,+IF(L$8='5.Variables'!$B$86,+'5.Variables'!$D95,+IF(L$8='5.Variables'!$B$100,+'5.Variables'!$D109,0))))))</f>
        <v>0</v>
      </c>
      <c r="M95" s="143"/>
      <c r="N95" s="167">
        <f t="shared" si="11"/>
        <v>308427.37849357212</v>
      </c>
      <c r="O95" s="171"/>
      <c r="P95" s="143"/>
      <c r="Q95"/>
      <c r="R95"/>
      <c r="S95"/>
      <c r="T95"/>
      <c r="U95"/>
      <c r="V95"/>
      <c r="W95"/>
      <c r="X95"/>
      <c r="Y95"/>
      <c r="Z95" s="143"/>
      <c r="AA95" s="143"/>
      <c r="AB95" s="143"/>
      <c r="AC95" s="143"/>
      <c r="AD95" s="143"/>
      <c r="AE95" s="143"/>
      <c r="AF95" s="143"/>
      <c r="AG95" s="143"/>
      <c r="AH95" s="143"/>
      <c r="AI95" s="143"/>
    </row>
    <row r="96" spans="1:35" x14ac:dyDescent="0.3">
      <c r="A96" s="339">
        <f t="shared" si="12"/>
        <v>87</v>
      </c>
      <c r="B96" s="166" t="str">
        <f>CONCATENATE('3. Consumption by Rate Class'!B102,"-",'3. Consumption by Rate Class'!C102)</f>
        <v>2020-March</v>
      </c>
      <c r="C96" s="366">
        <v>313705.95</v>
      </c>
      <c r="D96" s="367"/>
      <c r="E96" s="367"/>
      <c r="F96" s="167">
        <f t="shared" si="10"/>
        <v>313705.95</v>
      </c>
      <c r="G96" s="292">
        <f>IF(G$8='5.Variables'!$B$10,+'5.Variables'!$E28,+IF(G$8='5.Variables'!$B$34,+'5.Variables'!$E52,+IF(G$8='5.Variables'!$B$58,+'5.Variables'!$E67,+IF(G$8='5.Variables'!$B$72,+'5.Variables'!$E81,+IF(G$8='5.Variables'!$B$86,+'5.Variables'!$E95,+IF(G$8='5.Variables'!$B$100,+'5.Variables'!$E109,0))))))</f>
        <v>486.1</v>
      </c>
      <c r="H96" s="292">
        <f>IF(H$8='5.Variables'!$B$10,+'5.Variables'!$E28,+IF(H$8='5.Variables'!$B$34,+'5.Variables'!$E52,+IF(H$8='5.Variables'!$B$58,+'5.Variables'!$E67,+IF(H$8='5.Variables'!$B$72,+'5.Variables'!$E81,+IF(H$8='5.Variables'!$B$86,+'5.Variables'!$E95,+IF(H$8='5.Variables'!$B$100,+'5.Variables'!$E109,0))))))</f>
        <v>0</v>
      </c>
      <c r="I96" s="292">
        <f>IF(I$8='5.Variables'!$B$10,+'5.Variables'!$E28,+IF(I$8='5.Variables'!$B$34,+'5.Variables'!$E52,+IF(I$8='5.Variables'!$B$58,+'5.Variables'!$E67,+IF(I$8='5.Variables'!$B$72,+'5.Variables'!$E81,+IF(I$8='5.Variables'!$B$86,+'5.Variables'!$E95,+IF(I$8='5.Variables'!$B$100,+'5.Variables'!$E109,0))))))</f>
        <v>31</v>
      </c>
      <c r="J96" s="292">
        <f>IF(J$8='5.Variables'!$B$10,+'5.Variables'!$E28,+IF(J$8='5.Variables'!$B$34,+'5.Variables'!$E52,+IF(J$8='5.Variables'!$B$58,+'5.Variables'!$E67,+IF(J$8='5.Variables'!$B$72,+'5.Variables'!$E81,+IF(J$8='5.Variables'!$B$86,+'5.Variables'!$E95,+IF(J$8='5.Variables'!$B$100,+'5.Variables'!$E109,0))))))</f>
        <v>1</v>
      </c>
      <c r="K96" s="292">
        <f>IF(K$8='5.Variables'!$B$10,+'5.Variables'!$E28,+IF(K$8='5.Variables'!$B$34,+'5.Variables'!$E52,+IF(K$8='5.Variables'!$B$58,+'5.Variables'!$E67,+IF(K$8='5.Variables'!$B$72,+'5.Variables'!$E81,+IF(K$8='5.Variables'!$B$86,+'5.Variables'!$E95,+IF(K$8='5.Variables'!$B$100,+'5.Variables'!$E109,0))))))</f>
        <v>0</v>
      </c>
      <c r="L96" s="292">
        <f>IF(L$8='5.Variables'!$B$10,+'5.Variables'!$E28,+IF(L$8='5.Variables'!$B$34,+'5.Variables'!$E52,+IF(L$8='5.Variables'!$B$58,+'5.Variables'!$E67,+IF(L$8='5.Variables'!$B$72,+'5.Variables'!$E81,+IF(L$8='5.Variables'!$B$86,+'5.Variables'!$E95,+IF(L$8='5.Variables'!$B$100,+'5.Variables'!$E109,0))))))</f>
        <v>0</v>
      </c>
      <c r="M96" s="143"/>
      <c r="N96" s="167">
        <f t="shared" si="11"/>
        <v>328029.82314522349</v>
      </c>
      <c r="O96" s="171"/>
      <c r="P96" s="143"/>
      <c r="Q96"/>
      <c r="R96"/>
      <c r="S96"/>
      <c r="T96"/>
      <c r="U96"/>
      <c r="V96"/>
      <c r="W96"/>
      <c r="X96"/>
      <c r="Y96"/>
      <c r="Z96" s="143"/>
      <c r="AA96" s="143"/>
      <c r="AB96" s="143"/>
      <c r="AC96" s="143"/>
      <c r="AD96" s="143"/>
      <c r="AE96" s="143"/>
      <c r="AF96" s="143"/>
      <c r="AG96" s="143"/>
      <c r="AH96" s="143"/>
      <c r="AI96" s="143"/>
    </row>
    <row r="97" spans="1:35" x14ac:dyDescent="0.3">
      <c r="A97" s="339">
        <f t="shared" si="12"/>
        <v>88</v>
      </c>
      <c r="B97" s="166" t="str">
        <f>CONCATENATE('3. Consumption by Rate Class'!B103,"-",'3. Consumption by Rate Class'!C103)</f>
        <v>2020-April</v>
      </c>
      <c r="C97" s="366">
        <f>'6. WS Regression Analysis'!E98/1.081</f>
        <v>182227.6965772433</v>
      </c>
      <c r="D97" s="367">
        <v>167350.04999999999</v>
      </c>
      <c r="E97" s="367" t="e">
        <f>+#REF!</f>
        <v>#REF!</v>
      </c>
      <c r="F97" s="167" t="e">
        <f t="shared" si="10"/>
        <v>#REF!</v>
      </c>
      <c r="G97" s="292">
        <f>IF(G$8='5.Variables'!$B$10,+'5.Variables'!$F28,+IF(G$8='5.Variables'!$B$34,+'5.Variables'!$F52,+IF(G$8='5.Variables'!$B$58,+'5.Variables'!$F67,+IF(G$8='5.Variables'!$B$72,+'5.Variables'!$F81,+IF(G$8='5.Variables'!$B$86,+'5.Variables'!$F95,+IF(G$8='5.Variables'!$B$100,+'5.Variables'!$F109,0))))))</f>
        <v>398.6</v>
      </c>
      <c r="H97" s="292">
        <f>IF(H$8='5.Variables'!$B$10,+'5.Variables'!$F28,+IF(H$8='5.Variables'!$B$34,+'5.Variables'!$F52,+IF(H$8='5.Variables'!$B$58,+'5.Variables'!$F67,+IF(H$8='5.Variables'!$B$72,+'5.Variables'!$F81,+IF(H$8='5.Variables'!$B$86,+'5.Variables'!$F95,+IF(H$8='5.Variables'!$B$100,+'5.Variables'!$F109,0))))))</f>
        <v>0</v>
      </c>
      <c r="I97" s="292">
        <f>IF(I$8='5.Variables'!$B$10,+'5.Variables'!$F28,+IF(I$8='5.Variables'!$B$34,+'5.Variables'!$F52,+IF(I$8='5.Variables'!$B$58,+'5.Variables'!$F67,+IF(I$8='5.Variables'!$B$72,+'5.Variables'!$F81,+IF(I$8='5.Variables'!$B$86,+'5.Variables'!$F95,+IF(I$8='5.Variables'!$B$100,+'5.Variables'!$F109,0))))))</f>
        <v>30</v>
      </c>
      <c r="J97" s="292">
        <f>IF(J$8='5.Variables'!$B$10,+'5.Variables'!$F28,+IF(J$8='5.Variables'!$B$34,+'5.Variables'!$F52,+IF(J$8='5.Variables'!$B$58,+'5.Variables'!$F67,+IF(J$8='5.Variables'!$B$72,+'5.Variables'!$F81,+IF(J$8='5.Variables'!$B$86,+'5.Variables'!$F95,+IF(J$8='5.Variables'!$B$100,+'5.Variables'!$F109,0))))))</f>
        <v>1</v>
      </c>
      <c r="K97" s="292">
        <f>IF(K$8='5.Variables'!$B$10,+'5.Variables'!$F28,+IF(K$8='5.Variables'!$B$34,+'5.Variables'!$F52,+IF(K$8='5.Variables'!$B$58,+'5.Variables'!$F67,+IF(K$8='5.Variables'!$B$72,+'5.Variables'!$F81,+IF(K$8='5.Variables'!$B$86,+'5.Variables'!$F95,+IF(K$8='5.Variables'!$B$100,+'5.Variables'!$F109,0))))))</f>
        <v>0</v>
      </c>
      <c r="L97" s="292">
        <f>IF(L$8='5.Variables'!$B$10,+'5.Variables'!$F28,+IF(L$8='5.Variables'!$B$34,+'5.Variables'!$F52,+IF(L$8='5.Variables'!$B$58,+'5.Variables'!$F67,+IF(L$8='5.Variables'!$B$72,+'5.Variables'!$F81,+IF(L$8='5.Variables'!$B$86,+'5.Variables'!$F95,+IF(L$8='5.Variables'!$B$100,+'5.Variables'!$F109,0))))))</f>
        <v>0</v>
      </c>
      <c r="M97" s="143"/>
      <c r="N97" s="167">
        <f t="shared" si="11"/>
        <v>320227.58527227835</v>
      </c>
      <c r="O97" s="171"/>
      <c r="P97" s="143"/>
      <c r="Q97"/>
      <c r="R97"/>
      <c r="S97"/>
      <c r="T97"/>
      <c r="U97"/>
      <c r="V97"/>
      <c r="W97"/>
      <c r="X97"/>
      <c r="Y97"/>
      <c r="Z97" s="143"/>
      <c r="AA97" s="143"/>
      <c r="AB97" s="143"/>
      <c r="AC97" s="143"/>
      <c r="AD97" s="143"/>
      <c r="AE97" s="143"/>
      <c r="AF97" s="143"/>
      <c r="AG97" s="143"/>
      <c r="AH97" s="143"/>
      <c r="AI97" s="143"/>
    </row>
    <row r="98" spans="1:35" x14ac:dyDescent="0.3">
      <c r="A98" s="339">
        <f t="shared" si="12"/>
        <v>89</v>
      </c>
      <c r="B98" s="166" t="str">
        <f>CONCATENATE('3. Consumption by Rate Class'!B104,"-",'3. Consumption by Rate Class'!C104)</f>
        <v>2020-May</v>
      </c>
      <c r="C98" s="366">
        <f>'6. WS Regression Analysis'!E99/1.081</f>
        <v>209237.65032377429</v>
      </c>
      <c r="D98" s="367"/>
      <c r="E98" s="367" t="e">
        <f>+#REF!</f>
        <v>#REF!</v>
      </c>
      <c r="F98" s="167" t="e">
        <f t="shared" si="10"/>
        <v>#REF!</v>
      </c>
      <c r="G98" s="292">
        <f>IF(G$8='5.Variables'!$B$10,+'5.Variables'!$G28,+IF(G$8='5.Variables'!$B$34,+'5.Variables'!$G52,+IF(G$8='5.Variables'!$B$58,+'5.Variables'!$G67,+IF(G$8='5.Variables'!$B$72,+'5.Variables'!$G81,+IF(G$8='5.Variables'!$B$86,+'5.Variables'!$G95,+IF(G$8='5.Variables'!$B$100,+'5.Variables'!$G109,0))))))</f>
        <v>246.2</v>
      </c>
      <c r="H98" s="292">
        <f>IF(H$8='5.Variables'!$B$10,+'5.Variables'!$G28,+IF(H$8='5.Variables'!$B$34,+'5.Variables'!$G52,+IF(H$8='5.Variables'!$B$58,+'5.Variables'!$G67,+IF(H$8='5.Variables'!$B$72,+'5.Variables'!$G81,+IF(H$8='5.Variables'!$B$86,+'5.Variables'!$G95,+IF(H$8='5.Variables'!$B$100,+'5.Variables'!$G109,0))))))</f>
        <v>19.399999999999999</v>
      </c>
      <c r="I98" s="292">
        <f>IF(I$8='5.Variables'!$B$10,+'5.Variables'!$G28,+IF(I$8='5.Variables'!$B$34,+'5.Variables'!$G52,+IF(I$8='5.Variables'!$B$58,+'5.Variables'!$G67,+IF(I$8='5.Variables'!$B$72,+'5.Variables'!$G81,+IF(I$8='5.Variables'!$B$86,+'5.Variables'!$G95,+IF(I$8='5.Variables'!$B$100,+'5.Variables'!$G109,0))))))</f>
        <v>31</v>
      </c>
      <c r="J98" s="292">
        <f>IF(J$8='5.Variables'!$B$10,+'5.Variables'!$G28,+IF(J$8='5.Variables'!$B$34,+'5.Variables'!$G52,+IF(J$8='5.Variables'!$B$58,+'5.Variables'!$G67,+IF(J$8='5.Variables'!$B$72,+'5.Variables'!$G81,+IF(J$8='5.Variables'!$B$86,+'5.Variables'!$G95,+IF(J$8='5.Variables'!$B$100,+'5.Variables'!$G109,0))))))</f>
        <v>1</v>
      </c>
      <c r="K98" s="292">
        <f>IF(K$8='5.Variables'!$B$10,+'5.Variables'!$G28,+IF(K$8='5.Variables'!$B$34,+'5.Variables'!$G52,+IF(K$8='5.Variables'!$B$58,+'5.Variables'!$G67,+IF(K$8='5.Variables'!$B$72,+'5.Variables'!$G81,+IF(K$8='5.Variables'!$B$86,+'5.Variables'!$G95,+IF(K$8='5.Variables'!$B$100,+'5.Variables'!$G109,0))))))</f>
        <v>0</v>
      </c>
      <c r="L98" s="292">
        <f>IF(L$8='5.Variables'!$B$10,+'5.Variables'!$G28,+IF(L$8='5.Variables'!$B$34,+'5.Variables'!$G52,+IF(L$8='5.Variables'!$B$58,+'5.Variables'!$G67,+IF(L$8='5.Variables'!$B$72,+'5.Variables'!$G81,+IF(L$8='5.Variables'!$B$86,+'5.Variables'!$G95,+IF(L$8='5.Variables'!$B$100,+'5.Variables'!$G109,0))))))</f>
        <v>0</v>
      </c>
      <c r="M98" s="143"/>
      <c r="N98" s="167">
        <f t="shared" si="11"/>
        <v>347078.21222957311</v>
      </c>
      <c r="O98" s="171"/>
      <c r="P98" s="143"/>
      <c r="Q98"/>
      <c r="R98"/>
      <c r="S98"/>
      <c r="T98"/>
      <c r="U98"/>
      <c r="V98"/>
      <c r="W98"/>
      <c r="X98"/>
      <c r="Y98"/>
      <c r="Z98" s="143"/>
      <c r="AA98" s="143"/>
      <c r="AB98" s="143"/>
      <c r="AC98" s="143"/>
      <c r="AD98" s="143"/>
      <c r="AE98" s="143"/>
      <c r="AF98" s="143"/>
      <c r="AG98" s="143"/>
      <c r="AH98" s="143"/>
      <c r="AI98" s="143"/>
    </row>
    <row r="99" spans="1:35" x14ac:dyDescent="0.3">
      <c r="A99" s="339">
        <f t="shared" si="12"/>
        <v>90</v>
      </c>
      <c r="B99" s="166" t="str">
        <f>CONCATENATE('3. Consumption by Rate Class'!B105,"-",'3. Consumption by Rate Class'!C105)</f>
        <v>2020-June</v>
      </c>
      <c r="C99" s="366">
        <f>'6. WS Regression Analysis'!E100/1.081</f>
        <v>230757.78908418134</v>
      </c>
      <c r="D99" s="367"/>
      <c r="E99" s="367" t="e">
        <f>+#REF!</f>
        <v>#REF!</v>
      </c>
      <c r="F99" s="167" t="e">
        <f t="shared" si="10"/>
        <v>#REF!</v>
      </c>
      <c r="G99" s="292">
        <f>IF(G$8='5.Variables'!$B$10,+'5.Variables'!$H28,+IF(G$8='5.Variables'!$B$34,+'5.Variables'!$H52,+IF(G$8='5.Variables'!$B$58,+'5.Variables'!$H67,+IF(G$8='5.Variables'!$B$72,+'5.Variables'!$H81,+IF(G$8='5.Variables'!$B$86,+'5.Variables'!$H95,+IF(G$8='5.Variables'!$B$100,+'5.Variables'!$H109,0))))))</f>
        <v>56.1</v>
      </c>
      <c r="H99" s="292">
        <f>IF(H$8='5.Variables'!$B$10,+'5.Variables'!$H28,+IF(H$8='5.Variables'!$B$34,+'5.Variables'!$H52,+IF(H$8='5.Variables'!$B$58,+'5.Variables'!$H67,+IF(H$8='5.Variables'!$B$72,+'5.Variables'!$H81,+IF(H$8='5.Variables'!$B$86,+'5.Variables'!$H95,+IF(H$8='5.Variables'!$B$100,+'5.Variables'!$H109,0))))))</f>
        <v>45.2</v>
      </c>
      <c r="I99" s="292">
        <f>IF(I$8='5.Variables'!$B$10,+'5.Variables'!$H28,+IF(I$8='5.Variables'!$B$34,+'5.Variables'!$H52,+IF(I$8='5.Variables'!$B$58,+'5.Variables'!$H67,+IF(I$8='5.Variables'!$B$72,+'5.Variables'!$H81,+IF(I$8='5.Variables'!$B$86,+'5.Variables'!$H95,+IF(I$8='5.Variables'!$B$100,+'5.Variables'!$H109,0))))))</f>
        <v>30</v>
      </c>
      <c r="J99" s="292">
        <f>IF(J$8='5.Variables'!$B$10,+'5.Variables'!$H28,+IF(J$8='5.Variables'!$B$34,+'5.Variables'!$H52,+IF(J$8='5.Variables'!$B$58,+'5.Variables'!$H67,+IF(J$8='5.Variables'!$B$72,+'5.Variables'!$H81,+IF(J$8='5.Variables'!$B$86,+'5.Variables'!$H95,+IF(J$8='5.Variables'!$B$100,+'5.Variables'!$H109,0))))))</f>
        <v>0</v>
      </c>
      <c r="K99" s="292">
        <f>IF(K$8='5.Variables'!$B$10,+'5.Variables'!$H28,+IF(K$8='5.Variables'!$B$34,+'5.Variables'!$H52,+IF(K$8='5.Variables'!$B$58,+'5.Variables'!$H67,+IF(K$8='5.Variables'!$B$72,+'5.Variables'!$H81,+IF(K$8='5.Variables'!$B$86,+'5.Variables'!$H95,+IF(K$8='5.Variables'!$B$100,+'5.Variables'!$H109,0))))))</f>
        <v>0</v>
      </c>
      <c r="L99" s="292">
        <f>IF(L$8='5.Variables'!$B$10,+'5.Variables'!$H28,+IF(L$8='5.Variables'!$B$34,+'5.Variables'!$H52,+IF(L$8='5.Variables'!$B$58,+'5.Variables'!$H67,+IF(L$8='5.Variables'!$B$72,+'5.Variables'!$H81,+IF(L$8='5.Variables'!$B$86,+'5.Variables'!$H95,+IF(L$8='5.Variables'!$B$100,+'5.Variables'!$H109,0))))))</f>
        <v>0</v>
      </c>
      <c r="M99" s="143"/>
      <c r="N99" s="167">
        <f t="shared" si="11"/>
        <v>365168.8940349592</v>
      </c>
      <c r="O99" s="171"/>
      <c r="P99" s="143"/>
      <c r="Q99"/>
      <c r="R99"/>
      <c r="S99"/>
      <c r="T99"/>
      <c r="U99"/>
      <c r="V99"/>
      <c r="W99"/>
      <c r="X99"/>
      <c r="Y99"/>
      <c r="Z99" s="143"/>
      <c r="AA99" s="143"/>
      <c r="AB99" s="143"/>
      <c r="AC99" s="143"/>
      <c r="AD99" s="143"/>
      <c r="AE99" s="143"/>
      <c r="AF99" s="143"/>
      <c r="AG99" s="143"/>
      <c r="AH99" s="143"/>
      <c r="AI99" s="143"/>
    </row>
    <row r="100" spans="1:35" x14ac:dyDescent="0.3">
      <c r="A100" s="339">
        <f t="shared" si="12"/>
        <v>91</v>
      </c>
      <c r="B100" s="166" t="str">
        <f>CONCATENATE('3. Consumption by Rate Class'!B106,"-",'3. Consumption by Rate Class'!C106)</f>
        <v>2020-July</v>
      </c>
      <c r="C100" s="366">
        <f>'6. WS Regression Analysis'!E101/1.081</f>
        <v>277864.32007400558</v>
      </c>
      <c r="D100" s="367"/>
      <c r="E100" s="367" t="e">
        <f>+#REF!</f>
        <v>#REF!</v>
      </c>
      <c r="F100" s="167" t="e">
        <f t="shared" si="10"/>
        <v>#REF!</v>
      </c>
      <c r="G100" s="292">
        <f>IF(G$8='5.Variables'!$B$10,+'5.Variables'!$I28,+IF(G$8='5.Variables'!$B$34,+'5.Variables'!$I52,+IF(G$8='5.Variables'!$B$58,+'5.Variables'!$I67,+IF(G$8='5.Variables'!$B$72,+'5.Variables'!$I81,+IF(G$8='5.Variables'!$B$86,+'5.Variables'!$I95,+IF(G$8='5.Variables'!$B$100,+'5.Variables'!$I109,0))))))</f>
        <v>0</v>
      </c>
      <c r="H100" s="292">
        <f>IF(H$8='5.Variables'!$B$10,+'5.Variables'!$I28,+IF(H$8='5.Variables'!$B$34,+'5.Variables'!$I52,+IF(H$8='5.Variables'!$B$58,+'5.Variables'!$I67,+IF(H$8='5.Variables'!$B$72,+'5.Variables'!$I81,+IF(H$8='5.Variables'!$B$86,+'5.Variables'!$I95,+IF(H$8='5.Variables'!$B$100,+'5.Variables'!$I109,0))))))</f>
        <v>139.4</v>
      </c>
      <c r="I100" s="292">
        <f>IF(I$8='5.Variables'!$B$10,+'5.Variables'!$I28,+IF(I$8='5.Variables'!$B$34,+'5.Variables'!$I52,+IF(I$8='5.Variables'!$B$58,+'5.Variables'!$I67,+IF(I$8='5.Variables'!$B$72,+'5.Variables'!$I81,+IF(I$8='5.Variables'!$B$86,+'5.Variables'!$I95,+IF(I$8='5.Variables'!$B$100,+'5.Variables'!$I109,0))))))</f>
        <v>31</v>
      </c>
      <c r="J100" s="292">
        <f>IF(J$8='5.Variables'!$B$10,+'5.Variables'!$I28,+IF(J$8='5.Variables'!$B$34,+'5.Variables'!$I52,+IF(J$8='5.Variables'!$B$58,+'5.Variables'!$I67,+IF(J$8='5.Variables'!$B$72,+'5.Variables'!$I81,+IF(J$8='5.Variables'!$B$86,+'5.Variables'!$I95,+IF(J$8='5.Variables'!$B$100,+'5.Variables'!$I109,0))))))</f>
        <v>0</v>
      </c>
      <c r="K100" s="292">
        <f>IF(K$8='5.Variables'!$B$10,+'5.Variables'!$I28,+IF(K$8='5.Variables'!$B$34,+'5.Variables'!$I52,+IF(K$8='5.Variables'!$B$58,+'5.Variables'!$I67,+IF(K$8='5.Variables'!$B$72,+'5.Variables'!$I81,+IF(K$8='5.Variables'!$B$86,+'5.Variables'!$I95,+IF(K$8='5.Variables'!$B$100,+'5.Variables'!$I109,0))))))</f>
        <v>0</v>
      </c>
      <c r="L100" s="292">
        <f>IF(L$8='5.Variables'!$B$10,+'5.Variables'!$I28,+IF(L$8='5.Variables'!$B$34,+'5.Variables'!$I52,+IF(L$8='5.Variables'!$B$58,+'5.Variables'!$I67,+IF(L$8='5.Variables'!$B$72,+'5.Variables'!$I81,+IF(L$8='5.Variables'!$B$86,+'5.Variables'!$I95,+IF(L$8='5.Variables'!$B$100,+'5.Variables'!$I109,0))))))</f>
        <v>0</v>
      </c>
      <c r="M100" s="143"/>
      <c r="N100" s="167">
        <f t="shared" si="11"/>
        <v>416020.42952482513</v>
      </c>
      <c r="O100" s="171"/>
      <c r="P100" s="143"/>
      <c r="Q100"/>
      <c r="R100"/>
      <c r="S100"/>
      <c r="T100"/>
      <c r="U100"/>
      <c r="V100"/>
      <c r="W100"/>
      <c r="X100"/>
      <c r="Y100"/>
      <c r="Z100" s="143"/>
      <c r="AA100" s="143"/>
      <c r="AB100" s="143"/>
      <c r="AC100" s="143"/>
      <c r="AD100" s="143"/>
      <c r="AE100" s="143"/>
      <c r="AF100" s="143"/>
      <c r="AG100" s="143"/>
      <c r="AH100" s="143"/>
      <c r="AI100" s="143"/>
    </row>
    <row r="101" spans="1:35" x14ac:dyDescent="0.3">
      <c r="A101" s="339">
        <f t="shared" si="12"/>
        <v>92</v>
      </c>
      <c r="B101" s="166" t="str">
        <f>CONCATENATE('3. Consumption by Rate Class'!B107,"-",'3. Consumption by Rate Class'!C107)</f>
        <v>2020-August</v>
      </c>
      <c r="C101" s="366">
        <f>'6. WS Regression Analysis'!E102/1.081</f>
        <v>259895.49491211845</v>
      </c>
      <c r="D101" s="367"/>
      <c r="E101" s="367" t="e">
        <f>+#REF!</f>
        <v>#REF!</v>
      </c>
      <c r="F101" s="167" t="e">
        <f t="shared" si="10"/>
        <v>#REF!</v>
      </c>
      <c r="G101" s="292">
        <f>IF(G$8='5.Variables'!$B$10,+'5.Variables'!$J28,+IF(G$8='5.Variables'!$B$34,+'5.Variables'!$J52,+IF(G$8='5.Variables'!$B$58,+'5.Variables'!$J67,+IF(G$8='5.Variables'!$B$72,+'5.Variables'!$J81,+IF(G$8='5.Variables'!$B$86,+'5.Variables'!$J95,+IF(G$8='5.Variables'!$B$100,+'5.Variables'!$J109,0))))))</f>
        <v>3.4</v>
      </c>
      <c r="H101" s="292">
        <f>IF(H$8='5.Variables'!$B$10,+'5.Variables'!$J28,+IF(H$8='5.Variables'!$B$34,+'5.Variables'!$J52,+IF(H$8='5.Variables'!$B$58,+'5.Variables'!$J67,+IF(H$8='5.Variables'!$B$72,+'5.Variables'!$J81,+IF(H$8='5.Variables'!$B$86,+'5.Variables'!$J95,+IF(H$8='5.Variables'!$B$100,+'5.Variables'!$J109,0))))))</f>
        <v>81.3</v>
      </c>
      <c r="I101" s="292">
        <f>IF(I$8='5.Variables'!$B$10,+'5.Variables'!$J28,+IF(I$8='5.Variables'!$B$34,+'5.Variables'!$J52,+IF(I$8='5.Variables'!$B$58,+'5.Variables'!$J67,+IF(I$8='5.Variables'!$B$72,+'5.Variables'!$J81,+IF(I$8='5.Variables'!$B$86,+'5.Variables'!$J95,+IF(I$8='5.Variables'!$B$100,+'5.Variables'!$J109,0))))))</f>
        <v>31</v>
      </c>
      <c r="J101" s="292">
        <f>IF(J$8='5.Variables'!$B$10,+'5.Variables'!$J28,+IF(J$8='5.Variables'!$B$34,+'5.Variables'!$J52,+IF(J$8='5.Variables'!$B$58,+'5.Variables'!$J67,+IF(J$8='5.Variables'!$B$72,+'5.Variables'!$J81,+IF(J$8='5.Variables'!$B$86,+'5.Variables'!$J95,+IF(J$8='5.Variables'!$B$100,+'5.Variables'!$J109,0))))))</f>
        <v>0</v>
      </c>
      <c r="K101" s="292">
        <f>IF(K$8='5.Variables'!$B$10,+'5.Variables'!$J28,+IF(K$8='5.Variables'!$B$34,+'5.Variables'!$J52,+IF(K$8='5.Variables'!$B$58,+'5.Variables'!$J67,+IF(K$8='5.Variables'!$B$72,+'5.Variables'!$J81,+IF(K$8='5.Variables'!$B$86,+'5.Variables'!$J95,+IF(K$8='5.Variables'!$B$100,+'5.Variables'!$J109,0))))))</f>
        <v>0</v>
      </c>
      <c r="L101" s="292">
        <f>IF(L$8='5.Variables'!$B$10,+'5.Variables'!$J28,+IF(L$8='5.Variables'!$B$34,+'5.Variables'!$J52,+IF(L$8='5.Variables'!$B$58,+'5.Variables'!$J67,+IF(L$8='5.Variables'!$B$72,+'5.Variables'!$J81,+IF(L$8='5.Variables'!$B$86,+'5.Variables'!$J95,+IF(L$8='5.Variables'!$B$100,+'5.Variables'!$J109,0))))))</f>
        <v>0</v>
      </c>
      <c r="M101" s="143"/>
      <c r="N101" s="167">
        <f t="shared" si="11"/>
        <v>393592.09209833434</v>
      </c>
      <c r="O101" s="171"/>
      <c r="P101" s="143"/>
      <c r="Q101"/>
      <c r="R101"/>
      <c r="S101"/>
      <c r="T101"/>
      <c r="U101"/>
      <c r="V101"/>
      <c r="W101"/>
      <c r="X101"/>
      <c r="Y101"/>
      <c r="Z101" s="143"/>
      <c r="AA101" s="143"/>
      <c r="AB101" s="143"/>
      <c r="AC101" s="143"/>
      <c r="AD101" s="143"/>
      <c r="AE101" s="143"/>
      <c r="AF101" s="143"/>
      <c r="AG101" s="143"/>
      <c r="AH101" s="143"/>
      <c r="AI101" s="143"/>
    </row>
    <row r="102" spans="1:35" x14ac:dyDescent="0.3">
      <c r="A102" s="339">
        <f t="shared" si="12"/>
        <v>93</v>
      </c>
      <c r="B102" s="166" t="str">
        <f>CONCATENATE('3. Consumption by Rate Class'!B108,"-",'3. Consumption by Rate Class'!C108)</f>
        <v>2020-September</v>
      </c>
      <c r="C102" s="366">
        <f>'6. WS Regression Analysis'!E103/1.081</f>
        <v>215743.4782608696</v>
      </c>
      <c r="D102" s="367"/>
      <c r="E102" s="367" t="e">
        <f>+#REF!</f>
        <v>#REF!</v>
      </c>
      <c r="F102" s="167" t="e">
        <f t="shared" si="10"/>
        <v>#REF!</v>
      </c>
      <c r="G102" s="292">
        <f>IF(G$8='5.Variables'!$B$10,+'5.Variables'!$K28,+IF(G$8='5.Variables'!$B$34,+'5.Variables'!$K52,+IF(G$8='5.Variables'!$B$58,+'5.Variables'!$K67,+IF(G$8='5.Variables'!$B$72,+'5.Variables'!$K81,+IF(G$8='5.Variables'!$B$86,+'5.Variables'!$K95,+IF(G$8='5.Variables'!$B$100,+'5.Variables'!$K109,0))))))</f>
        <v>84.6</v>
      </c>
      <c r="H102" s="292">
        <f>IF(H$8='5.Variables'!$B$10,+'5.Variables'!$K28,+IF(H$8='5.Variables'!$B$34,+'5.Variables'!$K52,+IF(H$8='5.Variables'!$B$58,+'5.Variables'!$K67,+IF(H$8='5.Variables'!$B$72,+'5.Variables'!$K81,+IF(H$8='5.Variables'!$B$86,+'5.Variables'!$K95,+IF(H$8='5.Variables'!$B$100,+'5.Variables'!$K109,0))))))</f>
        <v>23</v>
      </c>
      <c r="I102" s="292">
        <f>IF(I$8='5.Variables'!$B$10,+'5.Variables'!$K28,+IF(I$8='5.Variables'!$B$34,+'5.Variables'!$K52,+IF(I$8='5.Variables'!$B$58,+'5.Variables'!$K67,+IF(I$8='5.Variables'!$B$72,+'5.Variables'!$K81,+IF(I$8='5.Variables'!$B$86,+'5.Variables'!$K95,+IF(I$8='5.Variables'!$B$100,+'5.Variables'!$K109,0))))))</f>
        <v>30</v>
      </c>
      <c r="J102" s="292">
        <f>IF(J$8='5.Variables'!$B$10,+'5.Variables'!$K28,+IF(J$8='5.Variables'!$B$34,+'5.Variables'!$K52,+IF(J$8='5.Variables'!$B$58,+'5.Variables'!$K67,+IF(J$8='5.Variables'!$B$72,+'5.Variables'!$K81,+IF(J$8='5.Variables'!$B$86,+'5.Variables'!$K95,+IF(J$8='5.Variables'!$B$100,+'5.Variables'!$K109,0))))))</f>
        <v>1</v>
      </c>
      <c r="K102" s="292">
        <f>IF(K$8='5.Variables'!$B$10,+'5.Variables'!$K28,+IF(K$8='5.Variables'!$B$34,+'5.Variables'!$K52,+IF(K$8='5.Variables'!$B$58,+'5.Variables'!$K67,+IF(K$8='5.Variables'!$B$72,+'5.Variables'!$K81,+IF(K$8='5.Variables'!$B$86,+'5.Variables'!$K95,+IF(K$8='5.Variables'!$B$100,+'5.Variables'!$K109,0))))))</f>
        <v>0</v>
      </c>
      <c r="L102" s="292">
        <f>IF(L$8='5.Variables'!$B$10,+'5.Variables'!$K28,+IF(L$8='5.Variables'!$B$34,+'5.Variables'!$K52,+IF(L$8='5.Variables'!$B$58,+'5.Variables'!$K67,+IF(L$8='5.Variables'!$B$72,+'5.Variables'!$K81,+IF(L$8='5.Variables'!$B$86,+'5.Variables'!$K95,+IF(L$8='5.Variables'!$B$100,+'5.Variables'!$K109,0))))))</f>
        <v>0</v>
      </c>
      <c r="M102" s="143"/>
      <c r="N102" s="167">
        <f t="shared" si="11"/>
        <v>344242.9147864203</v>
      </c>
      <c r="O102" s="171"/>
      <c r="P102" s="143"/>
      <c r="Q102"/>
      <c r="R102"/>
      <c r="S102"/>
      <c r="T102"/>
      <c r="U102"/>
      <c r="V102"/>
      <c r="W102"/>
      <c r="X102"/>
      <c r="Y102"/>
      <c r="Z102" s="143"/>
      <c r="AA102" s="143"/>
      <c r="AB102" s="143"/>
      <c r="AC102" s="143"/>
      <c r="AD102" s="143"/>
      <c r="AE102" s="143"/>
      <c r="AF102" s="143"/>
      <c r="AG102" s="143"/>
      <c r="AH102" s="143"/>
      <c r="AI102" s="143"/>
    </row>
    <row r="103" spans="1:35" x14ac:dyDescent="0.3">
      <c r="A103" s="339">
        <f t="shared" si="12"/>
        <v>94</v>
      </c>
      <c r="B103" s="166" t="str">
        <f>CONCATENATE('3. Consumption by Rate Class'!B109,"-",'3. Consumption by Rate Class'!C109)</f>
        <v>2020-October</v>
      </c>
      <c r="C103" s="366">
        <f>'6. WS Regression Analysis'!E104/1.081</f>
        <v>197080.14801110086</v>
      </c>
      <c r="D103" s="367"/>
      <c r="E103" s="367" t="e">
        <f>+#REF!</f>
        <v>#REF!</v>
      </c>
      <c r="F103" s="167" t="e">
        <f t="shared" si="10"/>
        <v>#REF!</v>
      </c>
      <c r="G103" s="292">
        <f>IF(G$8='5.Variables'!$B$10,+'5.Variables'!$L28,+IF(G$8='5.Variables'!$B$34,+'5.Variables'!$L52,+IF(G$8='5.Variables'!$B$58,+'5.Variables'!$L67,+IF(G$8='5.Variables'!$B$72,+'5.Variables'!$L81,+IF(G$8='5.Variables'!$B$86,+'5.Variables'!$L95,+IF(G$8='5.Variables'!$B$100,+'5.Variables'!$L109,0))))))</f>
        <v>279.89999999999998</v>
      </c>
      <c r="H103" s="292">
        <f>IF(H$8='5.Variables'!$B$10,+'5.Variables'!$L28,+IF(H$8='5.Variables'!$B$34,+'5.Variables'!$L52,+IF(H$8='5.Variables'!$B$58,+'5.Variables'!$L67,+IF(H$8='5.Variables'!$B$72,+'5.Variables'!$L81,+IF(H$8='5.Variables'!$B$86,+'5.Variables'!$L95,+IF(H$8='5.Variables'!$B$100,+'5.Variables'!$L109,0))))))</f>
        <v>0</v>
      </c>
      <c r="I103" s="292">
        <f>IF(I$8='5.Variables'!$B$10,+'5.Variables'!$L28,+IF(I$8='5.Variables'!$B$34,+'5.Variables'!$L52,+IF(I$8='5.Variables'!$B$58,+'5.Variables'!$L67,+IF(I$8='5.Variables'!$B$72,+'5.Variables'!$L81,+IF(I$8='5.Variables'!$B$86,+'5.Variables'!$L95,+IF(I$8='5.Variables'!$B$100,+'5.Variables'!$L109,0))))))</f>
        <v>31</v>
      </c>
      <c r="J103" s="292">
        <f>IF(J$8='5.Variables'!$B$10,+'5.Variables'!$L28,+IF(J$8='5.Variables'!$B$34,+'5.Variables'!$L52,+IF(J$8='5.Variables'!$B$58,+'5.Variables'!$L67,+IF(J$8='5.Variables'!$B$72,+'5.Variables'!$L81,+IF(J$8='5.Variables'!$B$86,+'5.Variables'!$L95,+IF(J$8='5.Variables'!$B$100,+'5.Variables'!$L109,0))))))</f>
        <v>1</v>
      </c>
      <c r="K103" s="292">
        <f>IF(K$8='5.Variables'!$B$10,+'5.Variables'!$L28,+IF(K$8='5.Variables'!$B$34,+'5.Variables'!$L52,+IF(K$8='5.Variables'!$B$58,+'5.Variables'!$L67,+IF(K$8='5.Variables'!$B$72,+'5.Variables'!$L81,+IF(K$8='5.Variables'!$B$86,+'5.Variables'!$L95,+IF(K$8='5.Variables'!$B$100,+'5.Variables'!$L109,0))))))</f>
        <v>0</v>
      </c>
      <c r="L103" s="292">
        <f>IF(L$8='5.Variables'!$B$10,+'5.Variables'!$L28,+IF(L$8='5.Variables'!$B$34,+'5.Variables'!$L52,+IF(L$8='5.Variables'!$B$58,+'5.Variables'!$L67,+IF(L$8='5.Variables'!$B$72,+'5.Variables'!$L81,+IF(L$8='5.Variables'!$B$86,+'5.Variables'!$L95,+IF(L$8='5.Variables'!$B$100,+'5.Variables'!$L109,0))))))</f>
        <v>0</v>
      </c>
      <c r="M103" s="143"/>
      <c r="N103" s="167">
        <f t="shared" si="11"/>
        <v>338012.66384463984</v>
      </c>
      <c r="O103" s="171"/>
      <c r="P103" s="143"/>
      <c r="Q103"/>
      <c r="R103"/>
      <c r="S103"/>
      <c r="T103"/>
      <c r="U103"/>
      <c r="V103"/>
      <c r="W103"/>
      <c r="X103"/>
      <c r="Y103"/>
      <c r="Z103" s="143"/>
      <c r="AA103" s="143"/>
      <c r="AB103" s="143"/>
      <c r="AC103" s="143"/>
      <c r="AD103" s="143"/>
      <c r="AE103" s="143"/>
      <c r="AF103" s="143"/>
      <c r="AG103" s="143"/>
      <c r="AH103" s="143"/>
      <c r="AI103" s="143"/>
    </row>
    <row r="104" spans="1:35" x14ac:dyDescent="0.3">
      <c r="A104" s="339">
        <f t="shared" si="12"/>
        <v>95</v>
      </c>
      <c r="B104" s="166" t="str">
        <f>CONCATENATE('3. Consumption by Rate Class'!B110,"-",'3. Consumption by Rate Class'!C110)</f>
        <v>2020-November</v>
      </c>
      <c r="C104" s="366">
        <f>'6. WS Regression Analysis'!E105/1.081</f>
        <v>194884.04255319148</v>
      </c>
      <c r="D104" s="367"/>
      <c r="E104" s="367" t="e">
        <f>+#REF!</f>
        <v>#REF!</v>
      </c>
      <c r="F104" s="167" t="e">
        <f t="shared" si="10"/>
        <v>#REF!</v>
      </c>
      <c r="G104" s="292">
        <f>IF(G$8='5.Variables'!$B$10,+'5.Variables'!$M28,+IF(G$8='5.Variables'!$B$34,+'5.Variables'!$M52,+IF(G$8='5.Variables'!$B$58,+'5.Variables'!$M67,+IF(G$8='5.Variables'!$B$72,+'5.Variables'!$M81,+IF(G$8='5.Variables'!$B$86,+'5.Variables'!$M95,+IF(G$8='5.Variables'!$B$100,+'5.Variables'!$M109,0))))))</f>
        <v>296.10000000000002</v>
      </c>
      <c r="H104" s="292">
        <f>IF(H$8='5.Variables'!$B$10,+'5.Variables'!$M28,+IF(H$8='5.Variables'!$B$34,+'5.Variables'!$M52,+IF(H$8='5.Variables'!$B$58,+'5.Variables'!$M67,+IF(H$8='5.Variables'!$B$72,+'5.Variables'!$M81,+IF(H$8='5.Variables'!$B$86,+'5.Variables'!$M95,+IF(H$8='5.Variables'!$B$100,+'5.Variables'!$M109,0))))))</f>
        <v>5.4</v>
      </c>
      <c r="I104" s="292">
        <f>IF(I$8='5.Variables'!$B$10,+'5.Variables'!$M28,+IF(I$8='5.Variables'!$B$34,+'5.Variables'!$M52,+IF(I$8='5.Variables'!$B$58,+'5.Variables'!$M67,+IF(I$8='5.Variables'!$B$72,+'5.Variables'!$M81,+IF(I$8='5.Variables'!$B$86,+'5.Variables'!$M95,+IF(I$8='5.Variables'!$B$100,+'5.Variables'!$M109,0))))))</f>
        <v>30</v>
      </c>
      <c r="J104" s="292">
        <f>IF(J$8='5.Variables'!$B$10,+'5.Variables'!$M28,+IF(J$8='5.Variables'!$B$34,+'5.Variables'!$M52,+IF(J$8='5.Variables'!$B$58,+'5.Variables'!$M67,+IF(J$8='5.Variables'!$B$72,+'5.Variables'!$M81,+IF(J$8='5.Variables'!$B$86,+'5.Variables'!$M95,+IF(J$8='5.Variables'!$B$100,+'5.Variables'!$M109,0))))))</f>
        <v>1</v>
      </c>
      <c r="K104" s="292">
        <f>IF(K$8='5.Variables'!$B$10,+'5.Variables'!$M28,+IF(K$8='5.Variables'!$B$34,+'5.Variables'!$M52,+IF(K$8='5.Variables'!$B$58,+'5.Variables'!$M67,+IF(K$8='5.Variables'!$B$72,+'5.Variables'!$M81,+IF(K$8='5.Variables'!$B$86,+'5.Variables'!$M95,+IF(K$8='5.Variables'!$B$100,+'5.Variables'!$M109,0))))))</f>
        <v>0</v>
      </c>
      <c r="L104" s="292">
        <f>IF(L$8='5.Variables'!$B$10,+'5.Variables'!$M28,+IF(L$8='5.Variables'!$B$34,+'5.Variables'!$M52,+IF(L$8='5.Variables'!$B$58,+'5.Variables'!$M67,+IF(L$8='5.Variables'!$B$72,+'5.Variables'!$M81,+IF(L$8='5.Variables'!$B$86,+'5.Variables'!$M95,+IF(L$8='5.Variables'!$B$100,+'5.Variables'!$M109,0))))))</f>
        <v>0</v>
      </c>
      <c r="M104" s="143"/>
      <c r="N104" s="167">
        <f t="shared" si="11"/>
        <v>327259.22010683123</v>
      </c>
      <c r="O104" s="171"/>
      <c r="P104" s="143"/>
      <c r="Q104"/>
      <c r="R104"/>
      <c r="S104"/>
      <c r="T104"/>
      <c r="U104"/>
      <c r="V104"/>
      <c r="W104"/>
      <c r="X104"/>
      <c r="Y104"/>
      <c r="Z104" s="143"/>
      <c r="AA104" s="143"/>
      <c r="AB104" s="143"/>
      <c r="AC104" s="143"/>
      <c r="AD104" s="143"/>
      <c r="AE104" s="143"/>
      <c r="AF104" s="143"/>
      <c r="AG104" s="143"/>
      <c r="AH104" s="143"/>
      <c r="AI104" s="143"/>
    </row>
    <row r="105" spans="1:35" x14ac:dyDescent="0.3">
      <c r="A105" s="339">
        <f t="shared" si="12"/>
        <v>96</v>
      </c>
      <c r="B105" s="166" t="str">
        <f>CONCATENATE('3. Consumption by Rate Class'!B111,"-",'3. Consumption by Rate Class'!C111)</f>
        <v>2020-December</v>
      </c>
      <c r="C105" s="366">
        <f>'6. WS Regression Analysis'!E106/1.081</f>
        <v>192208.34412580944</v>
      </c>
      <c r="D105" s="367"/>
      <c r="E105" s="367" t="e">
        <f>+#REF!</f>
        <v>#REF!</v>
      </c>
      <c r="F105" s="167" t="e">
        <f t="shared" si="10"/>
        <v>#REF!</v>
      </c>
      <c r="G105" s="292">
        <f>IF(G$8='5.Variables'!$B$10,+'5.Variables'!$N28,+IF(G$8='5.Variables'!$B$34,+'5.Variables'!$N52,+IF(G$8='5.Variables'!$B$58,+'5.Variables'!$N67,+IF(G$8='5.Variables'!$B$72,+'5.Variables'!$N81,+IF(G$8='5.Variables'!$B$86,+'5.Variables'!$N95,+IF(G$8='5.Variables'!$B$100,+'5.Variables'!$N109,0))))))</f>
        <v>554.70000000000005</v>
      </c>
      <c r="H105" s="292">
        <f>IF(H$8='5.Variables'!$B$10,+'5.Variables'!$N28,+IF(H$8='5.Variables'!$B$34,+'5.Variables'!$N52,+IF(H$8='5.Variables'!$B$58,+'5.Variables'!$N67,+IF(H$8='5.Variables'!$B$72,+'5.Variables'!$N81,+IF(H$8='5.Variables'!$B$86,+'5.Variables'!$N95,+IF(H$8='5.Variables'!$B$100,+'5.Variables'!$N109,0))))))</f>
        <v>0</v>
      </c>
      <c r="I105" s="292">
        <f>IF(I$8='5.Variables'!$B$10,+'5.Variables'!$N28,+IF(I$8='5.Variables'!$B$34,+'5.Variables'!$N52,+IF(I$8='5.Variables'!$B$58,+'5.Variables'!$N67,+IF(I$8='5.Variables'!$B$72,+'5.Variables'!$N81,+IF(I$8='5.Variables'!$B$86,+'5.Variables'!$N95,+IF(I$8='5.Variables'!$B$100,+'5.Variables'!$N109,0))))))</f>
        <v>31</v>
      </c>
      <c r="J105" s="292">
        <f>IF(J$8='5.Variables'!$B$10,+'5.Variables'!$N28,+IF(J$8='5.Variables'!$B$34,+'5.Variables'!$N52,+IF(J$8='5.Variables'!$B$58,+'5.Variables'!$N67,+IF(J$8='5.Variables'!$B$72,+'5.Variables'!$N81,+IF(J$8='5.Variables'!$B$86,+'5.Variables'!$N95,+IF(J$8='5.Variables'!$B$100,+'5.Variables'!$N109,0))))))</f>
        <v>0</v>
      </c>
      <c r="K105" s="292">
        <f>IF(K$8='5.Variables'!$B$10,+'5.Variables'!$N28,+IF(K$8='5.Variables'!$B$34,+'5.Variables'!$N52,+IF(K$8='5.Variables'!$B$58,+'5.Variables'!$N67,+IF(K$8='5.Variables'!$B$72,+'5.Variables'!$N81,+IF(K$8='5.Variables'!$B$86,+'5.Variables'!$N95,+IF(K$8='5.Variables'!$B$100,+'5.Variables'!$N109,0))))))</f>
        <v>0</v>
      </c>
      <c r="L105" s="292">
        <f>IF(L$8='5.Variables'!$B$10,+'5.Variables'!$N28,+IF(L$8='5.Variables'!$B$34,+'5.Variables'!$N52,+IF(L$8='5.Variables'!$B$58,+'5.Variables'!$N67,+IF(L$8='5.Variables'!$B$72,+'5.Variables'!$N81,+IF(L$8='5.Variables'!$B$86,+'5.Variables'!$N95,+IF(L$8='5.Variables'!$B$100,+'5.Variables'!$N109,0))))))</f>
        <v>0</v>
      </c>
      <c r="M105" s="143"/>
      <c r="N105" s="167">
        <f t="shared" si="11"/>
        <v>335747.89424556692</v>
      </c>
      <c r="O105" s="171">
        <f>SUM(N94:N105)</f>
        <v>4156693.7707701018</v>
      </c>
      <c r="P105" s="143"/>
      <c r="Q105"/>
      <c r="R105"/>
      <c r="S105"/>
      <c r="T105"/>
      <c r="U105"/>
      <c r="V105"/>
      <c r="W105"/>
      <c r="X105"/>
      <c r="Y105"/>
      <c r="Z105" s="143"/>
      <c r="AA105" s="143"/>
      <c r="AB105" s="143"/>
      <c r="AC105" s="143"/>
      <c r="AD105" s="143"/>
      <c r="AE105" s="143"/>
      <c r="AF105" s="143"/>
      <c r="AG105" s="143"/>
      <c r="AH105" s="143"/>
      <c r="AI105" s="143"/>
    </row>
    <row r="106" spans="1:35" x14ac:dyDescent="0.3">
      <c r="A106" s="339">
        <f t="shared" si="12"/>
        <v>97</v>
      </c>
      <c r="B106" s="166" t="str">
        <f>CONCATENATE('3. Consumption by Rate Class'!B112,"-",'3. Consumption by Rate Class'!C112)</f>
        <v>2021-January</v>
      </c>
      <c r="C106" s="366">
        <f>'6. WS Regression Analysis'!E107/1.081</f>
        <v>186215.9111933395</v>
      </c>
      <c r="D106" s="367"/>
      <c r="E106" s="367" t="e">
        <f>+#REF!</f>
        <v>#REF!</v>
      </c>
      <c r="F106" s="167" t="e">
        <f t="shared" ref="F106:F129" si="13">SUM(C106:E106)</f>
        <v>#REF!</v>
      </c>
      <c r="G106" s="292">
        <f>IF(G$8='5.Variables'!$B$10,+'5.Variables'!$C29,+IF(G$8='5.Variables'!$B$34,+'5.Variables'!$C53,+IF(G$8='5.Variables'!$B$58,+'5.Variables'!$C68,+IF(G$8='5.Variables'!$B$72,+'5.Variables'!$C82,+IF(G$8='5.Variables'!$B$86,+'5.Variables'!$C96,+IF(G$8='5.Variables'!$B$100,+'5.Variables'!$C110,0))))))</f>
        <v>636.70000000000005</v>
      </c>
      <c r="H106" s="292">
        <f>IF(H$8='5.Variables'!$B$10,+'5.Variables'!$C29,+IF(H$8='5.Variables'!$B$34,+'5.Variables'!$C53,+IF(H$8='5.Variables'!$B$58,+'5.Variables'!$C68,+IF(H$8='5.Variables'!$B$72,+'5.Variables'!$C82,+IF(H$8='5.Variables'!$B$86,+'5.Variables'!$C96,+IF(H$8='5.Variables'!$B$100,+'5.Variables'!$C110,0))))))</f>
        <v>0</v>
      </c>
      <c r="I106" s="292">
        <f>IF(I$8='5.Variables'!$B$10,+'5.Variables'!$C29,+IF(I$8='5.Variables'!$B$34,+'5.Variables'!$C53,+IF(I$8='5.Variables'!$B$58,+'5.Variables'!$C68,+IF(I$8='5.Variables'!$B$72,+'5.Variables'!$C82,+IF(I$8='5.Variables'!$B$86,+'5.Variables'!$C96,+IF(I$8='5.Variables'!$B$100,+'5.Variables'!$C110,0))))))</f>
        <v>31</v>
      </c>
      <c r="J106" s="292">
        <f>IF(J$8='5.Variables'!$B$10,+'5.Variables'!$C29,+IF(J$8='5.Variables'!$B$34,+'5.Variables'!$C53,+IF(J$8='5.Variables'!$B$58,+'5.Variables'!$C68,+IF(J$8='5.Variables'!$B$72,+'5.Variables'!$C82,+IF(J$8='5.Variables'!$B$86,+'5.Variables'!$C96,+IF(J$8='5.Variables'!$B$100,+'5.Variables'!$C110,0))))))</f>
        <v>0</v>
      </c>
      <c r="K106" s="292">
        <f>IF(K$8='5.Variables'!$B$10,+'5.Variables'!$C29,+IF(K$8='5.Variables'!$B$34,+'5.Variables'!$C53,+IF(K$8='5.Variables'!$B$58,+'5.Variables'!$C68,+IF(K$8='5.Variables'!$B$72,+'5.Variables'!$C82,+IF(K$8='5.Variables'!$B$86,+'5.Variables'!$C96,+IF(K$8='5.Variables'!$B$100,+'5.Variables'!$C110,0))))))</f>
        <v>0</v>
      </c>
      <c r="L106" s="292">
        <f>IF(L$8='5.Variables'!$B$10,+'5.Variables'!$C29,+IF(L$8='5.Variables'!$B$34,+'5.Variables'!$C53,+IF(L$8='5.Variables'!$B$58,+'5.Variables'!$C68,+IF(L$8='5.Variables'!$B$72,+'5.Variables'!$C82,+IF(L$8='5.Variables'!$B$86,+'5.Variables'!$C96,+IF(L$8='5.Variables'!$B$100,+'5.Variables'!$C110,0))))))</f>
        <v>0</v>
      </c>
      <c r="M106" s="143"/>
      <c r="N106" s="167">
        <f t="shared" si="11"/>
        <v>331777.99639225879</v>
      </c>
      <c r="O106" s="171"/>
      <c r="P106" s="143"/>
      <c r="Q106"/>
      <c r="R106"/>
      <c r="S106"/>
      <c r="T106"/>
      <c r="U106"/>
      <c r="V106"/>
      <c r="W106"/>
      <c r="X106"/>
      <c r="Y106"/>
      <c r="Z106" s="143"/>
      <c r="AA106" s="143"/>
      <c r="AB106" s="143"/>
      <c r="AC106" s="143"/>
      <c r="AD106" s="143"/>
      <c r="AE106" s="143"/>
      <c r="AF106" s="143"/>
      <c r="AG106" s="143"/>
      <c r="AH106" s="143"/>
      <c r="AI106" s="143"/>
    </row>
    <row r="107" spans="1:35" x14ac:dyDescent="0.3">
      <c r="A107" s="339">
        <f t="shared" si="12"/>
        <v>98</v>
      </c>
      <c r="B107" s="166" t="str">
        <f>CONCATENATE('3. Consumption by Rate Class'!B113,"-",'3. Consumption by Rate Class'!C113)</f>
        <v>2021-February</v>
      </c>
      <c r="C107" s="366">
        <f>'6. WS Regression Analysis'!E108/1.081</f>
        <v>165527.48381128584</v>
      </c>
      <c r="D107" s="367"/>
      <c r="E107" s="367" t="e">
        <f>+#REF!</f>
        <v>#REF!</v>
      </c>
      <c r="F107" s="167" t="e">
        <f t="shared" si="13"/>
        <v>#REF!</v>
      </c>
      <c r="G107" s="292">
        <f>IF(G$8='5.Variables'!$B$10,+'5.Variables'!$D29,+IF(G$8='5.Variables'!$B$34,+'5.Variables'!$D53,+IF(G$8='5.Variables'!$B$58,+'5.Variables'!$D68,+IF(G$8='5.Variables'!$B$72,+'5.Variables'!$D82,+IF(G$8='5.Variables'!$B$86,+'5.Variables'!$D96,+IF(G$8='5.Variables'!$B$100,+'5.Variables'!$D110,0))))))</f>
        <v>639.6</v>
      </c>
      <c r="H107" s="292">
        <f>IF(H$8='5.Variables'!$B$10,+'5.Variables'!$D29,+IF(H$8='5.Variables'!$B$34,+'5.Variables'!$D53,+IF(H$8='5.Variables'!$B$58,+'5.Variables'!$D68,+IF(H$8='5.Variables'!$B$72,+'5.Variables'!$D82,+IF(H$8='5.Variables'!$B$86,+'5.Variables'!$D96,+IF(H$8='5.Variables'!$B$100,+'5.Variables'!$D110,0))))))</f>
        <v>0</v>
      </c>
      <c r="I107" s="292">
        <f>IF(I$8='5.Variables'!$B$10,+'5.Variables'!$D29,+IF(I$8='5.Variables'!$B$34,+'5.Variables'!$D53,+IF(I$8='5.Variables'!$B$58,+'5.Variables'!$D68,+IF(I$8='5.Variables'!$B$72,+'5.Variables'!$D82,+IF(I$8='5.Variables'!$B$86,+'5.Variables'!$D96,+IF(I$8='5.Variables'!$B$100,+'5.Variables'!$D110,0))))))</f>
        <v>28</v>
      </c>
      <c r="J107" s="292">
        <f>IF(J$8='5.Variables'!$B$10,+'5.Variables'!$D29,+IF(J$8='5.Variables'!$B$34,+'5.Variables'!$D53,+IF(J$8='5.Variables'!$B$58,+'5.Variables'!$D68,+IF(J$8='5.Variables'!$B$72,+'5.Variables'!$D82,+IF(J$8='5.Variables'!$B$86,+'5.Variables'!$D96,+IF(J$8='5.Variables'!$B$100,+'5.Variables'!$D110,0))))))</f>
        <v>0</v>
      </c>
      <c r="K107" s="292">
        <f>IF(K$8='5.Variables'!$B$10,+'5.Variables'!$D29,+IF(K$8='5.Variables'!$B$34,+'5.Variables'!$D53,+IF(K$8='5.Variables'!$B$58,+'5.Variables'!$D68,+IF(K$8='5.Variables'!$B$72,+'5.Variables'!$D82,+IF(K$8='5.Variables'!$B$86,+'5.Variables'!$D96,+IF(K$8='5.Variables'!$B$100,+'5.Variables'!$D110,0))))))</f>
        <v>0</v>
      </c>
      <c r="L107" s="292">
        <f>IF(L$8='5.Variables'!$B$10,+'5.Variables'!$D29,+IF(L$8='5.Variables'!$B$34,+'5.Variables'!$D53,+IF(L$8='5.Variables'!$B$58,+'5.Variables'!$D68,+IF(L$8='5.Variables'!$B$72,+'5.Variables'!$D82,+IF(L$8='5.Variables'!$B$86,+'5.Variables'!$D96,+IF(L$8='5.Variables'!$B$100,+'5.Variables'!$D110,0))))))</f>
        <v>0</v>
      </c>
      <c r="M107" s="143"/>
      <c r="N107" s="167">
        <f t="shared" si="11"/>
        <v>295522.36947747238</v>
      </c>
      <c r="O107" s="171"/>
      <c r="P107" s="143"/>
      <c r="Q107"/>
      <c r="R107"/>
      <c r="S107"/>
      <c r="T107"/>
      <c r="U107"/>
      <c r="V107"/>
      <c r="W107"/>
      <c r="X107"/>
      <c r="Y107"/>
      <c r="Z107" s="143"/>
      <c r="AA107" s="143"/>
      <c r="AB107" s="143"/>
      <c r="AC107" s="143"/>
      <c r="AD107" s="143"/>
      <c r="AE107" s="143"/>
      <c r="AF107" s="143"/>
      <c r="AG107" s="143"/>
      <c r="AH107" s="143"/>
      <c r="AI107" s="143"/>
    </row>
    <row r="108" spans="1:35" x14ac:dyDescent="0.3">
      <c r="A108" s="339">
        <f t="shared" si="12"/>
        <v>99</v>
      </c>
      <c r="B108" s="166" t="str">
        <f>CONCATENATE('3. Consumption by Rate Class'!B114,"-",'3. Consumption by Rate Class'!C114)</f>
        <v>2021-March</v>
      </c>
      <c r="C108" s="366">
        <f>'6. WS Regression Analysis'!E109/1.081</f>
        <v>189825.78168362629</v>
      </c>
      <c r="D108" s="367"/>
      <c r="E108" s="367" t="e">
        <f>+#REF!</f>
        <v>#REF!</v>
      </c>
      <c r="F108" s="167" t="e">
        <f t="shared" si="13"/>
        <v>#REF!</v>
      </c>
      <c r="G108" s="292">
        <f>IF(G$8='5.Variables'!$B$10,+'5.Variables'!$E29,+IF(G$8='5.Variables'!$B$34,+'5.Variables'!$E53,+IF(G$8='5.Variables'!$B$58,+'5.Variables'!$E68,+IF(G$8='5.Variables'!$B$72,+'5.Variables'!$E82,+IF(G$8='5.Variables'!$B$86,+'5.Variables'!$E96,+IF(G$8='5.Variables'!$B$100,+'5.Variables'!$E110,0))))))</f>
        <v>460.9</v>
      </c>
      <c r="H108" s="292">
        <f>IF(H$8='5.Variables'!$B$10,+'5.Variables'!$E29,+IF(H$8='5.Variables'!$B$34,+'5.Variables'!$E53,+IF(H$8='5.Variables'!$B$58,+'5.Variables'!$E68,+IF(H$8='5.Variables'!$B$72,+'5.Variables'!$E82,+IF(H$8='5.Variables'!$B$86,+'5.Variables'!$E96,+IF(H$8='5.Variables'!$B$100,+'5.Variables'!$E110,0))))))</f>
        <v>0</v>
      </c>
      <c r="I108" s="292">
        <f>IF(I$8='5.Variables'!$B$10,+'5.Variables'!$E29,+IF(I$8='5.Variables'!$B$34,+'5.Variables'!$E53,+IF(I$8='5.Variables'!$B$58,+'5.Variables'!$E68,+IF(I$8='5.Variables'!$B$72,+'5.Variables'!$E82,+IF(I$8='5.Variables'!$B$86,+'5.Variables'!$E96,+IF(I$8='5.Variables'!$B$100,+'5.Variables'!$E110,0))))))</f>
        <v>31</v>
      </c>
      <c r="J108" s="292">
        <f>IF(J$8='5.Variables'!$B$10,+'5.Variables'!$E29,+IF(J$8='5.Variables'!$B$34,+'5.Variables'!$E53,+IF(J$8='5.Variables'!$B$58,+'5.Variables'!$E68,+IF(J$8='5.Variables'!$B$72,+'5.Variables'!$E82,+IF(J$8='5.Variables'!$B$86,+'5.Variables'!$E96,+IF(J$8='5.Variables'!$B$100,+'5.Variables'!$E110,0))))))</f>
        <v>1</v>
      </c>
      <c r="K108" s="292">
        <f>IF(K$8='5.Variables'!$B$10,+'5.Variables'!$E29,+IF(K$8='5.Variables'!$B$34,+'5.Variables'!$E53,+IF(K$8='5.Variables'!$B$58,+'5.Variables'!$E68,+IF(K$8='5.Variables'!$B$72,+'5.Variables'!$E82,+IF(K$8='5.Variables'!$B$86,+'5.Variables'!$E96,+IF(K$8='5.Variables'!$B$100,+'5.Variables'!$E110,0))))))</f>
        <v>0</v>
      </c>
      <c r="L108" s="292">
        <f>IF(L$8='5.Variables'!$B$10,+'5.Variables'!$E29,+IF(L$8='5.Variables'!$B$34,+'5.Variables'!$E53,+IF(L$8='5.Variables'!$B$58,+'5.Variables'!$E68,+IF(L$8='5.Variables'!$B$72,+'5.Variables'!$E82,+IF(L$8='5.Variables'!$B$86,+'5.Variables'!$E96,+IF(L$8='5.Variables'!$B$100,+'5.Variables'!$E110,0))))))</f>
        <v>0</v>
      </c>
      <c r="M108" s="143"/>
      <c r="N108" s="167">
        <f t="shared" si="11"/>
        <v>329249.8405342889</v>
      </c>
      <c r="O108" s="171"/>
      <c r="P108" s="143"/>
      <c r="Q108"/>
      <c r="R108"/>
      <c r="S108"/>
      <c r="T108"/>
      <c r="U108"/>
      <c r="V108"/>
      <c r="W108"/>
      <c r="X108"/>
      <c r="Y108"/>
      <c r="Z108" s="143"/>
      <c r="AA108" s="143"/>
      <c r="AB108" s="143"/>
      <c r="AC108" s="143"/>
      <c r="AD108" s="143"/>
      <c r="AE108" s="143"/>
      <c r="AF108" s="143"/>
      <c r="AG108" s="143"/>
      <c r="AH108" s="143"/>
      <c r="AI108" s="143"/>
    </row>
    <row r="109" spans="1:35" x14ac:dyDescent="0.3">
      <c r="A109" s="339">
        <f t="shared" si="12"/>
        <v>100</v>
      </c>
      <c r="B109" s="166" t="str">
        <f>CONCATENATE('3. Consumption by Rate Class'!B115,"-",'3. Consumption by Rate Class'!C115)</f>
        <v>2021-April</v>
      </c>
      <c r="C109" s="366">
        <f>'6. WS Regression Analysis'!E110/1.081</f>
        <v>191490.74005550417</v>
      </c>
      <c r="D109" s="367"/>
      <c r="E109" s="367" t="e">
        <f>+#REF!</f>
        <v>#REF!</v>
      </c>
      <c r="F109" s="167" t="e">
        <f t="shared" si="13"/>
        <v>#REF!</v>
      </c>
      <c r="G109" s="292">
        <f>IF(G$8='5.Variables'!$B$10,+'5.Variables'!$F29,+IF(G$8='5.Variables'!$B$34,+'5.Variables'!$F53,+IF(G$8='5.Variables'!$B$58,+'5.Variables'!$F68,+IF(G$8='5.Variables'!$B$72,+'5.Variables'!$F82,+IF(G$8='5.Variables'!$B$86,+'5.Variables'!$F96,+IF(G$8='5.Variables'!$B$100,+'5.Variables'!$F110,0))))))</f>
        <v>315.10000000000002</v>
      </c>
      <c r="H109" s="292">
        <f>IF(H$8='5.Variables'!$B$10,+'5.Variables'!$F29,+IF(H$8='5.Variables'!$B$34,+'5.Variables'!$F53,+IF(H$8='5.Variables'!$B$58,+'5.Variables'!$F68,+IF(H$8='5.Variables'!$B$72,+'5.Variables'!$F82,+IF(H$8='5.Variables'!$B$86,+'5.Variables'!$F96,+IF(H$8='5.Variables'!$B$100,+'5.Variables'!$F110,0))))))</f>
        <v>0.3</v>
      </c>
      <c r="I109" s="292">
        <f>IF(I$8='5.Variables'!$B$10,+'5.Variables'!$F29,+IF(I$8='5.Variables'!$B$34,+'5.Variables'!$F53,+IF(I$8='5.Variables'!$B$58,+'5.Variables'!$F68,+IF(I$8='5.Variables'!$B$72,+'5.Variables'!$F82,+IF(I$8='5.Variables'!$B$86,+'5.Variables'!$F96,+IF(I$8='5.Variables'!$B$100,+'5.Variables'!$F110,0))))))</f>
        <v>30</v>
      </c>
      <c r="J109" s="292">
        <f>IF(J$8='5.Variables'!$B$10,+'5.Variables'!$F29,+IF(J$8='5.Variables'!$B$34,+'5.Variables'!$F53,+IF(J$8='5.Variables'!$B$58,+'5.Variables'!$F68,+IF(J$8='5.Variables'!$B$72,+'5.Variables'!$F82,+IF(J$8='5.Variables'!$B$86,+'5.Variables'!$F96,+IF(J$8='5.Variables'!$B$100,+'5.Variables'!$F110,0))))))</f>
        <v>1</v>
      </c>
      <c r="K109" s="292">
        <f>IF(K$8='5.Variables'!$B$10,+'5.Variables'!$F29,+IF(K$8='5.Variables'!$B$34,+'5.Variables'!$F53,+IF(K$8='5.Variables'!$B$58,+'5.Variables'!$F68,+IF(K$8='5.Variables'!$B$72,+'5.Variables'!$F82,+IF(K$8='5.Variables'!$B$86,+'5.Variables'!$F96,+IF(K$8='5.Variables'!$B$100,+'5.Variables'!$F110,0))))))</f>
        <v>0</v>
      </c>
      <c r="L109" s="292">
        <f>IF(L$8='5.Variables'!$B$10,+'5.Variables'!$F29,+IF(L$8='5.Variables'!$B$34,+'5.Variables'!$F53,+IF(L$8='5.Variables'!$B$58,+'5.Variables'!$F68,+IF(L$8='5.Variables'!$B$72,+'5.Variables'!$F82,+IF(L$8='5.Variables'!$B$86,+'5.Variables'!$F96,+IF(L$8='5.Variables'!$B$100,+'5.Variables'!$F110,0))))))</f>
        <v>0</v>
      </c>
      <c r="M109" s="143"/>
      <c r="N109" s="167">
        <f t="shared" si="11"/>
        <v>324385.06223704218</v>
      </c>
      <c r="O109" s="171"/>
      <c r="P109" s="143"/>
      <c r="Q109"/>
      <c r="R109"/>
      <c r="S109"/>
      <c r="T109"/>
      <c r="U109"/>
      <c r="V109"/>
      <c r="W109"/>
      <c r="X109"/>
      <c r="Y109"/>
      <c r="Z109" s="143"/>
      <c r="AA109" s="143"/>
      <c r="AB109" s="143"/>
      <c r="AC109" s="143"/>
      <c r="AD109" s="143"/>
      <c r="AE109" s="143"/>
      <c r="AF109" s="143"/>
      <c r="AG109" s="143"/>
      <c r="AH109" s="143"/>
      <c r="AI109" s="143"/>
    </row>
    <row r="110" spans="1:35" x14ac:dyDescent="0.3">
      <c r="A110" s="339">
        <f t="shared" si="12"/>
        <v>101</v>
      </c>
      <c r="B110" s="166" t="str">
        <f>CONCATENATE('3. Consumption by Rate Class'!B116,"-",'3. Consumption by Rate Class'!C116)</f>
        <v>2021-May</v>
      </c>
      <c r="C110" s="366">
        <f>'6. WS Regression Analysis'!E111/1.081</f>
        <v>212950.35152636448</v>
      </c>
      <c r="D110" s="367"/>
      <c r="E110" s="367" t="e">
        <f>+#REF!</f>
        <v>#REF!</v>
      </c>
      <c r="F110" s="167" t="e">
        <f t="shared" si="13"/>
        <v>#REF!</v>
      </c>
      <c r="G110" s="292">
        <f>IF(G$8='5.Variables'!$B$10,+'5.Variables'!$G29,+IF(G$8='5.Variables'!$B$34,+'5.Variables'!$G53,+IF(G$8='5.Variables'!$B$58,+'5.Variables'!$G68,+IF(G$8='5.Variables'!$B$72,+'5.Variables'!$G82,+IF(G$8='5.Variables'!$B$86,+'5.Variables'!$G96,+IF(G$8='5.Variables'!$B$100,+'5.Variables'!$G110,0))))))</f>
        <v>206</v>
      </c>
      <c r="H110" s="292">
        <f>IF(H$8='5.Variables'!$B$10,+'5.Variables'!$G29,+IF(H$8='5.Variables'!$B$34,+'5.Variables'!$G53,+IF(H$8='5.Variables'!$B$58,+'5.Variables'!$G68,+IF(H$8='5.Variables'!$B$72,+'5.Variables'!$G82,+IF(H$8='5.Variables'!$B$86,+'5.Variables'!$G96,+IF(H$8='5.Variables'!$B$100,+'5.Variables'!$G110,0))))))</f>
        <v>16</v>
      </c>
      <c r="I110" s="292">
        <f>IF(I$8='5.Variables'!$B$10,+'5.Variables'!$G29,+IF(I$8='5.Variables'!$B$34,+'5.Variables'!$G53,+IF(I$8='5.Variables'!$B$58,+'5.Variables'!$G68,+IF(I$8='5.Variables'!$B$72,+'5.Variables'!$G82,+IF(I$8='5.Variables'!$B$86,+'5.Variables'!$G96,+IF(I$8='5.Variables'!$B$100,+'5.Variables'!$G110,0))))))</f>
        <v>31</v>
      </c>
      <c r="J110" s="292">
        <f>IF(J$8='5.Variables'!$B$10,+'5.Variables'!$G29,+IF(J$8='5.Variables'!$B$34,+'5.Variables'!$G53,+IF(J$8='5.Variables'!$B$58,+'5.Variables'!$G68,+IF(J$8='5.Variables'!$B$72,+'5.Variables'!$G82,+IF(J$8='5.Variables'!$B$86,+'5.Variables'!$G96,+IF(J$8='5.Variables'!$B$100,+'5.Variables'!$G110,0))))))</f>
        <v>1</v>
      </c>
      <c r="K110" s="292">
        <f>IF(K$8='5.Variables'!$B$10,+'5.Variables'!$G29,+IF(K$8='5.Variables'!$B$34,+'5.Variables'!$G53,+IF(K$8='5.Variables'!$B$58,+'5.Variables'!$G68,+IF(K$8='5.Variables'!$B$72,+'5.Variables'!$G82,+IF(K$8='5.Variables'!$B$86,+'5.Variables'!$G96,+IF(K$8='5.Variables'!$B$100,+'5.Variables'!$G110,0))))))</f>
        <v>0</v>
      </c>
      <c r="L110" s="292">
        <f>IF(L$8='5.Variables'!$B$10,+'5.Variables'!$G29,+IF(L$8='5.Variables'!$B$34,+'5.Variables'!$G53,+IF(L$8='5.Variables'!$B$58,+'5.Variables'!$G68,+IF(L$8='5.Variables'!$B$72,+'5.Variables'!$G82,+IF(L$8='5.Variables'!$B$86,+'5.Variables'!$G96,+IF(L$8='5.Variables'!$B$100,+'5.Variables'!$G110,0))))))</f>
        <v>0</v>
      </c>
      <c r="M110" s="143"/>
      <c r="N110" s="167">
        <f t="shared" si="11"/>
        <v>347721.56145270023</v>
      </c>
      <c r="O110" s="171"/>
      <c r="P110" s="143"/>
      <c r="Q110"/>
      <c r="R110"/>
      <c r="S110"/>
      <c r="T110"/>
      <c r="U110"/>
      <c r="V110"/>
      <c r="W110"/>
      <c r="X110"/>
      <c r="Y110"/>
      <c r="Z110" s="143"/>
      <c r="AA110" s="143"/>
      <c r="AB110" s="143"/>
      <c r="AC110" s="143"/>
      <c r="AD110" s="143"/>
      <c r="AE110" s="143"/>
      <c r="AF110" s="143"/>
      <c r="AG110" s="143"/>
      <c r="AH110" s="143"/>
      <c r="AI110" s="143"/>
    </row>
    <row r="111" spans="1:35" x14ac:dyDescent="0.3">
      <c r="A111" s="339">
        <f t="shared" si="12"/>
        <v>102</v>
      </c>
      <c r="B111" s="166" t="str">
        <f>CONCATENATE('3. Consumption by Rate Class'!B117,"-",'3. Consumption by Rate Class'!C117)</f>
        <v>2021-June</v>
      </c>
      <c r="C111" s="366">
        <f>'6. WS Regression Analysis'!E112/1.081</f>
        <v>238151.67437557818</v>
      </c>
      <c r="D111" s="367"/>
      <c r="E111" s="367" t="e">
        <f>+#REF!</f>
        <v>#REF!</v>
      </c>
      <c r="F111" s="167" t="e">
        <f t="shared" si="13"/>
        <v>#REF!</v>
      </c>
      <c r="G111" s="292">
        <f>IF(G$8='5.Variables'!$B$10,+'5.Variables'!$H29,+IF(G$8='5.Variables'!$B$34,+'5.Variables'!$H53,+IF(G$8='5.Variables'!$B$58,+'5.Variables'!$H68,+IF(G$8='5.Variables'!$B$72,+'5.Variables'!$H82,+IF(G$8='5.Variables'!$B$86,+'5.Variables'!$H96,+IF(G$8='5.Variables'!$B$100,+'5.Variables'!$H110,0))))))</f>
        <v>22.7</v>
      </c>
      <c r="H111" s="292">
        <f>IF(H$8='5.Variables'!$B$10,+'5.Variables'!$H29,+IF(H$8='5.Variables'!$B$34,+'5.Variables'!$H53,+IF(H$8='5.Variables'!$B$58,+'5.Variables'!$H68,+IF(H$8='5.Variables'!$B$72,+'5.Variables'!$H82,+IF(H$8='5.Variables'!$B$86,+'5.Variables'!$H96,+IF(H$8='5.Variables'!$B$100,+'5.Variables'!$H110,0))))))</f>
        <v>83</v>
      </c>
      <c r="I111" s="292">
        <f>IF(I$8='5.Variables'!$B$10,+'5.Variables'!$H29,+IF(I$8='5.Variables'!$B$34,+'5.Variables'!$H53,+IF(I$8='5.Variables'!$B$58,+'5.Variables'!$H68,+IF(I$8='5.Variables'!$B$72,+'5.Variables'!$H82,+IF(I$8='5.Variables'!$B$86,+'5.Variables'!$H96,+IF(I$8='5.Variables'!$B$100,+'5.Variables'!$H110,0))))))</f>
        <v>30</v>
      </c>
      <c r="J111" s="292">
        <f>IF(J$8='5.Variables'!$B$10,+'5.Variables'!$H29,+IF(J$8='5.Variables'!$B$34,+'5.Variables'!$H53,+IF(J$8='5.Variables'!$B$58,+'5.Variables'!$H68,+IF(J$8='5.Variables'!$B$72,+'5.Variables'!$H82,+IF(J$8='5.Variables'!$B$86,+'5.Variables'!$H96,+IF(J$8='5.Variables'!$B$100,+'5.Variables'!$H110,0))))))</f>
        <v>0</v>
      </c>
      <c r="K111" s="292">
        <f>IF(K$8='5.Variables'!$B$10,+'5.Variables'!$H29,+IF(K$8='5.Variables'!$B$34,+'5.Variables'!$H53,+IF(K$8='5.Variables'!$B$58,+'5.Variables'!$H68,+IF(K$8='5.Variables'!$B$72,+'5.Variables'!$H82,+IF(K$8='5.Variables'!$B$86,+'5.Variables'!$H96,+IF(K$8='5.Variables'!$B$100,+'5.Variables'!$H110,0))))))</f>
        <v>0</v>
      </c>
      <c r="L111" s="292">
        <f>IF(L$8='5.Variables'!$B$10,+'5.Variables'!$H29,+IF(L$8='5.Variables'!$B$34,+'5.Variables'!$H53,+IF(L$8='5.Variables'!$B$58,+'5.Variables'!$H68,+IF(L$8='5.Variables'!$B$72,+'5.Variables'!$H82,+IF(L$8='5.Variables'!$B$86,+'5.Variables'!$H96,+IF(L$8='5.Variables'!$B$100,+'5.Variables'!$H110,0))))))</f>
        <v>0</v>
      </c>
      <c r="M111" s="143"/>
      <c r="N111" s="167">
        <f t="shared" si="11"/>
        <v>381270.73883477913</v>
      </c>
      <c r="O111" s="171"/>
      <c r="P111" s="143"/>
      <c r="Q111"/>
      <c r="R111"/>
      <c r="S111"/>
      <c r="T111"/>
      <c r="U111"/>
      <c r="V111"/>
      <c r="W111"/>
      <c r="X111"/>
      <c r="Y111"/>
      <c r="Z111" s="143"/>
      <c r="AA111" s="143"/>
      <c r="AB111" s="143"/>
      <c r="AC111" s="143"/>
      <c r="AD111" s="143"/>
      <c r="AE111" s="143"/>
      <c r="AF111" s="143"/>
      <c r="AG111" s="143"/>
      <c r="AH111" s="143"/>
      <c r="AI111" s="143"/>
    </row>
    <row r="112" spans="1:35" x14ac:dyDescent="0.3">
      <c r="A112" s="339">
        <f t="shared" si="12"/>
        <v>103</v>
      </c>
      <c r="B112" s="166" t="str">
        <f>CONCATENATE('3. Consumption by Rate Class'!B118,"-",'3. Consumption by Rate Class'!C118)</f>
        <v>2021-July</v>
      </c>
      <c r="C112" s="366">
        <f>'6. WS Regression Analysis'!E113/1.081</f>
        <v>250435.38390379283</v>
      </c>
      <c r="D112" s="367"/>
      <c r="E112" s="367" t="e">
        <f>+#REF!</f>
        <v>#REF!</v>
      </c>
      <c r="F112" s="167" t="e">
        <f t="shared" si="13"/>
        <v>#REF!</v>
      </c>
      <c r="G112" s="292">
        <f>IF(G$8='5.Variables'!$B$10,+'5.Variables'!$I29,+IF(G$8='5.Variables'!$B$34,+'5.Variables'!$I53,+IF(G$8='5.Variables'!$B$58,+'5.Variables'!$I68,+IF(G$8='5.Variables'!$B$72,+'5.Variables'!$I82,+IF(G$8='5.Variables'!$B$86,+'5.Variables'!$I96,+IF(G$8='5.Variables'!$B$100,+'5.Variables'!$I110,0))))))</f>
        <v>14.2</v>
      </c>
      <c r="H112" s="292">
        <f>IF(H$8='5.Variables'!$B$10,+'5.Variables'!$I29,+IF(H$8='5.Variables'!$B$34,+'5.Variables'!$I53,+IF(H$8='5.Variables'!$B$58,+'5.Variables'!$I68,+IF(H$8='5.Variables'!$B$72,+'5.Variables'!$I82,+IF(H$8='5.Variables'!$B$86,+'5.Variables'!$I96,+IF(H$8='5.Variables'!$B$100,+'5.Variables'!$I110,0))))))</f>
        <v>57.2</v>
      </c>
      <c r="I112" s="292">
        <f>IF(I$8='5.Variables'!$B$10,+'5.Variables'!$I29,+IF(I$8='5.Variables'!$B$34,+'5.Variables'!$I53,+IF(I$8='5.Variables'!$B$58,+'5.Variables'!$I68,+IF(I$8='5.Variables'!$B$72,+'5.Variables'!$I82,+IF(I$8='5.Variables'!$B$86,+'5.Variables'!$I96,+IF(I$8='5.Variables'!$B$100,+'5.Variables'!$I110,0))))))</f>
        <v>31</v>
      </c>
      <c r="J112" s="292">
        <f>IF(J$8='5.Variables'!$B$10,+'5.Variables'!$I29,+IF(J$8='5.Variables'!$B$34,+'5.Variables'!$I53,+IF(J$8='5.Variables'!$B$58,+'5.Variables'!$I68,+IF(J$8='5.Variables'!$B$72,+'5.Variables'!$I82,+IF(J$8='5.Variables'!$B$86,+'5.Variables'!$I96,+IF(J$8='5.Variables'!$B$100,+'5.Variables'!$I110,0))))))</f>
        <v>0</v>
      </c>
      <c r="K112" s="292">
        <f>IF(K$8='5.Variables'!$B$10,+'5.Variables'!$I29,+IF(K$8='5.Variables'!$B$34,+'5.Variables'!$I53,+IF(K$8='5.Variables'!$B$58,+'5.Variables'!$I68,+IF(K$8='5.Variables'!$B$72,+'5.Variables'!$I82,+IF(K$8='5.Variables'!$B$86,+'5.Variables'!$I96,+IF(K$8='5.Variables'!$B$100,+'5.Variables'!$I110,0))))))</f>
        <v>0</v>
      </c>
      <c r="L112" s="292">
        <f>IF(L$8='5.Variables'!$B$10,+'5.Variables'!$I29,+IF(L$8='5.Variables'!$B$34,+'5.Variables'!$I53,+IF(L$8='5.Variables'!$B$58,+'5.Variables'!$I68,+IF(L$8='5.Variables'!$B$72,+'5.Variables'!$I82,+IF(L$8='5.Variables'!$B$86,+'5.Variables'!$I96,+IF(L$8='5.Variables'!$B$100,+'5.Variables'!$I110,0))))))</f>
        <v>0</v>
      </c>
      <c r="M112" s="143"/>
      <c r="N112" s="167">
        <f t="shared" si="11"/>
        <v>383834.18552490656</v>
      </c>
      <c r="O112" s="171"/>
      <c r="P112" s="143"/>
      <c r="Q112"/>
      <c r="R112"/>
      <c r="S112"/>
      <c r="T112"/>
      <c r="U112"/>
      <c r="V112"/>
      <c r="W112"/>
      <c r="X112"/>
      <c r="Y112"/>
      <c r="Z112" s="143"/>
      <c r="AA112" s="143"/>
      <c r="AB112" s="143"/>
      <c r="AC112" s="143"/>
      <c r="AD112" s="143"/>
      <c r="AE112" s="143"/>
      <c r="AF112" s="143"/>
      <c r="AG112" s="143"/>
      <c r="AH112" s="143"/>
      <c r="AI112" s="143"/>
    </row>
    <row r="113" spans="1:35" x14ac:dyDescent="0.3">
      <c r="A113" s="339">
        <f t="shared" si="12"/>
        <v>104</v>
      </c>
      <c r="B113" s="166" t="str">
        <f>CONCATENATE('3. Consumption by Rate Class'!B119,"-",'3. Consumption by Rate Class'!C119)</f>
        <v>2021-August</v>
      </c>
      <c r="C113" s="366">
        <f>'6. WS Regression Analysis'!E114/1.081</f>
        <v>267873.24699352449</v>
      </c>
      <c r="D113" s="367"/>
      <c r="E113" s="367" t="e">
        <f>+#REF!</f>
        <v>#REF!</v>
      </c>
      <c r="F113" s="167" t="e">
        <f t="shared" si="13"/>
        <v>#REF!</v>
      </c>
      <c r="G113" s="292">
        <f>IF(G$8='5.Variables'!$B$10,+'5.Variables'!$J29,+IF(G$8='5.Variables'!$B$34,+'5.Variables'!$J53,+IF(G$8='5.Variables'!$B$58,+'5.Variables'!$J68,+IF(G$8='5.Variables'!$B$72,+'5.Variables'!$J82,+IF(G$8='5.Variables'!$B$86,+'5.Variables'!$J96,+IF(G$8='5.Variables'!$B$100,+'5.Variables'!$J110,0))))))</f>
        <v>3.5</v>
      </c>
      <c r="H113" s="292">
        <f>IF(H$8='5.Variables'!$B$10,+'5.Variables'!$J29,+IF(H$8='5.Variables'!$B$34,+'5.Variables'!$J53,+IF(H$8='5.Variables'!$B$58,+'5.Variables'!$J68,+IF(H$8='5.Variables'!$B$72,+'5.Variables'!$J82,+IF(H$8='5.Variables'!$B$86,+'5.Variables'!$J96,+IF(H$8='5.Variables'!$B$100,+'5.Variables'!$J110,0))))))</f>
        <v>113.6</v>
      </c>
      <c r="I113" s="292">
        <f>IF(I$8='5.Variables'!$B$10,+'5.Variables'!$J29,+IF(I$8='5.Variables'!$B$34,+'5.Variables'!$J53,+IF(I$8='5.Variables'!$B$58,+'5.Variables'!$J68,+IF(I$8='5.Variables'!$B$72,+'5.Variables'!$J82,+IF(I$8='5.Variables'!$B$86,+'5.Variables'!$J96,+IF(I$8='5.Variables'!$B$100,+'5.Variables'!$J110,0))))))</f>
        <v>31</v>
      </c>
      <c r="J113" s="292">
        <f>IF(J$8='5.Variables'!$B$10,+'5.Variables'!$J29,+IF(J$8='5.Variables'!$B$34,+'5.Variables'!$J53,+IF(J$8='5.Variables'!$B$58,+'5.Variables'!$J68,+IF(J$8='5.Variables'!$B$72,+'5.Variables'!$J82,+IF(J$8='5.Variables'!$B$86,+'5.Variables'!$J96,+IF(J$8='5.Variables'!$B$100,+'5.Variables'!$J110,0))))))</f>
        <v>0</v>
      </c>
      <c r="K113" s="292">
        <f>IF(K$8='5.Variables'!$B$10,+'5.Variables'!$J29,+IF(K$8='5.Variables'!$B$34,+'5.Variables'!$J53,+IF(K$8='5.Variables'!$B$58,+'5.Variables'!$J68,+IF(K$8='5.Variables'!$B$72,+'5.Variables'!$J82,+IF(K$8='5.Variables'!$B$86,+'5.Variables'!$J96,+IF(K$8='5.Variables'!$B$100,+'5.Variables'!$J110,0))))))</f>
        <v>0</v>
      </c>
      <c r="L113" s="292">
        <f>IF(L$8='5.Variables'!$B$10,+'5.Variables'!$J29,+IF(L$8='5.Variables'!$B$34,+'5.Variables'!$J53,+IF(L$8='5.Variables'!$B$58,+'5.Variables'!$J68,+IF(L$8='5.Variables'!$B$72,+'5.Variables'!$J82,+IF(L$8='5.Variables'!$B$86,+'5.Variables'!$J96,+IF(L$8='5.Variables'!$B$100,+'5.Variables'!$J110,0))))))</f>
        <v>0</v>
      </c>
      <c r="M113" s="143"/>
      <c r="N113" s="167">
        <f t="shared" si="11"/>
        <v>405964.50619073719</v>
      </c>
      <c r="O113" s="171"/>
      <c r="P113" s="143"/>
      <c r="Q113"/>
      <c r="R113"/>
      <c r="S113"/>
      <c r="T113"/>
      <c r="U113"/>
      <c r="V113"/>
      <c r="W113"/>
      <c r="X113"/>
      <c r="Y113"/>
      <c r="Z113" s="143"/>
      <c r="AA113" s="143"/>
      <c r="AB113" s="143"/>
      <c r="AC113" s="143"/>
      <c r="AD113" s="143"/>
      <c r="AE113" s="143"/>
      <c r="AF113" s="143"/>
      <c r="AG113" s="143"/>
      <c r="AH113" s="143"/>
      <c r="AI113" s="143"/>
    </row>
    <row r="114" spans="1:35" x14ac:dyDescent="0.3">
      <c r="A114" s="339">
        <f t="shared" si="12"/>
        <v>105</v>
      </c>
      <c r="B114" s="166" t="str">
        <f>CONCATENATE('3. Consumption by Rate Class'!B120,"-",'3. Consumption by Rate Class'!C120)</f>
        <v>2021-September</v>
      </c>
      <c r="C114" s="366">
        <f>'6. WS Regression Analysis'!E115/1.081</f>
        <v>225024.39407955596</v>
      </c>
      <c r="D114" s="367"/>
      <c r="E114" s="367" t="e">
        <f>+#REF!</f>
        <v>#REF!</v>
      </c>
      <c r="F114" s="167" t="e">
        <f t="shared" si="13"/>
        <v>#REF!</v>
      </c>
      <c r="G114" s="292">
        <f>IF(G$8='5.Variables'!$B$10,+'5.Variables'!$K29,+IF(G$8='5.Variables'!$B$34,+'5.Variables'!$K53,+IF(G$8='5.Variables'!$B$58,+'5.Variables'!$K68,+IF(G$8='5.Variables'!$B$72,+'5.Variables'!$K82,+IF(G$8='5.Variables'!$B$86,+'5.Variables'!$K96,+IF(G$8='5.Variables'!$B$100,+'5.Variables'!$K110,0))))))</f>
        <v>52.9</v>
      </c>
      <c r="H114" s="292">
        <f>IF(H$8='5.Variables'!$B$10,+'5.Variables'!$K29,+IF(H$8='5.Variables'!$B$34,+'5.Variables'!$K53,+IF(H$8='5.Variables'!$B$58,+'5.Variables'!$K68,+IF(H$8='5.Variables'!$B$72,+'5.Variables'!$K82,+IF(H$8='5.Variables'!$B$86,+'5.Variables'!$K96,+IF(H$8='5.Variables'!$B$100,+'5.Variables'!$K110,0))))))</f>
        <v>18.899999999999999</v>
      </c>
      <c r="I114" s="292">
        <f>IF(I$8='5.Variables'!$B$10,+'5.Variables'!$K29,+IF(I$8='5.Variables'!$B$34,+'5.Variables'!$K53,+IF(I$8='5.Variables'!$B$58,+'5.Variables'!$K68,+IF(I$8='5.Variables'!$B$72,+'5.Variables'!$K82,+IF(I$8='5.Variables'!$B$86,+'5.Variables'!$K96,+IF(I$8='5.Variables'!$B$100,+'5.Variables'!$K110,0))))))</f>
        <v>30</v>
      </c>
      <c r="J114" s="292">
        <f>IF(J$8='5.Variables'!$B$10,+'5.Variables'!$K29,+IF(J$8='5.Variables'!$B$34,+'5.Variables'!$K53,+IF(J$8='5.Variables'!$B$58,+'5.Variables'!$K68,+IF(J$8='5.Variables'!$B$72,+'5.Variables'!$K82,+IF(J$8='5.Variables'!$B$86,+'5.Variables'!$K96,+IF(J$8='5.Variables'!$B$100,+'5.Variables'!$K110,0))))))</f>
        <v>1</v>
      </c>
      <c r="K114" s="292">
        <f>IF(K$8='5.Variables'!$B$10,+'5.Variables'!$K29,+IF(K$8='5.Variables'!$B$34,+'5.Variables'!$K53,+IF(K$8='5.Variables'!$B$58,+'5.Variables'!$K68,+IF(K$8='5.Variables'!$B$72,+'5.Variables'!$K82,+IF(K$8='5.Variables'!$B$86,+'5.Variables'!$K96,+IF(K$8='5.Variables'!$B$100,+'5.Variables'!$K110,0))))))</f>
        <v>0</v>
      </c>
      <c r="L114" s="292">
        <f>IF(L$8='5.Variables'!$B$10,+'5.Variables'!$K29,+IF(L$8='5.Variables'!$B$34,+'5.Variables'!$K53,+IF(L$8='5.Variables'!$B$58,+'5.Variables'!$K68,+IF(L$8='5.Variables'!$B$72,+'5.Variables'!$K82,+IF(L$8='5.Variables'!$B$86,+'5.Variables'!$K96,+IF(L$8='5.Variables'!$B$100,+'5.Variables'!$K110,0))))))</f>
        <v>0</v>
      </c>
      <c r="M114" s="143"/>
      <c r="N114" s="167">
        <f t="shared" si="11"/>
        <v>344206.51247387595</v>
      </c>
      <c r="O114" s="171"/>
      <c r="P114" s="143"/>
      <c r="Q114"/>
      <c r="R114"/>
      <c r="S114"/>
      <c r="T114"/>
      <c r="U114"/>
      <c r="V114"/>
      <c r="W114"/>
      <c r="X114"/>
      <c r="Y114"/>
      <c r="Z114" s="143"/>
      <c r="AA114" s="143"/>
      <c r="AB114" s="143"/>
      <c r="AC114" s="143"/>
      <c r="AD114" s="143"/>
      <c r="AE114" s="143"/>
      <c r="AF114" s="143"/>
      <c r="AG114" s="143"/>
      <c r="AH114" s="143"/>
      <c r="AI114" s="143"/>
    </row>
    <row r="115" spans="1:35" x14ac:dyDescent="0.3">
      <c r="A115" s="339">
        <f t="shared" si="12"/>
        <v>106</v>
      </c>
      <c r="B115" s="166" t="str">
        <f>CONCATENATE('3. Consumption by Rate Class'!B121,"-",'3. Consumption by Rate Class'!C121)</f>
        <v>2021-October</v>
      </c>
      <c r="C115" s="366">
        <f>'6. WS Regression Analysis'!E116/1.081</f>
        <v>221695.11563367254</v>
      </c>
      <c r="D115" s="367"/>
      <c r="E115" s="367" t="e">
        <f>+#REF!</f>
        <v>#REF!</v>
      </c>
      <c r="F115" s="167" t="e">
        <f t="shared" si="13"/>
        <v>#REF!</v>
      </c>
      <c r="G115" s="292">
        <f>IF(G$8='5.Variables'!$B$10,+'5.Variables'!$L29,+IF(G$8='5.Variables'!$B$34,+'5.Variables'!$L53,+IF(G$8='5.Variables'!$B$58,+'5.Variables'!$L68,+IF(G$8='5.Variables'!$B$72,+'5.Variables'!$L82,+IF(G$8='5.Variables'!$B$86,+'5.Variables'!$L96,+IF(G$8='5.Variables'!$B$100,+'5.Variables'!$L110,0))))))</f>
        <v>137.30000000000001</v>
      </c>
      <c r="H115" s="292">
        <f>IF(H$8='5.Variables'!$B$10,+'5.Variables'!$L29,+IF(H$8='5.Variables'!$B$34,+'5.Variables'!$L53,+IF(H$8='5.Variables'!$B$58,+'5.Variables'!$L68,+IF(H$8='5.Variables'!$B$72,+'5.Variables'!$L82,+IF(H$8='5.Variables'!$B$86,+'5.Variables'!$L96,+IF(H$8='5.Variables'!$B$100,+'5.Variables'!$L110,0))))))</f>
        <v>14.2</v>
      </c>
      <c r="I115" s="292">
        <f>IF(I$8='5.Variables'!$B$10,+'5.Variables'!$L29,+IF(I$8='5.Variables'!$B$34,+'5.Variables'!$L53,+IF(I$8='5.Variables'!$B$58,+'5.Variables'!$L68,+IF(I$8='5.Variables'!$B$72,+'5.Variables'!$L82,+IF(I$8='5.Variables'!$B$86,+'5.Variables'!$L96,+IF(I$8='5.Variables'!$B$100,+'5.Variables'!$L110,0))))))</f>
        <v>31</v>
      </c>
      <c r="J115" s="292">
        <f>IF(J$8='5.Variables'!$B$10,+'5.Variables'!$L29,+IF(J$8='5.Variables'!$B$34,+'5.Variables'!$L53,+IF(J$8='5.Variables'!$B$58,+'5.Variables'!$L68,+IF(J$8='5.Variables'!$B$72,+'5.Variables'!$L82,+IF(J$8='5.Variables'!$B$86,+'5.Variables'!$L96,+IF(J$8='5.Variables'!$B$100,+'5.Variables'!$L110,0))))))</f>
        <v>1</v>
      </c>
      <c r="K115" s="292">
        <f>IF(K$8='5.Variables'!$B$10,+'5.Variables'!$L29,+IF(K$8='5.Variables'!$B$34,+'5.Variables'!$L53,+IF(K$8='5.Variables'!$B$58,+'5.Variables'!$L68,+IF(K$8='5.Variables'!$B$72,+'5.Variables'!$L82,+IF(K$8='5.Variables'!$B$86,+'5.Variables'!$L96,+IF(K$8='5.Variables'!$B$100,+'5.Variables'!$L110,0))))))</f>
        <v>0</v>
      </c>
      <c r="L115" s="292">
        <f>IF(L$8='5.Variables'!$B$10,+'5.Variables'!$L29,+IF(L$8='5.Variables'!$B$34,+'5.Variables'!$L53,+IF(L$8='5.Variables'!$B$58,+'5.Variables'!$L68,+IF(L$8='5.Variables'!$B$72,+'5.Variables'!$L82,+IF(L$8='5.Variables'!$B$86,+'5.Variables'!$L96,+IF(L$8='5.Variables'!$B$100,+'5.Variables'!$L110,0))))))</f>
        <v>0</v>
      </c>
      <c r="M115" s="143"/>
      <c r="N115" s="167">
        <f t="shared" si="11"/>
        <v>350357.807066918</v>
      </c>
      <c r="O115" s="171"/>
      <c r="P115" s="143"/>
      <c r="Q115"/>
      <c r="R115"/>
      <c r="S115"/>
      <c r="T115"/>
      <c r="U115"/>
      <c r="V115"/>
      <c r="W115"/>
      <c r="X115"/>
      <c r="Y115"/>
      <c r="Z115" s="143"/>
      <c r="AA115" s="143"/>
      <c r="AB115" s="143"/>
      <c r="AC115" s="143"/>
      <c r="AD115" s="143"/>
      <c r="AE115" s="143"/>
      <c r="AF115" s="143"/>
      <c r="AG115" s="143"/>
      <c r="AH115" s="143"/>
      <c r="AI115" s="143"/>
    </row>
    <row r="116" spans="1:35" x14ac:dyDescent="0.3">
      <c r="A116" s="339">
        <f t="shared" si="12"/>
        <v>107</v>
      </c>
      <c r="B116" s="166" t="str">
        <f>CONCATENATE('3. Consumption by Rate Class'!B122,"-",'3. Consumption by Rate Class'!C122)</f>
        <v>2021-November</v>
      </c>
      <c r="C116" s="366">
        <f>'6. WS Regression Analysis'!E117/1.081</f>
        <v>189360.35152636448</v>
      </c>
      <c r="D116" s="367"/>
      <c r="E116" s="367" t="e">
        <f>+#REF!</f>
        <v>#REF!</v>
      </c>
      <c r="F116" s="167" t="e">
        <f t="shared" si="13"/>
        <v>#REF!</v>
      </c>
      <c r="G116" s="292">
        <f>IF(G$8='5.Variables'!$B$10,+'5.Variables'!$M29,+IF(G$8='5.Variables'!$B$34,+'5.Variables'!$M53,+IF(G$8='5.Variables'!$B$58,+'5.Variables'!$M68,+IF(G$8='5.Variables'!$B$72,+'5.Variables'!$M82,+IF(G$8='5.Variables'!$B$86,+'5.Variables'!$M96,+IF(G$8='5.Variables'!$B$100,+'5.Variables'!$M110,0))))))</f>
        <v>412.5</v>
      </c>
      <c r="H116" s="292">
        <f>IF(H$8='5.Variables'!$B$10,+'5.Variables'!$M29,+IF(H$8='5.Variables'!$B$34,+'5.Variables'!$M53,+IF(H$8='5.Variables'!$B$58,+'5.Variables'!$M68,+IF(H$8='5.Variables'!$B$72,+'5.Variables'!$M82,+IF(H$8='5.Variables'!$B$86,+'5.Variables'!$M96,+IF(H$8='5.Variables'!$B$100,+'5.Variables'!$M110,0))))))</f>
        <v>0</v>
      </c>
      <c r="I116" s="292">
        <f>IF(I$8='5.Variables'!$B$10,+'5.Variables'!$M29,+IF(I$8='5.Variables'!$B$34,+'5.Variables'!$M53,+IF(I$8='5.Variables'!$B$58,+'5.Variables'!$M68,+IF(I$8='5.Variables'!$B$72,+'5.Variables'!$M82,+IF(I$8='5.Variables'!$B$86,+'5.Variables'!$M96,+IF(I$8='5.Variables'!$B$100,+'5.Variables'!$M110,0))))))</f>
        <v>30</v>
      </c>
      <c r="J116" s="292">
        <f>IF(J$8='5.Variables'!$B$10,+'5.Variables'!$M29,+IF(J$8='5.Variables'!$B$34,+'5.Variables'!$M53,+IF(J$8='5.Variables'!$B$58,+'5.Variables'!$M68,+IF(J$8='5.Variables'!$B$72,+'5.Variables'!$M82,+IF(J$8='5.Variables'!$B$86,+'5.Variables'!$M96,+IF(J$8='5.Variables'!$B$100,+'5.Variables'!$M110,0))))))</f>
        <v>1</v>
      </c>
      <c r="K116" s="292">
        <f>IF(K$8='5.Variables'!$B$10,+'5.Variables'!$M29,+IF(K$8='5.Variables'!$B$34,+'5.Variables'!$M53,+IF(K$8='5.Variables'!$B$58,+'5.Variables'!$M68,+IF(K$8='5.Variables'!$B$72,+'5.Variables'!$M82,+IF(K$8='5.Variables'!$B$86,+'5.Variables'!$M96,+IF(K$8='5.Variables'!$B$100,+'5.Variables'!$M110,0))))))</f>
        <v>0</v>
      </c>
      <c r="L116" s="292">
        <f>IF(L$8='5.Variables'!$B$10,+'5.Variables'!$M29,+IF(L$8='5.Variables'!$B$34,+'5.Variables'!$M53,+IF(L$8='5.Variables'!$B$58,+'5.Variables'!$M68,+IF(L$8='5.Variables'!$B$72,+'5.Variables'!$M82,+IF(L$8='5.Variables'!$B$86,+'5.Variables'!$M96,+IF(L$8='5.Variables'!$B$100,+'5.Variables'!$M110,0))))))</f>
        <v>0</v>
      </c>
      <c r="M116" s="143"/>
      <c r="N116" s="167">
        <f t="shared" si="11"/>
        <v>319554.63917275419</v>
      </c>
      <c r="O116" s="171"/>
      <c r="P116" s="143"/>
      <c r="Q116"/>
      <c r="R116"/>
      <c r="S116"/>
      <c r="T116"/>
      <c r="U116"/>
      <c r="V116"/>
      <c r="W116"/>
      <c r="X116"/>
      <c r="Y116"/>
      <c r="Z116" s="143"/>
      <c r="AA116" s="143"/>
      <c r="AB116" s="143"/>
      <c r="AC116" s="143"/>
      <c r="AD116" s="143"/>
      <c r="AE116" s="143"/>
      <c r="AF116" s="143"/>
      <c r="AG116" s="143"/>
      <c r="AH116" s="143"/>
      <c r="AI116" s="143"/>
    </row>
    <row r="117" spans="1:35" x14ac:dyDescent="0.3">
      <c r="A117" s="339">
        <f t="shared" si="12"/>
        <v>108</v>
      </c>
      <c r="B117" s="166" t="str">
        <f>CONCATENATE('3. Consumption by Rate Class'!B123,"-",'3. Consumption by Rate Class'!C123)</f>
        <v>2021-December</v>
      </c>
      <c r="C117" s="366">
        <f>'6. WS Regression Analysis'!E118/1.081</f>
        <v>195066.57724329326</v>
      </c>
      <c r="D117" s="367"/>
      <c r="E117" s="367" t="e">
        <f>+#REF!</f>
        <v>#REF!</v>
      </c>
      <c r="F117" s="167" t="e">
        <f t="shared" si="13"/>
        <v>#REF!</v>
      </c>
      <c r="G117" s="292">
        <f>IF(G$8='5.Variables'!$B$10,+'5.Variables'!$N29,+IF(G$8='5.Variables'!$B$34,+'5.Variables'!$N53,+IF(G$8='5.Variables'!$B$58,+'5.Variables'!$N68,+IF(G$8='5.Variables'!$B$72,+'5.Variables'!$N82,+IF(G$8='5.Variables'!$B$86,+'5.Variables'!$N96,+IF(G$8='5.Variables'!$B$100,+'5.Variables'!$N110,0))))))</f>
        <v>511.6</v>
      </c>
      <c r="H117" s="292">
        <f>IF(H$8='5.Variables'!$B$10,+'5.Variables'!$N29,+IF(H$8='5.Variables'!$B$34,+'5.Variables'!$N53,+IF(H$8='5.Variables'!$B$58,+'5.Variables'!$N68,+IF(H$8='5.Variables'!$B$72,+'5.Variables'!$N82,+IF(H$8='5.Variables'!$B$86,+'5.Variables'!$N96,+IF(H$8='5.Variables'!$B$100,+'5.Variables'!$N110,0))))))</f>
        <v>0</v>
      </c>
      <c r="I117" s="292">
        <f>IF(I$8='5.Variables'!$B$10,+'5.Variables'!$N29,+IF(I$8='5.Variables'!$B$34,+'5.Variables'!$N53,+IF(I$8='5.Variables'!$B$58,+'5.Variables'!$N68,+IF(I$8='5.Variables'!$B$72,+'5.Variables'!$N82,+IF(I$8='5.Variables'!$B$86,+'5.Variables'!$N96,+IF(I$8='5.Variables'!$B$100,+'5.Variables'!$N110,0))))))</f>
        <v>31</v>
      </c>
      <c r="J117" s="292">
        <f>IF(J$8='5.Variables'!$B$10,+'5.Variables'!$N29,+IF(J$8='5.Variables'!$B$34,+'5.Variables'!$N53,+IF(J$8='5.Variables'!$B$58,+'5.Variables'!$N68,+IF(J$8='5.Variables'!$B$72,+'5.Variables'!$N82,+IF(J$8='5.Variables'!$B$86,+'5.Variables'!$N96,+IF(J$8='5.Variables'!$B$100,+'5.Variables'!$N110,0))))))</f>
        <v>0</v>
      </c>
      <c r="K117" s="292">
        <f>IF(K$8='5.Variables'!$B$10,+'5.Variables'!$N29,+IF(K$8='5.Variables'!$B$34,+'5.Variables'!$N53,+IF(K$8='5.Variables'!$B$58,+'5.Variables'!$N68,+IF(K$8='5.Variables'!$B$72,+'5.Variables'!$N82,+IF(K$8='5.Variables'!$B$86,+'5.Variables'!$N96,+IF(K$8='5.Variables'!$B$100,+'5.Variables'!$N110,0))))))</f>
        <v>0</v>
      </c>
      <c r="L117" s="292">
        <f>IF(L$8='5.Variables'!$B$10,+'5.Variables'!$N29,+IF(L$8='5.Variables'!$B$34,+'5.Variables'!$N53,+IF(L$8='5.Variables'!$B$58,+'5.Variables'!$N68,+IF(L$8='5.Variables'!$B$72,+'5.Variables'!$N82,+IF(L$8='5.Variables'!$B$86,+'5.Variables'!$N96,+IF(L$8='5.Variables'!$B$100,+'5.Variables'!$N110,0))))))</f>
        <v>0</v>
      </c>
      <c r="M117" s="143"/>
      <c r="N117" s="167">
        <f t="shared" si="11"/>
        <v>337834.51128797646</v>
      </c>
      <c r="O117" s="171">
        <f>SUM(N106:N117)</f>
        <v>4151679.7306457101</v>
      </c>
      <c r="P117" s="143"/>
      <c r="Q117"/>
      <c r="R117"/>
      <c r="S117"/>
      <c r="T117"/>
      <c r="U117"/>
      <c r="V117"/>
      <c r="W117"/>
      <c r="X117"/>
      <c r="Y117"/>
      <c r="Z117" s="143"/>
      <c r="AA117" s="143"/>
      <c r="AB117" s="143"/>
      <c r="AC117" s="143"/>
      <c r="AD117" s="143"/>
      <c r="AE117" s="143"/>
      <c r="AF117" s="143"/>
      <c r="AG117" s="143"/>
      <c r="AH117" s="143"/>
      <c r="AI117" s="143"/>
    </row>
    <row r="118" spans="1:35" x14ac:dyDescent="0.3">
      <c r="A118" s="339">
        <f t="shared" si="12"/>
        <v>109</v>
      </c>
      <c r="B118" s="166" t="str">
        <f>CONCATENATE('3. Consumption by Rate Class'!B124,"-",'3. Consumption by Rate Class'!C124)</f>
        <v>2022-January</v>
      </c>
      <c r="C118" s="366">
        <f>'6. WS Regression Analysis'!E119/1.081</f>
        <v>205014.08880666053</v>
      </c>
      <c r="D118" s="367"/>
      <c r="E118" s="367" t="e">
        <f>+#REF!</f>
        <v>#REF!</v>
      </c>
      <c r="F118" s="167" t="e">
        <f t="shared" si="13"/>
        <v>#REF!</v>
      </c>
      <c r="G118" s="292">
        <f>IF(G$8='5.Variables'!$B$10,+'5.Variables'!$C30,+IF(G$8='5.Variables'!$B$34,+'5.Variables'!$C54,+IF(G$8='5.Variables'!$B$58,+'5.Variables'!$C69,+IF(G$8='5.Variables'!$B$72,+'5.Variables'!$C83,+IF(G$8='5.Variables'!$B$86,+'5.Variables'!$C97,+IF(G$8='5.Variables'!$B$100,+'5.Variables'!$C111,0))))))</f>
        <v>827</v>
      </c>
      <c r="H118" s="292">
        <f>IF(H$8='5.Variables'!$B$10,+'5.Variables'!$C30,+IF(H$8='5.Variables'!$B$34,+'5.Variables'!$C54,+IF(H$8='5.Variables'!$B$58,+'5.Variables'!$C69,+IF(H$8='5.Variables'!$B$72,+'5.Variables'!$C83,+IF(H$8='5.Variables'!$B$86,+'5.Variables'!$C97,+IF(H$8='5.Variables'!$B$100,+'5.Variables'!$C111,0))))))</f>
        <v>0</v>
      </c>
      <c r="I118" s="292">
        <f>IF(I$8='5.Variables'!$B$10,+'5.Variables'!$C30,+IF(I$8='5.Variables'!$B$34,+'5.Variables'!$C54,+IF(I$8='5.Variables'!$B$58,+'5.Variables'!$C69,+IF(I$8='5.Variables'!$B$72,+'5.Variables'!$C83,+IF(I$8='5.Variables'!$B$86,+'5.Variables'!$C97,+IF(I$8='5.Variables'!$B$100,+'5.Variables'!$C111,0))))))</f>
        <v>31</v>
      </c>
      <c r="J118" s="292">
        <f>IF(J$8='5.Variables'!$B$10,+'5.Variables'!$C30,+IF(J$8='5.Variables'!$B$34,+'5.Variables'!$C54,+IF(J$8='5.Variables'!$B$58,+'5.Variables'!$C69,+IF(J$8='5.Variables'!$B$72,+'5.Variables'!$C83,+IF(J$8='5.Variables'!$B$86,+'5.Variables'!$C97,+IF(J$8='5.Variables'!$B$100,+'5.Variables'!$C111,0))))))</f>
        <v>0</v>
      </c>
      <c r="K118" s="292">
        <f>IF(K$8='5.Variables'!$B$10,+'5.Variables'!$C30,+IF(K$8='5.Variables'!$B$34,+'5.Variables'!$C54,+IF(K$8='5.Variables'!$B$58,+'5.Variables'!$C69,+IF(K$8='5.Variables'!$B$72,+'5.Variables'!$C83,+IF(K$8='5.Variables'!$B$86,+'5.Variables'!$C97,+IF(K$8='5.Variables'!$B$100,+'5.Variables'!$C111,0))))))</f>
        <v>0</v>
      </c>
      <c r="L118" s="292">
        <f>IF(L$8='5.Variables'!$B$10,+'5.Variables'!$C30,+IF(L$8='5.Variables'!$B$34,+'5.Variables'!$C54,+IF(L$8='5.Variables'!$B$58,+'5.Variables'!$C69,+IF(L$8='5.Variables'!$B$72,+'5.Variables'!$C83,+IF(L$8='5.Variables'!$B$86,+'5.Variables'!$C97,+IF(L$8='5.Variables'!$B$100,+'5.Variables'!$C111,0))))))</f>
        <v>0</v>
      </c>
      <c r="M118" s="143"/>
      <c r="N118" s="167">
        <f t="shared" si="11"/>
        <v>322564.92856927658</v>
      </c>
      <c r="O118" s="171"/>
      <c r="P118" s="143"/>
      <c r="Q118"/>
      <c r="R118"/>
      <c r="S118"/>
      <c r="T118"/>
      <c r="U118"/>
      <c r="V118"/>
      <c r="W118"/>
      <c r="X118"/>
      <c r="Y118"/>
      <c r="Z118" s="143"/>
      <c r="AA118" s="143"/>
      <c r="AB118" s="143"/>
      <c r="AC118" s="143"/>
      <c r="AD118" s="143"/>
      <c r="AE118" s="143"/>
      <c r="AF118" s="143"/>
      <c r="AG118" s="143"/>
      <c r="AH118" s="143"/>
      <c r="AI118" s="143"/>
    </row>
    <row r="119" spans="1:35" x14ac:dyDescent="0.3">
      <c r="A119" s="339">
        <f t="shared" si="12"/>
        <v>110</v>
      </c>
      <c r="B119" s="166" t="str">
        <f>CONCATENATE('3. Consumption by Rate Class'!B125,"-",'3. Consumption by Rate Class'!C125)</f>
        <v>2022-February</v>
      </c>
      <c r="C119" s="366">
        <f>'6. WS Regression Analysis'!E120/1.081</f>
        <v>187486.57724329326</v>
      </c>
      <c r="D119" s="367"/>
      <c r="E119" s="367" t="e">
        <f>+#REF!</f>
        <v>#REF!</v>
      </c>
      <c r="F119" s="167" t="e">
        <f t="shared" si="13"/>
        <v>#REF!</v>
      </c>
      <c r="G119" s="292">
        <f>IF(G$8='5.Variables'!$B$10,+'5.Variables'!$D30,+IF(G$8='5.Variables'!$B$34,+'5.Variables'!$D54,+IF(G$8='5.Variables'!$B$58,+'5.Variables'!$D69,+IF(G$8='5.Variables'!$B$72,+'5.Variables'!$D83,+IF(G$8='5.Variables'!$B$86,+'5.Variables'!$D97,+IF(G$8='5.Variables'!$B$100,+'5.Variables'!$D111,0))))))</f>
        <v>642.1</v>
      </c>
      <c r="H119" s="292">
        <f>IF(H$8='5.Variables'!$B$10,+'5.Variables'!$D30,+IF(H$8='5.Variables'!$B$34,+'5.Variables'!$D54,+IF(H$8='5.Variables'!$B$58,+'5.Variables'!$D69,+IF(H$8='5.Variables'!$B$72,+'5.Variables'!$D83,+IF(H$8='5.Variables'!$B$86,+'5.Variables'!$D97,+IF(H$8='5.Variables'!$B$100,+'5.Variables'!$D111,0))))))</f>
        <v>0</v>
      </c>
      <c r="I119" s="292">
        <f>IF(I$8='5.Variables'!$B$10,+'5.Variables'!$D30,+IF(I$8='5.Variables'!$B$34,+'5.Variables'!$D54,+IF(I$8='5.Variables'!$B$58,+'5.Variables'!$D69,+IF(I$8='5.Variables'!$B$72,+'5.Variables'!$D83,+IF(I$8='5.Variables'!$B$86,+'5.Variables'!$D97,+IF(I$8='5.Variables'!$B$100,+'5.Variables'!$D111,0))))))</f>
        <v>28</v>
      </c>
      <c r="J119" s="292">
        <f>IF(J$8='5.Variables'!$B$10,+'5.Variables'!$D30,+IF(J$8='5.Variables'!$B$34,+'5.Variables'!$D54,+IF(J$8='5.Variables'!$B$58,+'5.Variables'!$D69,+IF(J$8='5.Variables'!$B$72,+'5.Variables'!$D83,+IF(J$8='5.Variables'!$B$86,+'5.Variables'!$D97,+IF(J$8='5.Variables'!$B$100,+'5.Variables'!$D111,0))))))</f>
        <v>0</v>
      </c>
      <c r="K119" s="292">
        <f>IF(K$8='5.Variables'!$B$10,+'5.Variables'!$D30,+IF(K$8='5.Variables'!$B$34,+'5.Variables'!$D54,+IF(K$8='5.Variables'!$B$58,+'5.Variables'!$D69,+IF(K$8='5.Variables'!$B$72,+'5.Variables'!$D83,+IF(K$8='5.Variables'!$B$86,+'5.Variables'!$D97,+IF(K$8='5.Variables'!$B$100,+'5.Variables'!$D111,0))))))</f>
        <v>0</v>
      </c>
      <c r="L119" s="292">
        <f>IF(L$8='5.Variables'!$B$10,+'5.Variables'!$D30,+IF(L$8='5.Variables'!$B$34,+'5.Variables'!$D54,+IF(L$8='5.Variables'!$B$58,+'5.Variables'!$D69,+IF(L$8='5.Variables'!$B$72,+'5.Variables'!$D83,+IF(L$8='5.Variables'!$B$86,+'5.Variables'!$D97,+IF(L$8='5.Variables'!$B$100,+'5.Variables'!$D111,0))))))</f>
        <v>0</v>
      </c>
      <c r="M119" s="143"/>
      <c r="N119" s="167">
        <f t="shared" si="11"/>
        <v>295401.33600633492</v>
      </c>
      <c r="O119" s="171"/>
      <c r="P119" s="143"/>
      <c r="Q119"/>
      <c r="R119"/>
      <c r="S119"/>
      <c r="T119"/>
      <c r="U119"/>
      <c r="V119"/>
      <c r="W119"/>
      <c r="X119"/>
      <c r="Y119"/>
      <c r="Z119" s="143"/>
      <c r="AA119" s="143"/>
      <c r="AB119" s="143"/>
      <c r="AC119" s="143"/>
      <c r="AD119" s="143"/>
      <c r="AE119" s="143"/>
      <c r="AF119" s="143"/>
      <c r="AG119" s="143"/>
      <c r="AH119" s="143"/>
      <c r="AI119" s="143"/>
    </row>
    <row r="120" spans="1:35" x14ac:dyDescent="0.3">
      <c r="A120" s="339">
        <f t="shared" si="12"/>
        <v>111</v>
      </c>
      <c r="B120" s="166" t="str">
        <f>CONCATENATE('3. Consumption by Rate Class'!B126,"-",'3. Consumption by Rate Class'!C126)</f>
        <v>2022-March</v>
      </c>
      <c r="C120" s="366">
        <f>'6. WS Regression Analysis'!E121/1.081</f>
        <v>211446.48473635523</v>
      </c>
      <c r="D120" s="367"/>
      <c r="E120" s="367" t="e">
        <f>+#REF!</f>
        <v>#REF!</v>
      </c>
      <c r="F120" s="167" t="e">
        <f t="shared" si="13"/>
        <v>#REF!</v>
      </c>
      <c r="G120" s="292">
        <f>IF(G$8='5.Variables'!$B$10,+'5.Variables'!$E30,+IF(G$8='5.Variables'!$B$34,+'5.Variables'!$E54,+IF(G$8='5.Variables'!$B$58,+'5.Variables'!$E69,+IF(G$8='5.Variables'!$B$72,+'5.Variables'!$E83,+IF(G$8='5.Variables'!$B$86,+'5.Variables'!$E97,+IF(G$8='5.Variables'!$B$100,+'5.Variables'!$E111,0))))))</f>
        <v>539.9</v>
      </c>
      <c r="H120" s="292">
        <f>IF(H$8='5.Variables'!$B$10,+'5.Variables'!$E30,+IF(H$8='5.Variables'!$B$34,+'5.Variables'!$E54,+IF(H$8='5.Variables'!$B$58,+'5.Variables'!$E69,+IF(H$8='5.Variables'!$B$72,+'5.Variables'!$E83,+IF(H$8='5.Variables'!$B$86,+'5.Variables'!$E97,+IF(H$8='5.Variables'!$B$100,+'5.Variables'!$E111,0))))))</f>
        <v>0</v>
      </c>
      <c r="I120" s="292">
        <f>IF(I$8='5.Variables'!$B$10,+'5.Variables'!$E30,+IF(I$8='5.Variables'!$B$34,+'5.Variables'!$E54,+IF(I$8='5.Variables'!$B$58,+'5.Variables'!$E69,+IF(I$8='5.Variables'!$B$72,+'5.Variables'!$E83,+IF(I$8='5.Variables'!$B$86,+'5.Variables'!$E97,+IF(I$8='5.Variables'!$B$100,+'5.Variables'!$E111,0))))))</f>
        <v>31</v>
      </c>
      <c r="J120" s="292">
        <f>IF(J$8='5.Variables'!$B$10,+'5.Variables'!$E30,+IF(J$8='5.Variables'!$B$34,+'5.Variables'!$E54,+IF(J$8='5.Variables'!$B$58,+'5.Variables'!$E69,+IF(J$8='5.Variables'!$B$72,+'5.Variables'!$E83,+IF(J$8='5.Variables'!$B$86,+'5.Variables'!$E97,+IF(J$8='5.Variables'!$B$100,+'5.Variables'!$E111,0))))))</f>
        <v>1</v>
      </c>
      <c r="K120" s="292">
        <f>IF(K$8='5.Variables'!$B$10,+'5.Variables'!$E30,+IF(K$8='5.Variables'!$B$34,+'5.Variables'!$E54,+IF(K$8='5.Variables'!$B$58,+'5.Variables'!$E69,+IF(K$8='5.Variables'!$B$72,+'5.Variables'!$E83,+IF(K$8='5.Variables'!$B$86,+'5.Variables'!$E97,+IF(K$8='5.Variables'!$B$100,+'5.Variables'!$E111,0))))))</f>
        <v>0</v>
      </c>
      <c r="L120" s="292">
        <f>IF(L$8='5.Variables'!$B$10,+'5.Variables'!$E30,+IF(L$8='5.Variables'!$B$34,+'5.Variables'!$E54,+IF(L$8='5.Variables'!$B$58,+'5.Variables'!$E69,+IF(L$8='5.Variables'!$B$72,+'5.Variables'!$E83,+IF(L$8='5.Variables'!$B$86,+'5.Variables'!$E97,+IF(L$8='5.Variables'!$B$100,+'5.Variables'!$E111,0))))))</f>
        <v>0</v>
      </c>
      <c r="M120" s="143"/>
      <c r="N120" s="167">
        <f t="shared" si="11"/>
        <v>325425.18284634571</v>
      </c>
      <c r="O120" s="171"/>
      <c r="P120" s="143"/>
      <c r="Q120"/>
      <c r="R120"/>
      <c r="S120"/>
      <c r="T120"/>
      <c r="U120"/>
      <c r="V120"/>
      <c r="W120"/>
      <c r="X120"/>
      <c r="Y120"/>
      <c r="Z120" s="143"/>
      <c r="AA120" s="143"/>
      <c r="AB120" s="143"/>
      <c r="AC120" s="143"/>
      <c r="AD120" s="143"/>
      <c r="AE120" s="143"/>
      <c r="AF120" s="143"/>
      <c r="AG120" s="143"/>
      <c r="AH120" s="143"/>
      <c r="AI120" s="143"/>
    </row>
    <row r="121" spans="1:35" x14ac:dyDescent="0.3">
      <c r="A121" s="339">
        <f t="shared" si="12"/>
        <v>112</v>
      </c>
      <c r="B121" s="166" t="str">
        <f>CONCATENATE('3. Consumption by Rate Class'!B127,"-",'3. Consumption by Rate Class'!C127)</f>
        <v>2022-April</v>
      </c>
      <c r="C121" s="366">
        <f>'6. WS Regression Analysis'!E122/1.081</f>
        <v>196615.73543015725</v>
      </c>
      <c r="D121" s="367"/>
      <c r="E121" s="367" t="e">
        <f>+#REF!</f>
        <v>#REF!</v>
      </c>
      <c r="F121" s="167" t="e">
        <f t="shared" si="13"/>
        <v>#REF!</v>
      </c>
      <c r="G121" s="292">
        <f>IF(G$8='5.Variables'!$B$10,+'5.Variables'!$F30,+IF(G$8='5.Variables'!$B$34,+'5.Variables'!$F54,+IF(G$8='5.Variables'!$B$58,+'5.Variables'!$F69,+IF(G$8='5.Variables'!$B$72,+'5.Variables'!$F83,+IF(G$8='5.Variables'!$B$86,+'5.Variables'!$F97,+IF(G$8='5.Variables'!$B$100,+'5.Variables'!$F111,0))))))</f>
        <v>373.5</v>
      </c>
      <c r="H121" s="292">
        <f>IF(H$8='5.Variables'!$B$10,+'5.Variables'!$F30,+IF(H$8='5.Variables'!$B$34,+'5.Variables'!$F54,+IF(H$8='5.Variables'!$B$58,+'5.Variables'!$F69,+IF(H$8='5.Variables'!$B$72,+'5.Variables'!$F83,+IF(H$8='5.Variables'!$B$86,+'5.Variables'!$F97,+IF(H$8='5.Variables'!$B$100,+'5.Variables'!$F111,0))))))</f>
        <v>0</v>
      </c>
      <c r="I121" s="292">
        <f>IF(I$8='5.Variables'!$B$10,+'5.Variables'!$F30,+IF(I$8='5.Variables'!$B$34,+'5.Variables'!$F54,+IF(I$8='5.Variables'!$B$58,+'5.Variables'!$F69,+IF(I$8='5.Variables'!$B$72,+'5.Variables'!$F83,+IF(I$8='5.Variables'!$B$86,+'5.Variables'!$F97,+IF(I$8='5.Variables'!$B$100,+'5.Variables'!$F111,0))))))</f>
        <v>30</v>
      </c>
      <c r="J121" s="292">
        <f>IF(J$8='5.Variables'!$B$10,+'5.Variables'!$F30,+IF(J$8='5.Variables'!$B$34,+'5.Variables'!$F54,+IF(J$8='5.Variables'!$B$58,+'5.Variables'!$F69,+IF(J$8='5.Variables'!$B$72,+'5.Variables'!$F83,+IF(J$8='5.Variables'!$B$86,+'5.Variables'!$F97,+IF(J$8='5.Variables'!$B$100,+'5.Variables'!$F111,0))))))</f>
        <v>1</v>
      </c>
      <c r="K121" s="292">
        <f>IF(K$8='5.Variables'!$B$10,+'5.Variables'!$F30,+IF(K$8='5.Variables'!$B$34,+'5.Variables'!$F54,+IF(K$8='5.Variables'!$B$58,+'5.Variables'!$F69,+IF(K$8='5.Variables'!$B$72,+'5.Variables'!$F83,+IF(K$8='5.Variables'!$B$86,+'5.Variables'!$F97,+IF(K$8='5.Variables'!$B$100,+'5.Variables'!$F111,0))))))</f>
        <v>0</v>
      </c>
      <c r="L121" s="292">
        <f>IF(L$8='5.Variables'!$B$10,+'5.Variables'!$F30,+IF(L$8='5.Variables'!$B$34,+'5.Variables'!$F54,+IF(L$8='5.Variables'!$B$58,+'5.Variables'!$F69,+IF(L$8='5.Variables'!$B$72,+'5.Variables'!$F83,+IF(L$8='5.Variables'!$B$86,+'5.Variables'!$F97,+IF(L$8='5.Variables'!$B$100,+'5.Variables'!$F111,0))))))</f>
        <v>0</v>
      </c>
      <c r="M121" s="143"/>
      <c r="N121" s="167">
        <f t="shared" si="11"/>
        <v>321442.76132249832</v>
      </c>
      <c r="O121" s="171"/>
      <c r="P121" s="143"/>
      <c r="Q121"/>
      <c r="R121"/>
      <c r="S121"/>
      <c r="T121"/>
      <c r="U121"/>
      <c r="V121"/>
      <c r="W121"/>
      <c r="X121"/>
      <c r="Y121"/>
      <c r="Z121" s="143"/>
      <c r="AA121" s="143"/>
      <c r="AB121" s="143"/>
      <c r="AC121" s="143"/>
      <c r="AD121" s="143"/>
      <c r="AE121" s="143"/>
      <c r="AF121" s="143"/>
      <c r="AG121" s="143"/>
      <c r="AH121" s="143"/>
      <c r="AI121" s="143"/>
    </row>
    <row r="122" spans="1:35" x14ac:dyDescent="0.3">
      <c r="A122" s="339">
        <f t="shared" si="12"/>
        <v>113</v>
      </c>
      <c r="B122" s="166" t="str">
        <f>CONCATENATE('3. Consumption by Rate Class'!B128,"-",'3. Consumption by Rate Class'!C128)</f>
        <v>2022-May</v>
      </c>
      <c r="C122" s="366">
        <f>'6. WS Regression Analysis'!E123/1.081</f>
        <v>218544.15356151713</v>
      </c>
      <c r="D122" s="367"/>
      <c r="E122" s="367" t="e">
        <f>+#REF!</f>
        <v>#REF!</v>
      </c>
      <c r="F122" s="167" t="e">
        <f t="shared" si="13"/>
        <v>#REF!</v>
      </c>
      <c r="G122" s="292">
        <f>IF(G$8='5.Variables'!$B$10,+'5.Variables'!$G30,+IF(G$8='5.Variables'!$B$34,+'5.Variables'!$G54,+IF(G$8='5.Variables'!$B$58,+'5.Variables'!$G69,+IF(G$8='5.Variables'!$B$72,+'5.Variables'!$G83,+IF(G$8='5.Variables'!$B$86,+'5.Variables'!$G97,+IF(G$8='5.Variables'!$B$100,+'5.Variables'!$G111,0))))))</f>
        <v>144.1</v>
      </c>
      <c r="H122" s="292">
        <f>IF(H$8='5.Variables'!$B$10,+'5.Variables'!$G30,+IF(H$8='5.Variables'!$B$34,+'5.Variables'!$G54,+IF(H$8='5.Variables'!$B$58,+'5.Variables'!$G69,+IF(H$8='5.Variables'!$B$72,+'5.Variables'!$G83,+IF(H$8='5.Variables'!$B$86,+'5.Variables'!$G97,+IF(H$8='5.Variables'!$B$100,+'5.Variables'!$G111,0))))))</f>
        <v>29.9</v>
      </c>
      <c r="I122" s="292">
        <f>IF(I$8='5.Variables'!$B$10,+'5.Variables'!$G30,+IF(I$8='5.Variables'!$B$34,+'5.Variables'!$G54,+IF(I$8='5.Variables'!$B$58,+'5.Variables'!$G69,+IF(I$8='5.Variables'!$B$72,+'5.Variables'!$G83,+IF(I$8='5.Variables'!$B$86,+'5.Variables'!$G97,+IF(I$8='5.Variables'!$B$100,+'5.Variables'!$G111,0))))))</f>
        <v>31</v>
      </c>
      <c r="J122" s="292">
        <f>IF(J$8='5.Variables'!$B$10,+'5.Variables'!$G30,+IF(J$8='5.Variables'!$B$34,+'5.Variables'!$G54,+IF(J$8='5.Variables'!$B$58,+'5.Variables'!$G69,+IF(J$8='5.Variables'!$B$72,+'5.Variables'!$G83,+IF(J$8='5.Variables'!$B$86,+'5.Variables'!$G97,+IF(J$8='5.Variables'!$B$100,+'5.Variables'!$G111,0))))))</f>
        <v>1</v>
      </c>
      <c r="K122" s="292">
        <f>IF(K$8='5.Variables'!$B$10,+'5.Variables'!$G30,+IF(K$8='5.Variables'!$B$34,+'5.Variables'!$G54,+IF(K$8='5.Variables'!$B$58,+'5.Variables'!$G69,+IF(K$8='5.Variables'!$B$72,+'5.Variables'!$G83,+IF(K$8='5.Variables'!$B$86,+'5.Variables'!$G97,+IF(K$8='5.Variables'!$B$100,+'5.Variables'!$G111,0))))))</f>
        <v>0</v>
      </c>
      <c r="L122" s="292">
        <f>IF(L$8='5.Variables'!$B$10,+'5.Variables'!$G30,+IF(L$8='5.Variables'!$B$34,+'5.Variables'!$G54,+IF(L$8='5.Variables'!$B$58,+'5.Variables'!$G69,+IF(L$8='5.Variables'!$B$72,+'5.Variables'!$G83,+IF(L$8='5.Variables'!$B$86,+'5.Variables'!$G97,+IF(L$8='5.Variables'!$B$100,+'5.Variables'!$G111,0))))))</f>
        <v>0</v>
      </c>
      <c r="M122" s="143"/>
      <c r="N122" s="167">
        <f t="shared" si="11"/>
        <v>356044.7851978885</v>
      </c>
      <c r="O122" s="171"/>
      <c r="P122" s="143"/>
      <c r="Q122"/>
      <c r="R122"/>
      <c r="S122"/>
      <c r="T122"/>
      <c r="U122"/>
      <c r="V122"/>
      <c r="W122"/>
      <c r="X122"/>
      <c r="Y122"/>
      <c r="Z122" s="143"/>
      <c r="AA122" s="143"/>
      <c r="AB122" s="143"/>
      <c r="AC122" s="143"/>
      <c r="AD122" s="143"/>
      <c r="AE122" s="143"/>
      <c r="AF122" s="143"/>
      <c r="AG122" s="143"/>
      <c r="AH122" s="143"/>
      <c r="AI122" s="143"/>
    </row>
    <row r="123" spans="1:35" x14ac:dyDescent="0.3">
      <c r="A123" s="339">
        <f t="shared" si="12"/>
        <v>114</v>
      </c>
      <c r="B123" s="166" t="str">
        <f>CONCATENATE('3. Consumption by Rate Class'!B129,"-",'3. Consumption by Rate Class'!C129)</f>
        <v>2022-June</v>
      </c>
      <c r="C123" s="366">
        <f>'6. WS Regression Analysis'!E124/1.081</f>
        <v>223536.88251618872</v>
      </c>
      <c r="D123" s="367"/>
      <c r="E123" s="367" t="e">
        <f>+#REF!</f>
        <v>#REF!</v>
      </c>
      <c r="F123" s="167" t="e">
        <f t="shared" si="13"/>
        <v>#REF!</v>
      </c>
      <c r="G123" s="292">
        <f>IF(G$8='5.Variables'!$B$10,+'5.Variables'!$H30,+IF(G$8='5.Variables'!$B$34,+'5.Variables'!$H54,+IF(G$8='5.Variables'!$B$58,+'5.Variables'!$H69,+IF(G$8='5.Variables'!$B$72,+'5.Variables'!$H83,+IF(G$8='5.Variables'!$B$86,+'5.Variables'!$H97,+IF(G$8='5.Variables'!$B$100,+'5.Variables'!$H111,0))))))</f>
        <v>50.9</v>
      </c>
      <c r="H123" s="292">
        <f>IF(H$8='5.Variables'!$B$10,+'5.Variables'!$H30,+IF(H$8='5.Variables'!$B$34,+'5.Variables'!$H54,+IF(H$8='5.Variables'!$B$58,+'5.Variables'!$H69,+IF(H$8='5.Variables'!$B$72,+'5.Variables'!$H83,+IF(H$8='5.Variables'!$B$86,+'5.Variables'!$H97,+IF(H$8='5.Variables'!$B$100,+'5.Variables'!$H111,0))))))</f>
        <v>27.4</v>
      </c>
      <c r="I123" s="292">
        <f>IF(I$8='5.Variables'!$B$10,+'5.Variables'!$H30,+IF(I$8='5.Variables'!$B$34,+'5.Variables'!$H54,+IF(I$8='5.Variables'!$B$58,+'5.Variables'!$H69,+IF(I$8='5.Variables'!$B$72,+'5.Variables'!$H83,+IF(I$8='5.Variables'!$B$86,+'5.Variables'!$H97,+IF(I$8='5.Variables'!$B$100,+'5.Variables'!$H111,0))))))</f>
        <v>30</v>
      </c>
      <c r="J123" s="292">
        <f>IF(J$8='5.Variables'!$B$10,+'5.Variables'!$H30,+IF(J$8='5.Variables'!$B$34,+'5.Variables'!$H54,+IF(J$8='5.Variables'!$B$58,+'5.Variables'!$H69,+IF(J$8='5.Variables'!$B$72,+'5.Variables'!$H83,+IF(J$8='5.Variables'!$B$86,+'5.Variables'!$H97,+IF(J$8='5.Variables'!$B$100,+'5.Variables'!$H111,0))))))</f>
        <v>0</v>
      </c>
      <c r="K123" s="292">
        <f>IF(K$8='5.Variables'!$B$10,+'5.Variables'!$H30,+IF(K$8='5.Variables'!$B$34,+'5.Variables'!$H54,+IF(K$8='5.Variables'!$B$58,+'5.Variables'!$H69,+IF(K$8='5.Variables'!$B$72,+'5.Variables'!$H83,+IF(K$8='5.Variables'!$B$86,+'5.Variables'!$H97,+IF(K$8='5.Variables'!$B$100,+'5.Variables'!$H111,0))))))</f>
        <v>0</v>
      </c>
      <c r="L123" s="292">
        <f>IF(L$8='5.Variables'!$B$10,+'5.Variables'!$H30,+IF(L$8='5.Variables'!$B$34,+'5.Variables'!$H54,+IF(L$8='5.Variables'!$B$58,+'5.Variables'!$H69,+IF(L$8='5.Variables'!$B$72,+'5.Variables'!$H83,+IF(L$8='5.Variables'!$B$86,+'5.Variables'!$H97,+IF(L$8='5.Variables'!$B$100,+'5.Variables'!$H111,0))))))</f>
        <v>0</v>
      </c>
      <c r="M123" s="143"/>
      <c r="N123" s="167">
        <f t="shared" si="11"/>
        <v>358599.74128104828</v>
      </c>
      <c r="O123" s="171"/>
      <c r="P123" s="143"/>
      <c r="Q123"/>
      <c r="R123"/>
      <c r="S123"/>
      <c r="T123"/>
      <c r="U123"/>
      <c r="V123"/>
      <c r="W123"/>
      <c r="X123"/>
      <c r="Y123"/>
      <c r="Z123" s="143"/>
      <c r="AA123" s="143"/>
      <c r="AB123" s="143"/>
      <c r="AC123" s="143"/>
      <c r="AD123" s="143"/>
      <c r="AE123" s="143"/>
      <c r="AF123" s="143"/>
      <c r="AG123" s="143"/>
      <c r="AH123" s="143"/>
      <c r="AI123" s="143"/>
    </row>
    <row r="124" spans="1:35" x14ac:dyDescent="0.3">
      <c r="A124" s="339">
        <f t="shared" si="12"/>
        <v>115</v>
      </c>
      <c r="B124" s="166" t="str">
        <f>CONCATENATE('3. Consumption by Rate Class'!B130,"-",'3. Consumption by Rate Class'!C130)</f>
        <v>2022-July</v>
      </c>
      <c r="C124" s="366">
        <f>'6. WS Regression Analysis'!E125/1.081</f>
        <v>263744.56984273822</v>
      </c>
      <c r="D124" s="367"/>
      <c r="E124" s="367" t="e">
        <f>+#REF!</f>
        <v>#REF!</v>
      </c>
      <c r="F124" s="167" t="e">
        <f t="shared" si="13"/>
        <v>#REF!</v>
      </c>
      <c r="G124" s="292">
        <f>IF(G$8='5.Variables'!$B$10,+'5.Variables'!$I30,+IF(G$8='5.Variables'!$B$34,+'5.Variables'!$I54,+IF(G$8='5.Variables'!$B$58,+'5.Variables'!$I69,+IF(G$8='5.Variables'!$B$72,+'5.Variables'!$I83,+IF(G$8='5.Variables'!$B$86,+'5.Variables'!$I97,+IF(G$8='5.Variables'!$B$100,+'5.Variables'!$I111,0))))))</f>
        <v>10.5</v>
      </c>
      <c r="H124" s="292">
        <f>IF(H$8='5.Variables'!$B$10,+'5.Variables'!$I30,+IF(H$8='5.Variables'!$B$34,+'5.Variables'!$I54,+IF(H$8='5.Variables'!$B$58,+'5.Variables'!$I69,+IF(H$8='5.Variables'!$B$72,+'5.Variables'!$I83,+IF(H$8='5.Variables'!$B$86,+'5.Variables'!$I97,+IF(H$8='5.Variables'!$B$100,+'5.Variables'!$I111,0))))))</f>
        <v>74.599999999999994</v>
      </c>
      <c r="I124" s="292">
        <f>IF(I$8='5.Variables'!$B$10,+'5.Variables'!$I30,+IF(I$8='5.Variables'!$B$34,+'5.Variables'!$I54,+IF(I$8='5.Variables'!$B$58,+'5.Variables'!$I69,+IF(I$8='5.Variables'!$B$72,+'5.Variables'!$I83,+IF(I$8='5.Variables'!$B$86,+'5.Variables'!$I97,+IF(I$8='5.Variables'!$B$100,+'5.Variables'!$I111,0))))))</f>
        <v>31</v>
      </c>
      <c r="J124" s="292">
        <f>IF(J$8='5.Variables'!$B$10,+'5.Variables'!$I30,+IF(J$8='5.Variables'!$B$34,+'5.Variables'!$I54,+IF(J$8='5.Variables'!$B$58,+'5.Variables'!$I69,+IF(J$8='5.Variables'!$B$72,+'5.Variables'!$I83,+IF(J$8='5.Variables'!$B$86,+'5.Variables'!$I97,+IF(J$8='5.Variables'!$B$100,+'5.Variables'!$I111,0))))))</f>
        <v>0</v>
      </c>
      <c r="K124" s="292">
        <f>IF(K$8='5.Variables'!$B$10,+'5.Variables'!$I30,+IF(K$8='5.Variables'!$B$34,+'5.Variables'!$I54,+IF(K$8='5.Variables'!$B$58,+'5.Variables'!$I69,+IF(K$8='5.Variables'!$B$72,+'5.Variables'!$I83,+IF(K$8='5.Variables'!$B$86,+'5.Variables'!$I97,+IF(K$8='5.Variables'!$B$100,+'5.Variables'!$I111,0))))))</f>
        <v>0</v>
      </c>
      <c r="L124" s="292">
        <f>IF(L$8='5.Variables'!$B$10,+'5.Variables'!$I30,+IF(L$8='5.Variables'!$B$34,+'5.Variables'!$I54,+IF(L$8='5.Variables'!$B$58,+'5.Variables'!$I69,+IF(L$8='5.Variables'!$B$72,+'5.Variables'!$I83,+IF(L$8='5.Variables'!$B$86,+'5.Variables'!$I97,+IF(L$8='5.Variables'!$B$100,+'5.Variables'!$I111,0))))))</f>
        <v>0</v>
      </c>
      <c r="M124" s="143"/>
      <c r="N124" s="167">
        <f t="shared" si="11"/>
        <v>390680.9387310358</v>
      </c>
      <c r="O124" s="171"/>
      <c r="P124" s="143"/>
      <c r="Q124"/>
      <c r="R124"/>
      <c r="S124"/>
      <c r="T124"/>
      <c r="U124"/>
      <c r="V124"/>
      <c r="W124"/>
      <c r="X124"/>
      <c r="Y124"/>
      <c r="Z124" s="143"/>
      <c r="AA124" s="143"/>
      <c r="AB124" s="143"/>
      <c r="AC124" s="143"/>
      <c r="AD124" s="143"/>
      <c r="AE124" s="143"/>
      <c r="AF124" s="143"/>
      <c r="AG124" s="143"/>
      <c r="AH124" s="143"/>
      <c r="AI124" s="143"/>
    </row>
    <row r="125" spans="1:35" x14ac:dyDescent="0.3">
      <c r="A125" s="339">
        <f t="shared" si="12"/>
        <v>116</v>
      </c>
      <c r="B125" s="166" t="str">
        <f>CONCATENATE('3. Consumption by Rate Class'!B131,"-",'3. Consumption by Rate Class'!C131)</f>
        <v>2022-August</v>
      </c>
      <c r="C125" s="366">
        <f>'6. WS Regression Analysis'!E126/1.081</f>
        <v>270517.17853839038</v>
      </c>
      <c r="D125" s="367"/>
      <c r="E125" s="367" t="e">
        <f>+#REF!</f>
        <v>#REF!</v>
      </c>
      <c r="F125" s="167" t="e">
        <f t="shared" si="13"/>
        <v>#REF!</v>
      </c>
      <c r="G125" s="292">
        <f>IF(G$8='5.Variables'!$B$10,+'5.Variables'!$J30,+IF(G$8='5.Variables'!$B$34,+'5.Variables'!$J54,+IF(G$8='5.Variables'!$B$58,+'5.Variables'!$J69,+IF(G$8='5.Variables'!$B$72,+'5.Variables'!$J83,+IF(G$8='5.Variables'!$B$86,+'5.Variables'!$J97,+IF(G$8='5.Variables'!$B$100,+'5.Variables'!$J111,0))))))</f>
        <v>5.0999999999999996</v>
      </c>
      <c r="H125" s="292">
        <f>IF(H$8='5.Variables'!$B$10,+'5.Variables'!$J30,+IF(H$8='5.Variables'!$B$34,+'5.Variables'!$J54,+IF(H$8='5.Variables'!$B$58,+'5.Variables'!$J69,+IF(H$8='5.Variables'!$B$72,+'5.Variables'!$J83,+IF(H$8='5.Variables'!$B$86,+'5.Variables'!$J97,+IF(H$8='5.Variables'!$B$100,+'5.Variables'!$J111,0))))))</f>
        <v>86</v>
      </c>
      <c r="I125" s="292">
        <f>IF(I$8='5.Variables'!$B$10,+'5.Variables'!$J30,+IF(I$8='5.Variables'!$B$34,+'5.Variables'!$J54,+IF(I$8='5.Variables'!$B$58,+'5.Variables'!$J69,+IF(I$8='5.Variables'!$B$72,+'5.Variables'!$J83,+IF(I$8='5.Variables'!$B$86,+'5.Variables'!$J97,+IF(I$8='5.Variables'!$B$100,+'5.Variables'!$J111,0))))))</f>
        <v>31</v>
      </c>
      <c r="J125" s="292">
        <f>IF(J$8='5.Variables'!$B$10,+'5.Variables'!$J30,+IF(J$8='5.Variables'!$B$34,+'5.Variables'!$J54,+IF(J$8='5.Variables'!$B$58,+'5.Variables'!$J69,+IF(J$8='5.Variables'!$B$72,+'5.Variables'!$J83,+IF(J$8='5.Variables'!$B$86,+'5.Variables'!$J97,+IF(J$8='5.Variables'!$B$100,+'5.Variables'!$J111,0))))))</f>
        <v>0</v>
      </c>
      <c r="K125" s="292">
        <f>IF(K$8='5.Variables'!$B$10,+'5.Variables'!$J30,+IF(K$8='5.Variables'!$B$34,+'5.Variables'!$J54,+IF(K$8='5.Variables'!$B$58,+'5.Variables'!$J69,+IF(K$8='5.Variables'!$B$72,+'5.Variables'!$J83,+IF(K$8='5.Variables'!$B$86,+'5.Variables'!$J97,+IF(K$8='5.Variables'!$B$100,+'5.Variables'!$J111,0))))))</f>
        <v>0</v>
      </c>
      <c r="L125" s="292">
        <f>IF(L$8='5.Variables'!$B$10,+'5.Variables'!$J30,+IF(L$8='5.Variables'!$B$34,+'5.Variables'!$J54,+IF(L$8='5.Variables'!$B$58,+'5.Variables'!$J69,+IF(L$8='5.Variables'!$B$72,+'5.Variables'!$J83,+IF(L$8='5.Variables'!$B$86,+'5.Variables'!$J97,+IF(L$8='5.Variables'!$B$100,+'5.Variables'!$J111,0))))))</f>
        <v>0</v>
      </c>
      <c r="M125" s="143"/>
      <c r="N125" s="167">
        <f t="shared" si="11"/>
        <v>395310.81412207446</v>
      </c>
      <c r="O125" s="171"/>
      <c r="P125" s="143"/>
      <c r="Q125"/>
      <c r="R125"/>
      <c r="S125"/>
      <c r="T125"/>
      <c r="U125"/>
      <c r="V125"/>
      <c r="W125"/>
      <c r="X125"/>
      <c r="Y125"/>
      <c r="Z125" s="143"/>
      <c r="AA125" s="143"/>
      <c r="AB125" s="143"/>
      <c r="AC125" s="143"/>
      <c r="AD125" s="143"/>
      <c r="AE125" s="143"/>
      <c r="AF125" s="143"/>
      <c r="AG125" s="143"/>
      <c r="AH125" s="143"/>
      <c r="AI125" s="143"/>
    </row>
    <row r="126" spans="1:35" x14ac:dyDescent="0.3">
      <c r="A126" s="339">
        <f t="shared" si="12"/>
        <v>117</v>
      </c>
      <c r="B126" s="166" t="str">
        <f>CONCATENATE('3. Consumption by Rate Class'!B132,"-",'3. Consumption by Rate Class'!C132)</f>
        <v>2022-September</v>
      </c>
      <c r="C126" s="366">
        <f>'6. WS Regression Analysis'!E127/1.081</f>
        <v>232543.33950046255</v>
      </c>
      <c r="D126" s="367"/>
      <c r="E126" s="367" t="e">
        <f>+#REF!</f>
        <v>#REF!</v>
      </c>
      <c r="F126" s="167" t="e">
        <f t="shared" si="13"/>
        <v>#REF!</v>
      </c>
      <c r="G126" s="292">
        <f>IF(G$8='5.Variables'!$B$10,+'5.Variables'!$K30,+IF(G$8='5.Variables'!$B$34,+'5.Variables'!$K54,+IF(G$8='5.Variables'!$B$58,+'5.Variables'!$K69,+IF(G$8='5.Variables'!$B$72,+'5.Variables'!$K83,+IF(G$8='5.Variables'!$B$86,+'5.Variables'!$K97,+IF(G$8='5.Variables'!$B$100,+'5.Variables'!$K111,0))))))</f>
        <v>67.599999999999994</v>
      </c>
      <c r="H126" s="292">
        <f>IF(H$8='5.Variables'!$B$10,+'5.Variables'!$K30,+IF(H$8='5.Variables'!$B$34,+'5.Variables'!$K54,+IF(H$8='5.Variables'!$B$58,+'5.Variables'!$K69,+IF(H$8='5.Variables'!$B$72,+'5.Variables'!$K83,+IF(H$8='5.Variables'!$B$86,+'5.Variables'!$K97,+IF(H$8='5.Variables'!$B$100,+'5.Variables'!$K111,0))))))</f>
        <v>37.9</v>
      </c>
      <c r="I126" s="292">
        <f>IF(I$8='5.Variables'!$B$10,+'5.Variables'!$K30,+IF(I$8='5.Variables'!$B$34,+'5.Variables'!$K54,+IF(I$8='5.Variables'!$B$58,+'5.Variables'!$K69,+IF(I$8='5.Variables'!$B$72,+'5.Variables'!$K83,+IF(I$8='5.Variables'!$B$86,+'5.Variables'!$K97,+IF(I$8='5.Variables'!$B$100,+'5.Variables'!$K111,0))))))</f>
        <v>30</v>
      </c>
      <c r="J126" s="292">
        <f>IF(J$8='5.Variables'!$B$10,+'5.Variables'!$K30,+IF(J$8='5.Variables'!$B$34,+'5.Variables'!$K54,+IF(J$8='5.Variables'!$B$58,+'5.Variables'!$K69,+IF(J$8='5.Variables'!$B$72,+'5.Variables'!$K83,+IF(J$8='5.Variables'!$B$86,+'5.Variables'!$K97,+IF(J$8='5.Variables'!$B$100,+'5.Variables'!$K111,0))))))</f>
        <v>1</v>
      </c>
      <c r="K126" s="292">
        <f>IF(K$8='5.Variables'!$B$10,+'5.Variables'!$K30,+IF(K$8='5.Variables'!$B$34,+'5.Variables'!$K54,+IF(K$8='5.Variables'!$B$58,+'5.Variables'!$K69,+IF(K$8='5.Variables'!$B$72,+'5.Variables'!$K83,+IF(K$8='5.Variables'!$B$86,+'5.Variables'!$K97,+IF(K$8='5.Variables'!$B$100,+'5.Variables'!$K111,0))))))</f>
        <v>0</v>
      </c>
      <c r="L126" s="292">
        <f>IF(L$8='5.Variables'!$B$10,+'5.Variables'!$K30,+IF(L$8='5.Variables'!$B$34,+'5.Variables'!$K54,+IF(L$8='5.Variables'!$B$58,+'5.Variables'!$K69,+IF(L$8='5.Variables'!$B$72,+'5.Variables'!$K83,+IF(L$8='5.Variables'!$B$86,+'5.Variables'!$K97,+IF(L$8='5.Variables'!$B$100,+'5.Variables'!$K111,0))))))</f>
        <v>0</v>
      </c>
      <c r="M126" s="143"/>
      <c r="N126" s="167">
        <f t="shared" si="11"/>
        <v>350775.57415255735</v>
      </c>
      <c r="O126" s="171"/>
      <c r="P126" s="143"/>
      <c r="Q126"/>
      <c r="R126"/>
      <c r="S126"/>
      <c r="T126"/>
      <c r="U126"/>
      <c r="V126"/>
      <c r="W126"/>
      <c r="X126"/>
      <c r="Y126"/>
      <c r="Z126" s="143"/>
      <c r="AA126" s="143"/>
      <c r="AB126" s="143"/>
      <c r="AC126" s="143"/>
      <c r="AD126" s="143"/>
      <c r="AE126" s="143"/>
      <c r="AF126" s="143"/>
      <c r="AG126" s="143"/>
      <c r="AH126" s="143"/>
      <c r="AI126" s="143"/>
    </row>
    <row r="127" spans="1:35" x14ac:dyDescent="0.3">
      <c r="A127" s="339">
        <f t="shared" si="12"/>
        <v>118</v>
      </c>
      <c r="B127" s="166" t="str">
        <f>CONCATENATE('3. Consumption by Rate Class'!B133,"-",'3. Consumption by Rate Class'!C133)</f>
        <v>2022-October</v>
      </c>
      <c r="C127" s="366">
        <f>'6. WS Regression Analysis'!E128/1.081</f>
        <v>208803.6355226642</v>
      </c>
      <c r="D127" s="367"/>
      <c r="E127" s="367" t="e">
        <f>+#REF!</f>
        <v>#REF!</v>
      </c>
      <c r="F127" s="167" t="e">
        <f t="shared" si="13"/>
        <v>#REF!</v>
      </c>
      <c r="G127" s="292">
        <f>IF(G$8='5.Variables'!$B$10,+'5.Variables'!$L30,+IF(G$8='5.Variables'!$B$34,+'5.Variables'!$L54,+IF(G$8='5.Variables'!$B$58,+'5.Variables'!$L69,+IF(G$8='5.Variables'!$B$72,+'5.Variables'!$L83,+IF(G$8='5.Variables'!$B$86,+'5.Variables'!$L97,+IF(G$8='5.Variables'!$B$100,+'5.Variables'!$L111,0))))))</f>
        <v>237.9</v>
      </c>
      <c r="H127" s="292">
        <f>IF(H$8='5.Variables'!$B$10,+'5.Variables'!$L30,+IF(H$8='5.Variables'!$B$34,+'5.Variables'!$L54,+IF(H$8='5.Variables'!$B$58,+'5.Variables'!$L69,+IF(H$8='5.Variables'!$B$72,+'5.Variables'!$L83,+IF(H$8='5.Variables'!$B$86,+'5.Variables'!$L97,+IF(H$8='5.Variables'!$B$100,+'5.Variables'!$L111,0))))))</f>
        <v>1.4</v>
      </c>
      <c r="I127" s="292">
        <f>IF(I$8='5.Variables'!$B$10,+'5.Variables'!$L30,+IF(I$8='5.Variables'!$B$34,+'5.Variables'!$L54,+IF(I$8='5.Variables'!$B$58,+'5.Variables'!$L69,+IF(I$8='5.Variables'!$B$72,+'5.Variables'!$L83,+IF(I$8='5.Variables'!$B$86,+'5.Variables'!$L97,+IF(I$8='5.Variables'!$B$100,+'5.Variables'!$L111,0))))))</f>
        <v>31</v>
      </c>
      <c r="J127" s="292">
        <f>IF(J$8='5.Variables'!$B$10,+'5.Variables'!$L30,+IF(J$8='5.Variables'!$B$34,+'5.Variables'!$L54,+IF(J$8='5.Variables'!$B$58,+'5.Variables'!$L69,+IF(J$8='5.Variables'!$B$72,+'5.Variables'!$L83,+IF(J$8='5.Variables'!$B$86,+'5.Variables'!$L97,+IF(J$8='5.Variables'!$B$100,+'5.Variables'!$L111,0))))))</f>
        <v>1</v>
      </c>
      <c r="K127" s="292">
        <f>IF(K$8='5.Variables'!$B$10,+'5.Variables'!$L30,+IF(K$8='5.Variables'!$B$34,+'5.Variables'!$L54,+IF(K$8='5.Variables'!$B$58,+'5.Variables'!$L69,+IF(K$8='5.Variables'!$B$72,+'5.Variables'!$L83,+IF(K$8='5.Variables'!$B$86,+'5.Variables'!$L97,+IF(K$8='5.Variables'!$B$100,+'5.Variables'!$L111,0))))))</f>
        <v>0</v>
      </c>
      <c r="L127" s="292">
        <f>IF(L$8='5.Variables'!$B$10,+'5.Variables'!$L30,+IF(L$8='5.Variables'!$B$34,+'5.Variables'!$L54,+IF(L$8='5.Variables'!$B$58,+'5.Variables'!$L69,+IF(L$8='5.Variables'!$B$72,+'5.Variables'!$L83,+IF(L$8='5.Variables'!$B$86,+'5.Variables'!$L97,+IF(L$8='5.Variables'!$B$100,+'5.Variables'!$L111,0))))))</f>
        <v>0</v>
      </c>
      <c r="M127" s="143"/>
      <c r="N127" s="167">
        <f t="shared" si="11"/>
        <v>340582.50162735721</v>
      </c>
      <c r="O127" s="171"/>
      <c r="P127" s="143"/>
      <c r="Q127"/>
      <c r="R127"/>
      <c r="S127"/>
      <c r="T127"/>
      <c r="U127"/>
      <c r="V127"/>
      <c r="W127"/>
      <c r="X127"/>
      <c r="Y127"/>
      <c r="Z127" s="143"/>
      <c r="AA127" s="143"/>
      <c r="AB127" s="143"/>
      <c r="AC127" s="143"/>
      <c r="AD127" s="143"/>
      <c r="AE127" s="143"/>
      <c r="AF127" s="143"/>
      <c r="AG127" s="143"/>
      <c r="AH127" s="143"/>
      <c r="AI127" s="143"/>
    </row>
    <row r="128" spans="1:35" x14ac:dyDescent="0.3">
      <c r="A128" s="339">
        <f t="shared" si="12"/>
        <v>119</v>
      </c>
      <c r="B128" s="166" t="str">
        <f>CONCATENATE('3. Consumption by Rate Class'!B134,"-",'3. Consumption by Rate Class'!C134)</f>
        <v>2022-November</v>
      </c>
      <c r="C128" s="366">
        <f>'6. WS Regression Analysis'!E129/1.081</f>
        <v>197938.38112858468</v>
      </c>
      <c r="D128" s="367"/>
      <c r="E128" s="367" t="e">
        <f>+#REF!</f>
        <v>#REF!</v>
      </c>
      <c r="F128" s="167" t="e">
        <f t="shared" si="13"/>
        <v>#REF!</v>
      </c>
      <c r="G128" s="292">
        <f>IF(G$8='5.Variables'!$B$10,+'5.Variables'!$M30,+IF(G$8='5.Variables'!$B$34,+'5.Variables'!$M54,+IF(G$8='5.Variables'!$B$58,+'5.Variables'!$M69,+IF(G$8='5.Variables'!$B$72,+'5.Variables'!$M83,+IF(G$8='5.Variables'!$B$86,+'5.Variables'!$M97,+IF(G$8='5.Variables'!$B$100,+'5.Variables'!$M111,0))))))</f>
        <v>365</v>
      </c>
      <c r="H128" s="292">
        <f>IF(H$8='5.Variables'!$B$10,+'5.Variables'!$M30,+IF(H$8='5.Variables'!$B$34,+'5.Variables'!$M54,+IF(H$8='5.Variables'!$B$58,+'5.Variables'!$M69,+IF(H$8='5.Variables'!$B$72,+'5.Variables'!$M83,+IF(H$8='5.Variables'!$B$86,+'5.Variables'!$M97,+IF(H$8='5.Variables'!$B$100,+'5.Variables'!$M111,0))))))</f>
        <v>5.0999999999999996</v>
      </c>
      <c r="I128" s="292">
        <f>IF(I$8='5.Variables'!$B$10,+'5.Variables'!$M30,+IF(I$8='5.Variables'!$B$34,+'5.Variables'!$M54,+IF(I$8='5.Variables'!$B$58,+'5.Variables'!$M69,+IF(I$8='5.Variables'!$B$72,+'5.Variables'!$M83,+IF(I$8='5.Variables'!$B$86,+'5.Variables'!$M97,+IF(I$8='5.Variables'!$B$100,+'5.Variables'!$M111,0))))))</f>
        <v>30</v>
      </c>
      <c r="J128" s="292">
        <f>IF(J$8='5.Variables'!$B$10,+'5.Variables'!$M30,+IF(J$8='5.Variables'!$B$34,+'5.Variables'!$M54,+IF(J$8='5.Variables'!$B$58,+'5.Variables'!$M69,+IF(J$8='5.Variables'!$B$72,+'5.Variables'!$M83,+IF(J$8='5.Variables'!$B$86,+'5.Variables'!$M97,+IF(J$8='5.Variables'!$B$100,+'5.Variables'!$M111,0))))))</f>
        <v>1</v>
      </c>
      <c r="K128" s="292">
        <f>IF(K$8='5.Variables'!$B$10,+'5.Variables'!$M30,+IF(K$8='5.Variables'!$B$34,+'5.Variables'!$M54,+IF(K$8='5.Variables'!$B$58,+'5.Variables'!$M69,+IF(K$8='5.Variables'!$B$72,+'5.Variables'!$M83,+IF(K$8='5.Variables'!$B$86,+'5.Variables'!$M97,+IF(K$8='5.Variables'!$B$100,+'5.Variables'!$M111,0))))))</f>
        <v>0</v>
      </c>
      <c r="L128" s="292">
        <f>IF(L$8='5.Variables'!$B$10,+'5.Variables'!$M30,+IF(L$8='5.Variables'!$B$34,+'5.Variables'!$M54,+IF(L$8='5.Variables'!$B$58,+'5.Variables'!$M69,+IF(L$8='5.Variables'!$B$72,+'5.Variables'!$M83,+IF(L$8='5.Variables'!$B$86,+'5.Variables'!$M97,+IF(L$8='5.Variables'!$B$100,+'5.Variables'!$M111,0))))))</f>
        <v>0</v>
      </c>
      <c r="M128" s="143"/>
      <c r="N128" s="167">
        <f t="shared" si="11"/>
        <v>323808.57861351006</v>
      </c>
      <c r="O128" s="171"/>
      <c r="P128" s="143"/>
      <c r="Q128"/>
      <c r="R128"/>
      <c r="S128"/>
      <c r="T128"/>
      <c r="U128"/>
      <c r="V128"/>
      <c r="W128"/>
      <c r="X128"/>
      <c r="Y128"/>
      <c r="Z128" s="143"/>
      <c r="AA128" s="143"/>
      <c r="AB128" s="143"/>
      <c r="AC128" s="143"/>
      <c r="AD128" s="143"/>
      <c r="AE128" s="143"/>
      <c r="AF128" s="143"/>
      <c r="AG128" s="143"/>
      <c r="AH128" s="143"/>
      <c r="AI128" s="143"/>
    </row>
    <row r="129" spans="1:35" x14ac:dyDescent="0.3">
      <c r="A129" s="339">
        <f t="shared" si="12"/>
        <v>120</v>
      </c>
      <c r="B129" s="166" t="str">
        <f>CONCATENATE('3. Consumption by Rate Class'!B135,"-",'3. Consumption by Rate Class'!C135)</f>
        <v>2022-December</v>
      </c>
      <c r="C129" s="366">
        <f>'6. WS Regression Analysis'!E130/1.081</f>
        <v>194237.6965772433</v>
      </c>
      <c r="D129" s="367"/>
      <c r="E129" s="367" t="e">
        <f>+#REF!</f>
        <v>#REF!</v>
      </c>
      <c r="F129" s="167" t="e">
        <f t="shared" si="13"/>
        <v>#REF!</v>
      </c>
      <c r="G129" s="292">
        <f>IF(G$8='5.Variables'!$B$10,+'5.Variables'!$N30,+IF(G$8='5.Variables'!$B$34,+'5.Variables'!$N54,+IF(G$8='5.Variables'!$B$58,+'5.Variables'!$N69,+IF(G$8='5.Variables'!$B$72,+'5.Variables'!$N83,+IF(G$8='5.Variables'!$B$86,+'5.Variables'!$N97,+IF(G$8='5.Variables'!$B$100,+'5.Variables'!$N111,0))))))</f>
        <v>554.6</v>
      </c>
      <c r="H129" s="292">
        <f>IF(H$8='5.Variables'!$B$10,+'5.Variables'!$N30,+IF(H$8='5.Variables'!$B$34,+'5.Variables'!$N54,+IF(H$8='5.Variables'!$B$58,+'5.Variables'!$N69,+IF(H$8='5.Variables'!$B$72,+'5.Variables'!$N83,+IF(H$8='5.Variables'!$B$86,+'5.Variables'!$N97,+IF(H$8='5.Variables'!$B$100,+'5.Variables'!$N111,0))))))</f>
        <v>0</v>
      </c>
      <c r="I129" s="292">
        <f>IF(I$8='5.Variables'!$B$10,+'5.Variables'!$N30,+IF(I$8='5.Variables'!$B$34,+'5.Variables'!$N54,+IF(I$8='5.Variables'!$B$58,+'5.Variables'!$N69,+IF(I$8='5.Variables'!$B$72,+'5.Variables'!$N83,+IF(I$8='5.Variables'!$B$86,+'5.Variables'!$N97,+IF(I$8='5.Variables'!$B$100,+'5.Variables'!$N111,0))))))</f>
        <v>31</v>
      </c>
      <c r="J129" s="292">
        <f>IF(J$8='5.Variables'!$B$10,+'5.Variables'!$N30,+IF(J$8='5.Variables'!$B$34,+'5.Variables'!$N54,+IF(J$8='5.Variables'!$B$58,+'5.Variables'!$N69,+IF(J$8='5.Variables'!$B$72,+'5.Variables'!$N83,+IF(J$8='5.Variables'!$B$86,+'5.Variables'!$N97,+IF(J$8='5.Variables'!$B$100,+'5.Variables'!$N111,0))))))</f>
        <v>0</v>
      </c>
      <c r="K129" s="292">
        <f>IF(K$8='5.Variables'!$B$10,+'5.Variables'!$N30,+IF(K$8='5.Variables'!$B$34,+'5.Variables'!$N54,+IF(K$8='5.Variables'!$B$58,+'5.Variables'!$N69,+IF(K$8='5.Variables'!$B$72,+'5.Variables'!$N83,+IF(K$8='5.Variables'!$B$86,+'5.Variables'!$N97,+IF(K$8='5.Variables'!$B$100,+'5.Variables'!$N111,0))))))</f>
        <v>0</v>
      </c>
      <c r="L129" s="292">
        <f>IF(L$8='5.Variables'!$B$10,+'5.Variables'!$N30,+IF(L$8='5.Variables'!$B$34,+'5.Variables'!$N54,+IF(L$8='5.Variables'!$B$58,+'5.Variables'!$N69,+IF(L$8='5.Variables'!$B$72,+'5.Variables'!$N83,+IF(L$8='5.Variables'!$B$86,+'5.Variables'!$N97,+IF(L$8='5.Variables'!$B$100,+'5.Variables'!$N111,0))))))</f>
        <v>0</v>
      </c>
      <c r="M129" s="143"/>
      <c r="N129" s="167">
        <f t="shared" si="11"/>
        <v>335752.73558441247</v>
      </c>
      <c r="O129" s="171">
        <f>SUM(N118:N129)</f>
        <v>4116389.8780543394</v>
      </c>
      <c r="P129" s="143"/>
      <c r="Q129"/>
      <c r="R129"/>
      <c r="S129"/>
      <c r="T129"/>
      <c r="U129"/>
      <c r="V129"/>
      <c r="W129"/>
      <c r="X129"/>
      <c r="Y129"/>
      <c r="Z129" s="143"/>
      <c r="AA129" s="143"/>
      <c r="AB129" s="143"/>
      <c r="AC129" s="143"/>
      <c r="AD129" s="143"/>
      <c r="AE129" s="143"/>
      <c r="AF129" s="143"/>
      <c r="AG129" s="143"/>
      <c r="AH129" s="143"/>
      <c r="AI129" s="143"/>
    </row>
    <row r="130" spans="1:35" x14ac:dyDescent="0.3">
      <c r="A130" s="339">
        <f t="shared" si="12"/>
        <v>121</v>
      </c>
      <c r="B130" s="166" t="str">
        <f>CONCATENATE('3. Consumption by Rate Class'!B136,"-",'3. Consumption by Rate Class'!C136)</f>
        <v>2023-January</v>
      </c>
      <c r="C130" s="179"/>
      <c r="D130" s="179"/>
      <c r="E130" s="179"/>
      <c r="F130" s="144"/>
      <c r="G130" s="341">
        <f>IF(G$9=$B$159,+AVERAGE(G10,G22,G34,G46,G58,G70,G82,G94,G106,G118),+IF(G$9=$B$160,+(EXP((LN(+'4. Customer Growth'!$Y$34)/12))*$G129),IF($G$9=$B$161,+$A130*$C$166+#REF!,0)))</f>
        <v>704.45999999999992</v>
      </c>
      <c r="H130" s="341">
        <f>IF(H$9=$B$159,+AVERAGE(H10,H22,H34,H46,H58,H70,H82,H94,H106,H118),+IF(H$9=$B$160,+(EXP((LN(+'4. Customer Growth'!$Y$34)/12))*$G129),IF($H$9=$B$161,+$A130*$C$167+#REF!,0)))</f>
        <v>0</v>
      </c>
      <c r="I130" s="341">
        <f>IF(I$9=$B$159,+AVERAGE(I10,I22,I34,I46,I58,I70,I82,I94,I106,I118),+IF(I$9=$B$160,+(EXP((LN(+'4. Customer Growth'!$Y$34)/12))*$G129),IF($H$9=$B$161,+$A130*$C$167+#REF!,0)))</f>
        <v>31</v>
      </c>
      <c r="J130" s="341">
        <f>IF(J$9=$B$159,+AVERAGE(J10,J22,J34,J46,J58,J70,J82,J94,J106,J118),+IF(J$9=$B$160,+(EXP((LN(+'4. Customer Growth'!$Y$34)/12))*$G129),IF($J$9=$B$161,+$A130*$C$169+#REF!,0)))</f>
        <v>0</v>
      </c>
      <c r="K130" s="341">
        <f>IF(K$9=$B$159,+AVERAGE(K10,K22,K34,K46,K58,K70,K82,K94,K106,K118),+IF(K$9=$B$160,+(EXP((LN(+'4. Customer Growth'!$Y$34)/12))*$K129),IF($K$9=$B$161,+$A130*$C$170+#REF!,0)))</f>
        <v>0</v>
      </c>
      <c r="L130" s="341">
        <f>IF(L$9=$B$159,+AVERAGE(L10,L22,L34,L46,L58,L70,L82,L94,L106,L118),+IF(L$9=$B$160,+(EXP((LN(+'4. Customer Growth'!$Y$34)/12))*$L129),IF($L$9=$B$161,+$A130*$C$171+#REF!,0)))</f>
        <v>0</v>
      </c>
      <c r="M130" s="143"/>
      <c r="N130" s="167">
        <f t="shared" si="11"/>
        <v>328497.50519054953</v>
      </c>
      <c r="O130" s="171"/>
      <c r="P130" s="143"/>
      <c r="Q130"/>
      <c r="R130"/>
      <c r="S130"/>
      <c r="T130"/>
      <c r="U130"/>
      <c r="V130"/>
      <c r="W130"/>
      <c r="X130"/>
      <c r="Y130"/>
      <c r="Z130" s="143"/>
      <c r="AA130" s="143"/>
      <c r="AB130" s="143"/>
      <c r="AC130" s="143"/>
      <c r="AD130" s="143"/>
      <c r="AE130" s="143"/>
      <c r="AF130" s="143"/>
      <c r="AG130" s="143"/>
      <c r="AH130" s="143"/>
      <c r="AI130" s="143"/>
    </row>
    <row r="131" spans="1:35" x14ac:dyDescent="0.3">
      <c r="A131" s="339">
        <f t="shared" si="12"/>
        <v>122</v>
      </c>
      <c r="B131" s="166" t="str">
        <f>CONCATENATE('3. Consumption by Rate Class'!B137,"-",'3. Consumption by Rate Class'!C137)</f>
        <v>2023-February</v>
      </c>
      <c r="C131" s="179"/>
      <c r="D131" s="179"/>
      <c r="E131" s="179"/>
      <c r="F131" s="144"/>
      <c r="G131" s="341">
        <f>IF(G$9=$B$159,+AVERAGE(G11,G23,G35,G47,G59,G71,G83,G95,G107,G119),+IF(G$9=$B$160,+(EXP((LN(+'4. Customer Growth'!$Y$34)/12))*$G130),IF($G$9=$B$161,+$A131*$C$166+#REF!,0)))</f>
        <v>647.65000000000009</v>
      </c>
      <c r="H131" s="341">
        <f>IF(H$9=$B$159,+AVERAGE(H11,H23,H35,H47,H59,H71,H83,H95,H107,H119),+IF(H$9=$B$160,+(EXP((LN(+'4. Customer Growth'!$Y$34)/12))*$G130),IF($H$9=$B$161,+$A131*$C$167+#REF!,0)))</f>
        <v>0</v>
      </c>
      <c r="I131" s="341">
        <f>IF(I$9=$B$159,+AVERAGE(I11,I23,I35,I47,I59,I71,I83,I95,I107,I119),+IF(I$9=$B$160,+(EXP((LN(+'4. Customer Growth'!$Y$34)/12))*$G130),IF($H$9=$B$161,+$A131*$C$167+#REF!,0)))</f>
        <v>28.2</v>
      </c>
      <c r="J131" s="341">
        <f>IF(J$9=$B$159,+AVERAGE(J11,J23,J35,J47,J59,J71,J83,J95,J107,J119),+IF(J$9=$B$160,+(EXP((LN(+'4. Customer Growth'!$Y$34)/12))*$G130),IF($J$9=$B$161,+$A131*$C$169+#REF!,0)))</f>
        <v>0</v>
      </c>
      <c r="K131" s="341">
        <f>IF(K$9=$B$159,+AVERAGE(K11,K23,K35,K47,K59,K71,K83,K95,K107,K119),+IF(K$9=$B$160,+(EXP((LN(+'4. Customer Growth'!$Y$34)/12))*$K130),IF($K$9=$B$161,+$A131*$C$170+#REF!,0)))</f>
        <v>0</v>
      </c>
      <c r="L131" s="341">
        <f>IF(L$9=$B$159,+AVERAGE(L11,L23,L35,L47,L59,L71,L83,L95,L107,L119),+IF(L$9=$B$160,+(EXP((LN(+'4. Customer Growth'!$Y$34)/12))*$L130),IF($L$9=$B$161,+$A131*$C$171+#REF!,0)))</f>
        <v>0</v>
      </c>
      <c r="M131" s="143"/>
      <c r="N131" s="167">
        <f t="shared" si="11"/>
        <v>297540.32357296097</v>
      </c>
      <c r="O131" s="171"/>
      <c r="P131" s="143"/>
      <c r="Q131"/>
      <c r="R131"/>
      <c r="S131"/>
      <c r="T131"/>
      <c r="U131"/>
      <c r="V131"/>
      <c r="W131"/>
      <c r="X131"/>
      <c r="Y131"/>
      <c r="Z131" s="143"/>
      <c r="AA131" s="143"/>
      <c r="AB131" s="143"/>
      <c r="AC131" s="143"/>
      <c r="AD131" s="143"/>
      <c r="AE131" s="143"/>
      <c r="AF131" s="143"/>
      <c r="AG131" s="143"/>
      <c r="AH131" s="143"/>
      <c r="AI131" s="143"/>
    </row>
    <row r="132" spans="1:35" x14ac:dyDescent="0.3">
      <c r="A132" s="339">
        <f t="shared" si="12"/>
        <v>123</v>
      </c>
      <c r="B132" s="166" t="str">
        <f>CONCATENATE('3. Consumption by Rate Class'!B138,"-",'3. Consumption by Rate Class'!C138)</f>
        <v>2023-March</v>
      </c>
      <c r="C132" s="180"/>
      <c r="D132" s="179"/>
      <c r="E132" s="179"/>
      <c r="F132" s="144"/>
      <c r="G132" s="341">
        <f>IF(G$9=$B$159,+AVERAGE(G12,G24,G36,G48,G60,G72,G84,G96,G108,G120),+IF(G$9=$B$160,+(EXP((LN(+'4. Customer Growth'!$Y$34)/12))*$G131),IF($G$9=$B$161,+$A132*$C$166+#REF!,0)))</f>
        <v>568.7299999999999</v>
      </c>
      <c r="H132" s="341">
        <f>IF(H$9=$B$159,+AVERAGE(H12,H24,H36,H48,H60,H72,H84,H96,H108,H120),+IF(H$9=$B$160,+(EXP((LN(+'4. Customer Growth'!$Y$34)/12))*$G131),IF($H$9=$B$161,+$A132*$C$167+#REF!,0)))</f>
        <v>0</v>
      </c>
      <c r="I132" s="341">
        <f>IF(I$9=$B$159,+AVERAGE(I12,I24,I36,I48,I60,I72,I84,I96,I108,I120),+IF(I$9=$B$160,+(EXP((LN(+'4. Customer Growth'!$Y$34)/12))*$G131),IF($H$9=$B$161,+$A132*$C$167+#REF!,0)))</f>
        <v>31</v>
      </c>
      <c r="J132" s="341">
        <f>IF(J$9=$B$159,+AVERAGE(J12,J24,J36,J48,J60,J72,J84,J96,J108,J120),+IF(J$9=$B$160,+(EXP((LN(+'4. Customer Growth'!$Y$34)/12))*$G131),IF($J$9=$B$161,+$A132*$C$169+#REF!,0)))</f>
        <v>1</v>
      </c>
      <c r="K132" s="341">
        <f>IF(K$9=$B$159,+AVERAGE(K12,K24,K36,K48,K60,K72,K84,K96,K108,K120),+IF(K$9=$B$160,+(EXP((LN(+'4. Customer Growth'!$Y$34)/12))*$K131),IF($K$9=$B$161,+$A132*$C$170+#REF!,0)))</f>
        <v>0</v>
      </c>
      <c r="L132" s="341">
        <f>IF(L$9=$B$159,+AVERAGE(L12,L24,L36,L48,L60,L72,L84,L96,L108,L120),+IF(L$9=$B$160,+(EXP((LN(+'4. Customer Growth'!$Y$34)/12))*$L131),IF($L$9=$B$161,+$A132*$C$171+#REF!,0)))</f>
        <v>0</v>
      </c>
      <c r="M132" s="143"/>
      <c r="N132" s="167">
        <f t="shared" si="11"/>
        <v>324029.42485718871</v>
      </c>
      <c r="O132" s="171"/>
      <c r="P132" s="143"/>
      <c r="Q132"/>
      <c r="R132"/>
      <c r="S132"/>
      <c r="T132"/>
      <c r="U132"/>
      <c r="V132"/>
      <c r="W132"/>
      <c r="X132"/>
      <c r="Y132"/>
      <c r="Z132" s="143"/>
      <c r="AA132" s="143"/>
      <c r="AB132" s="143"/>
      <c r="AC132" s="143"/>
      <c r="AD132" s="143"/>
      <c r="AE132" s="143"/>
      <c r="AF132" s="143"/>
      <c r="AG132" s="143"/>
      <c r="AH132" s="143"/>
      <c r="AI132" s="143"/>
    </row>
    <row r="133" spans="1:35" x14ac:dyDescent="0.3">
      <c r="A133" s="339">
        <f t="shared" si="12"/>
        <v>124</v>
      </c>
      <c r="B133" s="166" t="str">
        <f>CONCATENATE('3. Consumption by Rate Class'!B139,"-",'3. Consumption by Rate Class'!C139)</f>
        <v>2023-April</v>
      </c>
      <c r="C133" s="179"/>
      <c r="D133" s="179"/>
      <c r="E133" s="179"/>
      <c r="F133" s="144"/>
      <c r="G133" s="341">
        <f>IF(G$9=$B$159,+AVERAGE(G13,G25,G37,G49,G61,G73,G85,G97,G109,G121),+IF(G$9=$B$160,+(EXP((LN(+'4. Customer Growth'!$Y$34)/12))*$G132),IF($G$9=$B$161,+$A133*$C$166+#REF!,0)))</f>
        <v>376.21999999999997</v>
      </c>
      <c r="H133" s="341">
        <f>IF(H$9=$B$159,+AVERAGE(H13,H25,H37,H49,H61,H73,H85,H97,H109,H121),+IF(H$9=$B$160,+(EXP((LN(+'4. Customer Growth'!$Y$34)/12))*$G132),IF($H$9=$B$161,+$A133*$C$167+#REF!,0)))</f>
        <v>0.08</v>
      </c>
      <c r="I133" s="341">
        <f>IF(I$9=$B$159,+AVERAGE(I13,I25,I37,I49,I61,I73,I85,I97,I109,I121),+IF(I$9=$B$160,+(EXP((LN(+'4. Customer Growth'!$Y$34)/12))*$G132),IF($H$9=$B$161,+$A133*$C$167+#REF!,0)))</f>
        <v>30</v>
      </c>
      <c r="J133" s="341">
        <f>IF(J$9=$B$159,+AVERAGE(J13,J25,J37,J49,J61,J73,J85,J97,J109,J121),+IF(J$9=$B$160,+(EXP((LN(+'4. Customer Growth'!$Y$34)/12))*$G132),IF($J$9=$B$161,+$A133*$C$169+#REF!,0)))</f>
        <v>1</v>
      </c>
      <c r="K133" s="341">
        <f>IF(K$9=$B$159,+AVERAGE(K13,K25,K37,K49,K61,K73,K85,K97,K109,K121),+IF(K$9=$B$160,+(EXP((LN(+'4. Customer Growth'!$Y$34)/12))*$K132),IF($K$9=$B$161,+$A133*$C$170+#REF!,0)))</f>
        <v>0</v>
      </c>
      <c r="L133" s="341">
        <f>IF(L$9=$B$159,+AVERAGE(L13,L25,L37,L49,L61,L73,L85,L97,L109,L121),+IF(L$9=$B$160,+(EXP((LN(+'4. Customer Growth'!$Y$34)/12))*$L132),IF($L$9=$B$161,+$A133*$C$171+#REF!,0)))</f>
        <v>0</v>
      </c>
      <c r="M133" s="143"/>
      <c r="N133" s="167">
        <f t="shared" si="11"/>
        <v>321341.73264690692</v>
      </c>
      <c r="O133" s="171"/>
      <c r="P133" s="143"/>
      <c r="Q133"/>
      <c r="R133"/>
      <c r="S133"/>
      <c r="T133"/>
      <c r="U133"/>
      <c r="V133"/>
      <c r="W133"/>
      <c r="X133"/>
      <c r="Y133"/>
      <c r="Z133" s="143"/>
      <c r="AA133" s="143"/>
      <c r="AB133" s="143"/>
      <c r="AC133" s="143"/>
      <c r="AD133" s="143"/>
      <c r="AE133" s="143"/>
      <c r="AF133" s="143"/>
      <c r="AG133" s="143"/>
      <c r="AH133" s="143"/>
      <c r="AI133" s="143"/>
    </row>
    <row r="134" spans="1:35" x14ac:dyDescent="0.3">
      <c r="A134" s="339">
        <f t="shared" si="12"/>
        <v>125</v>
      </c>
      <c r="B134" s="166" t="str">
        <f>CONCATENATE('3. Consumption by Rate Class'!B140,"-",'3. Consumption by Rate Class'!C140)</f>
        <v>2023-May</v>
      </c>
      <c r="C134" s="179"/>
      <c r="D134" s="181"/>
      <c r="E134" s="179"/>
      <c r="F134" s="144"/>
      <c r="G134" s="341">
        <f>IF(G$9=$B$159,+AVERAGE(G14,G26,G38,G50,G62,G74,G86,G98,G110,G122),+IF(G$9=$B$160,+(EXP((LN(+'4. Customer Growth'!$Y$34)/12))*$G133),IF($G$9=$B$161,+$A134*$C$166+#REF!,0)))</f>
        <v>189.33999999999997</v>
      </c>
      <c r="H134" s="341">
        <f>IF(H$9=$B$159,+AVERAGE(H14,H26,H38,H50,H62,H74,H86,H98,H110,H122),+IF(H$9=$B$160,+(EXP((LN(+'4. Customer Growth'!$Y$34)/12))*$G133),IF($H$9=$B$161,+$A134*$C$167+#REF!,0)))</f>
        <v>15.87</v>
      </c>
      <c r="I134" s="341">
        <f>IF(I$9=$B$159,+AVERAGE(I14,I26,I38,I50,I62,I74,I86,I98,I110,I122),+IF(I$9=$B$160,+(EXP((LN(+'4. Customer Growth'!$Y$34)/12))*$G133),IF($H$9=$B$161,+$A134*$C$167+#REF!,0)))</f>
        <v>31</v>
      </c>
      <c r="J134" s="341">
        <f>IF(J$9=$B$159,+AVERAGE(J14,J26,J38,J50,J62,J74,J86,J98,J110,J122),+IF(J$9=$B$160,+(EXP((LN(+'4. Customer Growth'!$Y$34)/12))*$G133),IF($J$9=$B$161,+$A134*$C$169+#REF!,0)))</f>
        <v>1</v>
      </c>
      <c r="K134" s="341">
        <f>IF(K$9=$B$159,+AVERAGE(K14,K26,K38,K50,K62,K74,K86,K98,K110,K122),+IF(K$9=$B$160,+(EXP((LN(+'4. Customer Growth'!$Y$34)/12))*$K133),IF($K$9=$B$161,+$A134*$C$170+#REF!,0)))</f>
        <v>0</v>
      </c>
      <c r="L134" s="341">
        <f>IF(L$9=$B$159,+AVERAGE(L14,L26,L38,L50,L62,L74,L86,L98,L110,L122),+IF(L$9=$B$160,+(EXP((LN(+'4. Customer Growth'!$Y$34)/12))*$L133),IF($L$9=$B$161,+$A134*$C$171+#REF!,0)))</f>
        <v>0</v>
      </c>
      <c r="M134" s="143"/>
      <c r="N134" s="167">
        <f t="shared" si="11"/>
        <v>348478.31292522512</v>
      </c>
      <c r="O134" s="171"/>
      <c r="P134" s="143"/>
      <c r="Q134"/>
      <c r="R134"/>
      <c r="S134"/>
      <c r="T134"/>
      <c r="U134"/>
      <c r="V134"/>
      <c r="W134"/>
      <c r="X134"/>
      <c r="Y134"/>
      <c r="Z134" s="143"/>
      <c r="AA134" s="143"/>
      <c r="AB134" s="143"/>
      <c r="AC134" s="143"/>
      <c r="AD134" s="143"/>
      <c r="AE134" s="143"/>
      <c r="AF134" s="143"/>
      <c r="AG134" s="143"/>
      <c r="AH134" s="143"/>
      <c r="AI134" s="143"/>
    </row>
    <row r="135" spans="1:35" x14ac:dyDescent="0.3">
      <c r="A135" s="339">
        <f t="shared" si="12"/>
        <v>126</v>
      </c>
      <c r="B135" s="166" t="str">
        <f>CONCATENATE('3. Consumption by Rate Class'!B141,"-",'3. Consumption by Rate Class'!C141)</f>
        <v>2023-June</v>
      </c>
      <c r="C135" s="179"/>
      <c r="D135" s="179"/>
      <c r="E135" s="179"/>
      <c r="F135" s="144"/>
      <c r="G135" s="341">
        <f>IF(G$9=$B$159,+AVERAGE(G15,G27,G39,G51,G63,G75,G87,G99,G111,G123),+IF(G$9=$B$160,+(EXP((LN(+'4. Customer Growth'!$Y$34)/12))*$G134),IF($G$9=$B$161,+$A135*$C$166+#REF!,0)))</f>
        <v>61.060000000000016</v>
      </c>
      <c r="H135" s="341">
        <f>IF(H$9=$B$159,+AVERAGE(H15,H27,H39,H51,H63,H75,H87,H99,H111,H123),+IF(H$9=$B$160,+(EXP((LN(+'4. Customer Growth'!$Y$34)/12))*$G134),IF($H$9=$B$161,+$A135*$C$167+#REF!,0)))</f>
        <v>36.730000000000004</v>
      </c>
      <c r="I135" s="341">
        <f>IF(I$9=$B$159,+AVERAGE(I15,I27,I39,I51,I63,I75,I87,I99,I111,I123),+IF(I$9=$B$160,+(EXP((LN(+'4. Customer Growth'!$Y$34)/12))*$G134),IF($H$9=$B$161,+$A135*$C$167+#REF!,0)))</f>
        <v>30</v>
      </c>
      <c r="J135" s="341">
        <f>IF(J$9=$B$159,+AVERAGE(J15,J27,J39,J51,J63,J75,J87,J99,J111,J123),+IF(J$9=$B$160,+(EXP((LN(+'4. Customer Growth'!$Y$34)/12))*$G134),IF($J$9=$B$161,+$A135*$C$169+#REF!,0)))</f>
        <v>0</v>
      </c>
      <c r="K135" s="341">
        <f>IF(K$9=$B$159,+AVERAGE(K15,K27,K39,K51,K63,K75,K87,K99,K111,K123),+IF(K$9=$B$160,+(EXP((LN(+'4. Customer Growth'!$Y$34)/12))*$K134),IF($K$9=$B$161,+$A135*$C$170+#REF!,0)))</f>
        <v>0</v>
      </c>
      <c r="L135" s="341">
        <f>IF(L$9=$B$159,+AVERAGE(L15,L27,L39,L51,L63,L75,L87,L99,L111,L123),+IF(L$9=$B$160,+(EXP((LN(+'4. Customer Growth'!$Y$34)/12))*$L134),IF($L$9=$B$161,+$A135*$C$171+#REF!,0)))</f>
        <v>0</v>
      </c>
      <c r="M135" s="143"/>
      <c r="N135" s="167">
        <f t="shared" si="11"/>
        <v>361683.08704919234</v>
      </c>
      <c r="O135" s="171"/>
      <c r="P135" s="143"/>
      <c r="Q135"/>
      <c r="R135"/>
      <c r="S135"/>
      <c r="T135"/>
      <c r="U135"/>
      <c r="V135"/>
      <c r="W135"/>
      <c r="X135"/>
      <c r="Y135"/>
      <c r="Z135" s="143"/>
      <c r="AA135" s="143"/>
      <c r="AB135" s="143"/>
      <c r="AC135" s="143"/>
      <c r="AD135" s="143"/>
      <c r="AE135" s="143"/>
      <c r="AF135" s="143"/>
      <c r="AG135" s="143"/>
      <c r="AH135" s="143"/>
      <c r="AI135" s="143"/>
    </row>
    <row r="136" spans="1:35" x14ac:dyDescent="0.3">
      <c r="A136" s="339">
        <f t="shared" si="12"/>
        <v>127</v>
      </c>
      <c r="B136" s="166" t="str">
        <f>CONCATENATE('3. Consumption by Rate Class'!B142,"-",'3. Consumption by Rate Class'!C142)</f>
        <v>2023-July</v>
      </c>
      <c r="C136" s="179"/>
      <c r="D136" s="179"/>
      <c r="E136" s="179"/>
      <c r="F136" s="144"/>
      <c r="G136" s="341">
        <f>IF(G$9=$B$159,+AVERAGE(G16,G28,G40,G52,G64,G76,G88,G100,G112,G124),+IF(G$9=$B$160,+(EXP((LN(+'4. Customer Growth'!$Y$34)/12))*$G135),IF($G$9=$B$161,+$A136*$C$166+#REF!,0)))</f>
        <v>9.370000000000001</v>
      </c>
      <c r="H136" s="341">
        <f>IF(H$9=$B$159,+AVERAGE(H16,H28,H40,H52,H64,H76,H88,H100,H112,H124),+IF(H$9=$B$160,+(EXP((LN(+'4. Customer Growth'!$Y$34)/12))*$G135),IF($H$9=$B$161,+$A136*$C$167+#REF!,0)))</f>
        <v>87.710000000000008</v>
      </c>
      <c r="I136" s="341">
        <f>IF(I$9=$B$159,+AVERAGE(I16,I28,I40,I52,I64,I76,I88,I100,I112,I124),+IF(I$9=$B$160,+(EXP((LN(+'4. Customer Growth'!$Y$34)/12))*$G135),IF($H$9=$B$161,+$A136*$C$167+#REF!,0)))</f>
        <v>31</v>
      </c>
      <c r="J136" s="341">
        <f>IF(J$9=$B$159,+AVERAGE(J16,J28,J40,J52,J64,J76,J88,J100,J112,J124),+IF(J$9=$B$160,+(EXP((LN(+'4. Customer Growth'!$Y$34)/12))*$G135),IF($J$9=$B$161,+$A136*$C$169+#REF!,0)))</f>
        <v>0</v>
      </c>
      <c r="K136" s="341">
        <f>IF(K$9=$B$159,+AVERAGE(K16,K28,K40,K52,K64,K76,K88,K100,K112,K124),+IF(K$9=$B$160,+(EXP((LN(+'4. Customer Growth'!$Y$34)/12))*$K135),IF($K$9=$B$161,+$A136*$C$170+#REF!,0)))</f>
        <v>0</v>
      </c>
      <c r="L136" s="341">
        <f>IF(L$9=$B$159,+AVERAGE(L16,L28,L40,L52,L64,L76,L88,L100,L112,L124),+IF(L$9=$B$160,+(EXP((LN(+'4. Customer Growth'!$Y$34)/12))*$L135),IF($L$9=$B$161,+$A136*$C$171+#REF!,0)))</f>
        <v>0</v>
      </c>
      <c r="M136" s="143"/>
      <c r="N136" s="167">
        <f t="shared" si="11"/>
        <v>395759.35541737895</v>
      </c>
      <c r="O136" s="171"/>
      <c r="P136" s="143"/>
      <c r="Q136"/>
      <c r="R136"/>
      <c r="S136"/>
      <c r="T136"/>
      <c r="U136"/>
      <c r="V136"/>
      <c r="W136"/>
      <c r="X136"/>
      <c r="Y136"/>
      <c r="Z136" s="143"/>
      <c r="AA136" s="143"/>
      <c r="AB136" s="143"/>
      <c r="AC136" s="143"/>
      <c r="AD136" s="143"/>
      <c r="AE136" s="143"/>
      <c r="AF136" s="143"/>
      <c r="AG136" s="143"/>
      <c r="AH136" s="143"/>
      <c r="AI136" s="143"/>
    </row>
    <row r="137" spans="1:35" x14ac:dyDescent="0.3">
      <c r="A137" s="339">
        <f t="shared" si="12"/>
        <v>128</v>
      </c>
      <c r="B137" s="166" t="str">
        <f>CONCATENATE('3. Consumption by Rate Class'!B143,"-",'3. Consumption by Rate Class'!C143)</f>
        <v>2023-August</v>
      </c>
      <c r="C137" s="179"/>
      <c r="D137" s="179"/>
      <c r="E137" s="179"/>
      <c r="F137" s="144"/>
      <c r="G137" s="341">
        <f>IF(G$9=$B$159,+AVERAGE(G17,G29,G41,G53,G65,G77,G89,G101,G113,G125),+IF(G$9=$B$160,+(EXP((LN(+'4. Customer Growth'!$Y$34)/12))*$G136),IF($G$9=$B$161,+$A137*$C$166+#REF!,0)))</f>
        <v>9.2800000000000011</v>
      </c>
      <c r="H137" s="341">
        <f>IF(H$9=$B$159,+AVERAGE(H17,H29,H41,H53,H65,H77,H89,H101,H113,H125),+IF(H$9=$B$160,+(EXP((LN(+'4. Customer Growth'!$Y$34)/12))*$G136),IF($H$9=$B$161,+$A137*$C$167+#REF!,0)))</f>
        <v>80.55</v>
      </c>
      <c r="I137" s="341">
        <f>IF(I$9=$B$159,+AVERAGE(I17,I29,I41,I53,I65,I77,I89,I101,I113,I125),+IF(I$9=$B$160,+(EXP((LN(+'4. Customer Growth'!$Y$34)/12))*$G136),IF($H$9=$B$161,+$A137*$C$167+#REF!,0)))</f>
        <v>31</v>
      </c>
      <c r="J137" s="341">
        <f>IF(J$9=$B$159,+AVERAGE(J17,J29,J41,J53,J65,J77,J89,J101,J113,J125),+IF(J$9=$B$160,+(EXP((LN(+'4. Customer Growth'!$Y$34)/12))*$G136),IF($J$9=$B$161,+$A137*$C$169+#REF!,0)))</f>
        <v>0</v>
      </c>
      <c r="K137" s="341">
        <f>IF(K$9=$B$159,+AVERAGE(K17,K29,K41,K53,K65,K77,K89,K101,K113,K125),+IF(K$9=$B$160,+(EXP((LN(+'4. Customer Growth'!$Y$34)/12))*$K136),IF($K$9=$B$161,+$A137*$C$170+#REF!,0)))</f>
        <v>0</v>
      </c>
      <c r="L137" s="341">
        <f>IF(L$9=$B$159,+AVERAGE(L17,L29,L41,L53,L65,L77,L89,L101,L113,L125),+IF(L$9=$B$160,+(EXP((LN(+'4. Customer Growth'!$Y$34)/12))*$L136),IF($L$9=$B$161,+$A137*$C$171+#REF!,0)))</f>
        <v>0</v>
      </c>
      <c r="M137" s="143"/>
      <c r="N137" s="167">
        <f t="shared" si="11"/>
        <v>393020.02380228607</v>
      </c>
      <c r="O137" s="171"/>
      <c r="P137" s="143"/>
      <c r="Q137"/>
      <c r="R137"/>
      <c r="S137"/>
      <c r="T137"/>
      <c r="U137"/>
      <c r="V137"/>
      <c r="W137"/>
      <c r="X137"/>
      <c r="Y137"/>
      <c r="Z137" s="143"/>
      <c r="AA137" s="143"/>
      <c r="AB137" s="143"/>
      <c r="AC137" s="143"/>
      <c r="AD137" s="143"/>
      <c r="AE137" s="143"/>
      <c r="AF137" s="143"/>
      <c r="AG137" s="143"/>
      <c r="AH137" s="143"/>
      <c r="AI137" s="143"/>
    </row>
    <row r="138" spans="1:35" x14ac:dyDescent="0.3">
      <c r="A138" s="339">
        <f t="shared" si="12"/>
        <v>129</v>
      </c>
      <c r="B138" s="166" t="str">
        <f>CONCATENATE('3. Consumption by Rate Class'!B144,"-",'3. Consumption by Rate Class'!C144)</f>
        <v>2023-September</v>
      </c>
      <c r="C138" s="179"/>
      <c r="D138" s="179"/>
      <c r="E138" s="179"/>
      <c r="F138" s="144"/>
      <c r="G138" s="341">
        <f>IF(G$9=$B$159,+AVERAGE(G18,G30,G42,G54,G66,G78,G90,G102,G114,G126),+IF(G$9=$B$160,+(EXP((LN(+'4. Customer Growth'!$Y$34)/12))*$G137),IF($G$9=$B$161,+$A138*$C$166+#REF!,0)))</f>
        <v>67.440000000000012</v>
      </c>
      <c r="H138" s="341">
        <f>IF(H$9=$B$159,+AVERAGE(H18,H30,H42,H54,H66,H78,H90,H102,H114,H126),+IF(H$9=$B$160,+(EXP((LN(+'4. Customer Growth'!$Y$34)/12))*$G137),IF($H$9=$B$161,+$A138*$C$167+#REF!,0)))</f>
        <v>35.779999999999994</v>
      </c>
      <c r="I138" s="341">
        <f>IF(I$9=$B$159,+AVERAGE(I18,I30,I42,I54,I66,I78,I90,I102,I114,I126),+IF(I$9=$B$160,+(EXP((LN(+'4. Customer Growth'!$Y$34)/12))*$G137),IF($H$9=$B$161,+$A138*$C$167+#REF!,0)))</f>
        <v>30</v>
      </c>
      <c r="J138" s="341">
        <f>IF(J$9=$B$159,+AVERAGE(J18,J30,J42,J54,J66,J78,J90,J102,J114,J126),+IF(J$9=$B$160,+(EXP((LN(+'4. Customer Growth'!$Y$34)/12))*$G137),IF($J$9=$B$161,+$A138*$C$169+#REF!,0)))</f>
        <v>1</v>
      </c>
      <c r="K138" s="341">
        <f>IF(K$9=$B$159,+AVERAGE(K18,K30,K42,K54,K66,K78,K90,K102,K114,K126),+IF(K$9=$B$160,+(EXP((LN(+'4. Customer Growth'!$Y$34)/12))*$K137),IF($K$9=$B$161,+$A138*$C$170+#REF!,0)))</f>
        <v>0</v>
      </c>
      <c r="L138" s="341">
        <f>IF(L$9=$B$159,+AVERAGE(L18,L30,L42,L54,L66,L78,L90,L102,L114,L126),+IF(L$9=$B$160,+(EXP((LN(+'4. Customer Growth'!$Y$34)/12))*$L137),IF($L$9=$B$161,+$A138*$C$171+#REF!,0)))</f>
        <v>0</v>
      </c>
      <c r="M138" s="143"/>
      <c r="N138" s="167">
        <f t="shared" si="11"/>
        <v>349970.94315804617</v>
      </c>
      <c r="O138" s="171"/>
      <c r="P138" s="143"/>
      <c r="Q138"/>
      <c r="R138"/>
      <c r="S138"/>
      <c r="T138"/>
      <c r="U138"/>
      <c r="V138"/>
      <c r="W138"/>
      <c r="X138"/>
      <c r="Y138"/>
      <c r="Z138" s="143"/>
      <c r="AA138" s="143"/>
      <c r="AB138" s="143"/>
      <c r="AC138" s="143"/>
      <c r="AD138" s="143"/>
      <c r="AE138" s="143"/>
      <c r="AF138" s="143"/>
      <c r="AG138" s="143"/>
      <c r="AH138" s="143"/>
      <c r="AI138" s="143"/>
    </row>
    <row r="139" spans="1:35" x14ac:dyDescent="0.3">
      <c r="A139" s="339">
        <f t="shared" si="12"/>
        <v>130</v>
      </c>
      <c r="B139" s="166" t="str">
        <f>CONCATENATE('3. Consumption by Rate Class'!B145,"-",'3. Consumption by Rate Class'!C145)</f>
        <v>2023-October</v>
      </c>
      <c r="C139" s="179"/>
      <c r="D139" s="179"/>
      <c r="E139" s="179"/>
      <c r="F139" s="144"/>
      <c r="G139" s="341">
        <f>IF(G$9=$B$159,+AVERAGE(G19,G31,G43,G55,G67,G79,G91,G103,G115,G127),+IF(G$9=$B$160,+(EXP((LN(+'4. Customer Growth'!$Y$34)/12))*$G138),IF($G$9=$B$161,+$A139*$C$166+#REF!,0)))</f>
        <v>222.93999999999997</v>
      </c>
      <c r="H139" s="341">
        <f>IF(H$9=$B$159,+AVERAGE(H19,H31,H43,H55,H67,H79,H91,H103,H115,H127),+IF(H$9=$B$160,+(EXP((LN(+'4. Customer Growth'!$Y$34)/12))*$G138),IF($H$9=$B$161,+$A139*$C$167+#REF!,0)))</f>
        <v>4.6100000000000003</v>
      </c>
      <c r="I139" s="341">
        <f>IF(I$9=$B$159,+AVERAGE(I19,I31,I43,I55,I67,I79,I91,I103,I115,I127),+IF(I$9=$B$160,+(EXP((LN(+'4. Customer Growth'!$Y$34)/12))*$G138),IF($H$9=$B$161,+$A139*$C$167+#REF!,0)))</f>
        <v>31</v>
      </c>
      <c r="J139" s="341">
        <f>IF(J$9=$B$159,+AVERAGE(J19,J31,J43,J55,J67,J79,J91,J103,J115,J127),+IF(J$9=$B$160,+(EXP((LN(+'4. Customer Growth'!$Y$34)/12))*$G138),IF($J$9=$B$161,+$A139*$C$169+#REF!,0)))</f>
        <v>1</v>
      </c>
      <c r="K139" s="341">
        <f>IF(K$9=$B$159,+AVERAGE(K19,K31,K43,K55,K67,K79,K91,K103,K115,K127),+IF(K$9=$B$160,+(EXP((LN(+'4. Customer Growth'!$Y$34)/12))*$K138),IF($K$9=$B$161,+$A139*$C$170+#REF!,0)))</f>
        <v>0</v>
      </c>
      <c r="L139" s="341">
        <f>IF(L$9=$B$159,+AVERAGE(L19,L31,L43,L55,L67,L79,L91,L103,L115,L127),+IF(L$9=$B$160,+(EXP((LN(+'4. Customer Growth'!$Y$34)/12))*$L138),IF($L$9=$B$161,+$A139*$C$171+#REF!,0)))</f>
        <v>0</v>
      </c>
      <c r="M139" s="143"/>
      <c r="N139" s="167">
        <f t="shared" ref="N139:N153" si="14">$R$24+(G139*$R$25)+(H139*$R$26)+(I139*$R$27)+(J139*$R$28)+(K139*$R$29)+(L139*$R$30)</f>
        <v>342536.82752651692</v>
      </c>
      <c r="O139" s="171"/>
      <c r="P139" s="143"/>
      <c r="Q139"/>
      <c r="R139"/>
      <c r="S139"/>
      <c r="T139"/>
      <c r="U139"/>
      <c r="V139"/>
      <c r="W139"/>
      <c r="X139"/>
      <c r="Y139"/>
      <c r="Z139" s="143"/>
      <c r="AA139" s="143"/>
      <c r="AB139" s="143"/>
      <c r="AC139" s="143"/>
      <c r="AD139" s="143"/>
      <c r="AE139" s="143"/>
      <c r="AF139" s="143"/>
      <c r="AG139" s="143"/>
      <c r="AH139" s="143"/>
      <c r="AI139" s="143"/>
    </row>
    <row r="140" spans="1:35" x14ac:dyDescent="0.3">
      <c r="A140" s="339">
        <f t="shared" ref="A140:A153" si="15">+A139+1</f>
        <v>131</v>
      </c>
      <c r="B140" s="166" t="str">
        <f>CONCATENATE('3. Consumption by Rate Class'!B146,"-",'3. Consumption by Rate Class'!C146)</f>
        <v>2023-November</v>
      </c>
      <c r="C140" s="179"/>
      <c r="D140" s="179"/>
      <c r="E140" s="179"/>
      <c r="F140" s="144"/>
      <c r="G140" s="341">
        <f>IF(G$9=$B$159,+AVERAGE(G20,G32,G44,G56,G68,G80,G92,G104,G116,G128),+IF(G$9=$B$160,+(EXP((LN(+'4. Customer Growth'!$Y$34)/12))*$G139),IF($G$9=$B$161,+$A140*$C$166+#REF!,0)))</f>
        <v>405.49</v>
      </c>
      <c r="H140" s="341">
        <f>IF(H$9=$B$159,+AVERAGE(H20,H32,H44,H56,H68,H80,H92,H104,H116,H128),+IF(H$9=$B$160,+(EXP((LN(+'4. Customer Growth'!$Y$34)/12))*$G139),IF($H$9=$B$161,+$A140*$C$167+#REF!,0)))</f>
        <v>1.2</v>
      </c>
      <c r="I140" s="341">
        <f>IF(I$9=$B$159,+AVERAGE(I20,I32,I44,I56,I68,I80,I92,I104,I116,I128),+IF(I$9=$B$160,+(EXP((LN(+'4. Customer Growth'!$Y$34)/12))*$G139),IF($H$9=$B$161,+$A140*$C$167+#REF!,0)))</f>
        <v>30</v>
      </c>
      <c r="J140" s="341">
        <f>IF(J$9=$B$159,+AVERAGE(J20,J32,J44,J56,J68,J80,J92,J104,J116,J128),+IF(J$9=$B$160,+(EXP((LN(+'4. Customer Growth'!$Y$34)/12))*$G139),IF($J$9=$B$161,+$A140*$C$169+#REF!,0)))</f>
        <v>1</v>
      </c>
      <c r="K140" s="341">
        <f>IF(K$9=$B$159,+AVERAGE(K20,K32,K44,K56,K68,K80,K92,K104,K116,K128),+IF(K$9=$B$160,+(EXP((LN(+'4. Customer Growth'!$Y$34)/12))*$K139),IF($K$9=$B$161,+$A140*$C$170+#REF!,0)))</f>
        <v>0</v>
      </c>
      <c r="L140" s="341">
        <f>IF(L$9=$B$159,+AVERAGE(L20,L32,L44,L56,L68,L80,L92,L104,L116,L128),+IF(L$9=$B$160,+(EXP((LN(+'4. Customer Growth'!$Y$34)/12))*$L139),IF($L$9=$B$161,+$A140*$C$171+#REF!,0)))</f>
        <v>0</v>
      </c>
      <c r="M140" s="143"/>
      <c r="N140" s="167">
        <f t="shared" si="14"/>
        <v>320353.85314091638</v>
      </c>
      <c r="O140" s="171"/>
      <c r="P140" s="143"/>
      <c r="Q140"/>
      <c r="R140"/>
      <c r="S140"/>
      <c r="T140"/>
      <c r="U140"/>
      <c r="V140"/>
      <c r="W140"/>
      <c r="X140"/>
      <c r="Y140"/>
      <c r="Z140" s="143"/>
      <c r="AA140" s="143"/>
      <c r="AB140" s="143"/>
      <c r="AC140" s="143"/>
      <c r="AD140" s="143"/>
      <c r="AE140" s="143"/>
      <c r="AF140" s="143"/>
      <c r="AG140" s="143"/>
      <c r="AH140" s="143"/>
      <c r="AI140" s="143"/>
    </row>
    <row r="141" spans="1:35" x14ac:dyDescent="0.3">
      <c r="A141" s="339">
        <f t="shared" si="15"/>
        <v>132</v>
      </c>
      <c r="B141" s="166" t="str">
        <f>CONCATENATE('3. Consumption by Rate Class'!B147,"-",'3. Consumption by Rate Class'!C147)</f>
        <v>2023-December</v>
      </c>
      <c r="C141" s="179"/>
      <c r="D141" s="179"/>
      <c r="E141" s="179"/>
      <c r="F141" s="144"/>
      <c r="G141" s="341">
        <f>IF(G$9=$B$159,+AVERAGE(G21,G33,G45,G57,G69,G81,G93,G105,G117,G129),+IF(G$9=$B$160,+(EXP((LN(+'4. Customer Growth'!$Y$34)/12))*$G140),IF($G$9=$B$161,+$A141*$C$166+#REF!,0)))</f>
        <v>573.88000000000011</v>
      </c>
      <c r="H141" s="341">
        <f>IF(H$9=$B$159,+AVERAGE(H21,H33,H45,H57,H69,H81,H93,H105,H117,H129),+IF(H$9=$B$160,+(EXP((LN(+'4. Customer Growth'!$Y$34)/12))*$G140),IF($H$9=$B$161,+$A141*$C$167+#REF!,0)))</f>
        <v>0</v>
      </c>
      <c r="I141" s="341">
        <f>IF(I$9=$B$159,+AVERAGE(I21,I33,I45,I57,I69,I81,I93,I105,I117,I129),+IF(I$9=$B$160,+(EXP((LN(+'4. Customer Growth'!$Y$34)/12))*$G140),IF($H$9=$B$161,+$A141*$C$167+#REF!,0)))</f>
        <v>31</v>
      </c>
      <c r="J141" s="341">
        <f>IF(J$9=$B$159,+AVERAGE(J21,J33,J45,J57,J69,J81,J93,J105,J117,J129),+IF(J$9=$B$160,+(EXP((LN(+'4. Customer Growth'!$Y$34)/12))*$G140),IF($J$9=$B$161,+$A141*$C$169+#REF!,0)))</f>
        <v>0</v>
      </c>
      <c r="K141" s="341">
        <f>IF(K$9=$B$159,+AVERAGE(K21,K33,K45,K57,K69,K81,K93,K105,K117,K129),+IF(K$9=$B$160,+(EXP((LN(+'4. Customer Growth'!$Y$34)/12))*$K140),IF($K$9=$B$161,+$A141*$C$170+#REF!,0)))</f>
        <v>0</v>
      </c>
      <c r="L141" s="341">
        <f>IF(L$9=$B$159,+AVERAGE(L21,L33,L45,L57,L69,L81,L93,L105,L117,L129),+IF(L$9=$B$160,+(EXP((LN(+'4. Customer Growth'!$Y$34)/12))*$L140),IF($L$9=$B$161,+$A141*$C$171+#REF!,0)))</f>
        <v>0</v>
      </c>
      <c r="M141" s="143"/>
      <c r="N141" s="167">
        <f t="shared" si="14"/>
        <v>334819.32545500045</v>
      </c>
      <c r="O141" s="171">
        <f>SUM(N130:N141)</f>
        <v>4118030.7147421688</v>
      </c>
      <c r="P141" s="143"/>
      <c r="Q141"/>
      <c r="R141"/>
      <c r="S141"/>
      <c r="T141"/>
      <c r="U141"/>
      <c r="V141"/>
      <c r="W141"/>
      <c r="X141"/>
      <c r="Y141"/>
      <c r="Z141" s="143"/>
      <c r="AA141" s="143"/>
      <c r="AB141" s="143"/>
      <c r="AC141" s="143"/>
      <c r="AD141" s="143"/>
      <c r="AE141" s="143"/>
      <c r="AF141" s="143"/>
      <c r="AG141" s="143"/>
      <c r="AH141" s="143"/>
      <c r="AI141" s="143"/>
    </row>
    <row r="142" spans="1:35" x14ac:dyDescent="0.3">
      <c r="A142" s="339">
        <f t="shared" si="15"/>
        <v>133</v>
      </c>
      <c r="B142" s="166" t="str">
        <f>CONCATENATE('3. Consumption by Rate Class'!B148,"-",'3. Consumption by Rate Class'!C148)</f>
        <v>2024-January</v>
      </c>
      <c r="C142" s="179"/>
      <c r="D142" s="179"/>
      <c r="E142" s="179"/>
      <c r="F142" s="144"/>
      <c r="G142" s="341">
        <f>IF(G$9=$B$159,+AVERAGE(G10,G22,G34,G46,G58,G70,G82,G94,G106,G118),+IF(G$9=$B$160,+(EXP((LN(+'4. Customer Growth'!$Y$35)/12))*$G141),IF($G$9=$B$161,+$A142*$C$166+#REF!,0)))</f>
        <v>704.45999999999992</v>
      </c>
      <c r="H142" s="341">
        <f>IF(H$9=$B$159,+AVERAGE(H10,H22,H34,H46,H58,H70,H82,H94,H106,H118),+IF(H$9=$B$160,+(EXP((LN(+'4. Customer Growth'!$Y$35)/12))*$G141),IF($H$9=$B$161,+$A142*$C$167+#REF!,0)))</f>
        <v>0</v>
      </c>
      <c r="I142" s="341">
        <f>IF(I$9=$B$159,+AVERAGE(I10,I22,I34,I46,I58,I70,I82,I94,I106,I118),+IF(I$9=$B$160,+(EXP((LN(+'4. Customer Growth'!$Y$35)/12))*$G141),IF($H$9=$B$161,+$A142*$C$167+#REF!,0)))</f>
        <v>31</v>
      </c>
      <c r="J142" s="341">
        <f>IF(J$9=$B$159,+AVERAGE(J10,J22,J34,J46,J58,J70,J82,J94,J106,J118),+IF(J$9=$B$160,+(EXP((LN(+'4. Customer Growth'!$Y$35)/12))*$G141),IF($J$9=$B$161,+$A142*$C$169+#REF!,0)))</f>
        <v>0</v>
      </c>
      <c r="K142" s="341">
        <f>IF(K$9=$B$159,+AVERAGE(K10,K22,K34,K46,K58,K70,K82,K94,K106,K118),+IF(K$9=$B$160,+(EXP((LN(+'4. Customer Growth'!$Y$35)/12))*$K141),IF($K$9=$B$161,+$A142*$C$170+#REF!,0)))</f>
        <v>0</v>
      </c>
      <c r="L142" s="341">
        <f>IF(L$9=$B$159,+AVERAGE(L10,L22,L34,L46,L58,L70,L82,L94,L106,L118),+IF(L$9=$B$160,+(EXP((LN(+'4. Customer Growth'!$Y$35)/12))*$L141),IF($L$9=$B$161,+$A142*$C$171+#REF!,0)))</f>
        <v>0</v>
      </c>
      <c r="M142" s="143"/>
      <c r="N142" s="167">
        <f t="shared" si="14"/>
        <v>328497.50519054953</v>
      </c>
      <c r="O142" s="171"/>
      <c r="P142" s="143"/>
      <c r="Q142"/>
      <c r="R142"/>
      <c r="S142"/>
      <c r="T142"/>
      <c r="U142"/>
      <c r="V142"/>
      <c r="W142"/>
      <c r="X142"/>
      <c r="Y142"/>
      <c r="Z142" s="143"/>
      <c r="AA142" s="143"/>
      <c r="AB142" s="143"/>
      <c r="AC142" s="143"/>
      <c r="AD142" s="143"/>
      <c r="AE142" s="143"/>
      <c r="AF142" s="143"/>
      <c r="AG142" s="143"/>
      <c r="AH142" s="143"/>
      <c r="AI142" s="143"/>
    </row>
    <row r="143" spans="1:35" x14ac:dyDescent="0.3">
      <c r="A143" s="339">
        <f t="shared" si="15"/>
        <v>134</v>
      </c>
      <c r="B143" s="166" t="str">
        <f>CONCATENATE('3. Consumption by Rate Class'!B149,"-",'3. Consumption by Rate Class'!C149)</f>
        <v>2024-February</v>
      </c>
      <c r="C143" s="179"/>
      <c r="D143" s="179"/>
      <c r="E143" s="179"/>
      <c r="F143" s="144"/>
      <c r="G143" s="341">
        <f>IF(G$9=$B$159,+AVERAGE(G11,G23,G35,G47,G59,G71,G83,G95,G107,G119),+IF(G$9=$B$160,+(EXP((LN(+'4. Customer Growth'!$Y$35)/12))*$G142),IF($G$9=$B$161,+$A143*$C$166+#REF!,0)))</f>
        <v>647.65000000000009</v>
      </c>
      <c r="H143" s="341">
        <f>IF(H$9=$B$159,+AVERAGE(H11,H23,H35,H47,H59,H71,H83,H95,H107,H119),+IF(H$9=$B$160,+(EXP((LN(+'4. Customer Growth'!$Y$35)/12))*$G142),IF($H$9=$B$161,+$A143*$C$167+#REF!,0)))</f>
        <v>0</v>
      </c>
      <c r="I143" s="341">
        <f>IF(I$9=$B$159,+AVERAGE(I11,I23,I35,I47,I59,I71,I83,I95,I107,I119),+IF(I$9=$B$160,+(EXP((LN(+'4. Customer Growth'!$Y$35)/12))*$G142),IF($H$9=$B$161,+$A143*$C$167+#REF!,0)))</f>
        <v>28.2</v>
      </c>
      <c r="J143" s="341">
        <f>IF(J$9=$B$159,+AVERAGE(J11,J23,J35,J47,J59,J71,J83,J95,J107,J119),+IF(J$9=$B$160,+(EXP((LN(+'4. Customer Growth'!$Y$35)/12))*$G142),IF($J$9=$B$161,+$A143*$C$169+#REF!,0)))</f>
        <v>0</v>
      </c>
      <c r="K143" s="341">
        <f>IF(K$9=$B$159,+AVERAGE(K11,K23,K35,K47,K59,K71,K83,K95,K107,K119),+IF(K$9=$B$160,+(EXP((LN(+'4. Customer Growth'!$Y$35)/12))*$K142),IF($K$9=$B$161,+$A143*$C$170+#REF!,0)))</f>
        <v>0</v>
      </c>
      <c r="L143" s="341">
        <f>IF(L$9=$B$159,+AVERAGE(L11,L23,L35,L47,L59,L71,L83,L95,L107,L119),+IF(L$9=$B$160,+(EXP((LN(+'4. Customer Growth'!$Y$35)/12))*$L142),IF($L$9=$B$161,+$A143*$C$171+#REF!,0)))</f>
        <v>0</v>
      </c>
      <c r="M143" s="143"/>
      <c r="N143" s="167">
        <f t="shared" si="14"/>
        <v>297540.32357296097</v>
      </c>
      <c r="O143" s="171"/>
      <c r="P143" s="143"/>
      <c r="Q143"/>
      <c r="R143"/>
      <c r="S143"/>
      <c r="T143"/>
      <c r="U143"/>
      <c r="V143"/>
      <c r="W143"/>
      <c r="X143"/>
      <c r="Y143"/>
      <c r="Z143" s="143"/>
      <c r="AA143" s="143"/>
      <c r="AB143" s="143"/>
      <c r="AC143" s="143"/>
      <c r="AD143" s="143"/>
      <c r="AE143" s="143"/>
      <c r="AF143" s="143"/>
      <c r="AG143" s="143"/>
      <c r="AH143" s="143"/>
      <c r="AI143" s="143"/>
    </row>
    <row r="144" spans="1:35" x14ac:dyDescent="0.3">
      <c r="A144" s="339">
        <f t="shared" si="15"/>
        <v>135</v>
      </c>
      <c r="B144" s="166" t="str">
        <f>CONCATENATE('3. Consumption by Rate Class'!B150,"-",'3. Consumption by Rate Class'!C150)</f>
        <v>2024-March</v>
      </c>
      <c r="C144" s="179"/>
      <c r="D144" s="179"/>
      <c r="E144" s="179"/>
      <c r="F144" s="144"/>
      <c r="G144" s="341">
        <f>IF(G$9=$B$159,+AVERAGE(G12,G24,G36,G48,G60,G72,G84,G96,G108,G120),+IF(G$9=$B$160,+(EXP((LN(+'4. Customer Growth'!$Y$35)/12))*$G143),IF($G$9=$B$161,+$A144*$C$166+#REF!,0)))</f>
        <v>568.7299999999999</v>
      </c>
      <c r="H144" s="341">
        <f>IF(H$9=$B$159,+AVERAGE(H12,H24,H36,H48,H60,H72,H84,H96,H108,H120),+IF(H$9=$B$160,+(EXP((LN(+'4. Customer Growth'!$Y$35)/12))*$G143),IF($H$9=$B$161,+$A144*$C$167+#REF!,0)))</f>
        <v>0</v>
      </c>
      <c r="I144" s="341">
        <f>IF(I$9=$B$159,+AVERAGE(I12,I24,I36,I48,I60,I72,I84,I96,I108,I120),+IF(I$9=$B$160,+(EXP((LN(+'4. Customer Growth'!$Y$35)/12))*$G143),IF($H$9=$B$161,+$A144*$C$167+#REF!,0)))</f>
        <v>31</v>
      </c>
      <c r="J144" s="341">
        <f>IF(J$9=$B$159,+AVERAGE(J12,J24,J36,J48,J60,J72,J84,J96,J108,J120),+IF(J$9=$B$160,+(EXP((LN(+'4. Customer Growth'!$Y$35)/12))*$G143),IF($J$9=$B$161,+$A144*$C$169+#REF!,0)))</f>
        <v>1</v>
      </c>
      <c r="K144" s="341">
        <f>IF(K$9=$B$159,+AVERAGE(K12,K24,K36,K48,K60,K72,K84,K96,K108,K120),+IF(K$9=$B$160,+(EXP((LN(+'4. Customer Growth'!$Y$35)/12))*$K143),IF($K$9=$B$161,+$A144*$C$170+#REF!,0)))</f>
        <v>0</v>
      </c>
      <c r="L144" s="341">
        <f>IF(L$9=$B$159,+AVERAGE(L12,L24,L36,L48,L60,L72,L84,L96,L108,L120),+IF(L$9=$B$160,+(EXP((LN(+'4. Customer Growth'!$Y$35)/12))*$L143),IF($L$9=$B$161,+$A144*$C$171+#REF!,0)))</f>
        <v>0</v>
      </c>
      <c r="M144" s="143"/>
      <c r="N144" s="167">
        <f t="shared" si="14"/>
        <v>324029.42485718871</v>
      </c>
      <c r="O144" s="171"/>
      <c r="P144" s="143"/>
      <c r="Q144"/>
      <c r="R144"/>
      <c r="S144"/>
      <c r="T144"/>
      <c r="U144"/>
      <c r="V144"/>
      <c r="W144"/>
      <c r="X144"/>
      <c r="Y144"/>
      <c r="Z144" s="143"/>
      <c r="AA144" s="143"/>
      <c r="AB144" s="143"/>
      <c r="AC144" s="143"/>
      <c r="AD144" s="143"/>
      <c r="AE144" s="143"/>
      <c r="AF144" s="143"/>
      <c r="AG144" s="143"/>
      <c r="AH144" s="143"/>
      <c r="AI144" s="143"/>
    </row>
    <row r="145" spans="1:35" x14ac:dyDescent="0.3">
      <c r="A145" s="339">
        <f t="shared" si="15"/>
        <v>136</v>
      </c>
      <c r="B145" s="166" t="str">
        <f>CONCATENATE('3. Consumption by Rate Class'!B151,"-",'3. Consumption by Rate Class'!C151)</f>
        <v>2024-April</v>
      </c>
      <c r="C145" s="179"/>
      <c r="D145" s="179"/>
      <c r="E145" s="179"/>
      <c r="F145" s="144"/>
      <c r="G145" s="341">
        <f>IF(G$9=$B$159,+AVERAGE(G13,G25,G37,G49,G61,G73,G85,G97,G109,G121),+IF(G$9=$B$160,+(EXP((LN(+'4. Customer Growth'!$Y$35)/12))*$G144),IF($G$9=$B$161,+$A145*$C$166+#REF!,0)))</f>
        <v>376.21999999999997</v>
      </c>
      <c r="H145" s="341">
        <f>IF(H$9=$B$159,+AVERAGE(H13,H25,H37,H49,H61,H73,H85,H97,H109,H121),+IF(H$9=$B$160,+(EXP((LN(+'4. Customer Growth'!$Y$35)/12))*$G144),IF($H$9=$B$161,+$A145*$C$167+#REF!,0)))</f>
        <v>0.08</v>
      </c>
      <c r="I145" s="341">
        <f>IF(I$9=$B$159,+AVERAGE(I13,I25,I37,I49,I61,I73,I85,I97,I109,I121),+IF(I$9=$B$160,+(EXP((LN(+'4. Customer Growth'!$Y$35)/12))*$G144),IF($H$9=$B$161,+$A145*$C$167+#REF!,0)))</f>
        <v>30</v>
      </c>
      <c r="J145" s="341">
        <f>IF(J$9=$B$159,+AVERAGE(J13,J25,J37,J49,J61,J73,J85,J97,J109,J121),+IF(J$9=$B$160,+(EXP((LN(+'4. Customer Growth'!$Y$35)/12))*$G144),IF($J$9=$B$161,+$A145*$C$169+#REF!,0)))</f>
        <v>1</v>
      </c>
      <c r="K145" s="341">
        <f>IF(K$9=$B$159,+AVERAGE(K13,K25,K37,K49,K61,K73,K85,K97,K109,K121),+IF(K$9=$B$160,+(EXP((LN(+'4. Customer Growth'!$Y$35)/12))*$K144),IF($K$9=$B$161,+$A145*$C$170+#REF!,0)))</f>
        <v>0</v>
      </c>
      <c r="L145" s="341">
        <f>IF(L$9=$B$159,+AVERAGE(L13,L25,L37,L49,L61,L73,L85,L97,L109,L121),+IF(L$9=$B$160,+(EXP((LN(+'4. Customer Growth'!$Y$35)/12))*$L144),IF($L$9=$B$161,+$A145*$C$171+#REF!,0)))</f>
        <v>0</v>
      </c>
      <c r="M145" s="143"/>
      <c r="N145" s="167">
        <f t="shared" si="14"/>
        <v>321341.73264690692</v>
      </c>
      <c r="O145" s="171"/>
      <c r="P145" s="143"/>
      <c r="Q145"/>
      <c r="R145"/>
      <c r="S145"/>
      <c r="T145"/>
      <c r="U145"/>
      <c r="V145"/>
      <c r="W145"/>
      <c r="X145"/>
      <c r="Y145"/>
      <c r="Z145" s="143"/>
      <c r="AA145" s="143"/>
      <c r="AB145" s="143"/>
      <c r="AC145" s="143"/>
      <c r="AD145" s="143"/>
      <c r="AE145" s="143"/>
      <c r="AF145" s="143"/>
      <c r="AG145" s="143"/>
      <c r="AH145" s="143"/>
      <c r="AI145" s="143"/>
    </row>
    <row r="146" spans="1:35" x14ac:dyDescent="0.3">
      <c r="A146" s="339">
        <f t="shared" si="15"/>
        <v>137</v>
      </c>
      <c r="B146" s="166" t="str">
        <f>CONCATENATE('3. Consumption by Rate Class'!B152,"-",'3. Consumption by Rate Class'!C152)</f>
        <v>2024-May</v>
      </c>
      <c r="C146" s="179"/>
      <c r="D146" s="179"/>
      <c r="E146" s="179"/>
      <c r="F146" s="144"/>
      <c r="G146" s="341">
        <f>IF(G$9=$B$159,+AVERAGE(G14,G26,G38,G50,G62,G74,G86,G98,G110,G122),+IF(G$9=$B$160,+(EXP((LN(+'4. Customer Growth'!$Y$35)/12))*$G145),IF($G$9=$B$161,+$A146*$C$166+#REF!,0)))</f>
        <v>189.33999999999997</v>
      </c>
      <c r="H146" s="341">
        <f>IF(H$9=$B$159,+AVERAGE(H14,H26,H38,H50,H62,H74,H86,H98,H110,H122),+IF(H$9=$B$160,+(EXP((LN(+'4. Customer Growth'!$Y$35)/12))*$G145),IF($H$9=$B$161,+$A146*$C$167+#REF!,0)))</f>
        <v>15.87</v>
      </c>
      <c r="I146" s="341">
        <f>IF(I$9=$B$159,+AVERAGE(I14,I26,I38,I50,I62,I74,I86,I98,I110,I122),+IF(I$9=$B$160,+(EXP((LN(+'4. Customer Growth'!$Y$35)/12))*$G145),IF($H$9=$B$161,+$A146*$C$167+#REF!,0)))</f>
        <v>31</v>
      </c>
      <c r="J146" s="341">
        <f>IF(J$9=$B$159,+AVERAGE(J14,J26,J38,J50,J62,J74,J86,J98,J110,J122),+IF(J$9=$B$160,+(EXP((LN(+'4. Customer Growth'!$Y$35)/12))*$G145),IF($J$9=$B$161,+$A146*$C$169+#REF!,0)))</f>
        <v>1</v>
      </c>
      <c r="K146" s="341">
        <f>IF(K$9=$B$159,+AVERAGE(K14,K26,K38,K50,K62,K74,K86,K98,K110,K122),+IF(K$9=$B$160,+(EXP((LN(+'4. Customer Growth'!$Y$35)/12))*$K145),IF($K$9=$B$161,+$A146*$C$170+#REF!,0)))</f>
        <v>0</v>
      </c>
      <c r="L146" s="341">
        <f>IF(L$9=$B$159,+AVERAGE(L14,L26,L38,L50,L62,L74,L86,L98,L110,L122),+IF(L$9=$B$160,+(EXP((LN(+'4. Customer Growth'!$Y$35)/12))*$L145),IF($L$9=$B$161,+$A146*$C$171+#REF!,0)))</f>
        <v>0</v>
      </c>
      <c r="M146" s="143"/>
      <c r="N146" s="167">
        <f t="shared" si="14"/>
        <v>348478.31292522512</v>
      </c>
      <c r="O146" s="171"/>
      <c r="P146" s="143"/>
      <c r="Q146"/>
      <c r="R146"/>
      <c r="S146"/>
      <c r="T146"/>
      <c r="U146"/>
      <c r="V146"/>
      <c r="W146"/>
      <c r="X146"/>
      <c r="Y146"/>
      <c r="Z146" s="143"/>
      <c r="AA146" s="143"/>
      <c r="AB146" s="143"/>
      <c r="AC146" s="143"/>
      <c r="AD146" s="143"/>
      <c r="AE146" s="143"/>
      <c r="AF146" s="143"/>
      <c r="AG146" s="143"/>
      <c r="AH146" s="143"/>
      <c r="AI146" s="143"/>
    </row>
    <row r="147" spans="1:35" x14ac:dyDescent="0.3">
      <c r="A147" s="339">
        <f t="shared" si="15"/>
        <v>138</v>
      </c>
      <c r="B147" s="166" t="str">
        <f>CONCATENATE('3. Consumption by Rate Class'!B153,"-",'3. Consumption by Rate Class'!C153)</f>
        <v>2024-June</v>
      </c>
      <c r="C147" s="179"/>
      <c r="D147" s="179"/>
      <c r="E147" s="179"/>
      <c r="F147" s="144"/>
      <c r="G147" s="341">
        <f>IF(G$9=$B$159,+AVERAGE(G15,G27,G39,G51,G63,G75,G87,G99,G111,G123),+IF(G$9=$B$160,+(EXP((LN(+'4. Customer Growth'!$Y$35)/12))*$G146),IF($G$9=$B$161,+$A147*$C$166+#REF!,0)))</f>
        <v>61.060000000000016</v>
      </c>
      <c r="H147" s="341">
        <f>IF(H$9=$B$159,+AVERAGE(H15,H27,H39,H51,H63,H75,H87,H99,H111,H123),+IF(H$9=$B$160,+(EXP((LN(+'4. Customer Growth'!$Y$35)/12))*$G146),IF($H$9=$B$161,+$A147*$C$167+#REF!,0)))</f>
        <v>36.730000000000004</v>
      </c>
      <c r="I147" s="341">
        <f>IF(I$9=$B$159,+AVERAGE(I15,I27,I39,I51,I63,I75,I87,I99,I111,I123),+IF(I$9=$B$160,+(EXP((LN(+'4. Customer Growth'!$Y$35)/12))*$G146),IF($H$9=$B$161,+$A147*$C$167+#REF!,0)))</f>
        <v>30</v>
      </c>
      <c r="J147" s="341">
        <f>IF(J$9=$B$159,+AVERAGE(J15,J27,J39,J51,J63,J75,J87,J99,J111,J123),+IF(J$9=$B$160,+(EXP((LN(+'4. Customer Growth'!$Y$35)/12))*$G146),IF($J$9=$B$161,+$A147*$C$169+#REF!,0)))</f>
        <v>0</v>
      </c>
      <c r="K147" s="341">
        <f>IF(K$9=$B$159,+AVERAGE(K15,K27,K39,K51,K63,K75,K87,K99,K111,K123),+IF(K$9=$B$160,+(EXP((LN(+'4. Customer Growth'!$Y$35)/12))*$K146),IF($K$9=$B$161,+$A147*$C$170+#REF!,0)))</f>
        <v>0</v>
      </c>
      <c r="L147" s="341">
        <f>IF(L$9=$B$159,+AVERAGE(L15,L27,L39,L51,L63,L75,L87,L99,L111,L123),+IF(L$9=$B$160,+(EXP((LN(+'4. Customer Growth'!$Y$35)/12))*$L146),IF($L$9=$B$161,+$A147*$C$171+#REF!,0)))</f>
        <v>0</v>
      </c>
      <c r="M147" s="143"/>
      <c r="N147" s="167">
        <f t="shared" si="14"/>
        <v>361683.08704919234</v>
      </c>
      <c r="O147" s="171"/>
      <c r="P147" s="143"/>
      <c r="Q147"/>
      <c r="R147"/>
      <c r="S147"/>
      <c r="T147"/>
      <c r="U147"/>
      <c r="V147"/>
      <c r="W147"/>
      <c r="X147"/>
      <c r="Y147"/>
      <c r="Z147" s="143"/>
      <c r="AA147" s="143"/>
      <c r="AB147" s="143"/>
      <c r="AC147" s="143"/>
      <c r="AD147" s="143"/>
      <c r="AE147" s="143"/>
      <c r="AF147" s="143"/>
      <c r="AG147" s="143"/>
      <c r="AH147" s="143"/>
      <c r="AI147" s="143"/>
    </row>
    <row r="148" spans="1:35" x14ac:dyDescent="0.3">
      <c r="A148" s="339">
        <f t="shared" si="15"/>
        <v>139</v>
      </c>
      <c r="B148" s="166" t="str">
        <f>CONCATENATE('3. Consumption by Rate Class'!B154,"-",'3. Consumption by Rate Class'!C154)</f>
        <v>2024-July</v>
      </c>
      <c r="C148" s="179"/>
      <c r="D148" s="179"/>
      <c r="E148" s="179"/>
      <c r="F148" s="144"/>
      <c r="G148" s="341">
        <f>IF(G$9=$B$159,+AVERAGE(G16,G28,G40,G52,G64,G76,G88,G100,G112,G124),+IF(G$9=$B$160,+(EXP((LN(+'4. Customer Growth'!$Y$35)/12))*$G147),IF($G$9=$B$161,+$A148*$C$166+#REF!,0)))</f>
        <v>9.370000000000001</v>
      </c>
      <c r="H148" s="341">
        <f>IF(H$9=$B$159,+AVERAGE(H16,H28,H40,H52,H64,H76,H88,H100,H112,H124),+IF(H$9=$B$160,+(EXP((LN(+'4. Customer Growth'!$Y$35)/12))*$G147),IF($H$9=$B$161,+$A148*$C$167+#REF!,0)))</f>
        <v>87.710000000000008</v>
      </c>
      <c r="I148" s="341">
        <f>IF(I$9=$B$159,+AVERAGE(I16,I28,I40,I52,I64,I76,I88,I100,I112,I124),+IF(I$9=$B$160,+(EXP((LN(+'4. Customer Growth'!$Y$35)/12))*$G147),IF($H$9=$B$161,+$A148*$C$167+#REF!,0)))</f>
        <v>31</v>
      </c>
      <c r="J148" s="341">
        <f>IF(J$9=$B$159,+AVERAGE(J16,J28,J40,J52,J64,J76,J88,J100,J112,J124),+IF(J$9=$B$160,+(EXP((LN(+'4. Customer Growth'!$Y$35)/12))*$G147),IF($J$9=$B$161,+$A148*$C$169+#REF!,0)))</f>
        <v>0</v>
      </c>
      <c r="K148" s="341">
        <f>IF(K$9=$B$159,+AVERAGE(K16,K28,K40,K52,K64,K76,K88,K100,K112,K124),+IF(K$9=$B$160,+(EXP((LN(+'4. Customer Growth'!$Y$35)/12))*$K147),IF($K$9=$B$161,+$A148*$C$170+#REF!,0)))</f>
        <v>0</v>
      </c>
      <c r="L148" s="341">
        <f>IF(L$9=$B$159,+AVERAGE(L16,L28,L40,L52,L64,L76,L88,L100,L112,L124),+IF(L$9=$B$160,+(EXP((LN(+'4. Customer Growth'!$Y$35)/12))*$L147),IF($L$9=$B$161,+$A148*$C$171+#REF!,0)))</f>
        <v>0</v>
      </c>
      <c r="M148" s="143"/>
      <c r="N148" s="167">
        <f t="shared" si="14"/>
        <v>395759.35541737895</v>
      </c>
      <c r="O148" s="171"/>
      <c r="P148" s="143"/>
      <c r="Q148"/>
      <c r="R148"/>
      <c r="S148"/>
      <c r="T148"/>
      <c r="U148"/>
      <c r="V148"/>
      <c r="W148"/>
      <c r="X148"/>
      <c r="Y148"/>
      <c r="Z148" s="143"/>
      <c r="AA148" s="143"/>
      <c r="AB148" s="143"/>
      <c r="AC148" s="143"/>
      <c r="AD148" s="143"/>
      <c r="AE148" s="143"/>
      <c r="AF148" s="143"/>
      <c r="AG148" s="143"/>
      <c r="AH148" s="143"/>
      <c r="AI148" s="143"/>
    </row>
    <row r="149" spans="1:35" x14ac:dyDescent="0.3">
      <c r="A149" s="339">
        <f t="shared" si="15"/>
        <v>140</v>
      </c>
      <c r="B149" s="166" t="str">
        <f>CONCATENATE('3. Consumption by Rate Class'!B155,"-",'3. Consumption by Rate Class'!C155)</f>
        <v>2024-August</v>
      </c>
      <c r="C149" s="179"/>
      <c r="D149" s="179"/>
      <c r="E149" s="179"/>
      <c r="F149" s="144"/>
      <c r="G149" s="341">
        <f>IF(G$9=$B$159,+AVERAGE(G17,G29,G41,G53,G65,G77,G89,G101,G113,G125),+IF(G$9=$B$160,+(EXP((LN(+'4. Customer Growth'!$Y$35)/12))*$G148),IF($G$9=$B$161,+$A149*$C$166+#REF!,0)))</f>
        <v>9.2800000000000011</v>
      </c>
      <c r="H149" s="341">
        <f>IF(H$9=$B$159,+AVERAGE(H17,H29,H41,H53,H65,H77,H89,H101,H113,H125),+IF(H$9=$B$160,+(EXP((LN(+'4. Customer Growth'!$Y$35)/12))*$G148),IF($H$9=$B$161,+$A149*$C$167+#REF!,0)))</f>
        <v>80.55</v>
      </c>
      <c r="I149" s="341">
        <f>IF(I$9=$B$159,+AVERAGE(I17,I29,I41,I53,I65,I77,I89,I101,I113,I125),+IF(I$9=$B$160,+(EXP((LN(+'4. Customer Growth'!$Y$35)/12))*$G148),IF($H$9=$B$161,+$A149*$C$167+#REF!,0)))</f>
        <v>31</v>
      </c>
      <c r="J149" s="341">
        <f>IF(J$9=$B$159,+AVERAGE(J17,J29,J41,J53,J65,J77,J89,J101,J113,J125),+IF(J$9=$B$160,+(EXP((LN(+'4. Customer Growth'!$Y$35)/12))*$G148),IF($J$9=$B$161,+$A149*$C$169+#REF!,0)))</f>
        <v>0</v>
      </c>
      <c r="K149" s="341">
        <f>IF(K$9=$B$159,+AVERAGE(K17,K29,K41,K53,K65,K77,K89,K101,K113,K125),+IF(K$9=$B$160,+(EXP((LN(+'4. Customer Growth'!$Y$35)/12))*$K148),IF($K$9=$B$161,+$A149*$C$170+#REF!,0)))</f>
        <v>0</v>
      </c>
      <c r="L149" s="341">
        <f>IF(L$9=$B$159,+AVERAGE(L17,L29,L41,L53,L65,L77,L89,L101,L113,L125),+IF(L$9=$B$160,+(EXP((LN(+'4. Customer Growth'!$Y$35)/12))*$L148),IF($L$9=$B$161,+$A149*$C$171+#REF!,0)))</f>
        <v>0</v>
      </c>
      <c r="M149" s="143"/>
      <c r="N149" s="167">
        <f t="shared" si="14"/>
        <v>393020.02380228607</v>
      </c>
      <c r="O149" s="171"/>
      <c r="P149" s="143"/>
      <c r="Q149"/>
      <c r="R149"/>
      <c r="S149"/>
      <c r="T149"/>
      <c r="U149"/>
      <c r="V149"/>
      <c r="W149"/>
      <c r="X149"/>
      <c r="Y149"/>
      <c r="Z149" s="143"/>
      <c r="AA149" s="143"/>
      <c r="AB149" s="143"/>
      <c r="AC149" s="143"/>
      <c r="AD149" s="143"/>
      <c r="AE149" s="143"/>
      <c r="AF149" s="143"/>
      <c r="AG149" s="143"/>
      <c r="AH149" s="143"/>
      <c r="AI149" s="143"/>
    </row>
    <row r="150" spans="1:35" x14ac:dyDescent="0.3">
      <c r="A150" s="339">
        <f t="shared" si="15"/>
        <v>141</v>
      </c>
      <c r="B150" s="166" t="str">
        <f>CONCATENATE('3. Consumption by Rate Class'!B156,"-",'3. Consumption by Rate Class'!C156)</f>
        <v>2024-September</v>
      </c>
      <c r="C150" s="179"/>
      <c r="D150" s="179"/>
      <c r="E150" s="179"/>
      <c r="F150" s="144"/>
      <c r="G150" s="341">
        <f>IF(G$9=$B$159,+AVERAGE(G18,G30,G42,G54,G66,G78,G90,G102,G114,G126),+IF(G$9=$B$160,+(EXP((LN(+'4. Customer Growth'!$Y$35)/12))*$G149),IF($G$9=$B$161,+$A150*$C$166+#REF!,0)))</f>
        <v>67.440000000000012</v>
      </c>
      <c r="H150" s="341">
        <f>IF(H$9=$B$159,+AVERAGE(H18,H30,H42,H54,H66,H78,H90,H102,H114,H126),+IF(H$9=$B$160,+(EXP((LN(+'4. Customer Growth'!$Y$35)/12))*$G149),IF($H$9=$B$161,+$A150*$C$167+#REF!,0)))</f>
        <v>35.779999999999994</v>
      </c>
      <c r="I150" s="341">
        <f>IF(I$9=$B$159,+AVERAGE(I18,I30,I42,I54,I66,I78,I90,I102,I114,I126),+IF(I$9=$B$160,+(EXP((LN(+'4. Customer Growth'!$Y$35)/12))*$G149),IF($H$9=$B$161,+$A150*$C$167+#REF!,0)))</f>
        <v>30</v>
      </c>
      <c r="J150" s="341">
        <f>IF(J$9=$B$159,+AVERAGE(J18,J30,J42,J54,J66,J78,J90,J102,J114,J126),+IF(J$9=$B$160,+(EXP((LN(+'4. Customer Growth'!$Y$35)/12))*$G149),IF($J$9=$B$161,+$A150*$C$169+#REF!,0)))</f>
        <v>1</v>
      </c>
      <c r="K150" s="341">
        <f>IF(K$9=$B$159,+AVERAGE(K18,K30,K42,K54,K66,K78,K90,K102,K114,K126),+IF(K$9=$B$160,+(EXP((LN(+'4. Customer Growth'!$Y$35)/12))*$K149),IF($K$9=$B$161,+$A150*$C$170+#REF!,0)))</f>
        <v>0</v>
      </c>
      <c r="L150" s="341">
        <f>IF(L$9=$B$159,+AVERAGE(L18,L30,L42,L54,L66,L78,L90,L102,L114,L126),+IF(L$9=$B$160,+(EXP((LN(+'4. Customer Growth'!$Y$35)/12))*$L149),IF($L$9=$B$161,+$A150*$C$171+#REF!,0)))</f>
        <v>0</v>
      </c>
      <c r="M150" s="143"/>
      <c r="N150" s="167">
        <f t="shared" si="14"/>
        <v>349970.94315804617</v>
      </c>
      <c r="O150" s="171"/>
      <c r="P150" s="143"/>
      <c r="Q150" s="143"/>
      <c r="R150" s="143"/>
      <c r="S150" s="143"/>
      <c r="T150" s="143"/>
      <c r="U150" s="143"/>
      <c r="V150" s="143"/>
      <c r="W150" s="143"/>
      <c r="X150" s="143"/>
      <c r="Y150" s="143"/>
      <c r="Z150" s="143"/>
      <c r="AA150" s="143"/>
      <c r="AB150" s="143"/>
      <c r="AC150" s="143"/>
      <c r="AD150" s="143"/>
      <c r="AE150" s="143"/>
      <c r="AF150" s="143"/>
      <c r="AG150" s="143"/>
      <c r="AH150" s="143"/>
      <c r="AI150" s="143"/>
    </row>
    <row r="151" spans="1:35" x14ac:dyDescent="0.3">
      <c r="A151" s="339">
        <f t="shared" si="15"/>
        <v>142</v>
      </c>
      <c r="B151" s="166" t="str">
        <f>CONCATENATE('3. Consumption by Rate Class'!B157,"-",'3. Consumption by Rate Class'!C157)</f>
        <v>2024-October</v>
      </c>
      <c r="C151" s="179"/>
      <c r="D151" s="179"/>
      <c r="E151" s="179"/>
      <c r="F151" s="144"/>
      <c r="G151" s="341">
        <f>IF(G$9=$B$159,+AVERAGE(G19,G31,G43,G55,G67,G79,G91,G103,G115,G127),+IF(G$9=$B$160,+(EXP((LN(+'4. Customer Growth'!$Y$35)/12))*$G150),IF($G$9=$B$161,+$A151*$C$166+#REF!,0)))</f>
        <v>222.93999999999997</v>
      </c>
      <c r="H151" s="341">
        <f>IF(H$9=$B$159,+AVERAGE(H19,H31,H43,H55,H67,H79,H91,H103,H115,H127),+IF(H$9=$B$160,+(EXP((LN(+'4. Customer Growth'!$Y$35)/12))*$G150),IF($H$9=$B$161,+$A151*$C$167+#REF!,0)))</f>
        <v>4.6100000000000003</v>
      </c>
      <c r="I151" s="341">
        <f>IF(I$9=$B$159,+AVERAGE(I19,I31,I43,I55,I67,I79,I91,I103,I115,I127),+IF(I$9=$B$160,+(EXP((LN(+'4. Customer Growth'!$Y$35)/12))*$G150),IF($H$9=$B$161,+$A151*$C$167+#REF!,0)))</f>
        <v>31</v>
      </c>
      <c r="J151" s="341">
        <f>IF(J$9=$B$159,+AVERAGE(J19,J31,J43,J55,J67,J79,J91,J103,J115,J127),+IF(J$9=$B$160,+(EXP((LN(+'4. Customer Growth'!$Y$35)/12))*$G150),IF($J$9=$B$161,+$A151*$C$169+#REF!,0)))</f>
        <v>1</v>
      </c>
      <c r="K151" s="341">
        <f>IF(K$9=$B$159,+AVERAGE(K19,K31,K43,K55,K67,K79,K91,K103,K115,K127),+IF(K$9=$B$160,+(EXP((LN(+'4. Customer Growth'!$Y$35)/12))*$K150),IF($K$9=$B$161,+$A151*$C$170+#REF!,0)))</f>
        <v>0</v>
      </c>
      <c r="L151" s="341">
        <f>IF(L$9=$B$159,+AVERAGE(L19,L31,L43,L55,L67,L79,L91,L103,L115,L127),+IF(L$9=$B$160,+(EXP((LN(+'4. Customer Growth'!$Y$35)/12))*$L150),IF($L$9=$B$161,+$A151*$C$171+#REF!,0)))</f>
        <v>0</v>
      </c>
      <c r="M151" s="143"/>
      <c r="N151" s="167">
        <f t="shared" si="14"/>
        <v>342536.82752651692</v>
      </c>
      <c r="O151" s="171"/>
      <c r="P151" s="143"/>
      <c r="Q151" s="143"/>
      <c r="R151" s="143"/>
      <c r="S151" s="143"/>
      <c r="T151" s="143"/>
      <c r="U151" s="143"/>
      <c r="V151" s="143"/>
      <c r="W151" s="143"/>
      <c r="X151" s="143"/>
      <c r="Y151" s="143"/>
      <c r="Z151" s="143"/>
      <c r="AA151" s="143"/>
      <c r="AB151" s="143"/>
      <c r="AC151" s="143"/>
      <c r="AD151" s="143"/>
      <c r="AE151" s="143"/>
      <c r="AF151" s="143"/>
      <c r="AG151" s="143"/>
      <c r="AH151" s="143"/>
      <c r="AI151" s="143"/>
    </row>
    <row r="152" spans="1:35" x14ac:dyDescent="0.3">
      <c r="A152" s="339">
        <f t="shared" si="15"/>
        <v>143</v>
      </c>
      <c r="B152" s="106" t="str">
        <f>CONCATENATE('3. Consumption by Rate Class'!B158,"-",'3. Consumption by Rate Class'!C158)</f>
        <v>2024-November</v>
      </c>
      <c r="C152" s="50"/>
      <c r="D152" s="50"/>
      <c r="E152" s="50"/>
      <c r="G152" s="341">
        <f>IF(G$9=$B$159,+AVERAGE(G20,G32,G44,G56,G68,G80,G92,G104,G116,G128),+IF(G$9=$B$160,+(EXP((LN(+'4. Customer Growth'!$Y$35)/12))*$G151),IF($G$9=$B$161,+$A152*$C$166+#REF!,0)))</f>
        <v>405.49</v>
      </c>
      <c r="H152" s="341">
        <f>IF(H$9=$B$159,+AVERAGE(H20,H32,H44,H56,H68,H80,H92,H104,H116,H128),+IF(H$9=$B$160,+(EXP((LN(+'4. Customer Growth'!$Y$35)/12))*$G151),IF($H$9=$B$161,+$A152*$C$167+#REF!,0)))</f>
        <v>1.2</v>
      </c>
      <c r="I152" s="341">
        <f>IF(I$9=$B$159,+AVERAGE(I20,I32,I44,I56,I68,I80,I92,I104,I116,I128),+IF(I$9=$B$160,+(EXP((LN(+'4. Customer Growth'!$Y$35)/12))*$G151),IF($H$9=$B$161,+$A152*$C$167+#REF!,0)))</f>
        <v>30</v>
      </c>
      <c r="J152" s="341">
        <f>IF(J$9=$B$159,+AVERAGE(J20,J32,J44,J56,J68,J80,J92,J104,J116,J128),+IF(J$9=$B$160,+(EXP((LN(+'4. Customer Growth'!$Y$35)/12))*$G151),IF($J$9=$B$161,+$A152*$C$169+#REF!,0)))</f>
        <v>1</v>
      </c>
      <c r="K152" s="341">
        <f>IF(K$9=$B$159,+AVERAGE(K20,K32,K44,K56,K68,K80,K92,K104,K116,K128),+IF(K$9=$B$160,+(EXP((LN(+'4. Customer Growth'!$Y$35)/12))*$K151),IF($K$9=$B$161,+$A152*$C$170+#REF!,0)))</f>
        <v>0</v>
      </c>
      <c r="L152" s="341">
        <f>IF(L$9=$B$159,+AVERAGE(L20,L32,L44,L56,L68,L80,L92,L104,L116,L128),+IF(L$9=$B$160,+(EXP((LN(+'4. Customer Growth'!$Y$35)/12))*$L151),IF($L$9=$B$161,+$A152*$C$171+#REF!,0)))</f>
        <v>0</v>
      </c>
      <c r="N152" s="167">
        <f t="shared" si="14"/>
        <v>320353.85314091638</v>
      </c>
      <c r="O152" s="132"/>
    </row>
    <row r="153" spans="1:35" x14ac:dyDescent="0.3">
      <c r="A153" s="339">
        <f t="shared" si="15"/>
        <v>144</v>
      </c>
      <c r="B153" s="106" t="str">
        <f>CONCATENATE('3. Consumption by Rate Class'!B159,"-",'3. Consumption by Rate Class'!C159)</f>
        <v>2024-December</v>
      </c>
      <c r="C153" s="50"/>
      <c r="D153" s="50" t="s">
        <v>189</v>
      </c>
      <c r="E153" s="391" t="e">
        <f>SUM(E118:E129)</f>
        <v>#REF!</v>
      </c>
      <c r="G153" s="341">
        <f>IF(G$9=$B$159,+AVERAGE(G21,G33,G45,G57,G69,G81,G93,G105,G117,G129),+IF(G$9=$B$160,+(EXP((LN(+'4. Customer Growth'!$Y$35)/12))*$G152),IF($G$9=$B$161,+$A153*$C$166+#REF!,0)))</f>
        <v>573.88000000000011</v>
      </c>
      <c r="H153" s="341">
        <f>IF(H$9=$B$159,+AVERAGE(H21,H33,H45,H57,H69,H81,H93,H105,H117,H129),+IF(H$9=$B$160,+(EXP((LN(+'4. Customer Growth'!$Y$35)/12))*$G152),IF($H$9=$B$161,+$A153*$C$167+#REF!,0)))</f>
        <v>0</v>
      </c>
      <c r="I153" s="341">
        <f>IF(I$9=$B$159,+AVERAGE(I21,I33,I45,I57,I69,I81,I93,I105,I117,I129),+IF(I$9=$B$160,+(EXP((LN(+'4. Customer Growth'!$Y$35)/12))*$G152),IF($H$9=$B$161,+$A153*$C$167+#REF!,0)))</f>
        <v>31</v>
      </c>
      <c r="J153" s="341">
        <f>IF(J$9=$B$159,+AVERAGE(J21,J33,J45,J57,J69,J81,J93,J105,J117,J129),+IF(J$9=$B$160,+(EXP((LN(+'4. Customer Growth'!$Y$35)/12))*$G152),IF($J$9=$B$161,+$A153*$C$169+#REF!,0)))</f>
        <v>0</v>
      </c>
      <c r="K153" s="341">
        <f>IF(K$9=$B$159,+AVERAGE(K21,K33,K45,K57,K69,K81,K93,K105,K117,K129),+IF(K$9=$B$160,+(EXP((LN(+'4. Customer Growth'!$Y$35)/12))*$K152),IF($K$9=$B$161,+$A153*$C$170+#REF!,0)))</f>
        <v>0</v>
      </c>
      <c r="L153" s="341">
        <f>IF(L$9=$B$159,+AVERAGE(L21,L33,L45,L57,L69,L81,L93,L105,L117,L129),+IF(L$9=$B$160,+(EXP((LN(+'4. Customer Growth'!$Y$35)/12))*$L152),IF($L$9=$B$161,+$A153*$C$171+#REF!,0)))</f>
        <v>0</v>
      </c>
      <c r="N153" s="167">
        <f t="shared" si="14"/>
        <v>334819.32545500045</v>
      </c>
      <c r="O153" s="132">
        <f>SUM(N142:N153)</f>
        <v>4118030.7147421688</v>
      </c>
      <c r="Q153" s="388" t="e">
        <f>+O153-E153</f>
        <v>#REF!</v>
      </c>
    </row>
    <row r="154" spans="1:35" x14ac:dyDescent="0.3">
      <c r="B154" s="107"/>
      <c r="C154" s="50"/>
      <c r="D154" s="50"/>
      <c r="E154" s="50"/>
    </row>
    <row r="156" spans="1:35" ht="26.25" customHeight="1" x14ac:dyDescent="0.3">
      <c r="B156" s="856" t="s">
        <v>187</v>
      </c>
      <c r="C156" s="856"/>
      <c r="D156" s="856"/>
      <c r="E156" s="856"/>
      <c r="F156" s="856"/>
      <c r="G156" s="856"/>
      <c r="H156" s="856"/>
      <c r="I156" s="856"/>
      <c r="J156" s="856"/>
      <c r="K156" s="856"/>
      <c r="L156" s="856"/>
      <c r="M156" s="856"/>
      <c r="N156" s="856"/>
      <c r="O156" s="856"/>
    </row>
    <row r="157" spans="1:35" x14ac:dyDescent="0.3">
      <c r="B157" s="393"/>
      <c r="C157" s="393"/>
      <c r="D157" s="223"/>
      <c r="E157" s="223"/>
      <c r="F157" s="223"/>
      <c r="G157" s="223"/>
      <c r="H157" s="223"/>
      <c r="I157" s="223"/>
      <c r="J157" s="223"/>
      <c r="K157" s="223"/>
      <c r="L157" s="223"/>
      <c r="M157" s="392"/>
      <c r="N157" s="223"/>
      <c r="O157" s="392"/>
    </row>
    <row r="158" spans="1:35" hidden="1" x14ac:dyDescent="0.3">
      <c r="A158" s="207"/>
      <c r="B158" s="208" t="s">
        <v>135</v>
      </c>
      <c r="C158" s="209"/>
      <c r="H158" s="189"/>
    </row>
    <row r="159" spans="1:35" hidden="1" x14ac:dyDescent="0.3">
      <c r="A159" s="207"/>
      <c r="B159" s="210" t="s">
        <v>133</v>
      </c>
      <c r="C159" s="211"/>
    </row>
    <row r="160" spans="1:35" hidden="1" x14ac:dyDescent="0.3">
      <c r="A160" s="207"/>
      <c r="B160" s="212" t="s">
        <v>134</v>
      </c>
      <c r="C160" s="213"/>
    </row>
    <row r="161" spans="2:3" s="1" customFormat="1" ht="12.5" x14ac:dyDescent="0.25">
      <c r="B161" s="336" t="s">
        <v>163</v>
      </c>
      <c r="C161" s="211"/>
    </row>
    <row r="162" spans="2:3" s="1" customFormat="1" ht="12.5" x14ac:dyDescent="0.25">
      <c r="B162" s="214"/>
      <c r="C162" s="214"/>
    </row>
    <row r="163" spans="2:3" s="1" customFormat="1" ht="12.5" x14ac:dyDescent="0.25">
      <c r="B163" s="214"/>
      <c r="C163" s="214"/>
    </row>
    <row r="164" spans="2:3" s="1" customFormat="1" x14ac:dyDescent="0.3">
      <c r="B164" s="817" t="s">
        <v>164</v>
      </c>
      <c r="C164" s="817"/>
    </row>
    <row r="165" spans="2:3" s="1" customFormat="1" ht="12.5" x14ac:dyDescent="0.25">
      <c r="B165" s="340" t="s">
        <v>113</v>
      </c>
      <c r="C165" s="338" t="s">
        <v>165</v>
      </c>
    </row>
    <row r="166" spans="2:3" s="1" customFormat="1" ht="14" x14ac:dyDescent="0.3">
      <c r="B166" s="340" t="s">
        <v>1</v>
      </c>
      <c r="C166" s="337">
        <f>INDEX(LINEST($G$10:$G129,$A$10:$A$129,TRUE,FALSE),1)</f>
        <v>-0.58084450309049229</v>
      </c>
    </row>
    <row r="167" spans="2:3" s="1" customFormat="1" ht="14" x14ac:dyDescent="0.3">
      <c r="B167" s="340" t="s">
        <v>2</v>
      </c>
      <c r="C167" s="337">
        <f>INDEX(LINEST($H$10:$H129,$A$10:$A$129,TRUE,FALSE),1)</f>
        <v>6.6043127994999659E-2</v>
      </c>
    </row>
    <row r="168" spans="2:3" s="1" customFormat="1" ht="14" x14ac:dyDescent="0.3">
      <c r="B168" s="340" t="s">
        <v>96</v>
      </c>
      <c r="C168" s="337">
        <f>INDEX(LINEST($I$10:$I129,$A$10:$A$129,TRUE,FALSE),1)</f>
        <v>6.8060281964024845E-4</v>
      </c>
    </row>
    <row r="169" spans="2:3" s="1" customFormat="1" ht="14" x14ac:dyDescent="0.3">
      <c r="B169" s="340" t="s">
        <v>120</v>
      </c>
      <c r="C169" s="337">
        <f>INDEX(LINEST($J$10:$J129,$A$10:$A$129,TRUE,FALSE),1)</f>
        <v>2.0834780193068936E-4</v>
      </c>
    </row>
    <row r="170" spans="2:3" s="1" customFormat="1" ht="14" x14ac:dyDescent="0.3">
      <c r="B170" s="340" t="s">
        <v>95</v>
      </c>
      <c r="C170" s="337">
        <f>INDEX(LINEST($K$10:$K129,$A$10:$A$129,TRUE,FALSE),1)</f>
        <v>0</v>
      </c>
    </row>
    <row r="171" spans="2:3" s="1" customFormat="1" ht="14" x14ac:dyDescent="0.3">
      <c r="B171" s="340" t="s">
        <v>129</v>
      </c>
      <c r="C171" s="337">
        <f>INDEX(LINEST($L$10:$L129,$A$10:$A$129,TRUE,FALSE),1)</f>
        <v>0</v>
      </c>
    </row>
    <row r="172" spans="2:3" s="1" customFormat="1" ht="12.5" x14ac:dyDescent="0.25">
      <c r="B172" s="214"/>
      <c r="C172" s="214"/>
    </row>
  </sheetData>
  <mergeCells count="6">
    <mergeCell ref="D7:E7"/>
    <mergeCell ref="G7:L7"/>
    <mergeCell ref="D9:F9"/>
    <mergeCell ref="M9:O9"/>
    <mergeCell ref="B164:C164"/>
    <mergeCell ref="B156:O156"/>
  </mergeCells>
  <dataValidations disablePrompts="1" count="2">
    <dataValidation type="list" allowBlank="1" showInputMessage="1" showErrorMessage="1" sqref="G9:L9" xr:uid="{00000000-0002-0000-0A00-000000000000}">
      <formula1>$B$159:$B$161</formula1>
    </dataValidation>
    <dataValidation type="list" allowBlank="1" showInputMessage="1" showErrorMessage="1" sqref="G8:L8" xr:uid="{00000000-0002-0000-0A00-000001000000}">
      <formula1>AllVariables</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74"/>
  <sheetViews>
    <sheetView showGridLines="0" zoomScale="110" zoomScaleNormal="110" workbookViewId="0">
      <selection activeCell="B1" sqref="B1"/>
    </sheetView>
  </sheetViews>
  <sheetFormatPr defaultColWidth="10.5" defaultRowHeight="12.5" x14ac:dyDescent="0.25"/>
  <cols>
    <col min="1" max="1" width="2" style="1" customWidth="1"/>
    <col min="2" max="2" width="32.796875" style="1" customWidth="1"/>
    <col min="3" max="3" width="7.19921875" style="1" hidden="1" customWidth="1"/>
    <col min="4" max="4" width="12.5" style="1" bestFit="1" customWidth="1"/>
    <col min="5" max="5" width="18.796875" style="1" bestFit="1" customWidth="1"/>
    <col min="6" max="6" width="14.796875" style="1" customWidth="1"/>
    <col min="7" max="12" width="14.5" style="1" bestFit="1" customWidth="1"/>
    <col min="13" max="13" width="14.296875" style="1" customWidth="1"/>
    <col min="14" max="16" width="14.5" style="1" bestFit="1" customWidth="1"/>
    <col min="17" max="17" width="10.5" style="1"/>
    <col min="18" max="18" width="14.5" style="1" bestFit="1" customWidth="1"/>
    <col min="19" max="19" width="6.5" style="1" bestFit="1" customWidth="1"/>
    <col min="20" max="20" width="1.796875" style="1" bestFit="1" customWidth="1"/>
    <col min="21" max="16384" width="10.5" style="1"/>
  </cols>
  <sheetData>
    <row r="1" spans="2:18" ht="13" thickBot="1" x14ac:dyDescent="0.3"/>
    <row r="2" spans="2:18" ht="13" thickBot="1" x14ac:dyDescent="0.3">
      <c r="L2" s="204"/>
      <c r="M2" s="227" t="s">
        <v>144</v>
      </c>
    </row>
    <row r="3" spans="2:18" ht="23" x14ac:dyDescent="0.25">
      <c r="C3" s="86"/>
    </row>
    <row r="4" spans="2:18" ht="23" x14ac:dyDescent="0.25">
      <c r="B4" s="86" t="s">
        <v>180</v>
      </c>
      <c r="C4" s="86"/>
    </row>
    <row r="5" spans="2:18" ht="23" hidden="1" x14ac:dyDescent="0.25">
      <c r="B5" s="86"/>
      <c r="C5" s="86"/>
    </row>
    <row r="6" spans="2:18" ht="23" hidden="1" x14ac:dyDescent="0.25">
      <c r="B6" s="86"/>
      <c r="C6" s="86"/>
    </row>
    <row r="7" spans="2:18" ht="9.75" customHeight="1" x14ac:dyDescent="0.25">
      <c r="B7" s="86"/>
      <c r="C7" s="86"/>
    </row>
    <row r="8" spans="2:18" ht="13" thickBot="1" x14ac:dyDescent="0.3">
      <c r="P8" s="347"/>
    </row>
    <row r="9" spans="2:18" x14ac:dyDescent="0.25">
      <c r="B9" s="721"/>
      <c r="C9" s="722"/>
      <c r="D9" s="723"/>
      <c r="E9" s="724">
        <f>'4. Customer Growth'!B9</f>
        <v>2013</v>
      </c>
      <c r="F9" s="724">
        <f>'4. Customer Growth'!B10</f>
        <v>2014</v>
      </c>
      <c r="G9" s="724">
        <f>'4. Customer Growth'!B11</f>
        <v>2015</v>
      </c>
      <c r="H9" s="724">
        <f>'4. Customer Growth'!B12</f>
        <v>2016</v>
      </c>
      <c r="I9" s="724">
        <f>'4. Customer Growth'!B13</f>
        <v>2017</v>
      </c>
      <c r="J9" s="724">
        <f>'4. Customer Growth'!B14</f>
        <v>2018</v>
      </c>
      <c r="K9" s="724">
        <f>'4. Customer Growth'!B15</f>
        <v>2019</v>
      </c>
      <c r="L9" s="724">
        <f>'4. Customer Growth'!B16</f>
        <v>2020</v>
      </c>
      <c r="M9" s="724">
        <f>'4. Customer Growth'!B17</f>
        <v>2021</v>
      </c>
      <c r="N9" s="724">
        <f>'4. Customer Growth'!B18</f>
        <v>2022</v>
      </c>
      <c r="O9" s="724" t="str">
        <f>'4. Customer Growth'!B22</f>
        <v>2023</v>
      </c>
      <c r="P9" s="725" t="str">
        <f>'4. Customer Growth'!B23</f>
        <v>2024</v>
      </c>
    </row>
    <row r="10" spans="2:18" ht="13" x14ac:dyDescent="0.3">
      <c r="B10" s="731" t="s">
        <v>296</v>
      </c>
      <c r="C10" s="48"/>
      <c r="D10" s="12"/>
      <c r="E10" s="291">
        <f>'6. WS Regression Analysis'!Z63</f>
        <v>136652392.50999999</v>
      </c>
      <c r="F10" s="291">
        <f>'6. WS Regression Analysis'!Z64</f>
        <v>137567233.44999999</v>
      </c>
      <c r="G10" s="291">
        <f>'6. WS Regression Analysis'!Z77</f>
        <v>137993374.59999999</v>
      </c>
      <c r="H10" s="291">
        <f>'6. WS Regression Analysis'!Z78</f>
        <v>137727428.06999999</v>
      </c>
      <c r="I10" s="291">
        <f>'6. WS Regression Analysis'!Z79</f>
        <v>134234594</v>
      </c>
      <c r="J10" s="291">
        <f>'6. WS Regression Analysis'!Z80</f>
        <v>144593587.54000002</v>
      </c>
      <c r="K10" s="291">
        <f>'6. WS Regression Analysis'!Z81</f>
        <v>144125560.60999998</v>
      </c>
      <c r="L10" s="291">
        <f>'6. WS Regression Analysis'!Z82</f>
        <v>150603831.59</v>
      </c>
      <c r="M10" s="291">
        <f>'6. WS Regression Analysis'!Z83</f>
        <v>154199190.50999999</v>
      </c>
      <c r="N10" s="291">
        <f>'6. WS Regression Analysis'!Z84</f>
        <v>157082097.17000002</v>
      </c>
      <c r="O10" s="291"/>
      <c r="P10" s="729"/>
    </row>
    <row r="11" spans="2:18" ht="13" x14ac:dyDescent="0.3">
      <c r="B11" s="731" t="s">
        <v>297</v>
      </c>
      <c r="C11" s="48"/>
      <c r="D11" s="12"/>
      <c r="E11" s="291">
        <f>'6. WS Regression Analysis'!AA75</f>
        <v>133029221.32035881</v>
      </c>
      <c r="F11" s="291">
        <f>'6. WS Regression Analysis'!AA76</f>
        <v>134035276.45342146</v>
      </c>
      <c r="G11" s="291">
        <f>'6. WS Regression Analysis'!AA77</f>
        <v>137810831.37041879</v>
      </c>
      <c r="H11" s="291">
        <f>'6. WS Regression Analysis'!AA78</f>
        <v>140510561.35024983</v>
      </c>
      <c r="I11" s="291">
        <f>'6. WS Regression Analysis'!AA79</f>
        <v>145115867.00065205</v>
      </c>
      <c r="J11" s="291">
        <f>'6. WS Regression Analysis'!AA80</f>
        <v>148650121.79243231</v>
      </c>
      <c r="K11" s="291">
        <f>'6. WS Regression Analysis'!AA81</f>
        <v>145115867.00065205</v>
      </c>
      <c r="L11" s="291">
        <f>'6. WS Regression Analysis'!AA82</f>
        <v>150850312.41998374</v>
      </c>
      <c r="M11" s="291">
        <f>'6. WS Regression Analysis'!AA83</f>
        <v>150962375.2510975</v>
      </c>
      <c r="N11" s="291">
        <f>'6. WS Regression Analysis'!AA84</f>
        <v>154882580.70166948</v>
      </c>
      <c r="O11" s="291">
        <f>+'6. WS Regression Analysis'!V142</f>
        <v>159325738.91465476</v>
      </c>
      <c r="P11" s="729">
        <f>+'6. WS Regression Analysis'!V154</f>
        <v>162434321.57996067</v>
      </c>
    </row>
    <row r="12" spans="2:18" ht="13" x14ac:dyDescent="0.3">
      <c r="B12" s="731" t="s">
        <v>298</v>
      </c>
      <c r="C12" s="48"/>
      <c r="D12" s="12"/>
      <c r="E12" s="730">
        <f>(E11-E10)/E10</f>
        <v>-2.6513777937521583E-2</v>
      </c>
      <c r="F12" s="730">
        <f t="shared" ref="F12:N12" si="0">(F11-F10)/F10</f>
        <v>-2.5674405946836534E-2</v>
      </c>
      <c r="G12" s="730">
        <f t="shared" si="0"/>
        <v>-1.3228405357166115E-3</v>
      </c>
      <c r="H12" s="730">
        <f t="shared" si="0"/>
        <v>2.0207545579340274E-2</v>
      </c>
      <c r="I12" s="730">
        <f t="shared" si="0"/>
        <v>8.1061615164955497E-2</v>
      </c>
      <c r="J12" s="730">
        <f t="shared" si="0"/>
        <v>2.8054731343532761E-2</v>
      </c>
      <c r="K12" s="730">
        <f t="shared" si="0"/>
        <v>6.8711364345135405E-3</v>
      </c>
      <c r="L12" s="730">
        <f t="shared" si="0"/>
        <v>1.6366172585486013E-3</v>
      </c>
      <c r="M12" s="730">
        <f t="shared" si="0"/>
        <v>-2.099113003250545E-2</v>
      </c>
      <c r="N12" s="730">
        <f t="shared" si="0"/>
        <v>-1.4002337045132105E-2</v>
      </c>
      <c r="O12" s="726"/>
      <c r="P12" s="728"/>
      <c r="R12" s="732"/>
    </row>
    <row r="13" spans="2:18" x14ac:dyDescent="0.25">
      <c r="B13" s="727"/>
      <c r="C13" s="48"/>
      <c r="D13" s="12"/>
      <c r="E13" s="726"/>
      <c r="F13" s="726"/>
      <c r="G13" s="726"/>
      <c r="H13" s="726"/>
      <c r="I13" s="726"/>
      <c r="J13" s="726"/>
      <c r="K13" s="726"/>
      <c r="L13" s="726"/>
      <c r="M13" s="726"/>
      <c r="N13" s="726"/>
      <c r="O13" s="726"/>
      <c r="P13" s="728"/>
    </row>
    <row r="14" spans="2:18" ht="13" x14ac:dyDescent="0.3">
      <c r="B14" s="731" t="s">
        <v>299</v>
      </c>
      <c r="C14" s="48"/>
      <c r="D14" s="12"/>
      <c r="E14" s="726"/>
      <c r="F14" s="726"/>
      <c r="G14" s="726"/>
      <c r="H14" s="726"/>
      <c r="I14" s="726"/>
      <c r="J14" s="726"/>
      <c r="K14" s="726"/>
      <c r="L14" s="726"/>
      <c r="M14" s="726"/>
      <c r="N14" s="726"/>
      <c r="O14" s="726"/>
      <c r="P14" s="728"/>
    </row>
    <row r="15" spans="2:18" x14ac:dyDescent="0.25">
      <c r="B15" s="574" t="s">
        <v>160</v>
      </c>
      <c r="C15" s="149" t="str">
        <f>IF($B15=$F$64,+$B$64,+IF($B15=$F$65,+$B$65,+IF($B15=$F$66,+$B$66,+IF($B15=$F$66,$B$66,+IF($B15=$F$67,+$B$67,+IF($B15=$F$68,+$B$68,+IF($B15=$F$69,+$B$69,+IF($B15=$F$70,+$B$70,+IF($B15=$F$71,+$B$71,+IF($B15=$F$72,+$B$72,+IF($B15=$F$73,+$B$73)))))))))))</f>
        <v>Residential</v>
      </c>
      <c r="D15" s="292" t="s">
        <v>94</v>
      </c>
      <c r="E15" s="342">
        <f>IF($C15='4. Customer Growth'!$C$7,+'4. Customer Growth'!$C$9,+IF($C15='4. Customer Growth'!$E$7,+'4. Customer Growth'!$E$9,+IF($C15='4. Customer Growth'!$G$7,+'4. Customer Growth'!$G$9,+IF($C15='4. Customer Growth'!$I$7,+'4. Customer Growth'!$I$9,+IF($C15='4. Customer Growth'!$K$7,+'4. Customer Growth'!$K$9,+IF($C15='4. Customer Growth'!$M$7,+'4. Customer Growth'!$M$9,IF($C15='4. Customer Growth'!$O$7,+'4. Customer Growth'!$O$9)))))))</f>
        <v>11857</v>
      </c>
      <c r="F15" s="342">
        <f>IF($C15='4. Customer Growth'!$C$7,+'4. Customer Growth'!$C$10,+IF($C15='4. Customer Growth'!$E$7,+'4. Customer Growth'!$E$10,+IF($C15='4. Customer Growth'!$G$7,+'4. Customer Growth'!$G$10,+IF($C15='4. Customer Growth'!$I$7,+'4. Customer Growth'!$I$10,+IF($C15='4. Customer Growth'!$K$7,+'4. Customer Growth'!$K$10,+IF($C15='4. Customer Growth'!$M$7,+'4. Customer Growth'!$M$10,IF($C15='4. Customer Growth'!$O$7,+'4. Customer Growth'!$O$10)))))))</f>
        <v>12082</v>
      </c>
      <c r="G15" s="342">
        <f>IF($C15='4. Customer Growth'!$C$7,+'4. Customer Growth'!$C$11,+IF($C15='4. Customer Growth'!$E$7,+'4. Customer Growth'!$E$11,+IF($C15='4. Customer Growth'!$G$7,+'4. Customer Growth'!$G$11,+IF($C15='4. Customer Growth'!$I$7,+'4. Customer Growth'!$I$11,+IF($C15='4. Customer Growth'!$K$7,+'4. Customer Growth'!$K$11,+IF($C15='4. Customer Growth'!$M$7,+'4. Customer Growth'!$M$11,IF($C15='4. Customer Growth'!$O$7,+'4. Customer Growth'!$O$11)))))))</f>
        <v>12257.5</v>
      </c>
      <c r="H15" s="342">
        <f>IF($C15='4. Customer Growth'!$C$7,+'4. Customer Growth'!$C$12,+IF($C15='4. Customer Growth'!$E$7,+'4. Customer Growth'!$E$12,+IF($C15='4. Customer Growth'!$G$7,+'4. Customer Growth'!$G$12,+IF($C15='4. Customer Growth'!$I$7,+'4. Customer Growth'!$I$12,+IF($C15='4. Customer Growth'!$K$7,+'4. Customer Growth'!$K$12,+IF($C15='4. Customer Growth'!$M$7,+'4. Customer Growth'!$M$12,IF($C15='4. Customer Growth'!$O$7,+'4. Customer Growth'!$O$12)))))))</f>
        <v>12427</v>
      </c>
      <c r="I15" s="342">
        <f>IF($C15='4. Customer Growth'!$C$7,+'4. Customer Growth'!$C$13,+IF($C15='4. Customer Growth'!$E$7,+'4. Customer Growth'!$E$13,+IF($C15='4. Customer Growth'!$G$7,+'4. Customer Growth'!$G$13,+IF($C15='4. Customer Growth'!$I$7,+'4. Customer Growth'!$I$13,+IF($C15='4. Customer Growth'!$K$7,+'4. Customer Growth'!$K$13,+IF($C15='4. Customer Growth'!$M$7,+'4. Customer Growth'!$M$13,IF($C15='4. Customer Growth'!$O$7,+'4. Customer Growth'!$O$13)))))))</f>
        <v>12621</v>
      </c>
      <c r="J15" s="342">
        <f>IF($C15='4. Customer Growth'!$C$7,+'4. Customer Growth'!$C$14,+IF($C15='4. Customer Growth'!$E$7,+'4. Customer Growth'!$E$14,+IF($C15='4. Customer Growth'!$G$7,+'4. Customer Growth'!$G$14,+IF($C15='4. Customer Growth'!$I$7,+'4. Customer Growth'!$I$14,+IF($C15='4. Customer Growth'!$K$7,+'4. Customer Growth'!$K$14,+IF($C15='4. Customer Growth'!$M$7,+'4. Customer Growth'!$M$14,IF($C15='4. Customer Growth'!$O$7,+'4. Customer Growth'!$O$14)))))))</f>
        <v>12838</v>
      </c>
      <c r="K15" s="342">
        <f>IF($C15='4. Customer Growth'!$C$7,+'4. Customer Growth'!$C$15,+IF($C15='4. Customer Growth'!$E$7,+'4. Customer Growth'!$E$15,+IF($C15='4. Customer Growth'!$G$7,+'4. Customer Growth'!$G$15,+IF($C15='4. Customer Growth'!$I$7,+'4. Customer Growth'!$I$15,+IF($C15='4. Customer Growth'!$K$7,+'4. Customer Growth'!$K$15,+IF($C15='4. Customer Growth'!$M$7,+'4. Customer Growth'!$M$15,IF($C15='4. Customer Growth'!$O$7,+'4. Customer Growth'!$O$15)))))))</f>
        <v>13035.5</v>
      </c>
      <c r="L15" s="342">
        <f>IF($C15='4. Customer Growth'!$C$7,+'4. Customer Growth'!$C$16,+IF($C15='4. Customer Growth'!$E$7,+'4. Customer Growth'!$E$16,+IF($C15='4. Customer Growth'!$G$7,+'4. Customer Growth'!$G$16,+IF($C15='4. Customer Growth'!$I$7,+'4. Customer Growth'!$I$16,+IF($C15='4. Customer Growth'!$K$7,+'4. Customer Growth'!$K$16,+IF($C15='4. Customer Growth'!$M$7,+'4. Customer Growth'!$M$16,IF($C15='4. Customer Growth'!$O$7,+'4. Customer Growth'!$O$16)))))))</f>
        <v>13263</v>
      </c>
      <c r="M15" s="342">
        <f>IF($C15='4. Customer Growth'!$C$7,+'4. Customer Growth'!$C$17,+IF($C15='4. Customer Growth'!$E$7,+'4. Customer Growth'!$E$17,+IF($C15='4. Customer Growth'!$G$7,+'4. Customer Growth'!$G$17,+IF($C15='4. Customer Growth'!$I$7,+'4. Customer Growth'!$I$17,+IF($C15='4. Customer Growth'!$K$7,+'4. Customer Growth'!$K$17,+IF($C15='4. Customer Growth'!$M$7,+'4. Customer Growth'!$M$17,IF($C15='4. Customer Growth'!$O$7,+'4. Customer Growth'!$O$17)))))))</f>
        <v>13507.5</v>
      </c>
      <c r="N15" s="342">
        <f>IF($C15='4. Customer Growth'!$C$7,+'4. Customer Growth'!$C$18,+IF($C15='4. Customer Growth'!$E$7,+'4. Customer Growth'!$E$18,+IF($C15='4. Customer Growth'!$G$7,+'4. Customer Growth'!$G$18,+IF($C15='4. Customer Growth'!$I$7,+'4. Customer Growth'!$I$18,+IF($C15='4. Customer Growth'!$K$7,+'4. Customer Growth'!$K$18,+IF($C15='4. Customer Growth'!$M$7,+'4. Customer Growth'!$M$18,IF($C15='4. Customer Growth'!$O$7,+'4. Customer Growth'!$O$18)))))))</f>
        <v>13800</v>
      </c>
      <c r="O15" s="342">
        <f>IF($C15='4. Customer Growth'!$C$7,+'4. Customer Growth'!$C$34,+IF($C15='4. Customer Growth'!$E$7,+'4. Customer Growth'!$E$34,+IF($C15='4. Customer Growth'!$G$7,+'4. Customer Growth'!$G$34,+IF($C15='4. Customer Growth'!$I$7,+'4. Customer Growth'!$I$34,+IF($C15='4. Customer Growth'!$K$7,+'4. Customer Growth'!$K$34,+IF($C15='4. Customer Growth'!$M$7,+'4. Customer Growth'!$M$34,IF($C15='4. Customer Growth'!$O$7,+'4. Customer Growth'!$O$34)))))))</f>
        <v>14154</v>
      </c>
      <c r="P15" s="343">
        <f>IF($C15='4. Customer Growth'!$C$7,+'4. Customer Growth'!$C$35,+IF($C15='4. Customer Growth'!$E$7,+'4. Customer Growth'!$E$35,+IF($C15='4. Customer Growth'!$G$7,+'4. Customer Growth'!$G$35,+IF($C15='4. Customer Growth'!$I$7,+'4. Customer Growth'!$I$35,+IF($C15='4. Customer Growth'!$K$7,+'4. Customer Growth'!$K$35,+IF($C15='4. Customer Growth'!$M$7,+'4. Customer Growth'!$M$35,IF($C15='4. Customer Growth'!$O$7,+'4. Customer Growth'!$O$35)))))))</f>
        <v>14408</v>
      </c>
    </row>
    <row r="16" spans="2:18" x14ac:dyDescent="0.25">
      <c r="B16" s="575"/>
      <c r="C16" s="48"/>
      <c r="D16" s="48" t="s">
        <v>35</v>
      </c>
      <c r="E16" s="342">
        <f>IF($B15=$F$64,+'7. Billed kWh'!$C$16,IF($B15=$F$65,+'7. Billed kWh'!$K$16,IF($B15=$F$66,+'7. Billed kWh'!$S$16,IF($B15=$F$67,+'7. Billed kWh'!$AA$16,IF($B15=$F$68,+'7. Billed kWh'!$AI$16,IF($B15=$F$69,+'7.1. Billed kW'!$E$12,IF($B15=$F$70,+'7.1. Billed kW'!$P$12,IF($B15=$F$71,+'7.1. Billed kW'!$Z$12,IF($B15=$F$72,+'7.1. Billed kW'!$AJ$12,IF($B15=$F$73,+'7.1. Billed kW'!$AT$12))))))))))</f>
        <v>86276533</v>
      </c>
      <c r="F16" s="342">
        <f>IF($B15=$F$64,+'7. Billed kWh'!$C$17,IF($B15=$F$65,+'7. Billed kWh'!$K$17,IF($B15=$F$66,+'7. Billed kWh'!$S$17,IF($B15=$F$67,+'7. Billed kWh'!$AA$17,IF($B15=$F$68,+'7. Billed kWh'!$AI$17,IF($B15=$F$69,+'7.1. Billed kW'!$E$13,IF($B15=$F$70,+'7.1. Billed kW'!$P$13,IF($B15=$F$71,+'7.1. Billed kW'!$Z$13,IF($B15=$F$72,+'7.1. Billed kW'!$AJ$13,IF($B15=$F$73,+'7.1. Billed kW'!$AT$13))))))))))</f>
        <v>87611190</v>
      </c>
      <c r="G16" s="342">
        <f>IF($B15=$F$64,+'7. Billed kWh'!$C$18,IF($B15=$F$65,+'7. Billed kWh'!$K$18,IF($B15=$F$66,+'7. Billed kWh'!$S$18,IF($B15=$F$67,+'7. Billed kWh'!$AA$18,IF($B15=$F$68,+'7. Billed kWh'!$AI$18,IF($B15=$F$69,+'7.1. Billed kW'!$E$14,IF($B15=$F$70,+'7.1. Billed kW'!$P$14,IF($B15=$F$71,+'7.1. Billed kW'!$Z$14,IF($B15=$F$72,+'7.1. Billed kW'!$AJ$14,IF($B15=$F$73,+'7.1. Billed kW'!$AT$14))))))))))</f>
        <v>88019894.347826093</v>
      </c>
      <c r="H16" s="342">
        <f>IF($B15=$F$64,+'7. Billed kWh'!$C$19,IF($B15=$F$65,+'7. Billed kWh'!$K$19,IF($B15=$F$66,+'7. Billed kWh'!$S$19,IF($B15=$F$67,+'7. Billed kWh'!$AA$19,IF($B15=$F$68,+'7. Billed kWh'!$AI$19,IF($B15=$F$69,+'7.1. Billed kW'!$E$15,IF($B15=$F$70,+'7.1. Billed kW'!$P$15,IF($B15=$F$71,+'7.1. Billed kW'!$Z$15,IF($B15=$F$72,+'7.1. Billed kW'!$AJ$15,IF($B15=$F$73,+'7.1. Billed kW'!$AT$15))))))))))</f>
        <v>89543529.152451292</v>
      </c>
      <c r="I16" s="342">
        <f>IF($B15=$F$64,+'7. Billed kWh'!$C$20,IF($B15=$F$65,+'7. Billed kWh'!$K$20,IF($B15=$F$66,+'7. Billed kWh'!$S$20,IF($B15=$F$67,+'7. Billed kWh'!$AA$20,IF($B15=$F$68,+'7. Billed kWh'!$AI$20,IF($B15=$F$69,+'7.1. Billed kW'!$E$16,IF($B15=$F$70,+'7.1. Billed kW'!$P$16,IF($B15=$F$71,+'7.1. Billed kW'!$Z$16,IF($B15=$F$72,+'7.1. Billed kW'!$AJ$16,IF($B15=$F$73,+'7.1. Billed kW'!$AT$16))))))))))</f>
        <v>87839401</v>
      </c>
      <c r="J16" s="342">
        <f>IF($B15=$F$64,+'7. Billed kWh'!$C$21,IF($B15=$F$65,+'7. Billed kWh'!$K$21,IF($B15=$F$66,+'7. Billed kWh'!$S$21,IF($B15=$F$67,+'7. Billed kWh'!$AA$21,IF($B15=$F$68,+'7. Billed kWh'!$AI$21,IF($B15=$F$69,+'7.1. Billed kW'!$E$17,IF($B15=$F$70,+'7.1. Billed kW'!$P$17,IF($B15=$F$71,+'7.1. Billed kW'!$Z$17,IF($B15=$F$72,+'7.1. Billed kW'!$AJ$17,IF($B15=$F$73,+'7.1. Billed kW'!$AT$17))))))))))</f>
        <v>95897147</v>
      </c>
      <c r="K16" s="342">
        <f>IF($B15=$F$64,+'7. Billed kWh'!$C$22,IF($B15=$F$65,+'7. Billed kWh'!$K$22,IF($B15=$F$66,+'7. Billed kWh'!$S$22,IF($B15=$F$67,+'7. Billed kWh'!$AA$22,IF($B15=$F$68,+'7. Billed kWh'!$AI$22,IF($B15=$F$69,+'7.1. Billed kW'!$E$18,IF($B15=$F$70,+'7.1. Billed kW'!$P$18,IF($B15=$F$71,+'7.1. Billed kW'!$Z$18,IF($B15=$F$72,+'7.1. Billed kW'!$AJ$18,IF($B15=$F$73,+'7.1. Billed kW'!$AT$18))))))))))</f>
        <v>95046949</v>
      </c>
      <c r="L16" s="342">
        <f>IF($B15=$F$64,+'7. Billed kWh'!$C$23,IF($B15=$F$65,+'7. Billed kWh'!$K$23,IF($B15=$F$66,+'7. Billed kWh'!$S$24,IF($B15=$F$67,+'7. Billed kWh'!$AA$23,IF($B15=$F$68,+'7. Billed kWh'!$AI$23,IF($B15=$F$69,+'7.1. Billed kW'!$E$19,IF($B15=$F$70,+'7.1. Billed kW'!$P$19,IF($B15=$F$71,+'7.1. Billed kW'!$Z$19,IF($B15=$F$72,+'7.1. Billed kW'!$AJ$19,IF($B15=$F$73,+'7.1. Billed kW'!$AT$19))))))))))</f>
        <v>102567918</v>
      </c>
      <c r="M16" s="342">
        <f>IF($B15=$F$64,+'7. Billed kWh'!$C$24,IF($B15=$F$65,+'7. Billed kWh'!$K$24,IF($B15=$F$66,+'7. Billed kWh'!$S$25,IF($B15=$F$67,+'7. Billed kWh'!$AA$24,IF($B15=$F$68,+'7. Billed kWh'!$AI$24,IF($B15=$F$69,+'7.1. Billed kW'!$E$20,IF($B15=$F$70,+'7.1. Billed kW'!$P$20,IF($B15=$F$71,+'7.1. Billed kW'!$Z$20,IF($B15=$F$72,+'7.1. Billed kW'!$AJ$20,IF($B15=$F$73,+'7.1. Billed kW'!$AT$20))))))))))</f>
        <v>104845989</v>
      </c>
      <c r="N16" s="342">
        <f>IF($B15=$F$64,+'7. Billed kWh'!$C$25,IF($B15=$F$65,+'7. Billed kWh'!$K$25,IF($B15=$F$66,+'7. Billed kWh'!$W$25,IF($B15=$F$67,+'7. Billed kWh'!$AA$25,IF($B15=$F$68,+'7. Billed kWh'!$AI$25,IF($B15=$F$69,+'7.1. Billed kW'!$E$21,IF($B15=$F$70,+'7.1. Billed kW'!$P$21,IF($B15=$F$71,+'7.1. Billed kW'!$Z$21,IF($B15=$F$72,+'7.1. Billed kW'!$AJ$21,IF($B15=$F$73,+'7.1. Billed kW'!$AT$21))))))))))</f>
        <v>105212685</v>
      </c>
      <c r="O16" s="342">
        <f>IF($B15=$F$64,+'7. Billed kWh'!$H$37,IF($B15=$F$65,+'7. Billed kWh'!$P$37,IF($B15=$F$66,+'7. Billed kWh'!$X$37,IF($B15=$F$67,+'7. Billed kWh'!$AF$37,IF($B15=$F$68,+'7. Billed kWh'!$AN$37,IF($B15=$F$69,+'7.1. Billed kW'!$I$40,IF($B15=$F$70,+'7.1. Billed kW'!$T$40,IF($B15=$F$71,+'7.1. Billed kW'!$AD$40,IF($B15=$F$72,+'7.1. Billed kW'!$AN$40,IF($B15=$F$73,+'7.1. Billed kW'!$AX$40))))))))))</f>
        <v>106350197.09524722</v>
      </c>
      <c r="P16" s="343">
        <f>IF($B15=$F$64,+'7. Billed kWh'!$H$38,IF($B15=$F$65,+'7. Billed kWh'!$P$38,IF($B15=$F$66,+'7. Billed kWh'!$X$38,IF($B15=$F$67,+'7. Billed kWh'!$AF$38,IF($B15=$F$68,+'7. Billed kWh'!$AN$38,IF($B15=$F$69,+'7.1. Billed kW'!$I$41,IF($B15=$F$70,+'7.1. Billed kW'!$T$41,IF($B15=$F$71,+'7.1. Billed kW'!$AD$41,IF($B15=$F$72,+'7.1. Billed kW'!$AN$41,IF($B15=$F$73,+'7.1. Billed kW'!$AX$41))))))))))</f>
        <v>108847740.38320151</v>
      </c>
    </row>
    <row r="17" spans="2:19" x14ac:dyDescent="0.25">
      <c r="B17" s="575"/>
      <c r="C17" s="48"/>
      <c r="D17" s="48" t="s">
        <v>36</v>
      </c>
      <c r="E17" s="300">
        <f>IF(B$15=$F$69,+'7.1. Billed kW'!$F$12,IF($B15=$F$70,+'7.1. Billed kW'!$Q$12,IF($B15=$F$71,+'7.1. Billed kW'!$AA$12,IF($B15=$F$72,+'7.1. Billed kW'!$AK$12,+IF($B15=$F$73,+'7.1. Billed kW'!$AU$12,0)))))</f>
        <v>0</v>
      </c>
      <c r="F17" s="300">
        <f>IF($B15=$F$69,+'7.1. Billed kW'!$F$13,IF($B15=$F$70,+'7.1. Billed kW'!$Q$13,IF($B15=$F$71,+'7.1. Billed kW'!$AA$13,IF($B15=$F$72,+'7.1. Billed kW'!$AK$13,+IF($B15=$F$73,+'7.1. Billed kW'!$AU$13,0)))))</f>
        <v>0</v>
      </c>
      <c r="G17" s="300">
        <f>IF($B15=$F$69,+'7.1. Billed kW'!$F$14,IF($B15=$F$70,+'7.1. Billed kW'!$Q$14,IF($B15=$F$71,+'7.1. Billed kW'!$AA$14,IF($B15=$F$72,+'7.1. Billed kW'!$AK$14,+IF($B15=$F$73,+'7.1. Billed kW'!$AU$14,0)))))</f>
        <v>0</v>
      </c>
      <c r="H17" s="300">
        <f>IF($B15=$F$69,+'7.1. Billed kW'!$F$15,IF($B15=$F$70,+'7.1. Billed kW'!$Q$15,IF($B15=$F$71,+'7.1. Billed kW'!$AA$15,IF($B15=$F$72,+'7.1. Billed kW'!$AK$15,+IF($B15=$F$73,+'7.1. Billed kW'!$AU$15,0)))))</f>
        <v>0</v>
      </c>
      <c r="I17" s="300">
        <f>IF($B15=$F$69,+'7.1. Billed kW'!$F$16,IF($B15=$F$70,+'7.1. Billed kW'!$Q$16,IF($B15=$F$71,+'7.1. Billed kW'!$AA$16,IF($B15=$F$72,+'7.1. Billed kW'!$AK$16,+IF($B15=$F$73,+'7.1. Billed kW'!$AU$16,0)))))</f>
        <v>0</v>
      </c>
      <c r="J17" s="300">
        <f>IF($B15=$F$69,+'7.1. Billed kW'!$F$17,IF($B15=$F$70,+'7.1. Billed kW'!$Q$17,IF($B15=$F$71,+'7.1. Billed kW'!$AA$17,IF($B15=$F$72,+'7.1. Billed kW'!$AK$17,+IF($B15=$F$73,+'7.1. Billed kW'!$AU$17,0)))))</f>
        <v>0</v>
      </c>
      <c r="K17" s="300">
        <f>IF($B15=$F$69,+'7.1. Billed kW'!$F$18,IF($B15=$F$70,+'7.1. Billed kW'!$Q$18,IF($B15=$F$71,+'7.1. Billed kW'!$AA$18,IF($B15=$F$72,+'7.1. Billed kW'!$AK$18,+IF($B15=$F$73,+'7.1. Billed kW'!$AU$18,0)))))</f>
        <v>0</v>
      </c>
      <c r="L17" s="300">
        <f>IF($B15=$F$69,+'7.1. Billed kW'!$F$19,IF($B15=$F$70,+'7.1. Billed kW'!$Q$19,IF($B15=$F$71,+'7.1. Billed kW'!$AA$19,IF($B15=$F$72,+'7.1. Billed kW'!$AK$19,+IF($B15=$F$73,+'7.1. Billed kW'!$AU$19,0)))))</f>
        <v>0</v>
      </c>
      <c r="M17" s="300">
        <f>IF($B15=$F$69,+'7.1. Billed kW'!$F$20,IF($B15=$F$70,+'7.1. Billed kW'!$Q$20,IF($B15=$F$71,+'7.1. Billed kW'!$AA$20,IF($B15=$F$72,+'7.1. Billed kW'!$AK$20,+IF($B15=$F$73,+'7.1. Billed kW'!$AU$20,0)))))</f>
        <v>0</v>
      </c>
      <c r="N17" s="300">
        <f>IF($B15=$F$69,+'7.1. Billed kW'!$F$21,IF($B15=$F$70,+'7.1. Billed kW'!$Q$21,IF($B15=$F$71,+'7.1. Billed kW'!$AA$21,IF($B15=$F$72,+'7.1. Billed kW'!$AK$21,+IF($B15=$F$73,+'7.1. Billed kW'!$AU$21,0)))))</f>
        <v>0</v>
      </c>
      <c r="O17" s="300">
        <f>IF($B15=$F$69,+'7.1. Billed kW'!$J$40,IF($B15=$F$70,+'7.1. Billed kW'!$U$40,IF($B15=$F$71,+'7.1. Billed kW'!$AE$40,IF($B15=$F$72,+'7.1. Billed kW'!$AO$40,+IF($B15=$F$73,+'7.1. Billed kW'!$AY$40,0)))))</f>
        <v>0</v>
      </c>
      <c r="P17" s="344">
        <f>IF($B15=$F$69,+'7.1. Billed kW'!$J$41,IF($B15=$F$70,+'7.1. Billed kW'!$U$41,IF($B15=$F$71,+'7.1. Billed kW'!$AE$41,IF($B15=$F$72,+'7.1. Billed kW'!$AO$41,+IF($B15=$F$73,+'7.1. Billed kW'!$AY$41,0)))))</f>
        <v>0</v>
      </c>
    </row>
    <row r="18" spans="2:19" x14ac:dyDescent="0.25">
      <c r="B18" s="575"/>
      <c r="C18" s="48"/>
      <c r="D18" s="48"/>
      <c r="E18" s="300"/>
      <c r="F18" s="300"/>
      <c r="G18" s="300"/>
      <c r="H18" s="300"/>
      <c r="I18" s="300"/>
      <c r="J18" s="300"/>
      <c r="K18" s="300"/>
      <c r="L18" s="300"/>
      <c r="M18" s="300"/>
      <c r="N18" s="300"/>
      <c r="O18" s="301"/>
      <c r="P18" s="302"/>
    </row>
    <row r="19" spans="2:19" x14ac:dyDescent="0.25">
      <c r="B19" s="576" t="s">
        <v>159</v>
      </c>
      <c r="C19" s="149" t="str">
        <f>IF($B19=$F$64,+$B$64,+IF($B19=$F$65,+$B$65,+IF($B19=$F$66,+$B$66,+IF($B19=$F$66,$B$66,+IF($B19=$F$67,+$B$67,+IF($B19=$F$68,+$B$68,+IF($B19=$F$69,+$B$69,+IF($B19=$F$70,+$B$70,+IF($B19=$F$71,+$B$71,+IF($B19=$F$72,+$B$72,+IF($B19=$F$73,+$B$73)))))))))))</f>
        <v>General Service &lt; 50 kW</v>
      </c>
      <c r="D19" s="76" t="s">
        <v>94</v>
      </c>
      <c r="E19" s="342">
        <f>IF($C19='4. Customer Growth'!$C$7,+'4. Customer Growth'!$C$9,+IF($C19='4. Customer Growth'!$E$7,+'4. Customer Growth'!$E$9,+IF($C19='4. Customer Growth'!$G$7,+'4. Customer Growth'!$G$9,+IF($C19='4. Customer Growth'!$I$7,+'4. Customer Growth'!$I$9,+IF($C19='4. Customer Growth'!$K$7,+'4. Customer Growth'!$K$9,+IF($C19='4. Customer Growth'!$M$7,+'4. Customer Growth'!$M$9,IF($C19='4. Customer Growth'!$O$7,+'4. Customer Growth'!$O$9)))))))</f>
        <v>784</v>
      </c>
      <c r="F19" s="342">
        <f>IF($C19='4. Customer Growth'!$C$7,+'4. Customer Growth'!$C$10,+IF($C19='4. Customer Growth'!$E$7,+'4. Customer Growth'!$E$10,+IF($C19='4. Customer Growth'!$G$7,+'4. Customer Growth'!$G$10,+IF($C19='4. Customer Growth'!$I$7,+'4. Customer Growth'!$I$10,+IF($C19='4. Customer Growth'!$K$7,+'4. Customer Growth'!$K$10,+IF($C19='4. Customer Growth'!$M$7,+'4. Customer Growth'!$M$10,IF($C19='4. Customer Growth'!$O$7,+'4. Customer Growth'!$O$10)))))))</f>
        <v>783</v>
      </c>
      <c r="G19" s="342">
        <f>IF($C19='4. Customer Growth'!$C$7,+'4. Customer Growth'!$C$11,+IF($C19='4. Customer Growth'!$E$7,+'4. Customer Growth'!$E$11,+IF($C19='4. Customer Growth'!$G$7,+'4. Customer Growth'!$G$11,+IF($C19='4. Customer Growth'!$I$7,+'4. Customer Growth'!$I$11,+IF($C19='4. Customer Growth'!$K$7,+'4. Customer Growth'!$K$11,+IF($C19='4. Customer Growth'!$M$7,+'4. Customer Growth'!$M$11,IF($C19='4. Customer Growth'!$O$7,+'4. Customer Growth'!$O$11)))))))</f>
        <v>785</v>
      </c>
      <c r="H19" s="342">
        <f>IF($C19='4. Customer Growth'!$C$7,+'4. Customer Growth'!$C$12,+IF($C19='4. Customer Growth'!$E$7,+'4. Customer Growth'!$E$12,+IF($C19='4. Customer Growth'!$G$7,+'4. Customer Growth'!$G$12,+IF($C19='4. Customer Growth'!$I$7,+'4. Customer Growth'!$I$12,+IF($C19='4. Customer Growth'!$K$7,+'4. Customer Growth'!$K$12,+IF($C19='4. Customer Growth'!$M$7,+'4. Customer Growth'!$M$12,IF($C19='4. Customer Growth'!$O$7,+'4. Customer Growth'!$O$12)))))))</f>
        <v>795.5</v>
      </c>
      <c r="I19" s="342">
        <f>IF($C19='4. Customer Growth'!$C$7,+'4. Customer Growth'!$C$13,+IF($C19='4. Customer Growth'!$E$7,+'4. Customer Growth'!$E$13,+IF($C19='4. Customer Growth'!$G$7,+'4. Customer Growth'!$G$13,+IF($C19='4. Customer Growth'!$I$7,+'4. Customer Growth'!$I$13,+IF($C19='4. Customer Growth'!$K$7,+'4. Customer Growth'!$K$13,+IF($C19='4. Customer Growth'!$M$7,+'4. Customer Growth'!$M$13,IF($C19='4. Customer Growth'!$O$7,+'4. Customer Growth'!$O$13)))))))</f>
        <v>812.5</v>
      </c>
      <c r="J19" s="342">
        <f>IF($C19='4. Customer Growth'!$C$7,+'4. Customer Growth'!$C$14,+IF($C19='4. Customer Growth'!$E$7,+'4. Customer Growth'!$E$14,+IF($C19='4. Customer Growth'!$G$7,+'4. Customer Growth'!$G$14,+IF($C19='4. Customer Growth'!$I$7,+'4. Customer Growth'!$I$14,+IF($C19='4. Customer Growth'!$K$7,+'4. Customer Growth'!$K$14,+IF($C19='4. Customer Growth'!$M$7,+'4. Customer Growth'!$M$14,IF($C19='4. Customer Growth'!$O$7,+'4. Customer Growth'!$O$14)))))))</f>
        <v>819</v>
      </c>
      <c r="K19" s="342">
        <f>IF($C19='4. Customer Growth'!$C$7,+'4. Customer Growth'!$C$15,+IF($C19='4. Customer Growth'!$E$7,+'4. Customer Growth'!$E$15,+IF($C19='4. Customer Growth'!$G$7,+'4. Customer Growth'!$G$15,+IF($C19='4. Customer Growth'!$I$7,+'4. Customer Growth'!$I$15,+IF($C19='4. Customer Growth'!$K$7,+'4. Customer Growth'!$K$15,+IF($C19='4. Customer Growth'!$M$7,+'4. Customer Growth'!$M$15,IF($C19='4. Customer Growth'!$O$7,+'4. Customer Growth'!$O$15)))))))</f>
        <v>826.5</v>
      </c>
      <c r="L19" s="342">
        <f>IF($C19='4. Customer Growth'!$C$7,+'4. Customer Growth'!$C$16,+IF($C19='4. Customer Growth'!$E$7,+'4. Customer Growth'!$E$16,+IF($C19='4. Customer Growth'!$G$7,+'4. Customer Growth'!$G$16,+IF($C19='4. Customer Growth'!$I$7,+'4. Customer Growth'!$I$16,+IF($C19='4. Customer Growth'!$K$7,+'4. Customer Growth'!$K$16,+IF($C19='4. Customer Growth'!$M$7,+'4. Customer Growth'!$M$16,IF($C19='4. Customer Growth'!$O$7,+'4. Customer Growth'!$O$16)))))))</f>
        <v>832.5</v>
      </c>
      <c r="M19" s="342">
        <f>IF($C19='4. Customer Growth'!$C$7,+'4. Customer Growth'!$C$17,+IF($C19='4. Customer Growth'!$E$7,+'4. Customer Growth'!$E$17,+IF($C19='4. Customer Growth'!$G$7,+'4. Customer Growth'!$G$17,+IF($C19='4. Customer Growth'!$I$7,+'4. Customer Growth'!$I$17,+IF($C19='4. Customer Growth'!$K$7,+'4. Customer Growth'!$K$17,+IF($C19='4. Customer Growth'!$M$7,+'4. Customer Growth'!$M$17,IF($C19='4. Customer Growth'!$O$7,+'4. Customer Growth'!$O$17)))))))</f>
        <v>831</v>
      </c>
      <c r="N19" s="342">
        <f>IF($C19='4. Customer Growth'!$C$7,+'4. Customer Growth'!$C$18,+IF($C19='4. Customer Growth'!$E$7,+'4. Customer Growth'!$E$18,+IF($C19='4. Customer Growth'!$G$7,+'4. Customer Growth'!$G$18,+IF($C19='4. Customer Growth'!$I$7,+'4. Customer Growth'!$I$18,+IF($C19='4. Customer Growth'!$K$7,+'4. Customer Growth'!$K$18,+IF($C19='4. Customer Growth'!$M$7,+'4. Customer Growth'!$M$18,IF($C19='4. Customer Growth'!$O$7,+'4. Customer Growth'!$O$18)))))))</f>
        <v>840</v>
      </c>
      <c r="O19" s="342">
        <f>IF($C19='4. Customer Growth'!$C$7,+'4. Customer Growth'!$C$34,+IF($C19='4. Customer Growth'!$E$7,+'4. Customer Growth'!$E$34,+IF($C19='4. Customer Growth'!$G$7,+'4. Customer Growth'!$G$34,+IF($C19='4. Customer Growth'!$I$7,+'4. Customer Growth'!$I$34,+IF($C19='4. Customer Growth'!$K$7,+'4. Customer Growth'!$K$34,+IF($C19='4. Customer Growth'!$M$7,+'4. Customer Growth'!$M$34,IF($C19='4. Customer Growth'!$O$7,+'4. Customer Growth'!$O$34)))))))</f>
        <v>852</v>
      </c>
      <c r="P19" s="343">
        <f>IF($C19='4. Customer Growth'!$C$7,+'4. Customer Growth'!$C$35,+IF($C19='4. Customer Growth'!$E$7,+'4. Customer Growth'!$E$35,+IF($C19='4. Customer Growth'!$G$7,+'4. Customer Growth'!$G$35,+IF($C19='4. Customer Growth'!$I$7,+'4. Customer Growth'!$I$35,+IF($C19='4. Customer Growth'!$K$7,+'4. Customer Growth'!$K$35,+IF($C19='4. Customer Growth'!$M$7,+'4. Customer Growth'!$M$35,IF($C19='4. Customer Growth'!$O$7,+'4. Customer Growth'!$O$35)))))))</f>
        <v>858</v>
      </c>
      <c r="S19" s="625"/>
    </row>
    <row r="20" spans="2:19" x14ac:dyDescent="0.25">
      <c r="B20" s="575"/>
      <c r="C20" s="48"/>
      <c r="D20" s="48" t="s">
        <v>35</v>
      </c>
      <c r="E20" s="342">
        <f>IF($B19=$F$64,+'7. Billed kWh'!$C$16,IF($B19=$F$65,+'7. Billed kWh'!$K$16,IF($B19=$F$66,+'7. Billed kWh'!$S$16,IF($B19=$F$67,+'7. Billed kWh'!$AA$16,IF($B19=$F$68,+'7. Billed kWh'!$AI$16,IF($B19=$F$69,+'7.1. Billed kW'!$E$12,IF($B19=$F$70,+'7.1. Billed kW'!$P$12,IF($B19=$F$71,+'7.1. Billed kW'!$Z$12,IF($B19=$F$72,+'7.1. Billed kW'!$AJ$12,IF($B19=$F$73,+'7.1. Billed kW'!$AT$12))))))))))</f>
        <v>16432349</v>
      </c>
      <c r="F20" s="342">
        <f>IF($B19=$F$64,+'7. Billed kWh'!$C$17,IF($B19=$F$65,+'7. Billed kWh'!$K$17,IF($B19=$F$66,+'7. Billed kWh'!$S$17,IF($B19=$F$67,+'7. Billed kWh'!$AA$17,IF($B19=$F$68,+'7. Billed kWh'!$AI$17,IF($B19=$F$69,+'7.1. Billed kW'!$E$13,IF($B19=$F$70,+'7.1. Billed kW'!$P$13,IF($B19=$F$71,+'7.1. Billed kW'!$Z$13,IF($B19=$F$72,+'7.1. Billed kW'!$AJ$13,IF($B19=$F$73,+'7.1. Billed kW'!$AT$13))))))))))</f>
        <v>16552641</v>
      </c>
      <c r="G20" s="342">
        <f>IF($B19=$F$64,+'7. Billed kWh'!$C$18,IF($B19=$F$65,+'7. Billed kWh'!$K$18,IF($B19=$F$66,+'7. Billed kWh'!$S$18,IF($B19=$F$67,+'7. Billed kWh'!$AA$18,IF($B19=$F$68,+'7. Billed kWh'!$AI$18,IF($B19=$F$69,+'7.1. Billed kW'!$E$14,IF($B19=$F$70,+'7.1. Billed kW'!$P$14,IF($B19=$F$71,+'7.1. Billed kW'!$Z$14,IF($B19=$F$72,+'7.1. Billed kW'!$AJ$14,IF($B19=$F$73,+'7.1. Billed kW'!$AT$14))))))))))</f>
        <v>16816719.898242369</v>
      </c>
      <c r="H20" s="342">
        <f>IF($B19=$F$64,+'7. Billed kWh'!$C$19,IF($B19=$F$65,+'7. Billed kWh'!$K$19,IF($B19=$F$66,+'7. Billed kWh'!$S$19,IF($B19=$F$67,+'7. Billed kWh'!$AA$19,IF($B19=$F$68,+'7. Billed kWh'!$AI$19,IF($B19=$F$69,+'7.1. Billed kW'!$E$15,IF($B19=$F$70,+'7.1. Billed kW'!$P$15,IF($B19=$F$71,+'7.1. Billed kW'!$Z$15,IF($B19=$F$72,+'7.1. Billed kW'!$AJ$15,IF($B19=$F$73,+'7.1. Billed kW'!$AT$15))))))))))</f>
        <v>17017150.589305334</v>
      </c>
      <c r="I20" s="342">
        <f>IF($B19=$F$64,+'7. Billed kWh'!$C$20,IF($B19=$F$65,+'7. Billed kWh'!$K$20,IF($B19=$F$66,+'7. Billed kWh'!$S$20,IF($B19=$F$67,+'7. Billed kWh'!$AA$20,IF($B19=$F$68,+'7. Billed kWh'!$AI$20,IF($B19=$F$69,+'7.1. Billed kW'!$E$16,IF($B19=$F$70,+'7.1. Billed kW'!$P$16,IF($B19=$F$71,+'7.1. Billed kW'!$Z$16,IF($B19=$F$72,+'7.1. Billed kW'!$AJ$16,IF($B19=$F$73,+'7.1. Billed kW'!$AT$16))))))))))</f>
        <v>17003638</v>
      </c>
      <c r="J20" s="342">
        <f>IF($B19=$F$64,+'7. Billed kWh'!$C$21,IF($B19=$F$65,+'7. Billed kWh'!$K$21,IF($B19=$F$66,+'7. Billed kWh'!$S$21,IF($B19=$F$67,+'7. Billed kWh'!$AA$21,IF($B19=$F$68,+'7. Billed kWh'!$AI$21,IF($B19=$F$69,+'7.1. Billed kW'!$E$17,IF($B19=$F$70,+'7.1. Billed kW'!$P$17,IF($B19=$F$71,+'7.1. Billed kW'!$Z$17,IF($B19=$F$72,+'7.1. Billed kW'!$AJ$17,IF($B19=$F$73,+'7.1. Billed kW'!$AT$17))))))))))</f>
        <v>17666223</v>
      </c>
      <c r="K20" s="342">
        <f>IF($B19=$F$64,+'7. Billed kWh'!$C$22,IF($B19=$F$65,+'7. Billed kWh'!$K$22,IF($B19=$F$66,+'7. Billed kWh'!$S$22,IF($B19=$F$67,+'7. Billed kWh'!$AA$22,IF($B19=$F$68,+'7. Billed kWh'!$AI$22,IF($B19=$F$69,+'7.1. Billed kW'!$E$18,IF($B19=$F$70,+'7.1. Billed kW'!$P$18,IF($B19=$F$71,+'7.1. Billed kW'!$Z$18,IF($B19=$F$72,+'7.1. Billed kW'!$AJ$18,IF($B19=$F$73,+'7.1. Billed kW'!$AT$18))))))))))</f>
        <v>17600016</v>
      </c>
      <c r="L20" s="342">
        <f>IF($B19=$F$64,+'7. Billed kWh'!$C$23,IF($B19=$F$65,+'7. Billed kWh'!$K$23,IF($B19=$F$66,+'7. Billed kWh'!$S$24,IF($B19=$F$67,+'7. Billed kWh'!$AA$23,IF($B19=$F$68,+'7. Billed kWh'!$AI$23,IF($B19=$F$69,+'7.1. Billed kW'!$E$19,IF($B19=$F$70,+'7.1. Billed kW'!$P$19,IF($B19=$F$71,+'7.1. Billed kW'!$Z$19,IF($B19=$F$72,+'7.1. Billed kW'!$AJ$19,IF($B19=$F$73,+'7.1. Billed kW'!$AT$19))))))))))</f>
        <v>16820699</v>
      </c>
      <c r="M20" s="342">
        <f>IF($B19=$F$64,+'7. Billed kWh'!$C$24,IF($B19=$F$65,+'7. Billed kWh'!$K$24,IF($B19=$F$66,+'7. Billed kWh'!$S$25,IF($B19=$F$67,+'7. Billed kWh'!$AA$24,IF($B19=$F$68,+'7. Billed kWh'!$AI$24,IF($B19=$F$69,+'7.1. Billed kW'!$E$20,IF($B19=$F$70,+'7.1. Billed kW'!$P$20,IF($B19=$F$71,+'7.1. Billed kW'!$Z$20,IF($B19=$F$72,+'7.1. Billed kW'!$AJ$20,IF($B19=$F$73,+'7.1. Billed kW'!$AT$20))))))))))</f>
        <v>17504591</v>
      </c>
      <c r="N20" s="342">
        <f>IF($B19=$F$64,+'7. Billed kWh'!$C$25,IF($B19=$F$65,+'7. Billed kWh'!$K$25,IF($B19=$F$66,+'7. Billed kWh'!$W$25,IF($B19=$F$67,+'7. Billed kWh'!$AA$25,IF($B19=$F$68,+'7. Billed kWh'!$AI$25,IF($B19=$F$69,+'7.1. Billed kW'!$E$21,IF($B19=$F$70,+'7.1. Billed kW'!$P$21,IF($B19=$F$71,+'7.1. Billed kW'!$Z$21,IF($B19=$F$72,+'7.1. Billed kW'!$AJ$21,IF($B19=$F$73,+'7.1. Billed kW'!$AT$21))))))))))</f>
        <v>18818565</v>
      </c>
      <c r="O20" s="342">
        <f>IF($B19=$F$64,+'7. Billed kWh'!$H$37,IF($B19=$F$65,+'7. Billed kWh'!$P$37,IF($B19=$F$66,+'7. Billed kWh'!$X$37,IF($B19=$F$67,+'7. Billed kWh'!$AF$37,IF($B19=$F$68,+'7. Billed kWh'!$AN$37,IF($B19=$F$69,+'7.1. Billed kW'!$I$40,IF($B19=$F$70,+'7.1. Billed kW'!$T$40,IF($B19=$F$71,+'7.1. Billed kW'!$AD$40,IF($B19=$F$72,+'7.1. Billed kW'!$AN$40,IF($B19=$F$73,+'7.1. Billed kW'!$AX$40))))))))))</f>
        <v>18852905.426608346</v>
      </c>
      <c r="P20" s="343">
        <f>IF($B19=$F$64,+'7. Billed kWh'!$H$38,IF($B19=$F$65,+'7. Billed kWh'!$P$38,IF($B19=$F$66,+'7. Billed kWh'!$X$38,IF($B19=$F$67,+'7. Billed kWh'!$AF$38,IF($B19=$F$68,+'7. Billed kWh'!$AN$38,IF($B19=$F$69,+'7.1. Billed kW'!$I$41,IF($B19=$F$70,+'7.1. Billed kW'!$T$41,IF($B19=$F$71,+'7.1. Billed kW'!$AD$41,IF($B19=$F$72,+'7.1. Billed kW'!$AN$41,IF($B19=$F$73,+'7.1. Billed kW'!$AX$41))))))))))</f>
        <v>19131277.822161231</v>
      </c>
    </row>
    <row r="21" spans="2:19" x14ac:dyDescent="0.25">
      <c r="B21" s="575"/>
      <c r="C21" s="48"/>
      <c r="D21" s="48" t="s">
        <v>36</v>
      </c>
      <c r="E21" s="300">
        <f>IF(B$15=$F$69,+'7.1. Billed kW'!$F$12,IF($B19=$F$70,+'7.1. Billed kW'!$Q$12,IF($B19=$F$71,+'7.1. Billed kW'!$AA$12,IF($B19=$F$72,+'7.1. Billed kW'!$AK$12,+IF($B19=$F$73,+'7.1. Billed kW'!$AU$12,0)))))</f>
        <v>0</v>
      </c>
      <c r="F21" s="300">
        <f>IF($B19=$F$69,+'7.1. Billed kW'!$F$13,IF($B19=$F$70,+'7.1. Billed kW'!$Q$13,IF($B19=$F$71,+'7.1. Billed kW'!$AA$13,IF($B19=$F$72,+'7.1. Billed kW'!$AK$13,+IF($B19=$F$73,+'7.1. Billed kW'!$AU$13,0)))))</f>
        <v>0</v>
      </c>
      <c r="G21" s="300">
        <f>IF($B19=$F$69,+'7.1. Billed kW'!$F$14,IF($B19=$F$70,+'7.1. Billed kW'!$Q$14,IF($B19=$F$71,+'7.1. Billed kW'!$AA$14,IF($B19=$F$72,+'7.1. Billed kW'!$AK$14,+IF($B19=$F$73,+'7.1. Billed kW'!$AU$14,0)))))</f>
        <v>0</v>
      </c>
      <c r="H21" s="300">
        <f>IF($B19=$F$69,+'7.1. Billed kW'!$F$15,IF($B19=$F$70,+'7.1. Billed kW'!$Q$15,IF($B19=$F$71,+'7.1. Billed kW'!$AA$15,IF($B19=$F$72,+'7.1. Billed kW'!$AK$15,+IF($B19=$F$73,+'7.1. Billed kW'!$AU$15,0)))))</f>
        <v>0</v>
      </c>
      <c r="I21" s="300">
        <f>IF($B19=$F$69,+'7.1. Billed kW'!$F$16,IF($B19=$F$70,+'7.1. Billed kW'!$Q$16,IF($B19=$F$71,+'7.1. Billed kW'!$AA$16,IF($B19=$F$72,+'7.1. Billed kW'!$AK$16,+IF($B19=$F$73,+'7.1. Billed kW'!$AU$16,0)))))</f>
        <v>0</v>
      </c>
      <c r="J21" s="300">
        <f>IF($B19=$F$69,+'7.1. Billed kW'!$F$17,IF($B19=$F$70,+'7.1. Billed kW'!$Q$17,IF($B19=$F$71,+'7.1. Billed kW'!$AA$17,IF($B19=$F$72,+'7.1. Billed kW'!$AK$17,+IF($B19=$F$73,+'7.1. Billed kW'!$AU$17,0)))))</f>
        <v>0</v>
      </c>
      <c r="K21" s="300">
        <f>IF($B19=$F$69,+'7.1. Billed kW'!$F$18,IF($B19=$F$70,+'7.1. Billed kW'!$Q$18,IF($B19=$F$71,+'7.1. Billed kW'!$AA$18,IF($B19=$F$72,+'7.1. Billed kW'!$AK$18,+IF($B19=$F$73,+'7.1. Billed kW'!$AU$18,0)))))</f>
        <v>0</v>
      </c>
      <c r="L21" s="300">
        <f>IF($B19=$F$69,+'7.1. Billed kW'!$F$19,IF($B19=$F$70,+'7.1. Billed kW'!$Q$19,IF($B19=$F$71,+'7.1. Billed kW'!$AA$19,IF($B19=$F$72,+'7.1. Billed kW'!$AK$19,+IF($B19=$F$73,+'7.1. Billed kW'!$AU$19,0)))))</f>
        <v>0</v>
      </c>
      <c r="M21" s="300">
        <f>IF($B19=$F$69,+'7.1. Billed kW'!$F$20,IF($B19=$F$70,+'7.1. Billed kW'!$Q$20,IF($B19=$F$71,+'7.1. Billed kW'!$AA$20,IF($B19=$F$72,+'7.1. Billed kW'!$AK$20,+IF($B19=$F$73,+'7.1. Billed kW'!$AU$20,0)))))</f>
        <v>0</v>
      </c>
      <c r="N21" s="300">
        <f>IF($B19=$F$69,+'7.1. Billed kW'!$F$21,IF($B19=$F$70,+'7.1. Billed kW'!$Q$21,IF($B19=$F$71,+'7.1. Billed kW'!$AA$21,IF($B19=$F$72,+'7.1. Billed kW'!$AK$21,+IF($B19=$F$73,+'7.1. Billed kW'!$AU$21,0)))))</f>
        <v>0</v>
      </c>
      <c r="O21" s="300">
        <f>IF($B19=$F$69,+'7.1. Billed kW'!$J$40,IF($B19=$F$70,+'7.1. Billed kW'!$U$40,IF($B19=$F$71,+'7.1. Billed kW'!$AE$40,IF($B19=$F$72,+'7.1. Billed kW'!$AO$40,+IF($B19=$F$73,+'7.1. Billed kW'!$AY$40,0)))))</f>
        <v>0</v>
      </c>
      <c r="P21" s="344">
        <f>IF($B19=$F$69,+'7.1. Billed kW'!$J$41,IF($B19=$F$70,+'7.1. Billed kW'!$U$41,IF($B19=$F$71,+'7.1. Billed kW'!$AE$41,IF($B19=$F$72,+'7.1. Billed kW'!$AO$41,+IF($B19=$F$73,+'7.1. Billed kW'!$AY$41,0)))))</f>
        <v>0</v>
      </c>
    </row>
    <row r="22" spans="2:19" x14ac:dyDescent="0.25">
      <c r="B22" s="575"/>
      <c r="C22" s="48"/>
      <c r="D22" s="48"/>
      <c r="E22" s="300"/>
      <c r="F22" s="300"/>
      <c r="G22" s="300"/>
      <c r="H22" s="300"/>
      <c r="I22" s="300"/>
      <c r="J22" s="300"/>
      <c r="K22" s="300"/>
      <c r="L22" s="300"/>
      <c r="M22" s="300"/>
      <c r="N22" s="300"/>
      <c r="O22" s="301"/>
      <c r="P22" s="302"/>
    </row>
    <row r="23" spans="2:19" ht="37.5" x14ac:dyDescent="0.25">
      <c r="B23" s="576" t="s">
        <v>242</v>
      </c>
      <c r="C23" s="149" t="str">
        <f>IF($B23=$F$64,+$B$64,+IF($B23=$F$65,+$B$65,+IF($B23=$F$66,+$B$66,+IF($B23=$F$66,$B$66,+IF($B23=$F$67,+$B$67,+IF($B23=$F$68,+$B$68,+IF($B23=$F$69,+$B$69,+IF($B23=$F$70,+$B$70,+IF($B23=$F$71,+$B$71,+IF($B23=$F$72,+$B$72,+IF($B23=$F$73,+$B$73)))))))))))</f>
        <v>General Service &gt; 50 kW - 4999 kW - Excluding Wholesale Market Participant</v>
      </c>
      <c r="D23" s="76" t="s">
        <v>94</v>
      </c>
      <c r="E23" s="342">
        <f>IF($C23='4. Customer Growth'!$C$7,+'4. Customer Growth'!$C$9,+IF($C23='4. Customer Growth'!$E$7,+'4. Customer Growth'!$E$9,+IF($C23='4. Customer Growth'!$G$7,+'4. Customer Growth'!$G$9,+IF($C23='4. Customer Growth'!$I$7,+'4. Customer Growth'!$I$9,+IF($C23='4. Customer Growth'!$K$7,+'4. Customer Growth'!$K$9,+IF($C23='4. Customer Growth'!$M$7,+'4. Customer Growth'!$M$9,IF($C23='4. Customer Growth'!$O$7,+'4. Customer Growth'!$O$9)))))))</f>
        <v>35</v>
      </c>
      <c r="F23" s="342">
        <f>IF($C23='4. Customer Growth'!$C$7,+'4. Customer Growth'!$C$10,+IF($C23='4. Customer Growth'!$E$7,+'4. Customer Growth'!$E$10,+IF($C23='4. Customer Growth'!$G$7,+'4. Customer Growth'!$G$10,+IF($C23='4. Customer Growth'!$I$7,+'4. Customer Growth'!$I$10,+IF($C23='4. Customer Growth'!$K$7,+'4. Customer Growth'!$K$10,+IF($C23='4. Customer Growth'!$M$7,+'4. Customer Growth'!$M$10,IF($C23='4. Customer Growth'!$O$7,+'4. Customer Growth'!$O$10)))))))</f>
        <v>36</v>
      </c>
      <c r="G23" s="342">
        <f>IF($C23='4. Customer Growth'!$C$7,+'4. Customer Growth'!$C$11,+IF($C23='4. Customer Growth'!$E$7,+'4. Customer Growth'!$E$11,+IF($C23='4. Customer Growth'!$G$7,+'4. Customer Growth'!$G$11,+IF($C23='4. Customer Growth'!$I$7,+'4. Customer Growth'!$I$11,+IF($C23='4. Customer Growth'!$K$7,+'4. Customer Growth'!$K$11,+IF($C23='4. Customer Growth'!$M$7,+'4. Customer Growth'!$M$11,IF($C23='4. Customer Growth'!$O$7,+'4. Customer Growth'!$O$11)))))))</f>
        <v>37</v>
      </c>
      <c r="H23" s="342">
        <f>IF($C23='4. Customer Growth'!$C$7,+'4. Customer Growth'!$C$12,+IF($C23='4. Customer Growth'!$E$7,+'4. Customer Growth'!$E$12,+IF($C23='4. Customer Growth'!$G$7,+'4. Customer Growth'!$G$12,+IF($C23='4. Customer Growth'!$I$7,+'4. Customer Growth'!$I$12,+IF($C23='4. Customer Growth'!$K$7,+'4. Customer Growth'!$K$12,+IF($C23='4. Customer Growth'!$M$7,+'4. Customer Growth'!$M$12,IF($C23='4. Customer Growth'!$O$7,+'4. Customer Growth'!$O$12)))))))</f>
        <v>36</v>
      </c>
      <c r="I23" s="342">
        <f>IF($C23='4. Customer Growth'!$C$7,+'4. Customer Growth'!$C$13,+IF($C23='4. Customer Growth'!$E$7,+'4. Customer Growth'!$E$13,+IF($C23='4. Customer Growth'!$G$7,+'4. Customer Growth'!$G$13,+IF($C23='4. Customer Growth'!$I$7,+'4. Customer Growth'!$I$13,+IF($C23='4. Customer Growth'!$K$7,+'4. Customer Growth'!$K$13,+IF($C23='4. Customer Growth'!$M$7,+'4. Customer Growth'!$M$13,IF($C23='4. Customer Growth'!$O$7,+'4. Customer Growth'!$O$13)))))))</f>
        <v>34.5</v>
      </c>
      <c r="J23" s="342">
        <f>IF($C23='4. Customer Growth'!$C$7,+'4. Customer Growth'!$C$14,+IF($C23='4. Customer Growth'!$E$7,+'4. Customer Growth'!$E$14,+IF($C23='4. Customer Growth'!$G$7,+'4. Customer Growth'!$G$14,+IF($C23='4. Customer Growth'!$I$7,+'4. Customer Growth'!$I$14,+IF($C23='4. Customer Growth'!$K$7,+'4. Customer Growth'!$K$14,+IF($C23='4. Customer Growth'!$M$7,+'4. Customer Growth'!$M$14,IF($C23='4. Customer Growth'!$O$7,+'4. Customer Growth'!$O$14)))))))</f>
        <v>33.5</v>
      </c>
      <c r="K23" s="342">
        <f>IF($C23='4. Customer Growth'!$C$7,+'4. Customer Growth'!$C$15,+IF($C23='4. Customer Growth'!$E$7,+'4. Customer Growth'!$E$15,+IF($C23='4. Customer Growth'!$G$7,+'4. Customer Growth'!$G$15,+IF($C23='4. Customer Growth'!$I$7,+'4. Customer Growth'!$I$15,+IF($C23='4. Customer Growth'!$K$7,+'4. Customer Growth'!$K$15,+IF($C23='4. Customer Growth'!$M$7,+'4. Customer Growth'!$M$15,IF($C23='4. Customer Growth'!$O$7,+'4. Customer Growth'!$O$15)))))))</f>
        <v>34</v>
      </c>
      <c r="L23" s="342">
        <f>IF($C23='4. Customer Growth'!$C$7,+'4. Customer Growth'!$C$16,+IF($C23='4. Customer Growth'!$E$7,+'4. Customer Growth'!$E$16,+IF($C23='4. Customer Growth'!$G$7,+'4. Customer Growth'!$G$16,+IF($C23='4. Customer Growth'!$I$7,+'4. Customer Growth'!$I$16,+IF($C23='4. Customer Growth'!$K$7,+'4. Customer Growth'!$K$16,+IF($C23='4. Customer Growth'!$M$7,+'4. Customer Growth'!$M$16,IF($C23='4. Customer Growth'!$O$7,+'4. Customer Growth'!$O$16)))))))</f>
        <v>34</v>
      </c>
      <c r="M23" s="342">
        <f>IF($C23='4. Customer Growth'!$C$7,+'4. Customer Growth'!$C$17,+IF($C23='4. Customer Growth'!$E$7,+'4. Customer Growth'!$E$17,+IF($C23='4. Customer Growth'!$G$7,+'4. Customer Growth'!$G$17,+IF($C23='4. Customer Growth'!$I$7,+'4. Customer Growth'!$I$17,+IF($C23='4. Customer Growth'!$K$7,+'4. Customer Growth'!$K$17,+IF($C23='4. Customer Growth'!$M$7,+'4. Customer Growth'!$M$17,IF($C23='4. Customer Growth'!$O$7,+'4. Customer Growth'!$O$17)))))))</f>
        <v>33.5</v>
      </c>
      <c r="N23" s="342">
        <f>IF($C23='4. Customer Growth'!$C$7,+'4. Customer Growth'!$C$18,+IF($C23='4. Customer Growth'!$E$7,+'4. Customer Growth'!$E$18,+IF($C23='4. Customer Growth'!$G$7,+'4. Customer Growth'!$G$18,+IF($C23='4. Customer Growth'!$I$7,+'4. Customer Growth'!$I$18,+IF($C23='4. Customer Growth'!$K$7,+'4. Customer Growth'!$K$18,+IF($C23='4. Customer Growth'!$M$7,+'4. Customer Growth'!$M$18,IF($C23='4. Customer Growth'!$O$7,+'4. Customer Growth'!$O$18)))))))</f>
        <v>34.5</v>
      </c>
      <c r="O23" s="342">
        <f>IF($C23='4. Customer Growth'!$C$7,+'4. Customer Growth'!$C$34,+IF($C23='4. Customer Growth'!$E$7,+'4. Customer Growth'!$E$34,+IF($C23='4. Customer Growth'!$G$7,+'4. Customer Growth'!$G$34,+IF($C23='4. Customer Growth'!$I$7,+'4. Customer Growth'!$I$34,+IF($C23='4. Customer Growth'!$K$7,+'4. Customer Growth'!$K$34,+IF($C23='4. Customer Growth'!$M$7,+'4. Customer Growth'!$M$34,IF($C23='4. Customer Growth'!$O$7,+'4. Customer Growth'!$O$34)))))))</f>
        <v>36</v>
      </c>
      <c r="P23" s="343">
        <f>IF($C23='4. Customer Growth'!$C$7,+'4. Customer Growth'!$C$35,+IF($C23='4. Customer Growth'!$E$7,+'4. Customer Growth'!$E$35,+IF($C23='4. Customer Growth'!$G$7,+'4. Customer Growth'!$G$35,+IF($C23='4. Customer Growth'!$I$7,+'4. Customer Growth'!$I$35,+IF($C23='4. Customer Growth'!$K$7,+'4. Customer Growth'!$K$35,+IF($C23='4. Customer Growth'!$M$7,+'4. Customer Growth'!$M$35,IF($C23='4. Customer Growth'!$O$7,+'4. Customer Growth'!$O$35)))))))</f>
        <v>36</v>
      </c>
      <c r="R23" s="491"/>
    </row>
    <row r="24" spans="2:19" x14ac:dyDescent="0.25">
      <c r="B24" s="575"/>
      <c r="C24" s="48"/>
      <c r="D24" s="48" t="s">
        <v>35</v>
      </c>
      <c r="E24" s="342">
        <f>IF($B23=$F$64,+'7. Billed kWh'!$C$16,IF($B23=$F$65,+'7. Billed kWh'!$K$16,IF($B23=$F$66,+'7. Billed kWh'!$S$16,IF($B23=$F$67,+'7. Billed kWh'!$AA$16,IF($B23=$F$68,+'7. Billed kWh'!$AI$16,IF($B23=$F$69,+'7.1. Billed kW'!$E$12,IF($B23=$F$70,+'7.1. Billed kW'!$P$12,IF($B23=$F$71,+'7.1. Billed kW'!$Z$12,IF($B23=$F$72,+'7.1. Billed kW'!$AJ$12,IF($B23=$F$73,+'7.1. Billed kW'!$AT$12))))))))))</f>
        <v>17691775</v>
      </c>
      <c r="F24" s="342">
        <f>IF($B23=$F$64,+'7. Billed kWh'!$C$17,IF($B23=$F$65,+'7. Billed kWh'!$K$17,IF($B23=$F$66,+'7. Billed kWh'!$S$17,IF($B23=$F$67,+'7. Billed kWh'!$AA$17,IF($B23=$F$68,+'7. Billed kWh'!$AI$17,IF($B23=$F$69,+'7.1. Billed kW'!$E$13,IF($B23=$F$70,+'7.1. Billed kW'!$P$13,IF($B23=$F$71,+'7.1. Billed kW'!$Z$13,IF($B23=$F$72,+'7.1. Billed kW'!$AJ$13,IF($B23=$F$73,+'7.1. Billed kW'!$AT$13))))))))))</f>
        <v>17311423</v>
      </c>
      <c r="G24" s="342">
        <f>IF($B23=$F$64,+'7. Billed kWh'!$C$18,IF($B23=$F$65,+'7. Billed kWh'!$K$18,IF($B23=$F$66,+'7. Billed kWh'!$S$18,IF($B23=$F$67,+'7. Billed kWh'!$AA$18,IF($B23=$F$68,+'7. Billed kWh'!$AI$18,IF($B23=$F$69,+'7.1. Billed kW'!$E$14,IF($B23=$F$70,+'7.1. Billed kW'!$P$14,IF($B23=$F$71,+'7.1. Billed kW'!$Z$14,IF($B23=$F$72,+'7.1. Billed kW'!$AJ$14,IF($B23=$F$73,+'7.1. Billed kW'!$AT$14))))))))))</f>
        <v>17836299.185938943</v>
      </c>
      <c r="H24" s="342">
        <f>IF($B23=$F$64,+'7. Billed kWh'!$C$19,IF($B23=$F$65,+'7. Billed kWh'!$K$19,IF($B23=$F$66,+'7. Billed kWh'!$S$19,IF($B23=$F$67,+'7. Billed kWh'!$AA$19,IF($B23=$F$68,+'7. Billed kWh'!$AI$19,IF($B23=$F$69,+'7.1. Billed kW'!$E$15,IF($B23=$F$70,+'7.1. Billed kW'!$P$15,IF($B23=$F$71,+'7.1. Billed kW'!$Z$15,IF($B23=$F$72,+'7.1. Billed kW'!$AJ$15,IF($B23=$F$73,+'7.1. Billed kW'!$AT$15))))))))))</f>
        <v>17027791.473816048</v>
      </c>
      <c r="I24" s="342">
        <f>IF($B23=$F$64,+'7. Billed kWh'!$C$20,IF($B23=$F$65,+'7. Billed kWh'!$K$20,IF($B23=$F$66,+'7. Billed kWh'!$S$20,IF($B23=$F$67,+'7. Billed kWh'!$AA$20,IF($B23=$F$68,+'7. Billed kWh'!$AI$20,IF($B23=$F$69,+'7.1. Billed kW'!$E$16,IF($B23=$F$70,+'7.1. Billed kW'!$P$16,IF($B23=$F$71,+'7.1. Billed kW'!$Z$16,IF($B23=$F$72,+'7.1. Billed kW'!$AJ$16,IF($B23=$F$73,+'7.1. Billed kW'!$AT$16))))))))))</f>
        <v>16474910</v>
      </c>
      <c r="J24" s="342">
        <f>IF($B23=$F$64,+'7. Billed kWh'!$C$21,IF($B23=$F$65,+'7. Billed kWh'!$K$21,IF($B23=$F$66,+'7. Billed kWh'!$S$21,IF($B23=$F$67,+'7. Billed kWh'!$AA$21,IF($B23=$F$68,+'7. Billed kWh'!$AI$21,IF($B23=$F$69,+'7.1. Billed kW'!$E$17,IF($B23=$F$70,+'7.1. Billed kW'!$P$17,IF($B23=$F$71,+'7.1. Billed kW'!$Z$17,IF($B23=$F$72,+'7.1. Billed kW'!$AJ$17,IF($B23=$F$73,+'7.1. Billed kW'!$AT$17))))))))))</f>
        <v>17070974</v>
      </c>
      <c r="K24" s="342">
        <f>IF($B23=$F$64,+'7. Billed kWh'!$C$22,IF($B23=$F$65,+'7. Billed kWh'!$K$22,IF($B23=$F$66,+'7. Billed kWh'!$S$22,IF($B23=$F$67,+'7. Billed kWh'!$AA$22,IF($B23=$F$68,+'7. Billed kWh'!$AI$22,IF($B23=$F$69,+'7.1. Billed kW'!$E$18,IF($B23=$F$70,+'7.1. Billed kW'!$P$18,IF($B23=$F$71,+'7.1. Billed kW'!$Z$18,IF($B23=$F$72,+'7.1. Billed kW'!$AJ$18,IF($B23=$F$73,+'7.1. Billed kW'!$AT$18))))))))))</f>
        <v>17411107</v>
      </c>
      <c r="L24" s="342">
        <f>IF($B23=$F$64,+'7. Billed kWh'!$C$23,IF($B23=$F$65,+'7. Billed kWh'!$K$23,IF($B23=$F$66,+'7. Billed kWh'!$S$24,IF($B23=$F$67,+'7. Billed kWh'!$AA$23,IF($B23=$F$68,+'7. Billed kWh'!$AI$23,IF($B23=$F$69,+'7.1. Billed kW'!$E$19,IF($B23=$F$70,+'7.1. Billed kW'!$P$19,IF($B23=$F$71,+'7.1. Billed kW'!$Z$19,IF($B23=$F$72,+'7.1. Billed kW'!$AJ$19,IF($B23=$F$73,+'7.1. Billed kW'!$AT$19))))))))))</f>
        <v>16401961</v>
      </c>
      <c r="M24" s="342">
        <f>IF($B23=$F$64,+'7. Billed kWh'!$C$24,IF($B23=$F$65,+'7. Billed kWh'!$K$24,IF($B23=$F$66,+'7. Billed kWh'!$S$25,IF($B23=$F$67,+'7. Billed kWh'!$AA$24,IF($B23=$F$68,+'7. Billed kWh'!$AI$24,IF($B23=$F$69,+'7.1. Billed kW'!$E$20,IF($B23=$F$70,+'7.1. Billed kW'!$P$20,IF($B23=$F$71,+'7.1. Billed kW'!$Z$20,IF($B23=$F$72,+'7.1. Billed kW'!$AJ$20,IF($B23=$F$73,+'7.1. Billed kW'!$AT$20))))))))))</f>
        <v>17067244</v>
      </c>
      <c r="N24" s="342">
        <f>IF($B23=$F$64,+'7. Billed kWh'!$C$25,IF($B23=$F$65,+'7. Billed kWh'!$K$25,IF($B23=$F$66,+'7. Billed kWh'!$W$25,IF($B23=$F$67,+'7. Billed kWh'!$AA$25,IF($B23=$F$68,+'7. Billed kWh'!$AI$25,IF($B23=$F$69,+'7.1. Billed kW'!$E$21,IF($B23=$F$70,+'7.1. Billed kW'!$P$21,IF($B23=$F$71,+'7.1. Billed kW'!$Z$21,IF($B23=$F$72,+'7.1. Billed kW'!$AJ$21,IF($B23=$F$73,+'7.1. Billed kW'!$AT$21))))))))))</f>
        <v>18037476</v>
      </c>
      <c r="O24" s="342">
        <f>IF($B23=$F$64,+'7. Billed kWh'!$H$37,IF($B23=$F$65,+'7. Billed kWh'!$P$37,IF($B23=$F$66,+'7. Billed kWh'!$X$37,IF($B23=$F$67,+'7. Billed kWh'!$AF$37,IF($B23=$F$68,+'7. Billed kWh'!$AN$37,IF($B23=$F$69,+'7.1. Billed kW'!$I$40,IF($B23=$F$70,+'7.1. Billed kW'!$T$40,IF($B23=$F$71,+'7.1. Billed kW'!$AD$40,IF($B23=$F$72,+'7.1. Billed kW'!$AN$40,IF($B23=$F$73,+'7.1. Billed kW'!$AX$40))))))))))</f>
        <v>18547588.056752723</v>
      </c>
      <c r="P24" s="343">
        <f>IF($B23=$F$64,+'7. Billed kWh'!$H$38,IF($B23=$F$65,+'7. Billed kWh'!$P$38,IF($B23=$F$66,+'7. Billed kWh'!$X$38,IF($B23=$F$67,+'7. Billed kWh'!$AF$38,IF($B23=$F$68,+'7. Billed kWh'!$AN$38,IF($B23=$F$69,+'7.1. Billed kW'!$I$41,IF($B23=$F$70,+'7.1. Billed kW'!$T$41,IF($B23=$F$71,+'7.1. Billed kW'!$AD$41,IF($B23=$F$72,+'7.1. Billed kW'!$AN$41,IF($B23=$F$73,+'7.1. Billed kW'!$AX$41))))))))))</f>
        <v>18621416.213471785</v>
      </c>
    </row>
    <row r="25" spans="2:19" x14ac:dyDescent="0.25">
      <c r="B25" s="575"/>
      <c r="C25" s="48"/>
      <c r="D25" s="48" t="s">
        <v>36</v>
      </c>
      <c r="E25" s="300">
        <f>IF(B$23=$F$69,+'7.1. Billed kW'!$F$12,IF($B23=$F$70,+'7.1. Billed kW'!$Q$12,IF($B23=$F$71,+'7.1. Billed kW'!$AA$12,IF($B23=$F$72,+'7.1. Billed kW'!$AK$12,+IF($B23=$F$73,+'7.1. Billed kW'!$AU$12,0)))))</f>
        <v>46868</v>
      </c>
      <c r="F25" s="300">
        <f>IF($B23=$F$69,+'7.1. Billed kW'!$F$13,IF($B23=$F$70,+'7.1. Billed kW'!$Q$13,IF($B23=$F$71,+'7.1. Billed kW'!$AA$13,IF($B23=$F$72,+'7.1. Billed kW'!$AK$13,+IF($B23=$F$73,+'7.1. Billed kW'!$AU$13,0)))))</f>
        <v>45990</v>
      </c>
      <c r="G25" s="300">
        <f>IF($B23=$F$69,+'7.1. Billed kW'!$F$14,IF($B23=$F$70,+'7.1. Billed kW'!$Q$14,IF($B23=$F$71,+'7.1. Billed kW'!$AA$14,IF($B23=$F$72,+'7.1. Billed kW'!$AK$14,+IF($B23=$F$73,+'7.1. Billed kW'!$AU$14,0)))))</f>
        <v>46298.799999999996</v>
      </c>
      <c r="H25" s="300">
        <f>IF($B23=$F$69,+'7.1. Billed kW'!$F$15,IF($B23=$F$70,+'7.1. Billed kW'!$Q$15,IF($B23=$F$71,+'7.1. Billed kW'!$AA$15,IF($B23=$F$72,+'7.1. Billed kW'!$AK$15,+IF($B23=$F$73,+'7.1. Billed kW'!$AU$15,0)))))</f>
        <v>45180.1</v>
      </c>
      <c r="I25" s="300">
        <f>IF($B23=$F$69,+'7.1. Billed kW'!$F$16,IF($B23=$F$70,+'7.1. Billed kW'!$Q$16,IF($B23=$F$71,+'7.1. Billed kW'!$AA$16,IF($B23=$F$72,+'7.1. Billed kW'!$AK$16,+IF($B23=$F$73,+'7.1. Billed kW'!$AU$16,0)))))</f>
        <v>43086.400000000001</v>
      </c>
      <c r="J25" s="300">
        <f>IF($B23=$F$69,+'7.1. Billed kW'!$F$17,IF($B23=$F$70,+'7.1. Billed kW'!$Q$17,IF($B23=$F$71,+'7.1. Billed kW'!$AA$17,IF($B23=$F$72,+'7.1. Billed kW'!$AK$17,+IF($B23=$F$73,+'7.1. Billed kW'!$AU$17,0)))))</f>
        <v>45883.1</v>
      </c>
      <c r="K25" s="300">
        <f>IF($B23=$F$69,+'7.1. Billed kW'!$F$18,IF($B23=$F$70,+'7.1. Billed kW'!$Q$18,IF($B23=$F$71,+'7.1. Billed kW'!$AA$18,IF($B23=$F$72,+'7.1. Billed kW'!$AK$18,+IF($B23=$F$73,+'7.1. Billed kW'!$AU$18,0)))))</f>
        <v>43725.899999999994</v>
      </c>
      <c r="L25" s="300">
        <f>IF($B23=$F$69,+'7.1. Billed kW'!$F$19,IF($B23=$F$70,+'7.1. Billed kW'!$Q$19,IF($B23=$F$71,+'7.1. Billed kW'!$AA$19,IF($B23=$F$72,+'7.1. Billed kW'!$AK$19,+IF($B23=$F$73,+'7.1. Billed kW'!$AU$19,0)))))</f>
        <v>42527.5</v>
      </c>
      <c r="M25" s="300">
        <f>IF($B23=$F$69,+'7.1. Billed kW'!$F$20,IF($B23=$F$70,+'7.1. Billed kW'!$Q$20,IF($B23=$F$71,+'7.1. Billed kW'!$AA$20,IF($B23=$F$72,+'7.1. Billed kW'!$AK$20,+IF($B23=$F$73,+'7.1. Billed kW'!$AU$20,0)))))</f>
        <v>43572.3</v>
      </c>
      <c r="N25" s="300">
        <f>IF($B23=$F$69,+'7.1. Billed kW'!$F$21,IF($B23=$F$70,+'7.1. Billed kW'!$Q$21,IF($B23=$F$71,+'7.1. Billed kW'!$AA$21,IF($B23=$F$72,+'7.1. Billed kW'!$AK$21,+IF($B23=$F$73,+'7.1. Billed kW'!$AU$21,0)))))</f>
        <v>45020.900000000009</v>
      </c>
      <c r="O25" s="300">
        <f>IF($B23=$F$69,+'7.1. Billed kW'!$J$40,IF($B23=$F$70,+'7.1. Billed kW'!$U$40,IF($B23=$F$71,+'7.1. Billed kW'!$AE$40,IF($B23=$F$72,+'7.1. Billed kW'!$AO$40,+IF($B23=$F$73,+'7.1. Billed kW'!$AY$40,0)))))</f>
        <v>46294.121591305724</v>
      </c>
      <c r="P25" s="344">
        <f>IF($B23=$F$69,+'7.1. Billed kW'!$J$41,IF($B23=$F$70,+'7.1. Billed kW'!$U$41,IF($B23=$F$71,+'7.1. Billed kW'!$AE$41,IF($B23=$F$72,+'7.1. Billed kW'!$AO$41,+IF($B23=$F$73,+'7.1. Billed kW'!$AY$41,0)))))</f>
        <v>46478.394050536343</v>
      </c>
    </row>
    <row r="26" spans="2:19" x14ac:dyDescent="0.25">
      <c r="B26" s="575"/>
      <c r="C26" s="48"/>
      <c r="D26" s="48"/>
      <c r="E26" s="300"/>
      <c r="F26" s="300"/>
      <c r="G26" s="300"/>
      <c r="H26" s="300"/>
      <c r="I26" s="300"/>
      <c r="J26" s="300"/>
      <c r="K26" s="300"/>
      <c r="L26" s="300"/>
      <c r="M26" s="300"/>
      <c r="N26" s="300"/>
      <c r="O26" s="301"/>
      <c r="P26" s="302"/>
    </row>
    <row r="27" spans="2:19" ht="37.5" x14ac:dyDescent="0.25">
      <c r="B27" s="576" t="s">
        <v>243</v>
      </c>
      <c r="C27" s="149" t="str">
        <f>IF($B27=$F$64,+$B$64,+IF($B27=$F$65,+$B$65,+IF($B27=$F$66,+$B$66,+IF($B27=$F$66,$B$66,+IF($B27=$F$67,+$B$67,+IF($B27=$F$68,+$B$68,+IF($B27=$F$69,+$B$69,+IF($B27=$F$70,+$B$70,+IF($B27=$F$71,+$B$71,+IF($B27=$F$72,+$B$72,+IF($B27=$F$73,+$B$73)))))))))))</f>
        <v>General Service &gt; 50 kW - 4999 kW - Wholesale Market Participant</v>
      </c>
      <c r="D27" s="48" t="s">
        <v>94</v>
      </c>
      <c r="E27" s="342">
        <f>IF($C27='4. Customer Growth'!$C$7,+'4. Customer Growth'!$C$9,+IF($C27='4. Customer Growth'!$E$7,+'4. Customer Growth'!$E$9,+IF($C27='4. Customer Growth'!$G$7,+'4. Customer Growth'!$G$9,+IF($C27='4. Customer Growth'!$I$7,+'4. Customer Growth'!$I$9,+IF($C27='4. Customer Growth'!$K$7,+'4. Customer Growth'!$K$9,+IF($C27='4. Customer Growth'!$M$7,+'4. Customer Growth'!$M$9,IF($C27='4. Customer Growth'!$O$7,+'4. Customer Growth'!$O$9)))))))</f>
        <v>1</v>
      </c>
      <c r="F27" s="342">
        <f>IF($C27='4. Customer Growth'!$C$7,+'4. Customer Growth'!$C$10,+IF($C27='4. Customer Growth'!$E$7,+'4. Customer Growth'!$E$10,+IF($C27='4. Customer Growth'!$G$7,+'4. Customer Growth'!$G$10,+IF($C27='4. Customer Growth'!$I$7,+'4. Customer Growth'!$I$10,+IF($C27='4. Customer Growth'!$K$7,+'4. Customer Growth'!$K$10,+IF($C27='4. Customer Growth'!$M$7,+'4. Customer Growth'!$M$10,IF($C27='4. Customer Growth'!$O$7,+'4. Customer Growth'!$O$10)))))))</f>
        <v>1</v>
      </c>
      <c r="G27" s="342">
        <f>IF($C27='4. Customer Growth'!$C$7,+'4. Customer Growth'!$C$11,+IF($C27='4. Customer Growth'!$E$7,+'4. Customer Growth'!$E$11,+IF($C27='4. Customer Growth'!$G$7,+'4. Customer Growth'!$G$11,+IF($C27='4. Customer Growth'!$I$7,+'4. Customer Growth'!$I$11,+IF($C27='4. Customer Growth'!$K$7,+'4. Customer Growth'!$K$11,+IF($C27='4. Customer Growth'!$M$7,+'4. Customer Growth'!$M$11,IF($C27='4. Customer Growth'!$O$7,+'4. Customer Growth'!$O$11)))))))</f>
        <v>1</v>
      </c>
      <c r="H27" s="342">
        <f>IF($C27='4. Customer Growth'!$C$7,+'4. Customer Growth'!$C$12,+IF($C27='4. Customer Growth'!$E$7,+'4. Customer Growth'!$E$12,+IF($C27='4. Customer Growth'!$G$7,+'4. Customer Growth'!$G$12,+IF($C27='4. Customer Growth'!$I$7,+'4. Customer Growth'!$I$12,+IF($C27='4. Customer Growth'!$K$7,+'4. Customer Growth'!$K$12,+IF($C27='4. Customer Growth'!$M$7,+'4. Customer Growth'!$M$12,IF($C27='4. Customer Growth'!$O$7,+'4. Customer Growth'!$O$12)))))))</f>
        <v>1</v>
      </c>
      <c r="I27" s="342">
        <f>IF($C27='4. Customer Growth'!$C$7,+'4. Customer Growth'!$C$13,+IF($C27='4. Customer Growth'!$E$7,+'4. Customer Growth'!$E$13,+IF($C27='4. Customer Growth'!$G$7,+'4. Customer Growth'!$G$13,+IF($C27='4. Customer Growth'!$I$7,+'4. Customer Growth'!$I$13,+IF($C27='4. Customer Growth'!$K$7,+'4. Customer Growth'!$K$13,+IF($C27='4. Customer Growth'!$M$7,+'4. Customer Growth'!$M$13,IF($C27='4. Customer Growth'!$O$7,+'4. Customer Growth'!$O$13)))))))</f>
        <v>1</v>
      </c>
      <c r="J27" s="342">
        <f>IF($C27='4. Customer Growth'!$C$7,+'4. Customer Growth'!$C$14,+IF($C27='4. Customer Growth'!$E$7,+'4. Customer Growth'!$E$14,+IF($C27='4. Customer Growth'!$G$7,+'4. Customer Growth'!$G$14,+IF($C27='4. Customer Growth'!$I$7,+'4. Customer Growth'!$I$14,+IF($C27='4. Customer Growth'!$K$7,+'4. Customer Growth'!$K$14,+IF($C27='4. Customer Growth'!$M$7,+'4. Customer Growth'!$M$14,IF($C27='4. Customer Growth'!$O$7,+'4. Customer Growth'!$O$14)))))))</f>
        <v>1</v>
      </c>
      <c r="K27" s="342">
        <f>IF($C27='4. Customer Growth'!$C$7,+'4. Customer Growth'!$C$15,+IF($C27='4. Customer Growth'!$E$7,+'4. Customer Growth'!$E$15,+IF($C27='4. Customer Growth'!$G$7,+'4. Customer Growth'!$G$15,+IF($C27='4. Customer Growth'!$I$7,+'4. Customer Growth'!$I$15,+IF($C27='4. Customer Growth'!$K$7,+'4. Customer Growth'!$K$15,+IF($C27='4. Customer Growth'!$M$7,+'4. Customer Growth'!$M$15,IF($C27='4. Customer Growth'!$O$7,+'4. Customer Growth'!$O$15)))))))</f>
        <v>1</v>
      </c>
      <c r="L27" s="342">
        <f>IF($C27='4. Customer Growth'!$C$7,+'4. Customer Growth'!$C$16,+IF($C27='4. Customer Growth'!$E$7,+'4. Customer Growth'!$E$16,+IF($C27='4. Customer Growth'!$G$7,+'4. Customer Growth'!$G$16,+IF($C27='4. Customer Growth'!$I$7,+'4. Customer Growth'!$I$16,+IF($C27='4. Customer Growth'!$K$7,+'4. Customer Growth'!$K$16,+IF($C27='4. Customer Growth'!$M$7,+'4. Customer Growth'!$M$16,IF($C27='4. Customer Growth'!$O$7,+'4. Customer Growth'!$O$16)))))))</f>
        <v>1</v>
      </c>
      <c r="M27" s="342">
        <f>IF($C27='4. Customer Growth'!$C$7,+'4. Customer Growth'!$C$17,+IF($C27='4. Customer Growth'!$E$7,+'4. Customer Growth'!$E$17,+IF($C27='4. Customer Growth'!$G$7,+'4. Customer Growth'!$G$17,+IF($C27='4. Customer Growth'!$I$7,+'4. Customer Growth'!$I$17,+IF($C27='4. Customer Growth'!$K$7,+'4. Customer Growth'!$K$17,+IF($C27='4. Customer Growth'!$M$7,+'4. Customer Growth'!$M$17,IF($C27='4. Customer Growth'!$O$7,+'4. Customer Growth'!$O$17)))))))</f>
        <v>1</v>
      </c>
      <c r="N27" s="342">
        <f>IF($C27='4. Customer Growth'!$C$7,+'4. Customer Growth'!$C$18,+IF($C27='4. Customer Growth'!$E$7,+'4. Customer Growth'!$E$18,+IF($C27='4. Customer Growth'!$G$7,+'4. Customer Growth'!$G$18,+IF($C27='4. Customer Growth'!$I$7,+'4. Customer Growth'!$I$18,+IF($C27='4. Customer Growth'!$K$7,+'4. Customer Growth'!$K$18,+IF($C27='4. Customer Growth'!$M$7,+'4. Customer Growth'!$M$18,IF($C27='4. Customer Growth'!$O$7,+'4. Customer Growth'!$O$18)))))))</f>
        <v>1</v>
      </c>
      <c r="O27" s="342">
        <f>IF($C27='4. Customer Growth'!$C$7,+'4. Customer Growth'!$C$34,+IF($C27='4. Customer Growth'!$E$7,+'4. Customer Growth'!$E$34,+IF($C27='4. Customer Growth'!$G$7,+'4. Customer Growth'!$G$34,+IF($C27='4. Customer Growth'!$I$7,+'4. Customer Growth'!$I$34,+IF($C27='4. Customer Growth'!$K$7,+'4. Customer Growth'!$K$34,+IF($C27='4. Customer Growth'!$M$7,+'4. Customer Growth'!$M$34,IF($C27='4. Customer Growth'!$O$7,+'4. Customer Growth'!$O$34)))))))</f>
        <v>1</v>
      </c>
      <c r="P27" s="343">
        <f>IF($C27='4. Customer Growth'!$C$7,+'4. Customer Growth'!$C$35,+IF($C27='4. Customer Growth'!$E$7,+'4. Customer Growth'!$E$35,+IF($C27='4. Customer Growth'!$G$7,+'4. Customer Growth'!$G$35,+IF($C27='4. Customer Growth'!$I$7,+'4. Customer Growth'!$I$35,+IF($C27='4. Customer Growth'!$K$7,+'4. Customer Growth'!$K$35,+IF($C27='4. Customer Growth'!$M$7,+'4. Customer Growth'!$M$35,IF($C27='4. Customer Growth'!$O$7,+'4. Customer Growth'!$O$35)))))))</f>
        <v>1</v>
      </c>
      <c r="R27" s="202"/>
    </row>
    <row r="28" spans="2:19" x14ac:dyDescent="0.25">
      <c r="B28" s="575"/>
      <c r="C28" s="48"/>
      <c r="D28" s="48" t="s">
        <v>35</v>
      </c>
      <c r="E28" s="342">
        <f>IF($B27=$F$64,+'7. Billed kWh'!$C$16,IF($B27=$F$65,+'7. Billed kWh'!$K$16,IF($B27=$F$66,+'7. Billed kWh'!$S$16,IF($B27=$F$67,+'7. Billed kWh'!$AA$16,IF($B27=$F$68,+'7. Billed kWh'!$AI$16,IF($B27=$F$69,+'7.1. Billed kW'!$E$12,IF($B27=$F$70,+'7.1. Billed kW'!$P$12,IF($B27=$F$71,+'7.1. Billed kW'!$Z$12,IF($B27=$F$72,+'7.1. Billed kW'!$AJ$12,IF($B27=$F$73,+'7.1. Billed kW'!$AT$12))))))))))</f>
        <v>3594883</v>
      </c>
      <c r="F28" s="342">
        <f>IF($B27=$F$64,+'7. Billed kWh'!$C$17,IF($B27=$F$65,+'7. Billed kWh'!$K$17,IF($B27=$F$66,+'7. Billed kWh'!$S$17,IF($B27=$F$67,+'7. Billed kWh'!$AA$17,IF($B27=$F$68,+'7. Billed kWh'!$AI$17,IF($B27=$F$69,+'7.1. Billed kW'!$E$13,IF($B27=$F$70,+'7.1. Billed kW'!$P$13,IF($B27=$F$71,+'7.1. Billed kW'!$Z$13,IF($B27=$F$72,+'7.1. Billed kW'!$AJ$13,IF($B27=$F$73,+'7.1. Billed kW'!$AT$13))))))))))</f>
        <v>3453199</v>
      </c>
      <c r="G28" s="342">
        <f>IF($B27=$F$64,+'7. Billed kWh'!$C$18,IF($B27=$F$65,+'7. Billed kWh'!$K$18,IF($B27=$F$66,+'7. Billed kWh'!$S$18,IF($B27=$F$67,+'7. Billed kWh'!$AA$18,IF($B27=$F$68,+'7. Billed kWh'!$AI$18,IF($B27=$F$69,+'7.1. Billed kW'!$E$14,IF($B27=$F$70,+'7.1. Billed kW'!$P$14,IF($B27=$F$71,+'7.1. Billed kW'!$Z$14,IF($B27=$F$72,+'7.1. Billed kW'!$AJ$14,IF($B27=$F$73,+'7.1. Billed kW'!$AT$14))))))))))</f>
        <v>3423047.21</v>
      </c>
      <c r="H28" s="342">
        <f>IF($B27=$F$64,+'7. Billed kWh'!$C$19,IF($B27=$F$65,+'7. Billed kWh'!$K$19,IF($B27=$F$66,+'7. Billed kWh'!$S$19,IF($B27=$F$67,+'7. Billed kWh'!$AA$19,IF($B27=$F$68,+'7. Billed kWh'!$AI$19,IF($B27=$F$69,+'7.1. Billed kW'!$E$15,IF($B27=$F$70,+'7.1. Billed kW'!$P$15,IF($B27=$F$71,+'7.1. Billed kW'!$Z$15,IF($B27=$F$72,+'7.1. Billed kW'!$AJ$15,IF($B27=$F$73,+'7.1. Billed kW'!$AT$15))))))))))</f>
        <v>3180755.81</v>
      </c>
      <c r="I28" s="342">
        <f>IF($B27=$F$64,+'7. Billed kWh'!$C$20,IF($B27=$F$65,+'7. Billed kWh'!$K$20,IF($B27=$F$66,+'7. Billed kWh'!$S$20,IF($B27=$F$67,+'7. Billed kWh'!$AA$20,IF($B27=$F$68,+'7. Billed kWh'!$AI$20,IF($B27=$F$69,+'7.1. Billed kW'!$E$16,IF($B27=$F$70,+'7.1. Billed kW'!$P$16,IF($B27=$F$71,+'7.1. Billed kW'!$Z$16,IF($B27=$F$72,+'7.1. Billed kW'!$AJ$16,IF($B27=$F$73,+'7.1. Billed kW'!$AT$16))))))))))</f>
        <v>2803203</v>
      </c>
      <c r="J28" s="342">
        <f>IF($B27=$F$64,+'7. Billed kWh'!$C$21,IF($B27=$F$65,+'7. Billed kWh'!$K$21,IF($B27=$F$66,+'7. Billed kWh'!$M$21,IF($B27=$F$67,+'7. Billed kWh'!$AA$21,IF($B27=$F$68,+'7. Billed kWh'!$AI$21,IF($B27=$F$69,+'7.1. Billed kW'!$E$17,IF($B27=$F$70,+'7.1. Billed kW'!$P$17,IF($B27=$F$71,+'7.1. Billed kW'!$Z$17,IF($B27=$F$72,+'7.1. Billed kW'!$AJ$17,IF($B27=$F$73,+'7.1. Billed kW'!$AT$17))))))))))</f>
        <v>2678677.3099999996</v>
      </c>
      <c r="K28" s="342">
        <f>IF($B27=$F$64,+'7. Billed kWh'!$C$22,IF($B27=$F$65,+'7. Billed kWh'!$K$22,IF($B27=$F$66,+'7. Billed kWh'!$S$22,IF($B27=$F$67,+'7. Billed kWh'!$AA$22,IF($B27=$F$68,+'7. Billed kWh'!$AI$22,IF($B27=$F$69,+'7.1. Billed kW'!$E$18,IF($B27=$F$70,+'7.1. Billed kW'!$P$18,IF($B27=$F$71,+'7.1. Billed kW'!$Z$18,IF($B27=$F$72,+'7.1. Billed kW'!$AJ$18,IF($B27=$F$73,+'7.1. Billed kW'!$AT$18))))))))))</f>
        <v>2668244</v>
      </c>
      <c r="L28" s="342">
        <f>IF($B27=$F$64,+'7. Billed kWh'!$C$23,IF($B27=$F$65,+'7. Billed kWh'!$K$23,IF($B27=$F$66,+'7. Billed kWh'!$S$24,IF($B27=$F$67,+'7. Billed kWh'!$AA$23,IF($B27=$F$68,+'7. Billed kWh'!$AI$23,IF($B27=$F$69,+'7.1. Billed kW'!$E$19,IF($B27=$F$70,+'7.1. Billed kW'!$P$19,IF($B27=$F$71,+'7.1. Billed kW'!$Z$19,IF($B27=$F$72,+'7.1. Billed kW'!$AJ$19,IF($B27=$F$73,+'7.1. Billed kW'!$AT$19))))))))))</f>
        <v>2734869.5700000003</v>
      </c>
      <c r="M28" s="342">
        <f>IF($B27=$F$64,+'7. Billed kWh'!$C$24,IF($B27=$F$65,+'7. Billed kWh'!$K$24,IF($B27=$F$66,+'7. Billed kWh'!$S$25,IF($B27=$F$67,+'7. Billed kWh'!$AA$24,IF($B27=$F$68,+'7. Billed kWh'!$AI$24,IF($B27=$F$69,+'7.1. Billed kW'!$E$20,IF($B27=$F$70,+'7.1. Billed kW'!$P$20,IF($B27=$F$71,+'7.1. Billed kW'!$Z$20,IF($B27=$F$72,+'7.1. Billed kW'!$AJ$20,IF($B27=$F$73,+'7.1. Billed kW'!$AT$20))))))))))</f>
        <v>2738839.99</v>
      </c>
      <c r="N28" s="342">
        <f>IF($B27=$F$64,+'7. Billed kWh'!$C$25,IF($B27=$F$65,+'7. Billed kWh'!$K$25,IF($B27=$F$66,+'7. Billed kWh'!$W$25,IF($B27=$F$67,+'7. Billed kWh'!$AA$25,IF($B27=$F$68,+'7. Billed kWh'!$AI$25,IF($B27=$F$69,+'7.1. Billed kW'!$E$21,IF($B27=$F$70,+'7.1. Billed kW'!$P$21,IF($B27=$F$71,+'7.1. Billed kW'!$Z$21,IF($B27=$F$72,+'7.1. Billed kW'!$AJ$21,IF($B27=$F$73,+'7.1. Billed kW'!$AT$21))))))))))</f>
        <v>2821873.45</v>
      </c>
      <c r="O28" s="342">
        <f>IF($B27=$F$64,+'7. Billed kWh'!$H$37,IF($B27=$F$65,+'7. Billed kWh'!$P$37,IF($B27=$F$66,+'7. Billed kWh'!$X$37,IF($B27=$F$67,+'7. Billed kWh'!$AF$37,IF($B27=$F$68,+'7. Billed kWh'!$AN$37,IF($B27=$F$69,+'7.1. Billed kW'!$I$40,IF($B27=$F$70,+'7.1. Billed kW'!$T$40,IF($B27=$F$71,+'7.1. Billed kW'!$AD$40,IF($B27=$F$72,+'7.1. Billed kW'!$AN$40,IF($B27=$F$73,+'7.1. Billed kW'!$AX$40))))))))))</f>
        <v>2780774.6976221777</v>
      </c>
      <c r="P28" s="343">
        <f>IF($B27=$F$64,+'7. Billed kWh'!$H$38,IF($B27=$F$65,+'7. Billed kWh'!$P$38,IF($B27=$F$66,+'7. Billed kWh'!$X$38,IF($B27=$F$67,+'7. Billed kWh'!$AF$38,IF($B27=$F$68,+'7. Billed kWh'!$AN$38,IF($B27=$F$69,+'7.1. Billed kW'!$I$41,IF($B27=$F$70,+'7.1. Billed kW'!$T$41,IF($B27=$F$71,+'7.1. Billed kW'!$AD$41,IF($B27=$F$72,+'7.1. Billed kW'!$AN$41,IF($B27=$F$73,+'7.1. Billed kW'!$AX$41))))))))))</f>
        <v>2791843.4937129831</v>
      </c>
    </row>
    <row r="29" spans="2:19" x14ac:dyDescent="0.25">
      <c r="B29" s="575"/>
      <c r="C29" s="48"/>
      <c r="D29" s="48" t="s">
        <v>36</v>
      </c>
      <c r="E29" s="300">
        <f>IF(B$15=$F$69,+'7.1. Billed kW'!$F$12,IF($B27=$F$70,+'7.1. Billed kW'!$Q$12,IF($B27=$F$71,+'7.1. Billed kW'!$AA$12,IF($B27=$F$72,+'7.1. Billed kW'!$AK$12,+IF($B27=$F$73,+'7.1. Billed kW'!$AU$12,0)))))</f>
        <v>6556</v>
      </c>
      <c r="F29" s="300">
        <f>IF($B27=$F$69,+'7.1. Billed kW'!$F$13,IF($B27=$F$70,+'7.1. Billed kW'!$Q$13,IF($B27=$F$71,+'7.1. Billed kW'!$AA$13,IF($B27=$F$72,+'7.1. Billed kW'!$AK$13,+IF($B27=$F$73,+'7.1. Billed kW'!$AU$13,0)))))</f>
        <v>6080</v>
      </c>
      <c r="G29" s="300">
        <f>IF($B27=$F$69,+'7.1. Billed kW'!$F$14,IF($B27=$F$70,+'7.1. Billed kW'!$Q$14,IF($B27=$F$71,+'7.1. Billed kW'!$AA$14,IF($B27=$F$72,+'7.1. Billed kW'!$AK$14,+IF($B27=$F$73,+'7.1. Billed kW'!$AU$14,0)))))</f>
        <v>6214.5300000000007</v>
      </c>
      <c r="H29" s="300">
        <f>IF($B27=$F$69,+'7.1. Billed kW'!$F$15,IF($B27=$F$70,+'7.1. Billed kW'!$Q$15,IF($B27=$F$71,+'7.1. Billed kW'!$AA$15,IF($B27=$F$72,+'7.1. Billed kW'!$AK$15,+IF($B27=$F$73,+'7.1. Billed kW'!$AU$15,0)))))</f>
        <v>5922.6900000000005</v>
      </c>
      <c r="I29" s="300">
        <f>IF($B27=$F$69,+'7.1. Billed kW'!$F$16,IF($B27=$F$70,+'7.1. Billed kW'!$Q$16,IF($B27=$F$71,+'7.1. Billed kW'!$AA$16,IF($B27=$F$72,+'7.1. Billed kW'!$AK$16,+IF($B27=$F$73,+'7.1. Billed kW'!$AU$16,0)))))</f>
        <v>5557.3</v>
      </c>
      <c r="J29" s="300">
        <f>IF($B27=$F$69,+'7.1. Billed kW'!$F$17,IF($B27=$F$70,+'7.1. Billed kW'!$Q$17,IF($B27=$F$71,+'7.1. Billed kW'!$AA$17,IF($B27=$F$72,+'7.1. Billed kW'!$AK$17,+IF($B27=$F$73,+'7.1. Billed kW'!$AU$17,0)))))</f>
        <v>5394.4999999999991</v>
      </c>
      <c r="K29" s="300">
        <f>IF($B27=$F$69,+'7.1. Billed kW'!$F$18,IF($B27=$F$70,+'7.1. Billed kW'!$Q$18,IF($B27=$F$71,+'7.1. Billed kW'!$AA$18,IF($B27=$F$72,+'7.1. Billed kW'!$AK$18,+IF($B27=$F$73,+'7.1. Billed kW'!$AU$18,0)))))</f>
        <v>5191.76</v>
      </c>
      <c r="L29" s="300">
        <f>IF($B27=$F$69,+'7.1. Billed kW'!$F$19,IF($B27=$F$70,+'7.1. Billed kW'!$Q$19,IF($B27=$F$71,+'7.1. Billed kW'!$AA$19,IF($B27=$F$72,+'7.1. Billed kW'!$AK$19,+IF($B27=$F$73,+'7.1. Billed kW'!$AU$19,0)))))</f>
        <v>5526.0999999999995</v>
      </c>
      <c r="M29" s="300">
        <f>IF($B27=$F$69,+'7.1. Billed kW'!$F$20,IF($B27=$F$70,+'7.1. Billed kW'!$Q$20,IF($B27=$F$71,+'7.1. Billed kW'!$AA$20,IF($B27=$F$72,+'7.1. Billed kW'!$AK$20,+IF($B27=$F$73,+'7.1. Billed kW'!$AU$20,0)))))</f>
        <v>5291.6</v>
      </c>
      <c r="N29" s="300">
        <f>IF($B27=$F$69,+'7.1. Billed kW'!$F$21,IF($B27=$F$70,+'7.1. Billed kW'!$Q$21,IF($B27=$F$71,+'7.1. Billed kW'!$AA$21,IF($B27=$F$72,+'7.1. Billed kW'!$AK$21,+IF($B27=$F$73,+'7.1. Billed kW'!$AU$21,0)))))</f>
        <v>5657.5</v>
      </c>
      <c r="O29" s="300">
        <f>IF($B27=$F$69,+'7.1. Billed kW'!$J$40,IF($B27=$F$70,+'7.1. Billed kW'!$U$40,IF($B27=$F$71,+'7.1. Billed kW'!$AE$40,IF($B27=$F$72,+'7.1. Billed kW'!$AO$40,+IF($B27=$F$73,+'7.1. Billed kW'!$AY$40,0)))))</f>
        <v>5575.1021902833627</v>
      </c>
      <c r="P29" s="344">
        <f>IF($B27=$F$69,+'7.1. Billed kW'!$J$41,IF($B27=$F$70,+'7.1. Billed kW'!$U$41,IF($B27=$F$71,+'7.1. Billed kW'!$AE$41,IF($B27=$F$72,+'7.1. Billed kW'!$AO$41,+IF($B27=$F$73,+'7.1. Billed kW'!$AY$41,0)))))</f>
        <v>5597.2937289874571</v>
      </c>
    </row>
    <row r="30" spans="2:19" x14ac:dyDescent="0.25">
      <c r="B30" s="575"/>
      <c r="C30" s="48"/>
      <c r="D30" s="48"/>
      <c r="E30" s="300"/>
      <c r="F30" s="300"/>
      <c r="G30" s="300"/>
      <c r="H30" s="300"/>
      <c r="I30" s="300"/>
      <c r="J30" s="300"/>
      <c r="K30" s="300"/>
      <c r="L30" s="300"/>
      <c r="M30" s="300"/>
      <c r="N30" s="300"/>
      <c r="O30" s="301"/>
      <c r="P30" s="302"/>
    </row>
    <row r="31" spans="2:19" x14ac:dyDescent="0.25">
      <c r="B31" s="576" t="s">
        <v>168</v>
      </c>
      <c r="C31" s="149" t="str">
        <f>IF($B31=$F$64,+$B$64,+IF($B31=$F$65,+$B$65,+IF($B31=$F$66,+$B$66,+IF($B31=$F$66,$B$66,+IF($B31=$F$67,+$B$67,+IF($B31=$F$68,+$B$68,+IF($B31=$F$69,+$B$69,+IF($B31=$F$70,+$B$70,+IF($B31=$F$71,+$B$71,+IF($B31=$F$72,+$B$72,+IF($B31=$F$73,+$B$73)))))))))))</f>
        <v>Streetlighting</v>
      </c>
      <c r="D31" s="48" t="s">
        <v>94</v>
      </c>
      <c r="E31" s="342">
        <f>IF($C31='4. Customer Growth'!$C$7,+'4. Customer Growth'!$C$9,+IF($C31='4. Customer Growth'!$E$7,+'4. Customer Growth'!$E$9,+IF($C31='4. Customer Growth'!$G$7,+'4. Customer Growth'!$G$9,+IF($C31='4. Customer Growth'!$I$7,+'4. Customer Growth'!$I$9,+IF($C31='4. Customer Growth'!$K$7,+'4. Customer Growth'!$K$9,+IF($C31='4. Customer Growth'!$M$7,+'4. Customer Growth'!$M$9,IF($C31='4. Customer Growth'!$O$7,+'4. Customer Growth'!$O$9)))))))</f>
        <v>2693.5</v>
      </c>
      <c r="F31" s="342">
        <f>IF($C31='4. Customer Growth'!$C$7,+'4. Customer Growth'!$C$10,+IF($C31='4. Customer Growth'!$E$7,+'4. Customer Growth'!$E$10,+IF($C31='4. Customer Growth'!$G$7,+'4. Customer Growth'!$G$10,+IF($C31='4. Customer Growth'!$I$7,+'4. Customer Growth'!$I$10,+IF($C31='4. Customer Growth'!$K$7,+'4. Customer Growth'!$K$10,+IF($C31='4. Customer Growth'!$M$7,+'4. Customer Growth'!$M$10,IF($C31='4. Customer Growth'!$O$7,+'4. Customer Growth'!$O$10)))))))</f>
        <v>2738</v>
      </c>
      <c r="G31" s="342">
        <f>IF($C31='4. Customer Growth'!$C$7,+'4. Customer Growth'!$C$11,+IF($C31='4. Customer Growth'!$E$7,+'4. Customer Growth'!$E$11,+IF($C31='4. Customer Growth'!$G$7,+'4. Customer Growth'!$G$11,+IF($C31='4. Customer Growth'!$I$7,+'4. Customer Growth'!$I$11,+IF($C31='4. Customer Growth'!$K$7,+'4. Customer Growth'!$K$11,+IF($C31='4. Customer Growth'!$M$7,+'4. Customer Growth'!$M$11,IF($C31='4. Customer Growth'!$O$7,+'4. Customer Growth'!$O$11)))))))</f>
        <v>2835</v>
      </c>
      <c r="H31" s="342">
        <f>IF($C31='4. Customer Growth'!$C$7,+'4. Customer Growth'!$C$12,+IF($C31='4. Customer Growth'!$E$7,+'4. Customer Growth'!$E$12,+IF($C31='4. Customer Growth'!$G$7,+'4. Customer Growth'!$G$12,+IF($C31='4. Customer Growth'!$I$7,+'4. Customer Growth'!$I$12,+IF($C31='4. Customer Growth'!$K$7,+'4. Customer Growth'!$K$12,+IF($C31='4. Customer Growth'!$M$7,+'4. Customer Growth'!$M$12,IF($C31='4. Customer Growth'!$O$7,+'4. Customer Growth'!$O$12)))))))</f>
        <v>2948</v>
      </c>
      <c r="I31" s="342">
        <f>IF($C31='4. Customer Growth'!$C$7,+'4. Customer Growth'!$C$13,+IF($C31='4. Customer Growth'!$E$7,+'4. Customer Growth'!$E$13,+IF($C31='4. Customer Growth'!$G$7,+'4. Customer Growth'!$G$13,+IF($C31='4. Customer Growth'!$I$7,+'4. Customer Growth'!$I$13,+IF($C31='4. Customer Growth'!$K$7,+'4. Customer Growth'!$K$13,+IF($C31='4. Customer Growth'!$M$7,+'4. Customer Growth'!$M$13,IF($C31='4. Customer Growth'!$O$7,+'4. Customer Growth'!$O$13)))))))</f>
        <v>3013</v>
      </c>
      <c r="J31" s="342">
        <f>IF($C31='4. Customer Growth'!$C$7,+'4. Customer Growth'!$C$14,+IF($C31='4. Customer Growth'!$E$7,+'4. Customer Growth'!$E$14,+IF($C31='4. Customer Growth'!$G$7,+'4. Customer Growth'!$G$14,+IF($C31='4. Customer Growth'!$I$7,+'4. Customer Growth'!$I$14,+IF($C31='4. Customer Growth'!$K$7,+'4. Customer Growth'!$K$14,+IF($C31='4. Customer Growth'!$M$7,+'4. Customer Growth'!$M$14,IF($C31='4. Customer Growth'!$O$7,+'4. Customer Growth'!$O$14)))))))</f>
        <v>3036.5</v>
      </c>
      <c r="K31" s="342">
        <f>IF($C31='4. Customer Growth'!$C$7,+'4. Customer Growth'!$C$15,+IF($C31='4. Customer Growth'!$E$7,+'4. Customer Growth'!$E$15,+IF($C31='4. Customer Growth'!$G$7,+'4. Customer Growth'!$G$15,+IF($C31='4. Customer Growth'!$I$7,+'4. Customer Growth'!$I$15,+IF($C31='4. Customer Growth'!$K$7,+'4. Customer Growth'!$K$15,+IF($C31='4. Customer Growth'!$M$7,+'4. Customer Growth'!$M$15,IF($C31='4. Customer Growth'!$O$7,+'4. Customer Growth'!$O$15)))))))</f>
        <v>3077.5</v>
      </c>
      <c r="L31" s="342">
        <f>IF($C31='4. Customer Growth'!$C$7,+'4. Customer Growth'!$C$16,+IF($C31='4. Customer Growth'!$E$7,+'4. Customer Growth'!$E$16,+IF($C31='4. Customer Growth'!$G$7,+'4. Customer Growth'!$G$16,+IF($C31='4. Customer Growth'!$I$7,+'4. Customer Growth'!$I$16,+IF($C31='4. Customer Growth'!$K$7,+'4. Customer Growth'!$K$16,+IF($C31='4. Customer Growth'!$M$7,+'4. Customer Growth'!$M$16,IF($C31='4. Customer Growth'!$O$7,+'4. Customer Growth'!$O$16)))))))</f>
        <v>3111</v>
      </c>
      <c r="M31" s="342">
        <f>IF($C31='4. Customer Growth'!$C$7,+'4. Customer Growth'!$C$17,+IF($C31='4. Customer Growth'!$E$7,+'4. Customer Growth'!$E$17,+IF($C31='4. Customer Growth'!$G$7,+'4. Customer Growth'!$G$17,+IF($C31='4. Customer Growth'!$I$7,+'4. Customer Growth'!$I$17,+IF($C31='4. Customer Growth'!$K$7,+'4. Customer Growth'!$K$17,+IF($C31='4. Customer Growth'!$M$7,+'4. Customer Growth'!$M$17,IF($C31='4. Customer Growth'!$O$7,+'4. Customer Growth'!$O$17)))))))</f>
        <v>3132</v>
      </c>
      <c r="N31" s="342">
        <f>IF($C31='4. Customer Growth'!$C$7,+'4. Customer Growth'!$C$18,+IF($C31='4. Customer Growth'!$E$7,+'4. Customer Growth'!$E$18,+IF($C31='4. Customer Growth'!$G$7,+'4. Customer Growth'!$G$18,+IF($C31='4. Customer Growth'!$I$7,+'4. Customer Growth'!$I$18,+IF($C31='4. Customer Growth'!$K$7,+'4. Customer Growth'!$K$18,+IF($C31='4. Customer Growth'!$M$7,+'4. Customer Growth'!$M$18,IF($C31='4. Customer Growth'!$O$7,+'4. Customer Growth'!$O$18)))))))</f>
        <v>3177.5</v>
      </c>
      <c r="O31" s="342">
        <f>IF($C31='4. Customer Growth'!$C$7,+'4. Customer Growth'!$C$34,+IF($C31='4. Customer Growth'!$E$7,+'4. Customer Growth'!$E$34,+IF($C31='4. Customer Growth'!$G$7,+'4. Customer Growth'!$G$34,+IF($C31='4. Customer Growth'!$I$7,+'4. Customer Growth'!$I$34,+IF($C31='4. Customer Growth'!$K$7,+'4. Customer Growth'!$K$34,+IF($C31='4. Customer Growth'!$M$7,+'4. Customer Growth'!$M$34,IF($C31='4. Customer Growth'!$O$7,+'4. Customer Growth'!$O$34)))))))</f>
        <v>3211</v>
      </c>
      <c r="P31" s="343">
        <f>IF($C31='4. Customer Growth'!$C$7,+'4. Customer Growth'!$C$35,+IF($C31='4. Customer Growth'!$E$7,+'4. Customer Growth'!$E$35,+IF($C31='4. Customer Growth'!$G$7,+'4. Customer Growth'!$G$35,+IF($C31='4. Customer Growth'!$I$7,+'4. Customer Growth'!$I$35,+IF($C31='4. Customer Growth'!$K$7,+'4. Customer Growth'!$K$35,+IF($C31='4. Customer Growth'!$M$7,+'4. Customer Growth'!$M$35,IF($C31='4. Customer Growth'!$O$7,+'4. Customer Growth'!$O$35)))))))</f>
        <v>3245</v>
      </c>
    </row>
    <row r="32" spans="2:19" x14ac:dyDescent="0.25">
      <c r="B32" s="575"/>
      <c r="C32" s="48"/>
      <c r="D32" s="48" t="s">
        <v>35</v>
      </c>
      <c r="E32" s="342">
        <f>IF($B31=$F$64,+'7. Billed kWh'!$C$16,IF($B31=$F$65,+'7. Billed kWh'!$K$16,IF($B31=$F$66,+'7. Billed kWh'!$S$16,IF($B31=$F$67,+'7. Billed kWh'!$AA$16,IF($B31=$F$68,+'7. Billed kWh'!$AI$16,IF($B31=$F$69,+'7.1. Billed kW'!$E$12,IF($B31=$F$70,+'7.1. Billed kW'!$P$12,IF($B31=$F$71,+'7.1. Billed kW'!$Z$12,IF($B31=$F$72,+'7.1. Billed kW'!$AJ$12,IF($B31=$F$73,+'7.1. Billed kW'!$AT$12))))))))))</f>
        <v>1796176</v>
      </c>
      <c r="F32" s="342">
        <f>IF($B31=$F$64,+'7. Billed kWh'!$C$17,IF($B31=$F$65,+'7. Billed kWh'!$K$17,IF($B31=$F$66,+'7. Billed kWh'!$S$17,IF($B31=$F$67,+'7. Billed kWh'!$AA$17,IF($B31=$F$68,+'7. Billed kWh'!$AI$17,IF($B31=$F$69,+'7.1. Billed kW'!$E$13,IF($B31=$F$70,+'7.1. Billed kW'!$P$13,IF($B31=$F$71,+'7.1. Billed kW'!$Z$13,IF($B31=$F$72,+'7.1. Billed kW'!$AJ$13,IF($B31=$F$73,+'7.1. Billed kW'!$AT$13))))))))))</f>
        <v>1834665</v>
      </c>
      <c r="G32" s="342">
        <f>IF($B31=$F$64,+'7. Billed kWh'!$C$18,IF($B31=$F$65,+'7. Billed kWh'!$K$18,IF($B31=$F$66,+'7. Billed kWh'!$S$18,IF($B31=$F$67,+'7. Billed kWh'!$AA$18,IF($B31=$F$68,+'7. Billed kWh'!$AI$18,IF($B31=$F$69,+'7.1. Billed kW'!$E$14,IF($B31=$F$70,+'7.1. Billed kW'!$P$14,IF($B31=$F$71,+'7.1. Billed kW'!$Z$14,IF($B31=$F$72,+'7.1. Billed kW'!$AJ$14,IF($B31=$F$73,+'7.1. Billed kW'!$AT$14))))))))))</f>
        <v>1811343.3900000001</v>
      </c>
      <c r="H32" s="342">
        <f>IF($B31=$F$64,+'7. Billed kWh'!$C$19,IF($B31=$F$65,+'7. Billed kWh'!$K$19,IF($B31=$F$66,+'7. Billed kWh'!$S$19,IF($B31=$F$67,+'7. Billed kWh'!$AA$19,IF($B31=$F$68,+'7. Billed kWh'!$AI$19,IF($B31=$F$69,+'7.1. Billed kW'!$E$15,IF($B31=$F$70,+'7.1. Billed kW'!$P$15,IF($B31=$F$71,+'7.1. Billed kW'!$Z$15,IF($B31=$F$72,+'7.1. Billed kW'!$AJ$15,IF($B31=$F$73,+'7.1. Billed kW'!$AT$15))))))))))</f>
        <v>932624.09999999986</v>
      </c>
      <c r="I32" s="342">
        <f>IF($B31=$F$64,+'7. Billed kWh'!$C$20,IF($B31=$F$65,+'7. Billed kWh'!$K$20,IF($B31=$F$66,+'7. Billed kWh'!$S$20,IF($B31=$F$67,+'7. Billed kWh'!$AA$20,IF($B31=$F$68,+'7. Billed kWh'!$AI$20,IF($B31=$F$69,+'7.1. Billed kW'!$E$16,IF($B31=$F$70,+'7.1. Billed kW'!$P$16,IF($B31=$F$71,+'7.1. Billed kW'!$Z$16,IF($B31=$F$72,+'7.1. Billed kW'!$AJ$16,IF($B31=$F$73,+'7.1. Billed kW'!$AT$16))))))))))</f>
        <v>758718</v>
      </c>
      <c r="J32" s="342">
        <f>IF($B31=$F$64,+'7. Billed kWh'!$C$21,IF($B31=$F$65,+'7. Billed kWh'!$K$21,IF($B31=$F$66,+'7. Billed kWh'!$S$21,IF($B31=$F$67,+'7. Billed kWh'!$AA$21,IF($B31=$F$68,+'7. Billed kWh'!$AI$21,IF($B31=$F$69,+'7.1. Billed kW'!$E$17,IF($B31=$F$70,+'7.1. Billed kW'!$P$17,IF($B31=$F$71,+'7.1. Billed kW'!$Z$17,IF($B31=$F$72,+'7.1. Billed kW'!$AJ$17,IF($B31=$F$73,+'7.1. Billed kW'!$AT$17))))))))))</f>
        <v>761759</v>
      </c>
      <c r="K32" s="342">
        <f>IF($B31=$F$64,+'7. Billed kWh'!$C$22,IF($B31=$F$65,+'7. Billed kWh'!$K$22,IF($B31=$F$66,+'7. Billed kWh'!$S$22,IF($B31=$F$67,+'7. Billed kWh'!$AA$22,IF($B31=$F$68,+'7. Billed kWh'!$AI$22,IF($B31=$F$69,+'7.1. Billed kW'!$E$18,IF($B31=$F$70,+'7.1. Billed kW'!$P$18,IF($B31=$F$71,+'7.1. Billed kW'!$Z$18,IF($B31=$F$72,+'7.1. Billed kW'!$AJ$18,IF($B31=$F$73,+'7.1. Billed kW'!$AT$18))))))))))</f>
        <v>773922</v>
      </c>
      <c r="L32" s="342">
        <f>IF($B31=$F$64,+'7. Billed kWh'!$C$23,IF($B31=$F$65,+'7. Billed kWh'!$K$23,IF($B31=$F$66,+'7. Billed kWh'!$S$24,IF($B31=$F$67,+'7. Billed kWh'!$AA$23,IF($B31=$F$68,+'7. Billed kWh'!$AI$23,IF($B31=$F$69,+'7.1. Billed kW'!$E$19,IF($B31=$F$70,+'7.1. Billed kW'!$P$19,IF($B31=$F$71,+'7.1. Billed kW'!$Z$19,IF($B31=$F$72,+'7.1. Billed kW'!$AJ$19,IF($B31=$F$73,+'7.1. Billed kW'!$AT$19))))))))))</f>
        <v>803024</v>
      </c>
      <c r="M32" s="342">
        <f>IF($B31=$F$64,+'7. Billed kWh'!$C$24,IF($B31=$F$65,+'7. Billed kWh'!$K$24,IF($B31=$F$66,+'7. Billed kWh'!$S$25,IF($B31=$F$67,+'7. Billed kWh'!$AA$24,IF($B31=$F$68,+'7. Billed kWh'!$AI$24,IF($B31=$F$69,+'7.1. Billed kW'!$E$20,IF($B31=$F$70,+'7.1. Billed kW'!$P$20,IF($B31=$F$71,+'7.1. Billed kW'!$Z$20,IF($B31=$F$72,+'7.1. Billed kW'!$AJ$20,IF($B31=$F$73,+'7.1. Billed kW'!$AT$20))))))))))</f>
        <v>791018</v>
      </c>
      <c r="N32" s="342">
        <f>IF($B31=$F$64,+'7. Billed kWh'!$C$25,IF($B31=$F$65,+'7. Billed kWh'!$K$25,IF($B31=$F$66,+'7. Billed kWh'!$W$25,IF($B31=$F$67,+'7. Billed kWh'!$AA$25,IF($B31=$F$68,+'7. Billed kWh'!$AI$25,IF($B31=$F$69,+'7.1. Billed kW'!$E$21,IF($B31=$F$70,+'7.1. Billed kW'!$P$21,IF($B31=$F$71,+'7.1. Billed kW'!$Z$21,IF($B31=$F$72,+'7.1. Billed kW'!$AJ$21,IF($B31=$F$73,+'7.1. Billed kW'!$AT$21))))))))))</f>
        <v>802430</v>
      </c>
      <c r="O32" s="342">
        <f>IF($B31=$F$64,+'7. Billed kWh'!$H$37,IF($B31=$F$65,+'7. Billed kWh'!$P$37,IF($B31=$F$66,+'7. Billed kWh'!$X$37,IF($B31=$F$67,+'7. Billed kWh'!$AF$37,IF($B31=$F$68,+'7. Billed kWh'!$AN$37,IF($B31=$F$69,+'7.1. Billed kW'!$I$40,IF($B31=$F$70,+'7.1. Billed kW'!$T$40,IF($B31=$F$71,+'7.1. Billed kW'!$AD$40,IF($B31=$F$72,+'7.1. Billed kW'!$AN$40,IF($B31=$F$73,+'7.1. Billed kW'!$AX$40))))))))))</f>
        <v>811353.23439242423</v>
      </c>
      <c r="P32" s="343">
        <f>IF($B31=$F$64,+'7. Billed kWh'!$H$38,IF($B31=$F$65,+'7. Billed kWh'!$P$38,IF($B31=$F$66,+'7. Billed kWh'!$X$38,IF($B31=$F$67,+'7. Billed kWh'!$AF$38,IF($B31=$F$68,+'7. Billed kWh'!$AN$38,IF($B31=$F$69,+'7.1. Billed kW'!$I$41,IF($B31=$F$70,+'7.1. Billed kW'!$T$41,IF($B31=$F$71,+'7.1. Billed kW'!$AD$41,IF($B31=$F$72,+'7.1. Billed kW'!$AN$41,IF($B31=$F$73,+'7.1. Billed kW'!$AX$41))))))))))</f>
        <v>820412.81545401609</v>
      </c>
    </row>
    <row r="33" spans="2:16" x14ac:dyDescent="0.25">
      <c r="B33" s="575"/>
      <c r="C33" s="48"/>
      <c r="D33" s="48" t="s">
        <v>36</v>
      </c>
      <c r="E33" s="300">
        <f>IF(B$15=$F$69,+'7.1. Billed kW'!$F$12,IF($B31=$F$70,+'7.1. Billed kW'!$Q$12,IF($B31=$F$71,+'7.1. Billed kW'!$AA$12,IF($B31=$F$72,+'7.1. Billed kW'!$AK$12,+IF($B31=$F$73,+'7.1. Billed kW'!$AU$12,0)))))</f>
        <v>5310</v>
      </c>
      <c r="F33" s="300">
        <f>IF($B31=$F$69,+'7.1. Billed kW'!$F$13,IF($B31=$F$70,+'7.1. Billed kW'!$Q$13,IF($B31=$F$71,+'7.1. Billed kW'!$AA$13,IF($B31=$F$72,+'7.1. Billed kW'!$AK$13,+IF($B31=$F$73,+'7.1. Billed kW'!$AU$13,0)))))</f>
        <v>5425</v>
      </c>
      <c r="G33" s="300">
        <f>IF($B31=$F$69,+'7.1. Billed kW'!$F$14,IF($B31=$F$70,+'7.1. Billed kW'!$Q$14,IF($B31=$F$71,+'7.1. Billed kW'!$AA$14,IF($B31=$F$72,+'7.1. Billed kW'!$AK$14,+IF($B31=$F$73,+'7.1. Billed kW'!$AU$14,0)))))</f>
        <v>5476.170000000001</v>
      </c>
      <c r="H33" s="300">
        <f>IF($B31=$F$69,+'7.1. Billed kW'!$F$15,IF($B31=$F$70,+'7.1. Billed kW'!$Q$15,IF($B31=$F$71,+'7.1. Billed kW'!$AA$15,IF($B31=$F$72,+'7.1. Billed kW'!$AK$15,+IF($B31=$F$73,+'7.1. Billed kW'!$AU$15,0)))))</f>
        <v>2932.5000000000005</v>
      </c>
      <c r="I33" s="300">
        <f>IF($B31=$F$69,+'7.1. Billed kW'!$F$16,IF($B31=$F$70,+'7.1. Billed kW'!$Q$16,IF($B31=$F$71,+'7.1. Billed kW'!$AA$16,IF($B31=$F$72,+'7.1. Billed kW'!$AK$16,+IF($B31=$F$73,+'7.1. Billed kW'!$AU$16,0)))))</f>
        <v>2242</v>
      </c>
      <c r="J33" s="300">
        <f>IF($B31=$F$69,+'7.1. Billed kW'!$F$17,IF($B31=$F$70,+'7.1. Billed kW'!$Q$17,IF($B31=$F$71,+'7.1. Billed kW'!$AA$17,IF($B31=$F$72,+'7.1. Billed kW'!$AK$17,+IF($B31=$F$73,+'7.1. Billed kW'!$AU$17,0)))))</f>
        <v>2247.6</v>
      </c>
      <c r="K33" s="300">
        <f>IF($B31=$F$69,+'7.1. Billed kW'!$F$18,IF($B31=$F$70,+'7.1. Billed kW'!$Q$18,IF($B31=$F$71,+'7.1. Billed kW'!$AA$18,IF($B31=$F$72,+'7.1. Billed kW'!$AK$18,+IF($B31=$F$73,+'7.1. Billed kW'!$AU$18,0)))))</f>
        <v>2286.8000000000002</v>
      </c>
      <c r="L33" s="300">
        <f>IF($B31=$F$69,+'7.1. Billed kW'!$F$19,IF($B31=$F$70,+'7.1. Billed kW'!$Q$19,IF($B31=$F$71,+'7.1. Billed kW'!$AA$19,IF($B31=$F$72,+'7.1. Billed kW'!$AK$19,+IF($B31=$F$73,+'7.1. Billed kW'!$AU$19,0)))))</f>
        <v>2328</v>
      </c>
      <c r="M33" s="300">
        <f>IF($B31=$F$69,+'7.1. Billed kW'!$F$20,IF($B31=$F$70,+'7.1. Billed kW'!$Q$20,IF($B31=$F$71,+'7.1. Billed kW'!$AA$20,IF($B31=$F$72,+'7.1. Billed kW'!$AK$20,+IF($B31=$F$73,+'7.1. Billed kW'!$AU$20,0)))))</f>
        <v>2337.6</v>
      </c>
      <c r="N33" s="300">
        <f>IF($B31=$F$69,+'7.1. Billed kW'!$F$21,IF($B31=$F$70,+'7.1. Billed kW'!$Q$21,IF($B31=$F$71,+'7.1. Billed kW'!$AA$21,IF($B31=$F$72,+'7.1. Billed kW'!$AK$21,+IF($B31=$F$73,+'7.1. Billed kW'!$AU$21,0)))))</f>
        <v>2371.1999999999994</v>
      </c>
      <c r="O33" s="300">
        <f>IF($B31=$F$69,+'7.1. Billed kW'!$J$40,IF($B31=$F$70,+'7.1. Billed kW'!$U$40,IF($B31=$F$71,+'7.1. Billed kW'!$AE$40,IF($B31=$F$72,+'7.1. Billed kW'!$AO$40,+IF($B31=$F$73,+'7.1. Billed kW'!$AY$40,0)))))</f>
        <v>2397.5683728067443</v>
      </c>
      <c r="P33" s="344">
        <f>IF($B31=$F$69,+'7.1. Billed kW'!$J$41,IF($B31=$F$70,+'7.1. Billed kW'!$U$41,IF($B31=$F$71,+'7.1. Billed kW'!$AE$41,IF($B31=$F$72,+'7.1. Billed kW'!$AO$41,+IF($B31=$F$73,+'7.1. Billed kW'!$AY$41,0)))))</f>
        <v>2424.3396533087775</v>
      </c>
    </row>
    <row r="34" spans="2:16" x14ac:dyDescent="0.25">
      <c r="B34" s="575"/>
      <c r="C34" s="48"/>
      <c r="D34" s="48"/>
      <c r="E34" s="300"/>
      <c r="F34" s="300"/>
      <c r="G34" s="300"/>
      <c r="H34" s="300"/>
      <c r="I34" s="300"/>
      <c r="J34" s="300"/>
      <c r="K34" s="300"/>
      <c r="L34" s="300"/>
      <c r="M34" s="300"/>
      <c r="N34" s="300"/>
      <c r="O34" s="301"/>
      <c r="P34" s="302"/>
    </row>
    <row r="35" spans="2:16" x14ac:dyDescent="0.25">
      <c r="B35" s="576" t="s">
        <v>178</v>
      </c>
      <c r="C35" s="149" t="str">
        <f>IF($B35=$F$64,+$B$64,+IF($B35=$F$65,+$B$65,+IF($B35=$F$66,+$B$66,+IF($B35=$F$66,$B$66,+IF($B35=$F$67,+$B$67,+IF($B35=$F$68,+$B$68,+IF($B35=$F$69,+$B$69,+IF($B35=$F$70,+$B$70,+IF($B35=$F$71,+$B$71,+IF($B35=$F$72,+$B$72,+IF($B35=$F$73,+$B$73)))))))))))</f>
        <v>Unmetered Scattered Load</v>
      </c>
      <c r="D35" s="48" t="s">
        <v>94</v>
      </c>
      <c r="E35" s="342">
        <f>IF($C35='4. Customer Growth'!$C$7,+'4. Customer Growth'!$C$9,+IF($C35='4. Customer Growth'!$E$7,+'4. Customer Growth'!$E$9,+IF($C35='4. Customer Growth'!$G$7,+'4. Customer Growth'!$G$9,+IF($C35='4. Customer Growth'!$I$7,+'4. Customer Growth'!$I$9,+IF($C35='4. Customer Growth'!$K$7,+'4. Customer Growth'!$K$9,+IF($C35='4. Customer Growth'!$M$7,+'4. Customer Growth'!$M$9,IF($C35='4. Customer Growth'!$O$7,+'4. Customer Growth'!$O$9)))))))</f>
        <v>42.5</v>
      </c>
      <c r="F35" s="342">
        <f>IF($C35='4. Customer Growth'!$C$7,+'4. Customer Growth'!$C$10,+IF($C35='4. Customer Growth'!$E$7,+'4. Customer Growth'!$E$10,+IF($C35='4. Customer Growth'!$G$7,+'4. Customer Growth'!$G$10,+IF($C35='4. Customer Growth'!$I$7,+'4. Customer Growth'!$I$10,+IF($C35='4. Customer Growth'!$K$7,+'4. Customer Growth'!$K$10,+IF($C35='4. Customer Growth'!$M$7,+'4. Customer Growth'!$M$10,IF($C35='4. Customer Growth'!$O$7,+'4. Customer Growth'!$O$10)))))))</f>
        <v>41</v>
      </c>
      <c r="G35" s="342">
        <f>IF($C35='4. Customer Growth'!$C$7,+'4. Customer Growth'!$C$11,+IF($C35='4. Customer Growth'!$E$7,+'4. Customer Growth'!$E$11,+IF($C35='4. Customer Growth'!$G$7,+'4. Customer Growth'!$G$11,+IF($C35='4. Customer Growth'!$I$7,+'4. Customer Growth'!$I$11,+IF($C35='4. Customer Growth'!$K$7,+'4. Customer Growth'!$K$11,+IF($C35='4. Customer Growth'!$M$7,+'4. Customer Growth'!$M$11,IF($C35='4. Customer Growth'!$O$7,+'4. Customer Growth'!$O$11)))))))</f>
        <v>40.5</v>
      </c>
      <c r="H35" s="342">
        <f>IF($C35='4. Customer Growth'!$C$7,+'4. Customer Growth'!$C$12,+IF($C35='4. Customer Growth'!$E$7,+'4. Customer Growth'!$E$12,+IF($C35='4. Customer Growth'!$G$7,+'4. Customer Growth'!$G$12,+IF($C35='4. Customer Growth'!$I$7,+'4. Customer Growth'!$I$12,+IF($C35='4. Customer Growth'!$K$7,+'4. Customer Growth'!$K$12,+IF($C35='4. Customer Growth'!$M$7,+'4. Customer Growth'!$M$12,IF($C35='4. Customer Growth'!$O$7,+'4. Customer Growth'!$O$12)))))))</f>
        <v>36.5</v>
      </c>
      <c r="I35" s="342">
        <f>IF($C35='4. Customer Growth'!$C$7,+'4. Customer Growth'!$C$13,+IF($C35='4. Customer Growth'!$E$7,+'4. Customer Growth'!$E$13,+IF($C35='4. Customer Growth'!$G$7,+'4. Customer Growth'!$G$13,+IF($C35='4. Customer Growth'!$I$7,+'4. Customer Growth'!$I$13,+IF($C35='4. Customer Growth'!$K$7,+'4. Customer Growth'!$K$13,+IF($C35='4. Customer Growth'!$M$7,+'4. Customer Growth'!$M$13,IF($C35='4. Customer Growth'!$O$7,+'4. Customer Growth'!$O$13)))))))</f>
        <v>33</v>
      </c>
      <c r="J35" s="342">
        <f>IF($C35='4. Customer Growth'!$C$7,+'4. Customer Growth'!$C$14,+IF($C35='4. Customer Growth'!$E$7,+'4. Customer Growth'!$E$14,+IF($C35='4. Customer Growth'!$G$7,+'4. Customer Growth'!$G$14,+IF($C35='4. Customer Growth'!$I$7,+'4. Customer Growth'!$I$14,+IF($C35='4. Customer Growth'!$K$7,+'4. Customer Growth'!$K$14,+IF($C35='4. Customer Growth'!$M$7,+'4. Customer Growth'!$M$14,IF($C35='4. Customer Growth'!$O$7,+'4. Customer Growth'!$O$14)))))))</f>
        <v>34.5</v>
      </c>
      <c r="K35" s="342">
        <f>IF($C35='4. Customer Growth'!$C$7,+'4. Customer Growth'!$C$15,+IF($C35='4. Customer Growth'!$E$7,+'4. Customer Growth'!$E$15,+IF($C35='4. Customer Growth'!$G$7,+'4. Customer Growth'!$G$15,+IF($C35='4. Customer Growth'!$I$7,+'4. Customer Growth'!$I$15,+IF($C35='4. Customer Growth'!$K$7,+'4. Customer Growth'!$K$15,+IF($C35='4. Customer Growth'!$M$7,+'4. Customer Growth'!$M$15,IF($C35='4. Customer Growth'!$O$7,+'4. Customer Growth'!$O$15)))))))</f>
        <v>35</v>
      </c>
      <c r="L35" s="342">
        <f>IF($C35='4. Customer Growth'!$C$7,+'4. Customer Growth'!$C$16,+IF($C35='4. Customer Growth'!$E$7,+'4. Customer Growth'!$E$16,+IF($C35='4. Customer Growth'!$G$7,+'4. Customer Growth'!$G$16,+IF($C35='4. Customer Growth'!$I$7,+'4. Customer Growth'!$I$16,+IF($C35='4. Customer Growth'!$K$7,+'4. Customer Growth'!$K$16,+IF($C35='4. Customer Growth'!$M$7,+'4. Customer Growth'!$M$16,IF($C35='4. Customer Growth'!$O$7,+'4. Customer Growth'!$O$16)))))))</f>
        <v>35</v>
      </c>
      <c r="M35" s="342">
        <f>IF($C35='4. Customer Growth'!$C$7,+'4. Customer Growth'!$C$17,+IF($C35='4. Customer Growth'!$E$7,+'4. Customer Growth'!$E$17,+IF($C35='4. Customer Growth'!$G$7,+'4. Customer Growth'!$G$17,+IF($C35='4. Customer Growth'!$I$7,+'4. Customer Growth'!$I$17,+IF($C35='4. Customer Growth'!$K$7,+'4. Customer Growth'!$K$17,+IF($C35='4. Customer Growth'!$M$7,+'4. Customer Growth'!$M$17,IF($C35='4. Customer Growth'!$O$7,+'4. Customer Growth'!$O$17)))))))</f>
        <v>36</v>
      </c>
      <c r="N35" s="342">
        <f>IF($C35='4. Customer Growth'!$C$7,+'4. Customer Growth'!$C$18,+IF($C35='4. Customer Growth'!$E$7,+'4. Customer Growth'!$E$18,+IF($C35='4. Customer Growth'!$G$7,+'4. Customer Growth'!$G$18,+IF($C35='4. Customer Growth'!$I$7,+'4. Customer Growth'!$I$18,+IF($C35='4. Customer Growth'!$K$7,+'4. Customer Growth'!$K$18,+IF($C35='4. Customer Growth'!$M$7,+'4. Customer Growth'!$M$18,IF($C35='4. Customer Growth'!$O$7,+'4. Customer Growth'!$O$18)))))))</f>
        <v>41</v>
      </c>
      <c r="O35" s="342">
        <f>IF($C35='4. Customer Growth'!$C$7,+'4. Customer Growth'!$C$34,+IF($C35='4. Customer Growth'!$E$7,+'4. Customer Growth'!$E$34,+IF($C35='4. Customer Growth'!$G$7,+'4. Customer Growth'!$G$34,+IF($C35='4. Customer Growth'!$I$7,+'4. Customer Growth'!$I$34,+IF($C35='4. Customer Growth'!$K$7,+'4. Customer Growth'!$K$34,+IF($C35='4. Customer Growth'!$M$7,+'4. Customer Growth'!$M$34,IF($C35='4. Customer Growth'!$O$7,+'4. Customer Growth'!$O$34)))))))</f>
        <v>46</v>
      </c>
      <c r="P35" s="343">
        <f>IF($C35='4. Customer Growth'!$C$7,+'4. Customer Growth'!$C$35,+IF($C35='4. Customer Growth'!$E$7,+'4. Customer Growth'!$E$35,+IF($C35='4. Customer Growth'!$G$7,+'4. Customer Growth'!$G$35,+IF($C35='4. Customer Growth'!$I$7,+'4. Customer Growth'!$I$35,+IF($C35='4. Customer Growth'!$K$7,+'4. Customer Growth'!$K$35,+IF($C35='4. Customer Growth'!$M$7,+'4. Customer Growth'!$M$35,IF($C35='4. Customer Growth'!$O$7,+'4. Customer Growth'!$O$35)))))))</f>
        <v>48</v>
      </c>
    </row>
    <row r="36" spans="2:16" x14ac:dyDescent="0.25">
      <c r="B36" s="575"/>
      <c r="C36" s="48"/>
      <c r="D36" s="48" t="s">
        <v>35</v>
      </c>
      <c r="E36" s="342">
        <f>IF($B35=$F$64,+'7. Billed kWh'!$C$16,IF($B35=$F$65,+'7. Billed kWh'!$K$16,IF($B35=$F$66,+'7. Billed kWh'!$S$16,IF($B35=$F$67,+'7. Billed kWh'!$AA$16,IF($B35=$F$68,+'7. Billed kWh'!$AI$16,IF($B35=$F$69,+'7.1. Billed kW'!$E$12,IF($B35=$F$70,+'7.1. Billed kW'!$P$12,IF($B35=$F$71,+'7.1. Billed kW'!$Z$12,IF($B35=$F$72,+'7.1. Billed kW'!$AJ$12,IF($B35=$F$73,+'7.1. Billed kW'!$AT$12))))))))))</f>
        <v>264550</v>
      </c>
      <c r="F36" s="342">
        <f>IF($B35=$F$64,+'7. Billed kWh'!$C$17,IF($B35=$F$65,+'7. Billed kWh'!$K$17,IF($B35=$F$66,+'7. Billed kWh'!$S$17,IF($B35=$F$67,+'7. Billed kWh'!$AA$17,IF($B35=$F$68,+'7. Billed kWh'!$AI$17,IF($B35=$F$69,+'7.1. Billed kW'!$E$13,IF($B35=$F$70,+'7.1. Billed kW'!$P$13,IF($B35=$F$71,+'7.1. Billed kW'!$Z$13,IF($B35=$F$72,+'7.1. Billed kW'!$AJ$13,IF($B35=$F$73,+'7.1. Billed kW'!$AT$13))))))))))</f>
        <v>250496</v>
      </c>
      <c r="G36" s="342">
        <f>IF($B35=$F$64,+'7. Billed kWh'!$C$18,IF($B35=$F$65,+'7. Billed kWh'!$K$18,IF($B35=$F$66,+'7. Billed kWh'!$S$18,IF($B35=$F$67,+'7. Billed kWh'!$AA$18,IF($B35=$F$68,+'7. Billed kWh'!$AI$18,IF($B35=$F$69,+'7.1. Billed kW'!$E$14,IF($B35=$F$70,+'7.1. Billed kW'!$P$14,IF($B35=$F$71,+'7.1. Billed kW'!$Z$14,IF($B35=$F$72,+'7.1. Billed kW'!$AJ$14,IF($B35=$F$73,+'7.1. Billed kW'!$AT$14))))))))))</f>
        <v>258733</v>
      </c>
      <c r="H36" s="342">
        <f>IF($B35=$F$64,+'7. Billed kWh'!$C$19,IF($B35=$F$65,+'7. Billed kWh'!$K$19,IF($B35=$F$66,+'7. Billed kWh'!$S$19,IF($B35=$F$67,+'7. Billed kWh'!$AA$19,IF($B35=$F$68,+'7. Billed kWh'!$AI$19,IF($B35=$F$69,+'7.1. Billed kW'!$E$15,IF($B35=$F$70,+'7.1. Billed kW'!$P$15,IF($B35=$F$71,+'7.1. Billed kW'!$Z$15,IF($B35=$F$72,+'7.1. Billed kW'!$AJ$15,IF($B35=$F$73,+'7.1. Billed kW'!$AT$15))))))))))</f>
        <v>183648</v>
      </c>
      <c r="I36" s="342">
        <f>IF($B35=$F$64,+'7. Billed kWh'!$C$20,IF($B35=$F$65,+'7. Billed kWh'!$K$20,IF($B35=$F$66,+'7. Billed kWh'!$S$20,IF($B35=$F$67,+'7. Billed kWh'!$AA$20,IF($B35=$F$68,+'7. Billed kWh'!$AI$20,IF($B35=$F$69,+'7.1. Billed kW'!$E$16,IF($B35=$F$70,+'7.1. Billed kW'!$P$16,IF($B35=$F$71,+'7.1. Billed kW'!$Z$16,IF($B35=$F$72,+'7.1. Billed kW'!$AJ$16,IF($B35=$F$73,+'7.1. Billed kW'!$AT$16))))))))))</f>
        <v>148714</v>
      </c>
      <c r="J36" s="342">
        <f>IF($B35=$F$64,+'7. Billed kWh'!$C$21,IF($B35=$F$65,+'7. Billed kWh'!$K$21,IF($B35=$F$66,+'7. Billed kWh'!$S$21,IF($B35=$F$67,+'7. Billed kWh'!$AA$21,IF($B35=$F$68,+'7. Billed kWh'!$AI$21,IF($B35=$F$69,+'7.1. Billed kW'!$E$17,IF($B35=$F$70,+'7.1. Billed kW'!$P$17,IF($B35=$F$71,+'7.1. Billed kW'!$Z$17,IF($B35=$F$72,+'7.1. Billed kW'!$AJ$17,IF($B35=$F$73,+'7.1. Billed kW'!$AT$17))))))))))</f>
        <v>153906</v>
      </c>
      <c r="K36" s="342">
        <f>IF($B35=$F$64,+'7. Billed kWh'!$C$22,IF($B35=$F$65,+'7. Billed kWh'!$K$22,IF($B35=$F$66,+'7. Billed kWh'!$S$22,IF($B35=$F$67,+'7. Billed kWh'!$AA$22,IF($B35=$F$68,+'7. Billed kWh'!$AI$22,IF($B35=$F$69,+'7.1. Billed kW'!$E$18,IF($B35=$F$70,+'7.1. Billed kW'!$P$18,IF($B35=$F$71,+'7.1. Billed kW'!$Z$18,IF($B35=$F$72,+'7.1. Billed kW'!$AJ$18,IF($B35=$F$73,+'7.1. Billed kW'!$AT$18))))))))))</f>
        <v>154158</v>
      </c>
      <c r="L36" s="342">
        <f>IF($B35=$F$64,+'7. Billed kWh'!$C$23,IF($B35=$F$65,+'7. Billed kWh'!$K$23,IF($B35=$F$66,+'7. Billed kWh'!$S$23,IF($B35=$F$67,+'7. Billed kWh'!$AA$23,IF($B35=$F$68,+'7. Billed kWh'!$AI$23,IF($B35=$F$69,+'7.1. Billed kW'!$E$19,IF($B35=$F$70,+'7.1. Billed kW'!$P$19,IF($B35=$F$71,+'7.1. Billed kW'!$Z$19,IF($B35=$F$72,+'7.1. Billed kW'!$AJ$19,IF($B35=$F$73,+'7.1. Billed kW'!$AT$19))))))))))</f>
        <v>153122</v>
      </c>
      <c r="M36" s="342">
        <f>IF($B35=$F$64,+'7. Billed kWh'!$C$24,IF($B35=$F$65,+'7. Billed kWh'!$K$24,IF($B35=$F$66,+'7. Billed kWh'!$S$24,IF($B35=$F$67,+'7. Billed kWh'!$AA$24,IF($B35=$F$68,+'7. Billed kWh'!$AI$24,IF($B35=$F$69,+'7.1. Billed kW'!$E$20,IF($B35=$F$70,+'7.1. Billed kW'!$P$20,IF($B35=$F$71,+'7.1. Billed kW'!$Z$20,IF($B35=$F$72,+'7.1. Billed kW'!$AJ$20,IF($B35=$F$73,+'7.1. Billed kW'!$AT$20))))))))))</f>
        <v>155365</v>
      </c>
      <c r="N36" s="342">
        <f>IF($B35=$F$64,+'7. Billed kWh'!$C$25,IF($B35=$F$65,+'7. Billed kWh'!$K$25,IF($B35=$F$66,+'7. Billed kWh'!$W$25,IF($B35=$F$67,+'7. Billed kWh'!$AA$25,IF($B35=$F$68,+'7. Billed kWh'!$AI$25,IF($B35=$F$69,+'7.1. Billed kW'!$E$21,IF($B35=$F$70,+'7.1. Billed kW'!$P$21,IF($B35=$F$71,+'7.1. Billed kW'!$Z$21,IF($B35=$F$72,+'7.1. Billed kW'!$AJ$21,IF($B35=$F$73,+'7.1. Billed kW'!$AT$21))))))))))</f>
        <v>184699.60902894865</v>
      </c>
      <c r="O36" s="342">
        <f>IF($B35=$F$64,+'7. Billed kWh'!$H$37,IF($B35=$F$65,+'7. Billed kWh'!$P$37,IF($B35=$F$66,+'7. Billed kWh'!$X$37,IF($B35=$F$67,+'7. Billed kWh'!$AF$37,IF($B35=$F$68,+'7. Billed kWh'!$AN$37,IF($B35=$F$69,+'7.1. Billed kW'!$I$40,IF($B35=$F$70,+'7.1. Billed kW'!$T$40,IF($B35=$F$71,+'7.1. Billed kW'!$AD$40,IF($B35=$F$72,+'7.1. Billed kW'!$AN$40,IF($B35=$F$73,+'7.1. Billed kW'!$AX$40))))))))))</f>
        <v>207019.8047360066</v>
      </c>
      <c r="P36" s="343">
        <f>IF($B35=$F$64,+'7. Billed kWh'!$H$38,IF($B35=$F$65,+'7. Billed kWh'!$P$38,IF($B35=$F$66,+'7. Billed kWh'!$X$38,IF($B35=$F$67,+'7. Billed kWh'!$AF$38,IF($B35=$F$68,+'7. Billed kWh'!$AN$38,IF($B35=$F$69,+'7.1. Billed kW'!$I$41,IF($B35=$F$70,+'7.1. Billed kW'!$T$41,IF($B35=$F$71,+'7.1. Billed kW'!$AD$41,IF($B35=$F$72,+'7.1. Billed kW'!$AN$41,IF($B35=$F$73,+'7.1. Billed kW'!$AX$41))))))))))</f>
        <v>215972.26929725398</v>
      </c>
    </row>
    <row r="37" spans="2:16" x14ac:dyDescent="0.25">
      <c r="B37" s="575"/>
      <c r="C37" s="48"/>
      <c r="D37" s="48" t="s">
        <v>36</v>
      </c>
      <c r="E37" s="300">
        <f>IF(B$15=$F$69,+'7.1. Billed kW'!$F$12,IF($B35=$F$70,+'7.1. Billed kW'!$Q$12,IF($B35=$F$71,+'7.1. Billed kW'!$AA$12,IF($B35=$F$72,+'7.1. Billed kW'!$AK$12,+IF($B35=$F$73,+'7.1. Billed kW'!$AU$12,0)))))</f>
        <v>0</v>
      </c>
      <c r="F37" s="300">
        <f>IF($B35=$F$69,+'7.1. Billed kW'!$F$13,IF($B35=$F$70,+'7.1. Billed kW'!$Q$13,IF($B35=$F$71,+'7.1. Billed kW'!$AA$13,IF($B35=$F$72,+'7.1. Billed kW'!$AK$13,+IF($B35=$F$73,+'7.1. Billed kW'!$AU$13,0)))))</f>
        <v>0</v>
      </c>
      <c r="G37" s="300">
        <f>IF($B35=$F$69,+'7.1. Billed kW'!$F$14,IF($B35=$F$70,+'7.1. Billed kW'!$Q$14,IF($B35=$F$71,+'7.1. Billed kW'!$AA$14,IF($B35=$F$72,+'7.1. Billed kW'!$AK$14,+IF($B35=$F$73,+'7.1. Billed kW'!$AU$14,0)))))</f>
        <v>0</v>
      </c>
      <c r="H37" s="300">
        <f>IF($B35=$F$69,+'7.1. Billed kW'!$F$15,IF($B35=$F$70,+'7.1. Billed kW'!$Q$15,IF($B35=$F$71,+'7.1. Billed kW'!$AA$15,IF($B35=$F$72,+'7.1. Billed kW'!$AK$15,+IF($B35=$F$73,+'7.1. Billed kW'!$AU$15,0)))))</f>
        <v>0</v>
      </c>
      <c r="I37" s="300">
        <f>IF($B35=$F$69,+'7.1. Billed kW'!$F$16,IF($B35=$F$70,+'7.1. Billed kW'!$Q$16,IF($B35=$F$71,+'7.1. Billed kW'!$AA$16,IF($B35=$F$72,+'7.1. Billed kW'!$AK$16,+IF($B35=$F$73,+'7.1. Billed kW'!$AU$16,0)))))</f>
        <v>0</v>
      </c>
      <c r="J37" s="300">
        <f>IF($B35=$F$69,+'7.1. Billed kW'!$F$17,IF($B35=$F$70,+'7.1. Billed kW'!$Q$17,IF($B35=$F$71,+'7.1. Billed kW'!$AA$17,IF($B35=$F$72,+'7.1. Billed kW'!$AK$17,+IF($B35=$F$73,+'7.1. Billed kW'!$AU$17,0)))))</f>
        <v>0</v>
      </c>
      <c r="K37" s="300">
        <f>IF($B35=$F$69,+'7.1. Billed kW'!$F$18,IF($B35=$F$70,+'7.1. Billed kW'!$Q$18,IF($B35=$F$71,+'7.1. Billed kW'!$AA$18,IF($B35=$F$72,+'7.1. Billed kW'!$AK$18,+IF($B35=$F$73,+'7.1. Billed kW'!$AU$18,0)))))</f>
        <v>0</v>
      </c>
      <c r="L37" s="300">
        <f>IF($B35=$F$69,+'7.1. Billed kW'!$F$19,IF($B35=$F$70,+'7.1. Billed kW'!$Q$19,IF($B35=$F$71,+'7.1. Billed kW'!$AA$19,IF($B35=$F$72,+'7.1. Billed kW'!$AK$19,+IF($B35=$F$73,+'7.1. Billed kW'!$AU$19,0)))))</f>
        <v>0</v>
      </c>
      <c r="M37" s="300">
        <f>IF($B35=$F$69,+'7.1. Billed kW'!$F$20,IF($B35=$F$70,+'7.1. Billed kW'!$Q$20,IF($B35=$F$71,+'7.1. Billed kW'!$AA$20,IF($B35=$F$72,+'7.1. Billed kW'!$AK$20,+IF($B35=$F$73,+'7.1. Billed kW'!$AU$20,0)))))</f>
        <v>0</v>
      </c>
      <c r="N37" s="300">
        <f>IF($B35=$F$69,+'7.1. Billed kW'!$F$21,IF($B35=$F$70,+'7.1. Billed kW'!$Q$21,IF($B35=$F$71,+'7.1. Billed kW'!$AA$21,IF($B35=$F$72,+'7.1. Billed kW'!$AK$21,+IF($B35=$F$73,+'7.1. Billed kW'!$AU$21,0)))))</f>
        <v>0</v>
      </c>
      <c r="O37" s="300">
        <f>IF($B35=$F$69,+'7.1. Billed kW'!$J$40,IF($B35=$F$70,+'7.1. Billed kW'!$U$40,IF($B35=$F$71,+'7.1. Billed kW'!$AE$40,IF($B35=$F$72,+'7.1. Billed kW'!$AO$40,+IF($B35=$F$73,+'7.1. Billed kW'!$AY$40,0)))))</f>
        <v>0</v>
      </c>
      <c r="P37" s="344">
        <f>IF($B35=$F$69,+'7.1. Billed kW'!$J$41,IF($B35=$F$70,+'7.1. Billed kW'!$U$41,IF($B35=$F$71,+'7.1. Billed kW'!$AE$41,IF($B35=$F$72,+'7.1. Billed kW'!$AO$41,+IF($B35=$F$73,+'7.1. Billed kW'!$AY$41,0)))))</f>
        <v>0</v>
      </c>
    </row>
    <row r="38" spans="2:16" x14ac:dyDescent="0.25">
      <c r="B38" s="575"/>
      <c r="C38" s="48"/>
      <c r="D38" s="48"/>
      <c r="E38" s="300"/>
      <c r="F38" s="300"/>
      <c r="G38" s="300"/>
      <c r="H38" s="300"/>
      <c r="I38" s="300"/>
      <c r="J38" s="300"/>
      <c r="K38" s="300"/>
      <c r="L38" s="300"/>
      <c r="M38" s="300"/>
      <c r="N38" s="300"/>
      <c r="O38" s="301"/>
      <c r="P38" s="302"/>
    </row>
    <row r="39" spans="2:16" hidden="1" x14ac:dyDescent="0.25">
      <c r="B39" s="576" t="s">
        <v>173</v>
      </c>
      <c r="C39" s="149" t="str">
        <f>IF($B39=$F$64,+$B$64,+IF($B39=$F$65,+$B$65,+IF($B39=$F$66,+$B$66,+IF($B39=$F$66,$B$66,+IF($B39=$F$67,+$B$67,+IF($B39=$F$68,+$B$68,+IF($B39=$F$69,+$B$69,+IF($B39=$F$70,+$B$70,+IF($B39=$F$71,+$B$71,+IF($B39=$F$72,+$B$72,+IF($B39=$F$73,+$B$73)))))))))))</f>
        <v>N/A</v>
      </c>
      <c r="D39" s="48" t="s">
        <v>94</v>
      </c>
      <c r="E39" s="345" t="b">
        <f>IF($C39='4. Customer Growth'!$C$7,+'4. Customer Growth'!$C$9,+IF($C39='4. Customer Growth'!$E$7,+'4. Customer Growth'!$E$9,+IF($C39='4. Customer Growth'!$G$7,+'4. Customer Growth'!$G$9,+IF($C39='4. Customer Growth'!$I$7,+'4. Customer Growth'!$I$9,+IF($C39='4. Customer Growth'!$K$7,+'4. Customer Growth'!$K$9,+IF($C39='4. Customer Growth'!$M$7,+'4. Customer Growth'!$M$9,IF($C39='4. Customer Growth'!$O$7,+'4. Customer Growth'!$O$9)))))))</f>
        <v>0</v>
      </c>
      <c r="F39" s="345" t="b">
        <f>IF($C39='4. Customer Growth'!$C$7,+'4. Customer Growth'!$C$10,+IF($C39='4. Customer Growth'!$E$7,+'4. Customer Growth'!$E$10,+IF($C39='4. Customer Growth'!$G$7,+'4. Customer Growth'!$G$10,+IF($C39='4. Customer Growth'!$I$7,+'4. Customer Growth'!$I$10,+IF($C39='4. Customer Growth'!$K$7,+'4. Customer Growth'!$K$10,+IF($C39='4. Customer Growth'!$M$7,+'4. Customer Growth'!$M$10,IF($C39='4. Customer Growth'!$O$7,+'4. Customer Growth'!$O$10)))))))</f>
        <v>0</v>
      </c>
      <c r="G39" s="345" t="b">
        <f>IF($C39='4. Customer Growth'!$C$7,+'4. Customer Growth'!$C$11,+IF($C39='4. Customer Growth'!$E$7,+'4. Customer Growth'!$E$11,+IF($C39='4. Customer Growth'!$G$7,+'4. Customer Growth'!$G$11,+IF($C39='4. Customer Growth'!$I$7,+'4. Customer Growth'!$I$11,+IF($C39='4. Customer Growth'!$K$7,+'4. Customer Growth'!$K$11,+IF($C39='4. Customer Growth'!$M$7,+'4. Customer Growth'!$M$11,IF($C39='4. Customer Growth'!$O$7,+'4. Customer Growth'!$O$11)))))))</f>
        <v>0</v>
      </c>
      <c r="H39" s="345" t="b">
        <f>IF($C39='4. Customer Growth'!$C$7,+'4. Customer Growth'!$C$12,+IF($C39='4. Customer Growth'!$E$7,+'4. Customer Growth'!$E$12,+IF($C39='4. Customer Growth'!$G$7,+'4. Customer Growth'!$G$12,+IF($C39='4. Customer Growth'!$I$7,+'4. Customer Growth'!$I$12,+IF($C39='4. Customer Growth'!$K$7,+'4. Customer Growth'!$K$12,+IF($C39='4. Customer Growth'!$M$7,+'4. Customer Growth'!$M$12,IF($C39='4. Customer Growth'!$O$7,+'4. Customer Growth'!$O$12)))))))</f>
        <v>0</v>
      </c>
      <c r="I39" s="345" t="b">
        <f>IF($C39='4. Customer Growth'!$C$7,+'4. Customer Growth'!$C$13,+IF($C39='4. Customer Growth'!$E$7,+'4. Customer Growth'!$E$13,+IF($C39='4. Customer Growth'!$G$7,+'4. Customer Growth'!$G$13,+IF($C39='4. Customer Growth'!$I$7,+'4. Customer Growth'!$I$13,+IF($C39='4. Customer Growth'!$K$7,+'4. Customer Growth'!$K$13,+IF($C39='4. Customer Growth'!$M$7,+'4. Customer Growth'!$M$13,IF($C39='4. Customer Growth'!$O$7,+'4. Customer Growth'!$O$13)))))))</f>
        <v>0</v>
      </c>
      <c r="J39" s="345" t="b">
        <f>IF($C39='4. Customer Growth'!$C$7,+'4. Customer Growth'!$C$14,+IF($C39='4. Customer Growth'!$E$7,+'4. Customer Growth'!$E$14,+IF($C39='4. Customer Growth'!$G$7,+'4. Customer Growth'!$G$14,+IF($C39='4. Customer Growth'!$I$7,+'4. Customer Growth'!$I$14,+IF($C39='4. Customer Growth'!$K$7,+'4. Customer Growth'!$K$14,+IF($C39='4. Customer Growth'!$M$7,+'4. Customer Growth'!$M$14,IF($C39='4. Customer Growth'!$O$7,+'4. Customer Growth'!$O$14)))))))</f>
        <v>0</v>
      </c>
      <c r="K39" s="345" t="b">
        <f>IF($C39='4. Customer Growth'!$C$7,+'4. Customer Growth'!$C$15,+IF($C39='4. Customer Growth'!$E$7,+'4. Customer Growth'!$E$15,+IF($C39='4. Customer Growth'!$G$7,+'4. Customer Growth'!$G$15,+IF($C39='4. Customer Growth'!$I$7,+'4. Customer Growth'!$I$15,+IF($C39='4. Customer Growth'!$K$7,+'4. Customer Growth'!$K$15,+IF($C39='4. Customer Growth'!$M$7,+'4. Customer Growth'!$M$15,IF($C39='4. Customer Growth'!$O$7,+'4. Customer Growth'!$O$15)))))))</f>
        <v>0</v>
      </c>
      <c r="L39" s="345" t="b">
        <f>IF($C39='4. Customer Growth'!$C$7,+'4. Customer Growth'!$C$16,+IF($C39='4. Customer Growth'!$E$7,+'4. Customer Growth'!$E$16,+IF($C39='4. Customer Growth'!$G$7,+'4. Customer Growth'!$G$16,+IF($C39='4. Customer Growth'!$I$7,+'4. Customer Growth'!$I$16,+IF($C39='4. Customer Growth'!$K$7,+'4. Customer Growth'!$K$16,+IF($C39='4. Customer Growth'!$M$7,+'4. Customer Growth'!$M$16,IF($C39='4. Customer Growth'!$O$7,+'4. Customer Growth'!$O$16)))))))</f>
        <v>0</v>
      </c>
      <c r="M39" s="345" t="b">
        <f>IF($C39='4. Customer Growth'!$C$7,+'4. Customer Growth'!$C$17,+IF($C39='4. Customer Growth'!$E$7,+'4. Customer Growth'!$E$17,+IF($C39='4. Customer Growth'!$G$7,+'4. Customer Growth'!$G$17,+IF($C39='4. Customer Growth'!$I$7,+'4. Customer Growth'!$I$17,+IF($C39='4. Customer Growth'!$K$7,+'4. Customer Growth'!$K$17,+IF($C39='4. Customer Growth'!$M$7,+'4. Customer Growth'!$M$17,IF($C39='4. Customer Growth'!$O$7,+'4. Customer Growth'!$O$17)))))))</f>
        <v>0</v>
      </c>
      <c r="N39" s="345" t="b">
        <f>IF($C39='4. Customer Growth'!$C$7,+'4. Customer Growth'!$C$18,+IF($C39='4. Customer Growth'!$E$7,+'4. Customer Growth'!$E$18,+IF($C39='4. Customer Growth'!$G$7,+'4. Customer Growth'!$G$18,+IF($C39='4. Customer Growth'!$I$7,+'4. Customer Growth'!$I$18,+IF($C39='4. Customer Growth'!$K$7,+'4. Customer Growth'!$K$18,+IF($C39='4. Customer Growth'!$M$7,+'4. Customer Growth'!$M$18,IF($C39='4. Customer Growth'!$O$7,+'4. Customer Growth'!$O$18)))))))</f>
        <v>0</v>
      </c>
      <c r="O39" s="345" t="b">
        <f>IF($C39='4. Customer Growth'!$C$7,+'4. Customer Growth'!$C$34,+IF($C39='4. Customer Growth'!$E$7,+'4. Customer Growth'!$E$34,+IF($C39='4. Customer Growth'!$G$7,+'4. Customer Growth'!$G$34,+IF($C39='4. Customer Growth'!$I$7,+'4. Customer Growth'!$I$34,+IF($C39='4. Customer Growth'!$K$7,+'4. Customer Growth'!$K$34,+IF($C39='4. Customer Growth'!$M$7,+'4. Customer Growth'!$M$34,IF($C39='4. Customer Growth'!$O$7,+'4. Customer Growth'!$O$34)))))))</f>
        <v>0</v>
      </c>
      <c r="P39" s="346" t="b">
        <f>IF($C39='4. Customer Growth'!$C$7,+'4. Customer Growth'!$C$35,+IF($C39='4. Customer Growth'!$E$7,+'4. Customer Growth'!$E$35,+IF($C39='4. Customer Growth'!$G$7,+'4. Customer Growth'!$G$35,+IF($C39='4. Customer Growth'!$I$7,+'4. Customer Growth'!$I$35,+IF($C39='4. Customer Growth'!$K$7,+'4. Customer Growth'!$K$35,+IF($C39='4. Customer Growth'!$M$7,+'4. Customer Growth'!$M$35,IF($C39='4. Customer Growth'!$O$7,+'4. Customer Growth'!$O$35)))))))</f>
        <v>0</v>
      </c>
    </row>
    <row r="40" spans="2:16" hidden="1" x14ac:dyDescent="0.25">
      <c r="B40" s="575"/>
      <c r="C40" s="48"/>
      <c r="D40" s="48" t="s">
        <v>35</v>
      </c>
      <c r="E40" s="342">
        <f>IF($B39=$F$64,+'7. Billed kWh'!$C$16,IF($B39=$F$65,+'7. Billed kWh'!$K$16,IF($B39=$F$66,+'7. Billed kWh'!$S$16,IF($B39=$F$67,+'7. Billed kWh'!$AA$16,IF($B39=$F$68,+'7. Billed kWh'!$AI$16,IF($B39=$F$69,+'7.1. Billed kW'!$E$12,IF($B39=$F$70,+'7.1. Billed kW'!$P$12,IF($B39=$F$71,+'7.1. Billed kW'!$Z$12,IF($B39=$F$72,+'7.1. Billed kW'!$AJ$12,IF($B39=$F$73,+'7.1. Billed kW'!$AT$12))))))))))</f>
        <v>0</v>
      </c>
      <c r="F40" s="342">
        <f>IF($B39=$F$64,+'7. Billed kWh'!$C$17,IF($B39=$F$65,+'7. Billed kWh'!$K$17,IF($B39=$F$66,+'7. Billed kWh'!$S$17,IF($B39=$F$67,+'7. Billed kWh'!$AA$17,IF($B39=$F$68,+'7. Billed kWh'!$AI$17,IF($B39=$F$69,+'7.1. Billed kW'!$E$13,IF($B39=$F$70,+'7.1. Billed kW'!$P$13,IF($B39=$F$71,+'7.1. Billed kW'!$Z$13,IF($B39=$F$72,+'7.1. Billed kW'!$AJ$13,IF($B39=$F$73,+'7.1. Billed kW'!$AT$13))))))))))</f>
        <v>0</v>
      </c>
      <c r="G40" s="342">
        <f>IF($B39=$F$64,+'7. Billed kWh'!$C$18,IF($B39=$F$65,+'7. Billed kWh'!$K$18,IF($B39=$F$66,+'7. Billed kWh'!$S$18,IF($B39=$F$67,+'7. Billed kWh'!$AA$18,IF($B39=$F$68,+'7. Billed kWh'!$AI$18,IF($B39=$F$69,+'7.1. Billed kW'!$E$14,IF($B39=$F$70,+'7.1. Billed kW'!$P$14,IF($B39=$F$71,+'7.1. Billed kW'!$Z$14,IF($B39=$F$72,+'7.1. Billed kW'!$AJ$14,IF($B39=$F$73,+'7.1. Billed kW'!$AT$14))))))))))</f>
        <v>0</v>
      </c>
      <c r="H40" s="342">
        <f>IF($B39=$F$64,+'7. Billed kWh'!$C$19,IF($B39=$F$65,+'7. Billed kWh'!$K$19,IF($B39=$F$66,+'7. Billed kWh'!$S$19,IF($B39=$F$67,+'7. Billed kWh'!$AA$19,IF($B39=$F$68,+'7. Billed kWh'!$AI$19,IF($B39=$F$69,+'7.1. Billed kW'!$E$15,IF($B39=$F$70,+'7.1. Billed kW'!$P$15,IF($B39=$F$71,+'7.1. Billed kW'!$Z$15,IF($B39=$F$72,+'7.1. Billed kW'!$AJ$15,IF($B39=$F$73,+'7.1. Billed kW'!$AT$15))))))))))</f>
        <v>0</v>
      </c>
      <c r="I40" s="342">
        <f>IF($B39=$F$64,+'7. Billed kWh'!$C$20,IF($B39=$F$65,+'7. Billed kWh'!$K$20,IF($B39=$F$66,+'7. Billed kWh'!$S$20,IF($B39=$F$67,+'7. Billed kWh'!$AA$20,IF($B39=$F$68,+'7. Billed kWh'!$AI$20,IF($B39=$F$69,+'7.1. Billed kW'!$E$16,IF($B39=$F$70,+'7.1. Billed kW'!$P$16,IF($B39=$F$71,+'7.1. Billed kW'!$Z$16,IF($B39=$F$72,+'7.1. Billed kW'!$AJ$16,IF($B39=$F$73,+'7.1. Billed kW'!$AT$16))))))))))</f>
        <v>0</v>
      </c>
      <c r="J40" s="342">
        <f>IF($B39=$F$64,+'7. Billed kWh'!$C$21,IF($B39=$F$65,+'7. Billed kWh'!$K$21,IF($B39=$F$66,+'7. Billed kWh'!$M$21,IF($B39=$F$67,+'7. Billed kWh'!$AA$21,IF($B39=$F$68,+'7. Billed kWh'!$AI$21,IF($B39=$F$69,+'7.1. Billed kW'!$E$17,IF($B39=$F$70,+'7.1. Billed kW'!$P$17,IF($B39=$F$71,+'7.1. Billed kW'!$Z$17,IF($B39=$F$72,+'7.1. Billed kW'!$AJ$17,IF($B39=$F$73,+'7.1. Billed kW'!$AT$17))))))))))</f>
        <v>0</v>
      </c>
      <c r="K40" s="342">
        <f>IF($B39=$F$64,+'7. Billed kWh'!$C$22,IF($B39=$F$65,+'7. Billed kWh'!$K$22,IF($B39=$F$66,+'7. Billed kWh'!$S$22,IF($B39=$F$67,+'7. Billed kWh'!$AA$22,IF($B39=$F$68,+'7. Billed kWh'!$AI$22,IF($B39=$F$69,+'7.1. Billed kW'!$E$18,IF($B39=$F$70,+'7.1. Billed kW'!$P$18,IF($B39=$F$71,+'7.1. Billed kW'!$Z$18,IF($B39=$F$72,+'7.1. Billed kW'!$AJ$18,IF($B39=$F$73,+'7.1. Billed kW'!$AT$18))))))))))</f>
        <v>0</v>
      </c>
      <c r="L40" s="342">
        <f>IF($B39=$F$64,+'7. Billed kWh'!$C$23,IF($B39=$F$65,+'7. Billed kWh'!$K$23,IF($B39=$F$66,+'7. Billed kWh'!$S$24,IF($B39=$F$67,+'7. Billed kWh'!$AA$23,IF($B39=$F$68,+'7. Billed kWh'!$AI$23,IF($B39=$F$69,+'7.1. Billed kW'!$E$19,IF($B39=$F$70,+'7.1. Billed kW'!$P$19,IF($B39=$F$71,+'7.1. Billed kW'!$Z$19,IF($B39=$F$72,+'7.1. Billed kW'!$AJ$19,IF($B39=$F$73,+'7.1. Billed kW'!$AT$19))))))))))</f>
        <v>0</v>
      </c>
      <c r="M40" s="342">
        <f>IF($B39=$F$64,+'7. Billed kWh'!$C$24,IF($B39=$F$65,+'7. Billed kWh'!$K$24,IF($B39=$F$66,+'7. Billed kWh'!$S$25,IF($B39=$F$67,+'7. Billed kWh'!$AA$24,IF($B39=$F$68,+'7. Billed kWh'!$AI$24,IF($B39=$F$69,+'7.1. Billed kW'!$E$20,IF($B39=$F$70,+'7.1. Billed kW'!$P$20,IF($B39=$F$71,+'7.1. Billed kW'!$Z$20,IF($B39=$F$72,+'7.1. Billed kW'!$AJ$20,IF($B39=$F$73,+'7.1. Billed kW'!$AT$20))))))))))</f>
        <v>0</v>
      </c>
      <c r="N40" s="342">
        <f>IF($B39=$F$64,+'7. Billed kWh'!$C$25,IF($B39=$F$65,+'7. Billed kWh'!$K$25,IF($B39=$F$66,+'7. Billed kWh'!$W$25,IF($B39=$F$67,+'7. Billed kWh'!$AA$25,IF($B39=$F$68,+'7. Billed kWh'!$AI$25,IF($B39=$F$69,+'7.1. Billed kW'!$E$21,IF($B39=$F$70,+'7.1. Billed kW'!$P$21,IF($B39=$F$71,+'7.1. Billed kW'!$Z$21,IF($B39=$F$72,+'7.1. Billed kW'!$AJ$21,IF($B39=$F$73,+'7.1. Billed kW'!$AT$21))))))))))</f>
        <v>0</v>
      </c>
      <c r="O40" s="345">
        <f>IF($B39=$F$64,+'7. Billed kWh'!$H$37,IF($B39=$F$65,+'7. Billed kWh'!$P$37,IF($B39=$F$66,+'7. Billed kWh'!$X$37,IF($B39=$F$67,+'7. Billed kWh'!$AF$37,IF($B39=$F$68,+'7. Billed kWh'!$AN$37,IF($B39=$F$69,+'7.1. Billed kW'!$I$40,IF($B39=$F$70,+'7.1. Billed kW'!$T$40,IF($B39=$F$71,+'7.1. Billed kW'!$AD$40,IF($B39=$F$72,+'7.1. Billed kW'!$AN$40,IF($B39=$F$73,+'7.1. Billed kW'!$AX$40))))))))))</f>
        <v>0</v>
      </c>
      <c r="P40" s="346">
        <f>IF($B39=$F$64,+'7. Billed kWh'!$H$38,IF($B39=$F$65,+'7. Billed kWh'!$P$38,IF($B39=$F$66,+'7. Billed kWh'!$X$38,IF($B39=$F$67,+'7. Billed kWh'!$AF$38,IF($B39=$F$68,+'7. Billed kWh'!$AN$38,IF($B39=$F$69,+'7.1. Billed kW'!$I$41,IF($B39=$F$70,+'7.1. Billed kW'!$T$41,IF($B39=$F$71,+'7.1. Billed kW'!$AD$41,IF($B39=$F$72,+'7.1. Billed kW'!$AN$41,IF($B39=$F$73,+'7.1. Billed kW'!$AX$41))))))))))</f>
        <v>0</v>
      </c>
    </row>
    <row r="41" spans="2:16" hidden="1" x14ac:dyDescent="0.25">
      <c r="B41" s="575"/>
      <c r="C41" s="48"/>
      <c r="D41" s="48" t="s">
        <v>36</v>
      </c>
      <c r="E41" s="300">
        <f>IF(B$15=$F$69,+'7.1. Billed kW'!$F$12,IF($B39=$F$70,+'7.1. Billed kW'!$Q$12,IF($B39=$F$71,+'7.1. Billed kW'!$AA$12,IF($B39=$F$72,+'7.1. Billed kW'!$AK$12,+IF($B39=$F$73,+'7.1. Billed kW'!$AU$12,0)))))</f>
        <v>0</v>
      </c>
      <c r="F41" s="300">
        <f>IF($B39=$F$69,+'7.1. Billed kW'!$F$13,IF($B39=$F$70,+'7.1. Billed kW'!$Q$13,IF($B39=$F$71,+'7.1. Billed kW'!$AA$13,IF($B39=$F$72,+'7.1. Billed kW'!$AK$13,+IF($B39=$F$73,+'7.1. Billed kW'!$AU$13,0)))))</f>
        <v>0</v>
      </c>
      <c r="G41" s="300">
        <f>IF($B39=$F$69,+'7.1. Billed kW'!$F$14,IF($B39=$F$70,+'7.1. Billed kW'!$Q$14,IF($B39=$F$71,+'7.1. Billed kW'!$AA$14,IF($B39=$F$72,+'7.1. Billed kW'!$AK$14,+IF($B39=$F$73,+'7.1. Billed kW'!$AU$14,0)))))</f>
        <v>0</v>
      </c>
      <c r="H41" s="300">
        <f>IF($B39=$F$69,+'7.1. Billed kW'!$F$15,IF($B39=$F$70,+'7.1. Billed kW'!$Q$15,IF($B39=$F$71,+'7.1. Billed kW'!$AA$15,IF($B39=$F$72,+'7.1. Billed kW'!$AK$15,+IF($B39=$F$73,+'7.1. Billed kW'!$AU$15,0)))))</f>
        <v>0</v>
      </c>
      <c r="I41" s="300">
        <f>IF($B39=$F$69,+'7.1. Billed kW'!$F$16,IF($B39=$F$70,+'7.1. Billed kW'!$Q$16,IF($B39=$F$71,+'7.1. Billed kW'!$AA$16,IF($B39=$F$72,+'7.1. Billed kW'!$AK$16,+IF($B39=$F$73,+'7.1. Billed kW'!$AU$16,0)))))</f>
        <v>0</v>
      </c>
      <c r="J41" s="300">
        <f>IF($B39=$F$69,+'7.1. Billed kW'!$F$17,IF($B39=$F$70,+'7.1. Billed kW'!$Q$17,IF($B39=$F$71,+'7.1. Billed kW'!$AA$17,IF($B39=$F$72,+'7.1. Billed kW'!$AK$17,+IF($B39=$F$73,+'7.1. Billed kW'!$AU$17,0)))))</f>
        <v>0</v>
      </c>
      <c r="K41" s="300">
        <f>IF($B39=$F$69,+'7.1. Billed kW'!$F$18,IF($B39=$F$70,+'7.1. Billed kW'!$Q$18,IF($B39=$F$71,+'7.1. Billed kW'!$AA$18,IF($B39=$F$72,+'7.1. Billed kW'!$AK$18,+IF($B39=$F$73,+'7.1. Billed kW'!$AU$18,0)))))</f>
        <v>0</v>
      </c>
      <c r="L41" s="300">
        <f>IF($B39=$F$69,+'7.1. Billed kW'!$F$19,IF($B39=$F$70,+'7.1. Billed kW'!$Q$19,IF($B39=$F$71,+'7.1. Billed kW'!$AA$19,IF($B39=$F$72,+'7.1. Billed kW'!$AK$19,+IF($B39=$F$73,+'7.1. Billed kW'!$AU$19,0)))))</f>
        <v>0</v>
      </c>
      <c r="M41" s="300">
        <f>IF($B39=$F$69,+'7.1. Billed kW'!$F$20,IF($B39=$F$70,+'7.1. Billed kW'!$Q$20,IF($B39=$F$71,+'7.1. Billed kW'!$AA$20,IF($B39=$F$72,+'7.1. Billed kW'!$AK$20,+IF($B39=$F$73,+'7.1. Billed kW'!$AU$20,0)))))</f>
        <v>0</v>
      </c>
      <c r="N41" s="300">
        <f>IF($B39=$F$69,+'7.1. Billed kW'!$F$21,IF($B39=$F$70,+'7.1. Billed kW'!$Q$21,IF($B39=$F$71,+'7.1. Billed kW'!$AA$21,IF($B39=$F$72,+'7.1. Billed kW'!$AK$21,+IF($B39=$F$73,+'7.1. Billed kW'!$AU$21,0)))))</f>
        <v>0</v>
      </c>
      <c r="O41" s="300">
        <f>IF($B39=$F$69,+'7.1. Billed kW'!$J$40,IF($B39=$F$70,+'7.1. Billed kW'!$U$40,IF($B39=$F$71,+'7.1. Billed kW'!$AE$40,IF($B39=$F$72,+'7.1. Billed kW'!$AO$40,+IF($B39=$F$73,+'7.1. Billed kW'!$AY$40,0)))))</f>
        <v>0</v>
      </c>
      <c r="P41" s="344">
        <f>IF($B39=$F$69,+'7.1. Billed kW'!$J$41,IF($B39=$F$70,+'7.1. Billed kW'!$U$41,IF($B39=$F$71,+'7.1. Billed kW'!$AE$41,IF($B39=$F$72,+'7.1. Billed kW'!$AO$41,+IF($B39=$F$73,+'7.1. Billed kW'!$AY$41,0)))))</f>
        <v>0</v>
      </c>
    </row>
    <row r="42" spans="2:16" hidden="1" x14ac:dyDescent="0.25">
      <c r="B42" s="575"/>
      <c r="C42" s="48"/>
      <c r="D42" s="48"/>
      <c r="E42" s="303"/>
      <c r="F42" s="303"/>
      <c r="G42" s="303"/>
      <c r="H42" s="303"/>
      <c r="I42" s="303"/>
      <c r="J42" s="303"/>
      <c r="K42" s="303"/>
      <c r="L42" s="303"/>
      <c r="M42" s="303"/>
      <c r="N42" s="303"/>
      <c r="O42" s="304"/>
      <c r="P42" s="305"/>
    </row>
    <row r="43" spans="2:16" hidden="1" x14ac:dyDescent="0.25">
      <c r="B43" s="577" t="str">
        <f>'2. Customer Classes'!B15</f>
        <v>N/A</v>
      </c>
      <c r="C43" s="296"/>
      <c r="D43" s="48" t="s">
        <v>94</v>
      </c>
      <c r="E43" s="303"/>
      <c r="F43" s="303"/>
      <c r="G43" s="303"/>
      <c r="H43" s="303"/>
      <c r="I43" s="303"/>
      <c r="J43" s="303"/>
      <c r="K43" s="303"/>
      <c r="L43" s="303"/>
      <c r="M43" s="303"/>
      <c r="N43" s="303"/>
      <c r="O43" s="304"/>
      <c r="P43" s="305"/>
    </row>
    <row r="44" spans="2:16" hidden="1" x14ac:dyDescent="0.25">
      <c r="B44" s="578"/>
      <c r="C44" s="297"/>
      <c r="D44" s="48" t="s">
        <v>35</v>
      </c>
      <c r="E44" s="303"/>
      <c r="F44" s="303"/>
      <c r="G44" s="303"/>
      <c r="H44" s="303"/>
      <c r="I44" s="303"/>
      <c r="J44" s="303"/>
      <c r="K44" s="303"/>
      <c r="L44" s="303"/>
      <c r="M44" s="303"/>
      <c r="N44" s="303"/>
      <c r="O44" s="304"/>
      <c r="P44" s="305"/>
    </row>
    <row r="45" spans="2:16" hidden="1" x14ac:dyDescent="0.25">
      <c r="B45" s="578"/>
      <c r="C45" s="297"/>
      <c r="D45" s="48" t="s">
        <v>36</v>
      </c>
      <c r="E45" s="303"/>
      <c r="F45" s="303"/>
      <c r="G45" s="303"/>
      <c r="H45" s="303"/>
      <c r="I45" s="303"/>
      <c r="J45" s="303"/>
      <c r="K45" s="303"/>
      <c r="L45" s="303"/>
      <c r="M45" s="303"/>
      <c r="N45" s="303"/>
      <c r="O45" s="304"/>
      <c r="P45" s="305"/>
    </row>
    <row r="46" spans="2:16" hidden="1" x14ac:dyDescent="0.25">
      <c r="B46" s="578"/>
      <c r="C46" s="297"/>
      <c r="D46" s="48"/>
      <c r="E46" s="303"/>
      <c r="F46" s="303"/>
      <c r="G46" s="303"/>
      <c r="H46" s="303"/>
      <c r="I46" s="303"/>
      <c r="J46" s="303"/>
      <c r="K46" s="303"/>
      <c r="L46" s="303"/>
      <c r="M46" s="303"/>
      <c r="N46" s="303"/>
      <c r="O46" s="304"/>
      <c r="P46" s="305"/>
    </row>
    <row r="47" spans="2:16" hidden="1" x14ac:dyDescent="0.25">
      <c r="B47" s="577" t="str">
        <f>'2. Customer Classes'!B16</f>
        <v>other</v>
      </c>
      <c r="C47" s="296"/>
      <c r="D47" s="48" t="s">
        <v>94</v>
      </c>
      <c r="E47" s="303"/>
      <c r="F47" s="303"/>
      <c r="G47" s="303"/>
      <c r="H47" s="303"/>
      <c r="I47" s="303"/>
      <c r="J47" s="303"/>
      <c r="K47" s="303"/>
      <c r="L47" s="303"/>
      <c r="M47" s="303"/>
      <c r="N47" s="303"/>
      <c r="O47" s="304"/>
      <c r="P47" s="305"/>
    </row>
    <row r="48" spans="2:16" hidden="1" x14ac:dyDescent="0.25">
      <c r="B48" s="578"/>
      <c r="C48" s="297"/>
      <c r="D48" s="48" t="s">
        <v>35</v>
      </c>
      <c r="E48" s="303"/>
      <c r="F48" s="303"/>
      <c r="G48" s="303"/>
      <c r="H48" s="303"/>
      <c r="I48" s="303"/>
      <c r="J48" s="303"/>
      <c r="K48" s="303"/>
      <c r="L48" s="303"/>
      <c r="M48" s="303"/>
      <c r="N48" s="303"/>
      <c r="O48" s="304"/>
      <c r="P48" s="305"/>
    </row>
    <row r="49" spans="2:16" hidden="1" x14ac:dyDescent="0.25">
      <c r="B49" s="578"/>
      <c r="C49" s="297"/>
      <c r="D49" s="48" t="s">
        <v>36</v>
      </c>
      <c r="E49" s="303"/>
      <c r="F49" s="303"/>
      <c r="G49" s="303"/>
      <c r="H49" s="303"/>
      <c r="I49" s="303"/>
      <c r="J49" s="303"/>
      <c r="K49" s="303"/>
      <c r="L49" s="303"/>
      <c r="M49" s="303"/>
      <c r="N49" s="303"/>
      <c r="O49" s="304"/>
      <c r="P49" s="305"/>
    </row>
    <row r="50" spans="2:16" hidden="1" x14ac:dyDescent="0.25">
      <c r="B50" s="578"/>
      <c r="C50" s="297"/>
      <c r="D50" s="48"/>
      <c r="E50" s="303"/>
      <c r="F50" s="303"/>
      <c r="G50" s="303"/>
      <c r="H50" s="303"/>
      <c r="I50" s="303"/>
      <c r="J50" s="303"/>
      <c r="K50" s="303"/>
      <c r="L50" s="303"/>
      <c r="M50" s="303"/>
      <c r="N50" s="303"/>
      <c r="O50" s="304"/>
      <c r="P50" s="305"/>
    </row>
    <row r="51" spans="2:16" hidden="1" x14ac:dyDescent="0.25">
      <c r="B51" s="577" t="str">
        <f>'2. Customer Classes'!B17</f>
        <v>other</v>
      </c>
      <c r="C51" s="296"/>
      <c r="D51" s="48" t="s">
        <v>94</v>
      </c>
      <c r="E51" s="303"/>
      <c r="F51" s="303"/>
      <c r="G51" s="303"/>
      <c r="H51" s="303"/>
      <c r="I51" s="303"/>
      <c r="J51" s="303"/>
      <c r="K51" s="303"/>
      <c r="L51" s="303"/>
      <c r="M51" s="303"/>
      <c r="N51" s="303"/>
      <c r="O51" s="304"/>
      <c r="P51" s="305"/>
    </row>
    <row r="52" spans="2:16" hidden="1" x14ac:dyDescent="0.25">
      <c r="B52" s="578"/>
      <c r="C52" s="297"/>
      <c r="D52" s="48" t="s">
        <v>35</v>
      </c>
      <c r="E52" s="300"/>
      <c r="F52" s="300"/>
      <c r="G52" s="300"/>
      <c r="H52" s="300"/>
      <c r="I52" s="300"/>
      <c r="J52" s="300"/>
      <c r="K52" s="300"/>
      <c r="L52" s="300"/>
      <c r="M52" s="300"/>
      <c r="N52" s="300"/>
      <c r="O52" s="301"/>
      <c r="P52" s="302"/>
    </row>
    <row r="53" spans="2:16" hidden="1" x14ac:dyDescent="0.25">
      <c r="B53" s="578"/>
      <c r="C53" s="297"/>
      <c r="D53" s="48" t="s">
        <v>36</v>
      </c>
      <c r="E53" s="303"/>
      <c r="F53" s="303"/>
      <c r="G53" s="303"/>
      <c r="H53" s="303"/>
      <c r="I53" s="303"/>
      <c r="J53" s="303"/>
      <c r="K53" s="303"/>
      <c r="L53" s="303"/>
      <c r="M53" s="303"/>
      <c r="N53" s="303"/>
      <c r="O53" s="304"/>
      <c r="P53" s="305"/>
    </row>
    <row r="54" spans="2:16" ht="13" hidden="1" thickBot="1" x14ac:dyDescent="0.3">
      <c r="B54" s="579"/>
      <c r="C54" s="315"/>
      <c r="D54" s="78"/>
      <c r="E54" s="316"/>
      <c r="F54" s="316"/>
      <c r="G54" s="316"/>
      <c r="H54" s="316"/>
      <c r="I54" s="316"/>
      <c r="J54" s="316"/>
      <c r="K54" s="316"/>
      <c r="L54" s="316"/>
      <c r="M54" s="316"/>
      <c r="N54" s="316"/>
      <c r="O54" s="317"/>
      <c r="P54" s="318"/>
    </row>
    <row r="55" spans="2:16" ht="13" x14ac:dyDescent="0.3">
      <c r="B55" s="613" t="s">
        <v>16</v>
      </c>
      <c r="C55" s="311"/>
      <c r="D55" s="312" t="s">
        <v>94</v>
      </c>
      <c r="E55" s="313">
        <f>E15+E19+E23+E27+E31+E35+E39+E43+E47+E51</f>
        <v>15413</v>
      </c>
      <c r="F55" s="313">
        <f t="shared" ref="F55:P55" si="1">F15+F19+F23+F27+F31+F35+F39+F43+F47+F51</f>
        <v>15681</v>
      </c>
      <c r="G55" s="313">
        <f t="shared" si="1"/>
        <v>15956</v>
      </c>
      <c r="H55" s="313">
        <f t="shared" si="1"/>
        <v>16244</v>
      </c>
      <c r="I55" s="313">
        <f t="shared" si="1"/>
        <v>16515</v>
      </c>
      <c r="J55" s="313">
        <f t="shared" si="1"/>
        <v>16762.5</v>
      </c>
      <c r="K55" s="313">
        <f t="shared" si="1"/>
        <v>17009.5</v>
      </c>
      <c r="L55" s="313">
        <f t="shared" si="1"/>
        <v>17276.5</v>
      </c>
      <c r="M55" s="313">
        <f t="shared" si="1"/>
        <v>17541</v>
      </c>
      <c r="N55" s="313">
        <f t="shared" si="1"/>
        <v>17894</v>
      </c>
      <c r="O55" s="313">
        <f t="shared" si="1"/>
        <v>18300</v>
      </c>
      <c r="P55" s="314">
        <f t="shared" si="1"/>
        <v>18596</v>
      </c>
    </row>
    <row r="56" spans="2:16" ht="13" x14ac:dyDescent="0.3">
      <c r="B56" s="580"/>
      <c r="C56" s="298"/>
      <c r="D56" s="127" t="s">
        <v>35</v>
      </c>
      <c r="E56" s="306">
        <f>E16+E20+E24+E28+E32+E36+E40+E44+E48+E52</f>
        <v>126056266</v>
      </c>
      <c r="F56" s="306">
        <f t="shared" ref="F56:M56" si="2">F16+F20+F24+F28+F32+F36+F40+F44+F48+F52</f>
        <v>127013614</v>
      </c>
      <c r="G56" s="306">
        <f t="shared" si="2"/>
        <v>128166037.0320074</v>
      </c>
      <c r="H56" s="538">
        <f t="shared" si="2"/>
        <v>127885499.12557267</v>
      </c>
      <c r="I56" s="538">
        <f t="shared" si="2"/>
        <v>125028584</v>
      </c>
      <c r="J56" s="538">
        <f t="shared" si="2"/>
        <v>134228686.31</v>
      </c>
      <c r="K56" s="306">
        <f t="shared" si="2"/>
        <v>133654396</v>
      </c>
      <c r="L56" s="306">
        <f t="shared" si="2"/>
        <v>139481593.56999999</v>
      </c>
      <c r="M56" s="306">
        <f t="shared" si="2"/>
        <v>143103046.99000001</v>
      </c>
      <c r="N56" s="306">
        <f>N16+N20+N24+N28+N32+N36+N40+N44+N48+N52</f>
        <v>145877729.05902892</v>
      </c>
      <c r="O56" s="306">
        <f>O16+O20+O24+O28+O32+O36+O40+O44+O48+O52</f>
        <v>147549838.31535891</v>
      </c>
      <c r="P56" s="307">
        <f>P16+P20+P24+P28+P32+P36+P40+P44+P48+P52</f>
        <v>150428662.99729875</v>
      </c>
    </row>
    <row r="57" spans="2:16" ht="13.5" thickBot="1" x14ac:dyDescent="0.35">
      <c r="B57" s="128"/>
      <c r="C57" s="299"/>
      <c r="D57" s="129" t="s">
        <v>36</v>
      </c>
      <c r="E57" s="308">
        <f>E17+E21+E25+E29+E33+E37+E41+E45+E49+E53</f>
        <v>58734</v>
      </c>
      <c r="F57" s="308">
        <f t="shared" ref="F57:O57" si="3">F17+F21+F25+F29+F33+F37+F41+F45+F49+F53</f>
        <v>57495</v>
      </c>
      <c r="G57" s="308">
        <f t="shared" si="3"/>
        <v>57989.499999999993</v>
      </c>
      <c r="H57" s="308">
        <f t="shared" si="3"/>
        <v>54035.29</v>
      </c>
      <c r="I57" s="308">
        <f t="shared" si="3"/>
        <v>50885.700000000004</v>
      </c>
      <c r="J57" s="308">
        <f>J17+J21+J25+J29+J33+J37+J41+J45+J49+J53</f>
        <v>53525.2</v>
      </c>
      <c r="K57" s="308">
        <f t="shared" si="3"/>
        <v>51204.46</v>
      </c>
      <c r="L57" s="308">
        <f t="shared" si="3"/>
        <v>50381.599999999999</v>
      </c>
      <c r="M57" s="308">
        <f t="shared" si="3"/>
        <v>51201.5</v>
      </c>
      <c r="N57" s="308">
        <f t="shared" si="3"/>
        <v>53049.600000000006</v>
      </c>
      <c r="O57" s="308">
        <f t="shared" si="3"/>
        <v>54266.792154395829</v>
      </c>
      <c r="P57" s="309">
        <f>P17+P21+P25+P29+P33+P37+P41+P45+P49+P53</f>
        <v>54500.027432832576</v>
      </c>
    </row>
    <row r="59" spans="2:16" x14ac:dyDescent="0.25">
      <c r="E59" s="202"/>
      <c r="K59" s="383"/>
      <c r="L59" s="383"/>
      <c r="M59" s="383"/>
      <c r="N59" s="383"/>
      <c r="O59" s="383"/>
      <c r="P59" s="599"/>
    </row>
    <row r="60" spans="2:16" x14ac:dyDescent="0.25">
      <c r="M60" s="382"/>
      <c r="P60" s="383"/>
    </row>
    <row r="62" spans="2:16" hidden="1" x14ac:dyDescent="0.25"/>
    <row r="63" spans="2:16" hidden="1" x14ac:dyDescent="0.25">
      <c r="B63" s="857" t="s">
        <v>158</v>
      </c>
      <c r="C63" s="858"/>
      <c r="D63" s="858"/>
      <c r="E63" s="858"/>
      <c r="F63" s="858"/>
      <c r="G63" s="858"/>
      <c r="H63" s="859"/>
    </row>
    <row r="64" spans="2:16" hidden="1" x14ac:dyDescent="0.25">
      <c r="B64" s="267" t="str">
        <f>+'7. Billed kWh'!B14</f>
        <v>Residential</v>
      </c>
      <c r="C64" s="269"/>
      <c r="D64" s="268" t="s">
        <v>157</v>
      </c>
      <c r="E64" s="269" t="s">
        <v>156</v>
      </c>
      <c r="F64" s="269" t="str">
        <f t="shared" ref="F64:F72" si="4">+CONCATENATE(B64,D64,E64)</f>
        <v>Residential-WN</v>
      </c>
      <c r="G64" s="270"/>
      <c r="H64" s="271"/>
    </row>
    <row r="65" spans="2:8" hidden="1" x14ac:dyDescent="0.25">
      <c r="B65" s="272" t="str">
        <f>+'7. Billed kWh'!J14</f>
        <v>General Service &lt; 50 kW</v>
      </c>
      <c r="C65" s="274"/>
      <c r="D65" s="273" t="s">
        <v>157</v>
      </c>
      <c r="E65" s="274" t="s">
        <v>156</v>
      </c>
      <c r="F65" s="274" t="str">
        <f t="shared" si="4"/>
        <v>General Service &lt; 50 kW-WN</v>
      </c>
      <c r="G65" s="275"/>
      <c r="H65" s="276"/>
    </row>
    <row r="66" spans="2:8" hidden="1" x14ac:dyDescent="0.25">
      <c r="B66" s="272" t="str">
        <f>+'7. Billed kWh'!R14</f>
        <v>Unmetered Scattered Load</v>
      </c>
      <c r="C66" s="274"/>
      <c r="D66" s="273" t="s">
        <v>157</v>
      </c>
      <c r="E66" s="274" t="s">
        <v>156</v>
      </c>
      <c r="F66" s="274" t="str">
        <f t="shared" si="4"/>
        <v>Unmetered Scattered Load-WN</v>
      </c>
      <c r="G66" s="275"/>
      <c r="H66" s="276"/>
    </row>
    <row r="67" spans="2:8" hidden="1" x14ac:dyDescent="0.25">
      <c r="B67" s="272" t="str">
        <f>+'7. Billed kWh'!Z14</f>
        <v>N/A</v>
      </c>
      <c r="C67" s="274"/>
      <c r="D67" s="273" t="s">
        <v>157</v>
      </c>
      <c r="E67" s="274" t="s">
        <v>156</v>
      </c>
      <c r="F67" s="274" t="str">
        <f t="shared" si="4"/>
        <v>N/A-WN</v>
      </c>
      <c r="G67" s="275"/>
      <c r="H67" s="276"/>
    </row>
    <row r="68" spans="2:8" hidden="1" x14ac:dyDescent="0.25">
      <c r="B68" s="272" t="str">
        <f>+'7. Billed kWh'!AH14</f>
        <v>N/A</v>
      </c>
      <c r="C68" s="274"/>
      <c r="D68" s="273" t="s">
        <v>157</v>
      </c>
      <c r="E68" s="274" t="s">
        <v>156</v>
      </c>
      <c r="F68" s="274" t="str">
        <f t="shared" si="4"/>
        <v>N/A-WN</v>
      </c>
      <c r="G68" s="275"/>
      <c r="H68" s="276"/>
    </row>
    <row r="69" spans="2:8" hidden="1" x14ac:dyDescent="0.25">
      <c r="B69" s="272" t="str">
        <f>+'7.1. Billed kW'!B9</f>
        <v>General Service &gt; 50 kW - 4999 kW - Excluding Wholesale Market Participant</v>
      </c>
      <c r="C69" s="274"/>
      <c r="D69" s="273" t="s">
        <v>157</v>
      </c>
      <c r="E69" s="274" t="s">
        <v>167</v>
      </c>
      <c r="F69" s="274" t="str">
        <f t="shared" si="4"/>
        <v>General Service &gt; 50 kW - 4999 kW - Excluding Wholesale Market Participant-Non-WN/kW</v>
      </c>
      <c r="G69" s="275"/>
      <c r="H69" s="276"/>
    </row>
    <row r="70" spans="2:8" hidden="1" x14ac:dyDescent="0.25">
      <c r="B70" s="272" t="str">
        <f>+'7.1. Billed kW'!M9</f>
        <v>General Service &gt; 50 kW - 4999 kW - Wholesale Market Participant</v>
      </c>
      <c r="C70" s="274"/>
      <c r="D70" s="273" t="s">
        <v>157</v>
      </c>
      <c r="E70" s="274" t="s">
        <v>167</v>
      </c>
      <c r="F70" s="274" t="str">
        <f t="shared" si="4"/>
        <v>General Service &gt; 50 kW - 4999 kW - Wholesale Market Participant-Non-WN/kW</v>
      </c>
      <c r="G70" s="275"/>
      <c r="H70" s="276"/>
    </row>
    <row r="71" spans="2:8" hidden="1" x14ac:dyDescent="0.25">
      <c r="B71" s="272" t="str">
        <f>+'7.1. Billed kW'!W9</f>
        <v>Streetlighting</v>
      </c>
      <c r="C71" s="274"/>
      <c r="D71" s="273" t="s">
        <v>157</v>
      </c>
      <c r="E71" s="274" t="s">
        <v>167</v>
      </c>
      <c r="F71" s="274" t="str">
        <f t="shared" si="4"/>
        <v>Streetlighting-Non-WN/kW</v>
      </c>
      <c r="G71" s="275"/>
      <c r="H71" s="276"/>
    </row>
    <row r="72" spans="2:8" hidden="1" x14ac:dyDescent="0.25">
      <c r="B72" s="272" t="str">
        <f>+'7.1. Billed kW'!AG9</f>
        <v>N/A</v>
      </c>
      <c r="C72" s="274"/>
      <c r="D72" s="273" t="s">
        <v>157</v>
      </c>
      <c r="E72" s="274" t="s">
        <v>167</v>
      </c>
      <c r="F72" s="274" t="str">
        <f t="shared" si="4"/>
        <v>N/A-Non-WN/kW</v>
      </c>
      <c r="G72" s="275"/>
      <c r="H72" s="276"/>
    </row>
    <row r="73" spans="2:8" hidden="1" x14ac:dyDescent="0.25">
      <c r="B73" s="277" t="str">
        <f>+'7.1. Billed kW'!AQ9</f>
        <v>N/A</v>
      </c>
      <c r="C73" s="279"/>
      <c r="D73" s="278" t="s">
        <v>157</v>
      </c>
      <c r="E73" s="279" t="s">
        <v>167</v>
      </c>
      <c r="F73" s="279" t="str">
        <f t="shared" ref="F73" si="5">+CONCATENATE(B73,D73,E73)</f>
        <v>N/A-Non-WN/kW</v>
      </c>
      <c r="G73" s="280"/>
      <c r="H73" s="281"/>
    </row>
    <row r="74" spans="2:8" hidden="1" x14ac:dyDescent="0.25"/>
  </sheetData>
  <mergeCells count="1">
    <mergeCell ref="B63:H63"/>
  </mergeCells>
  <dataValidations count="1">
    <dataValidation type="list" allowBlank="1" showInputMessage="1" showErrorMessage="1" sqref="B15 B35 B31 B27 B23 B19 B39" xr:uid="{00000000-0002-0000-0B00-000000000000}">
      <formula1>$F$64:$F$73</formula1>
    </dataValidation>
  </dataValidations>
  <pageMargins left="0.7" right="0.7" top="0.75" bottom="0.75" header="0.3" footer="0.3"/>
  <pageSetup scale="50" orientation="landscape" horizontalDpi="4294967293" r:id="rId1"/>
  <colBreaks count="1" manualBreakCount="1">
    <brk id="16" max="1048575" man="1"/>
  </colBreaks>
  <ignoredErrors>
    <ignoredError sqref="C1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W157"/>
  <sheetViews>
    <sheetView showGridLines="0" zoomScaleNormal="100" workbookViewId="0"/>
  </sheetViews>
  <sheetFormatPr defaultColWidth="10.5" defaultRowHeight="12.5" x14ac:dyDescent="0.25"/>
  <cols>
    <col min="1" max="1" width="2.796875" style="1" customWidth="1"/>
    <col min="2" max="2" width="24.5" style="1" customWidth="1"/>
    <col min="3" max="3" width="14.296875" style="1" bestFit="1" customWidth="1"/>
    <col min="4" max="5" width="14.5" style="1" bestFit="1" customWidth="1"/>
    <col min="6" max="6" width="18.69921875" style="1" bestFit="1" customWidth="1"/>
    <col min="7" max="8" width="14.296875" style="1" customWidth="1"/>
    <col min="9" max="12" width="14.5" style="1" bestFit="1" customWidth="1"/>
    <col min="13" max="18" width="12.296875" style="1" customWidth="1"/>
    <col min="19" max="20" width="16.296875" style="1" bestFit="1" customWidth="1"/>
    <col min="21" max="22" width="9" style="1" bestFit="1" customWidth="1"/>
    <col min="23" max="23" width="10.796875" style="1" customWidth="1"/>
    <col min="24" max="24" width="9.69921875" style="1" bestFit="1" customWidth="1"/>
    <col min="25" max="25" width="8.5" style="1" bestFit="1" customWidth="1"/>
    <col min="26" max="26" width="9.5" style="1" bestFit="1" customWidth="1"/>
    <col min="27" max="27" width="8.296875" style="1" bestFit="1" customWidth="1"/>
    <col min="28" max="29" width="9" style="1" bestFit="1" customWidth="1"/>
    <col min="30" max="30" width="10.796875" style="1" bestFit="1" customWidth="1"/>
    <col min="31" max="31" width="8" style="1" bestFit="1" customWidth="1"/>
    <col min="32" max="32" width="9" style="1" bestFit="1" customWidth="1"/>
    <col min="33" max="16384" width="10.5" style="1"/>
  </cols>
  <sheetData>
    <row r="1" spans="2:8" ht="23" x14ac:dyDescent="0.25">
      <c r="B1" s="86" t="s">
        <v>456</v>
      </c>
    </row>
    <row r="2" spans="2:8" ht="23" x14ac:dyDescent="0.25">
      <c r="B2" s="86"/>
    </row>
    <row r="3" spans="2:8" ht="26" x14ac:dyDescent="0.25">
      <c r="B3" s="562" t="s">
        <v>33</v>
      </c>
      <c r="C3" s="563" t="s">
        <v>237</v>
      </c>
      <c r="D3" s="563" t="s">
        <v>272</v>
      </c>
      <c r="E3" s="563" t="s">
        <v>238</v>
      </c>
      <c r="F3" s="563" t="s">
        <v>239</v>
      </c>
      <c r="G3" s="563" t="s">
        <v>247</v>
      </c>
      <c r="H3" s="563" t="s">
        <v>238</v>
      </c>
    </row>
    <row r="4" spans="2:8" x14ac:dyDescent="0.25">
      <c r="B4" s="860" t="s">
        <v>457</v>
      </c>
      <c r="C4" s="860"/>
      <c r="D4" s="860"/>
      <c r="E4" s="860"/>
      <c r="F4" s="860"/>
      <c r="G4" s="860"/>
      <c r="H4" s="860"/>
    </row>
    <row r="5" spans="2:8" x14ac:dyDescent="0.25">
      <c r="B5" s="765" t="s">
        <v>458</v>
      </c>
      <c r="C5" s="766">
        <v>127120383</v>
      </c>
      <c r="D5" s="767"/>
      <c r="E5" s="767"/>
      <c r="F5" s="766">
        <v>16158</v>
      </c>
      <c r="G5" s="767"/>
      <c r="H5" s="767"/>
    </row>
    <row r="6" spans="2:8" x14ac:dyDescent="0.25">
      <c r="B6" s="762">
        <v>2013</v>
      </c>
      <c r="C6" s="763">
        <f>+'10. Analysis_Tables'!T6</f>
        <v>126056266</v>
      </c>
      <c r="D6" s="768"/>
      <c r="E6" s="768"/>
      <c r="F6" s="763">
        <f>+'10. Analysis_Tables'!Q21</f>
        <v>15413</v>
      </c>
      <c r="G6" s="768"/>
      <c r="H6" s="768"/>
    </row>
    <row r="7" spans="2:8" x14ac:dyDescent="0.25">
      <c r="B7" s="762">
        <v>2014</v>
      </c>
      <c r="C7" s="763">
        <f>+'10. Analysis_Tables'!T7</f>
        <v>127013614</v>
      </c>
      <c r="D7" s="763">
        <f>+C7-C6</f>
        <v>957348</v>
      </c>
      <c r="E7" s="764">
        <f>+D7/C6</f>
        <v>7.5946085853439444E-3</v>
      </c>
      <c r="F7" s="763">
        <f>+'10. Analysis_Tables'!Q22</f>
        <v>15681</v>
      </c>
      <c r="G7" s="763">
        <f>+F7-F6</f>
        <v>268</v>
      </c>
      <c r="H7" s="764">
        <f>+G7/F6</f>
        <v>1.7387919288911959E-2</v>
      </c>
    </row>
    <row r="8" spans="2:8" x14ac:dyDescent="0.25">
      <c r="B8" s="762">
        <v>2015</v>
      </c>
      <c r="C8" s="763">
        <f>+'10. Analysis_Tables'!T8</f>
        <v>128166037.0320074</v>
      </c>
      <c r="D8" s="763">
        <f t="shared" ref="D8:D17" si="0">+C8-C7</f>
        <v>1152423.0320073962</v>
      </c>
      <c r="E8" s="764">
        <f t="shared" ref="E8:E17" si="1">+D8/C7</f>
        <v>9.0732244813331291E-3</v>
      </c>
      <c r="F8" s="763">
        <f>+'10. Analysis_Tables'!Q23</f>
        <v>15956</v>
      </c>
      <c r="G8" s="763">
        <f t="shared" ref="G8:G17" si="2">+F8-F7</f>
        <v>275</v>
      </c>
      <c r="H8" s="764">
        <f t="shared" ref="H8:H17" si="3">+G8/F7</f>
        <v>1.7537146865633568E-2</v>
      </c>
    </row>
    <row r="9" spans="2:8" x14ac:dyDescent="0.25">
      <c r="B9" s="762">
        <v>2016</v>
      </c>
      <c r="C9" s="763">
        <f>+'10. Analysis_Tables'!T9</f>
        <v>127885499.12557267</v>
      </c>
      <c r="D9" s="763">
        <f t="shared" si="0"/>
        <v>-280537.9064347297</v>
      </c>
      <c r="E9" s="764">
        <f t="shared" si="1"/>
        <v>-2.1888630789502362E-3</v>
      </c>
      <c r="F9" s="763">
        <f>+'10. Analysis_Tables'!Q24</f>
        <v>16244</v>
      </c>
      <c r="G9" s="763">
        <f t="shared" si="2"/>
        <v>288</v>
      </c>
      <c r="H9" s="764">
        <f t="shared" si="3"/>
        <v>1.8049636500376033E-2</v>
      </c>
    </row>
    <row r="10" spans="2:8" x14ac:dyDescent="0.25">
      <c r="B10" s="762">
        <v>2017</v>
      </c>
      <c r="C10" s="763">
        <f>+'10. Analysis_Tables'!T10</f>
        <v>125028584</v>
      </c>
      <c r="D10" s="763">
        <f t="shared" si="0"/>
        <v>-2856915.1255726665</v>
      </c>
      <c r="E10" s="764">
        <f t="shared" si="1"/>
        <v>-2.2339633071044428E-2</v>
      </c>
      <c r="F10" s="763">
        <f>+'10. Analysis_Tables'!Q25</f>
        <v>16515</v>
      </c>
      <c r="G10" s="763">
        <f t="shared" si="2"/>
        <v>271</v>
      </c>
      <c r="H10" s="764">
        <f t="shared" si="3"/>
        <v>1.6683082984486581E-2</v>
      </c>
    </row>
    <row r="11" spans="2:8" x14ac:dyDescent="0.25">
      <c r="B11" s="762">
        <v>2018</v>
      </c>
      <c r="C11" s="763">
        <f>+'10. Analysis_Tables'!T11</f>
        <v>134228686.31</v>
      </c>
      <c r="D11" s="763">
        <f t="shared" si="0"/>
        <v>9200102.3100000024</v>
      </c>
      <c r="E11" s="764">
        <f t="shared" si="1"/>
        <v>7.3583991881408517E-2</v>
      </c>
      <c r="F11" s="763">
        <f>+'10. Analysis_Tables'!Q26</f>
        <v>16762.5</v>
      </c>
      <c r="G11" s="763">
        <f t="shared" si="2"/>
        <v>247.5</v>
      </c>
      <c r="H11" s="764">
        <f t="shared" si="3"/>
        <v>1.4986376021798364E-2</v>
      </c>
    </row>
    <row r="12" spans="2:8" x14ac:dyDescent="0.25">
      <c r="B12" s="762">
        <v>2019</v>
      </c>
      <c r="C12" s="763">
        <f>+'10. Analysis_Tables'!T12</f>
        <v>133654396</v>
      </c>
      <c r="D12" s="763">
        <f t="shared" si="0"/>
        <v>-574290.31000000238</v>
      </c>
      <c r="E12" s="764">
        <f t="shared" si="1"/>
        <v>-4.2784469235859456E-3</v>
      </c>
      <c r="F12" s="763">
        <f>+'10. Analysis_Tables'!Q27</f>
        <v>17009.5</v>
      </c>
      <c r="G12" s="763">
        <f t="shared" si="2"/>
        <v>247</v>
      </c>
      <c r="H12" s="764">
        <f t="shared" si="3"/>
        <v>1.4735272184936615E-2</v>
      </c>
    </row>
    <row r="13" spans="2:8" x14ac:dyDescent="0.25">
      <c r="B13" s="762">
        <v>2020</v>
      </c>
      <c r="C13" s="763">
        <f>+'10. Analysis_Tables'!T13</f>
        <v>139481593.56999999</v>
      </c>
      <c r="D13" s="763">
        <f t="shared" si="0"/>
        <v>5827197.5699999928</v>
      </c>
      <c r="E13" s="764">
        <f t="shared" si="1"/>
        <v>4.3598996698918847E-2</v>
      </c>
      <c r="F13" s="763">
        <f>+'10. Analysis_Tables'!Q28</f>
        <v>17276.5</v>
      </c>
      <c r="G13" s="763">
        <f t="shared" si="2"/>
        <v>267</v>
      </c>
      <c r="H13" s="764">
        <f t="shared" si="3"/>
        <v>1.5697110438284489E-2</v>
      </c>
    </row>
    <row r="14" spans="2:8" x14ac:dyDescent="0.25">
      <c r="B14" s="762">
        <v>2021</v>
      </c>
      <c r="C14" s="763">
        <f>+'10. Analysis_Tables'!T14</f>
        <v>143103046.99000001</v>
      </c>
      <c r="D14" s="763">
        <f t="shared" si="0"/>
        <v>3621453.4200000167</v>
      </c>
      <c r="E14" s="764">
        <f t="shared" si="1"/>
        <v>2.5963665364796398E-2</v>
      </c>
      <c r="F14" s="763">
        <f>+'10. Analysis_Tables'!Q29</f>
        <v>17541</v>
      </c>
      <c r="G14" s="763">
        <f t="shared" si="2"/>
        <v>264.5</v>
      </c>
      <c r="H14" s="764">
        <f t="shared" si="3"/>
        <v>1.530981390906723E-2</v>
      </c>
    </row>
    <row r="15" spans="2:8" x14ac:dyDescent="0.25">
      <c r="B15" s="762">
        <v>2022</v>
      </c>
      <c r="C15" s="763">
        <f>+'10. Analysis_Tables'!T15</f>
        <v>145877729.05902892</v>
      </c>
      <c r="D15" s="763">
        <f t="shared" si="0"/>
        <v>2774682.069028914</v>
      </c>
      <c r="E15" s="764">
        <f t="shared" si="1"/>
        <v>1.93893989498547E-2</v>
      </c>
      <c r="F15" s="763">
        <f>+'10. Analysis_Tables'!Q30</f>
        <v>17894</v>
      </c>
      <c r="G15" s="763">
        <f t="shared" si="2"/>
        <v>353</v>
      </c>
      <c r="H15" s="764">
        <f t="shared" si="3"/>
        <v>2.0124280257682002E-2</v>
      </c>
    </row>
    <row r="16" spans="2:8" x14ac:dyDescent="0.25">
      <c r="B16" s="762" t="s">
        <v>459</v>
      </c>
      <c r="C16" s="763">
        <f>+'10. Analysis_Tables'!T16</f>
        <v>147549838.31535891</v>
      </c>
      <c r="D16" s="763">
        <f t="shared" si="0"/>
        <v>1672109.2563299835</v>
      </c>
      <c r="E16" s="764">
        <f t="shared" si="1"/>
        <v>1.1462402569026628E-2</v>
      </c>
      <c r="F16" s="763">
        <f>+'10. Analysis_Tables'!Q31</f>
        <v>18300</v>
      </c>
      <c r="G16" s="763">
        <f t="shared" si="2"/>
        <v>406</v>
      </c>
      <c r="H16" s="764">
        <f t="shared" si="3"/>
        <v>2.2689169554040461E-2</v>
      </c>
    </row>
    <row r="17" spans="2:12" x14ac:dyDescent="0.25">
      <c r="B17" s="762" t="s">
        <v>460</v>
      </c>
      <c r="C17" s="763">
        <f>+'10. Analysis_Tables'!T17</f>
        <v>150428662.99729875</v>
      </c>
      <c r="D17" s="763">
        <f t="shared" si="0"/>
        <v>2878824.6819398403</v>
      </c>
      <c r="E17" s="764">
        <f t="shared" si="1"/>
        <v>1.9510863006077416E-2</v>
      </c>
      <c r="F17" s="763">
        <f>+'10. Analysis_Tables'!Q32</f>
        <v>18596</v>
      </c>
      <c r="G17" s="763">
        <f t="shared" si="2"/>
        <v>296</v>
      </c>
      <c r="H17" s="764">
        <f t="shared" si="3"/>
        <v>1.6174863387978144E-2</v>
      </c>
    </row>
    <row r="18" spans="2:12" x14ac:dyDescent="0.25">
      <c r="B18" s="745"/>
      <c r="C18" s="760"/>
      <c r="D18" s="760"/>
      <c r="E18" s="761"/>
      <c r="F18" s="760"/>
      <c r="G18" s="760"/>
      <c r="H18" s="761"/>
    </row>
    <row r="19" spans="2:12" x14ac:dyDescent="0.25">
      <c r="B19" s="745"/>
      <c r="C19" s="760"/>
      <c r="D19" s="760"/>
      <c r="E19" s="761"/>
      <c r="F19" s="760"/>
      <c r="G19" s="760"/>
      <c r="H19" s="761"/>
    </row>
    <row r="20" spans="2:12" x14ac:dyDescent="0.25">
      <c r="B20" s="762" t="s">
        <v>461</v>
      </c>
      <c r="C20" s="762">
        <v>2013</v>
      </c>
      <c r="D20" s="762">
        <v>2014</v>
      </c>
      <c r="E20" s="762">
        <v>2015</v>
      </c>
      <c r="F20" s="762">
        <v>2016</v>
      </c>
      <c r="G20" s="762">
        <v>2017</v>
      </c>
      <c r="H20" s="762">
        <v>2018</v>
      </c>
      <c r="I20" s="762">
        <v>2019</v>
      </c>
      <c r="J20" s="762">
        <v>2020</v>
      </c>
      <c r="K20" s="762">
        <v>2021</v>
      </c>
      <c r="L20" s="762">
        <v>2022</v>
      </c>
    </row>
    <row r="21" spans="2:12" x14ac:dyDescent="0.25">
      <c r="B21" s="762" t="s">
        <v>101</v>
      </c>
      <c r="C21" s="753">
        <f>+'6. WS Regression Analysis'!C11</f>
        <v>12427125.300000001</v>
      </c>
      <c r="D21" s="753">
        <f>+'6. WS Regression Analysis'!C23</f>
        <v>14009823.02</v>
      </c>
      <c r="E21" s="753">
        <f>+'6. WS Regression Analysis'!C35</f>
        <v>13995263.050000001</v>
      </c>
      <c r="F21" s="753">
        <f>+'6. WS Regression Analysis'!C47</f>
        <v>12730345.99</v>
      </c>
      <c r="G21" s="753">
        <f>+'6. WS Regression Analysis'!C59</f>
        <v>12229219</v>
      </c>
      <c r="H21" s="753">
        <f>+'6. WS Regression Analysis'!C71</f>
        <v>13615938.1</v>
      </c>
      <c r="I21" s="753">
        <f>+'6. WS Regression Analysis'!C83</f>
        <v>13900952.76</v>
      </c>
      <c r="J21" s="753">
        <f>+'6. WS Regression Analysis'!C95</f>
        <v>13108024.91</v>
      </c>
      <c r="K21" s="753">
        <f>+'6. WS Regression Analysis'!C107</f>
        <v>14127144.220000001</v>
      </c>
      <c r="L21" s="753">
        <f>+'6. WS Regression Analysis'!C119</f>
        <v>15856085.710000001</v>
      </c>
    </row>
    <row r="22" spans="2:12" x14ac:dyDescent="0.25">
      <c r="B22" s="762" t="s">
        <v>102</v>
      </c>
      <c r="C22" s="753">
        <f>+'6. WS Regression Analysis'!C12</f>
        <v>11414727.16</v>
      </c>
      <c r="D22" s="753">
        <f>+'6. WS Regression Analysis'!C24</f>
        <v>12185867.460000001</v>
      </c>
      <c r="E22" s="753">
        <f>+'6. WS Regression Analysis'!C36</f>
        <v>13170058.060000001</v>
      </c>
      <c r="F22" s="753">
        <f>+'6. WS Regression Analysis'!C48</f>
        <v>11705579.449999999</v>
      </c>
      <c r="G22" s="753">
        <f>+'6. WS Regression Analysis'!C60</f>
        <v>10687297</v>
      </c>
      <c r="H22" s="753">
        <f>+'6. WS Regression Analysis'!C72</f>
        <v>11305661.48</v>
      </c>
      <c r="I22" s="753">
        <f>+'6. WS Regression Analysis'!C84</f>
        <v>12089793.720000001</v>
      </c>
      <c r="J22" s="753">
        <f>+'6. WS Regression Analysis'!C96</f>
        <v>12246829.32</v>
      </c>
      <c r="K22" s="753">
        <f>+'6. WS Regression Analysis'!C108</f>
        <v>13322300.050000001</v>
      </c>
      <c r="L22" s="753">
        <f>+'6. WS Regression Analysis'!C120</f>
        <v>13630051.550000001</v>
      </c>
    </row>
    <row r="23" spans="2:12" x14ac:dyDescent="0.25">
      <c r="B23" s="762" t="s">
        <v>103</v>
      </c>
      <c r="C23" s="753">
        <f>+'6. WS Regression Analysis'!C13</f>
        <v>11410609.51</v>
      </c>
      <c r="D23" s="753">
        <f>+'6. WS Regression Analysis'!C25</f>
        <v>12555380.390000001</v>
      </c>
      <c r="E23" s="753">
        <f>+'6. WS Regression Analysis'!C37</f>
        <v>11998087.02</v>
      </c>
      <c r="F23" s="753">
        <f>+'6. WS Regression Analysis'!C49</f>
        <v>11115960.9</v>
      </c>
      <c r="G23" s="753">
        <f>+'6. WS Regression Analysis'!C61</f>
        <v>11665956</v>
      </c>
      <c r="H23" s="753">
        <f>+'6. WS Regression Analysis'!C73</f>
        <v>11582097.93</v>
      </c>
      <c r="I23" s="753">
        <f>+'6. WS Regression Analysis'!C85</f>
        <v>12234304.98</v>
      </c>
      <c r="J23" s="753">
        <f>+'6. WS Regression Analysis'!C97</f>
        <v>11915050.17</v>
      </c>
      <c r="K23" s="753">
        <f>+'6. WS Regression Analysis'!C109</f>
        <v>12551973.98</v>
      </c>
      <c r="L23" s="753">
        <f>+'6. WS Regression Analysis'!C121</f>
        <v>13339493.23</v>
      </c>
    </row>
    <row r="24" spans="2:12" x14ac:dyDescent="0.25">
      <c r="B24" s="762" t="s">
        <v>104</v>
      </c>
      <c r="C24" s="753">
        <f>+'6. WS Regression Analysis'!C14</f>
        <v>9843368.6199999992</v>
      </c>
      <c r="D24" s="753">
        <f>+'6. WS Regression Analysis'!C26</f>
        <v>10082468.890000001</v>
      </c>
      <c r="E24" s="753">
        <f>+'6. WS Regression Analysis'!C38</f>
        <v>9783026.5899999999</v>
      </c>
      <c r="F24" s="753">
        <f>+'6. WS Regression Analysis'!C50</f>
        <v>10054141.369999999</v>
      </c>
      <c r="G24" s="753">
        <f>+'6. WS Regression Analysis'!C62</f>
        <v>9357837</v>
      </c>
      <c r="H24" s="753">
        <f>+'6. WS Regression Analysis'!C74</f>
        <v>10730509.539999999</v>
      </c>
      <c r="I24" s="753">
        <f>+'6. WS Regression Analysis'!C86</f>
        <v>10423342.369999999</v>
      </c>
      <c r="J24" s="753">
        <f>+'6. WS Regression Analysis'!C98</f>
        <v>10832586.26</v>
      </c>
      <c r="K24" s="753">
        <f>+'6. WS Regression Analysis'!C110</f>
        <v>10695600.1</v>
      </c>
      <c r="L24" s="753">
        <f>+'6. WS Regression Analysis'!C122</f>
        <v>11179449.449999999</v>
      </c>
    </row>
    <row r="25" spans="2:12" x14ac:dyDescent="0.25">
      <c r="B25" s="762" t="s">
        <v>80</v>
      </c>
      <c r="C25" s="753">
        <f>+'6. WS Regression Analysis'!C15</f>
        <v>9607315.9800000004</v>
      </c>
      <c r="D25" s="753">
        <f>+'6. WS Regression Analysis'!C27</f>
        <v>9562255.6600000001</v>
      </c>
      <c r="E25" s="753">
        <f>+'6. WS Regression Analysis'!C39</f>
        <v>9852639.4199999999</v>
      </c>
      <c r="F25" s="753">
        <f>+'6. WS Regression Analysis'!C51</f>
        <v>9815290.6799999997</v>
      </c>
      <c r="G25" s="753">
        <f>+'6. WS Regression Analysis'!C63</f>
        <v>9739335</v>
      </c>
      <c r="H25" s="753">
        <f>+'6. WS Regression Analysis'!C75</f>
        <v>9875377.0999999996</v>
      </c>
      <c r="I25" s="753">
        <f>+'6. WS Regression Analysis'!C87</f>
        <v>10124014.43</v>
      </c>
      <c r="J25" s="753">
        <f>+'6. WS Regression Analysis'!C99</f>
        <v>10843267</v>
      </c>
      <c r="K25" s="753">
        <f>+'6. WS Regression Analysis'!C111</f>
        <v>10920120.109999999</v>
      </c>
      <c r="L25" s="753">
        <f>+'6. WS Regression Analysis'!C123</f>
        <v>11155592.32</v>
      </c>
    </row>
    <row r="26" spans="2:12" x14ac:dyDescent="0.25">
      <c r="B26" s="762" t="s">
        <v>105</v>
      </c>
      <c r="C26" s="753">
        <f>+'6. WS Regression Analysis'!C16</f>
        <v>10146122.73</v>
      </c>
      <c r="D26" s="753">
        <f>+'6. WS Regression Analysis'!C28</f>
        <v>9968997.2799999993</v>
      </c>
      <c r="E26" s="753">
        <f>+'6. WS Regression Analysis'!C40</f>
        <v>9493089.5199999996</v>
      </c>
      <c r="F26" s="753">
        <f>+'6. WS Regression Analysis'!C52</f>
        <v>10031359.4</v>
      </c>
      <c r="G26" s="753">
        <f>+'6. WS Regression Analysis'!C64</f>
        <v>9985792</v>
      </c>
      <c r="H26" s="753">
        <f>+'6. WS Regression Analysis'!C76</f>
        <v>10350680.970000001</v>
      </c>
      <c r="I26" s="753">
        <f>+'6. WS Regression Analysis'!C88</f>
        <v>9963808.2200000007</v>
      </c>
      <c r="J26" s="753">
        <f>+'6. WS Regression Analysis'!C100</f>
        <v>11408378.16</v>
      </c>
      <c r="K26" s="753">
        <f>+'6. WS Regression Analysis'!C112</f>
        <v>12524914.77</v>
      </c>
      <c r="L26" s="753">
        <f>+'6. WS Regression Analysis'!C124</f>
        <v>11493285</v>
      </c>
    </row>
    <row r="27" spans="2:12" x14ac:dyDescent="0.25">
      <c r="B27" s="762" t="s">
        <v>106</v>
      </c>
      <c r="C27" s="753">
        <f>+'6. WS Regression Analysis'!C17</f>
        <v>12627370.01</v>
      </c>
      <c r="D27" s="753">
        <f>+'6. WS Regression Analysis'!C29</f>
        <v>11153255.460000001</v>
      </c>
      <c r="E27" s="753">
        <f>+'6. WS Regression Analysis'!C41</f>
        <v>12323498.1</v>
      </c>
      <c r="F27" s="753">
        <f>+'6. WS Regression Analysis'!C53</f>
        <v>13224478.039999999</v>
      </c>
      <c r="G27" s="753">
        <f>+'6. WS Regression Analysis'!C65</f>
        <v>12043306</v>
      </c>
      <c r="H27" s="753">
        <f>+'6. WS Regression Analysis'!C77</f>
        <v>13689624.529999999</v>
      </c>
      <c r="I27" s="753">
        <f>+'6. WS Regression Analysis'!C89</f>
        <v>13911423.380000001</v>
      </c>
      <c r="J27" s="753">
        <f>+'6. WS Regression Analysis'!C101</f>
        <v>15505390.18</v>
      </c>
      <c r="K27" s="753">
        <f>+'6. WS Regression Analysis'!C113</f>
        <v>13320916.810000001</v>
      </c>
      <c r="L27" s="753">
        <f>+'6. WS Regression Analysis'!C125</f>
        <v>13900904.560000001</v>
      </c>
    </row>
    <row r="28" spans="2:12" x14ac:dyDescent="0.25">
      <c r="B28" s="762" t="s">
        <v>107</v>
      </c>
      <c r="C28" s="753">
        <f>+'6. WS Regression Analysis'!C18</f>
        <v>11481797.800000001</v>
      </c>
      <c r="D28" s="753">
        <f>+'6. WS Regression Analysis'!C30</f>
        <v>11362433.77</v>
      </c>
      <c r="E28" s="753">
        <f>+'6. WS Regression Analysis'!C42</f>
        <v>11878051.48</v>
      </c>
      <c r="F28" s="753">
        <f>+'6. WS Regression Analysis'!C54</f>
        <v>13591514.92</v>
      </c>
      <c r="G28" s="753">
        <f>+'6. WS Regression Analysis'!C66</f>
        <v>11325611</v>
      </c>
      <c r="H28" s="753">
        <f>+'6. WS Regression Analysis'!C78</f>
        <v>13621544.029999999</v>
      </c>
      <c r="I28" s="753">
        <f>+'6. WS Regression Analysis'!C90</f>
        <v>12353863.699999999</v>
      </c>
      <c r="J28" s="753">
        <f>+'6. WS Regression Analysis'!C102</f>
        <v>13862181.6</v>
      </c>
      <c r="K28" s="753">
        <f>+'6. WS Regression Analysis'!C114</f>
        <v>15442609.630000001</v>
      </c>
      <c r="L28" s="753">
        <f>+'6. WS Regression Analysis'!C126</f>
        <v>14218399.68</v>
      </c>
    </row>
    <row r="29" spans="2:12" x14ac:dyDescent="0.25">
      <c r="B29" s="762" t="s">
        <v>108</v>
      </c>
      <c r="C29" s="753">
        <f>+'6. WS Regression Analysis'!C19</f>
        <v>9549656.1400000006</v>
      </c>
      <c r="D29" s="753">
        <f>+'6. WS Regression Analysis'!C31</f>
        <v>9514380.7899999991</v>
      </c>
      <c r="E29" s="753">
        <f>+'6. WS Regression Analysis'!C43</f>
        <v>10579920.17</v>
      </c>
      <c r="F29" s="753">
        <f>+'6. WS Regression Analysis'!C55</f>
        <v>9965584.5099999998</v>
      </c>
      <c r="G29" s="753">
        <f>+'6. WS Regression Analysis'!C67</f>
        <v>9819996</v>
      </c>
      <c r="H29" s="753">
        <f>+'6. WS Regression Analysis'!C79</f>
        <v>10918383.85</v>
      </c>
      <c r="I29" s="753">
        <f>+'6. WS Regression Analysis'!C91</f>
        <v>9705119.4000000004</v>
      </c>
      <c r="J29" s="753">
        <f>+'6. WS Regression Analysis'!C103</f>
        <v>10501257.49</v>
      </c>
      <c r="K29" s="753">
        <f>+'6. WS Regression Analysis'!C115</f>
        <v>10775917.75</v>
      </c>
      <c r="L29" s="753">
        <f>+'6. WS Regression Analysis'!C127</f>
        <v>11324279.640000001</v>
      </c>
    </row>
    <row r="30" spans="2:12" x14ac:dyDescent="0.25">
      <c r="B30" s="12" t="s">
        <v>111</v>
      </c>
      <c r="C30" s="753">
        <f>+'6. WS Regression Analysis'!C20</f>
        <v>9762325.4000000004</v>
      </c>
      <c r="D30" s="753">
        <f>+'6. WS Regression Analysis'!C32</f>
        <v>9761646.9700000007</v>
      </c>
      <c r="E30" s="753">
        <f>+'6. WS Regression Analysis'!C44</f>
        <v>9909152.1400000006</v>
      </c>
      <c r="F30" s="753">
        <f>+'6. WS Regression Analysis'!C56</f>
        <v>9614905</v>
      </c>
      <c r="G30" s="753">
        <f>+'6. WS Regression Analysis'!C68</f>
        <v>9479144</v>
      </c>
      <c r="H30" s="753">
        <f>+'6. WS Regression Analysis'!C80</f>
        <v>10483323.640000001</v>
      </c>
      <c r="I30" s="753">
        <f>+'6. WS Regression Analysis'!C92</f>
        <v>10144367.210000001</v>
      </c>
      <c r="J30" s="753">
        <f>+'6. WS Regression Analysis'!C104</f>
        <v>10967477.16</v>
      </c>
      <c r="K30" s="753">
        <f>+'6. WS Regression Analysis'!C116</f>
        <v>10796234.01</v>
      </c>
      <c r="L30" s="753">
        <f>+'6. WS Regression Analysis'!C128</f>
        <v>10976851.130000001</v>
      </c>
    </row>
    <row r="31" spans="2:12" x14ac:dyDescent="0.25">
      <c r="B31" s="12" t="s">
        <v>109</v>
      </c>
      <c r="C31" s="753">
        <f>+'6. WS Regression Analysis'!C21</f>
        <v>11051534.07</v>
      </c>
      <c r="D31" s="753">
        <f>+'6. WS Regression Analysis'!C33</f>
        <v>11117966.66</v>
      </c>
      <c r="E31" s="753">
        <f>+'6. WS Regression Analysis'!C45</f>
        <v>9955156.0999999996</v>
      </c>
      <c r="F31" s="753">
        <f>+'6. WS Regression Analysis'!C57</f>
        <v>9822633</v>
      </c>
      <c r="G31" s="753">
        <f>+'6. WS Regression Analysis'!C69</f>
        <v>10779432</v>
      </c>
      <c r="H31" s="753">
        <f>+'6. WS Regression Analysis'!C81</f>
        <v>11365095.9</v>
      </c>
      <c r="I31" s="753">
        <f>+'6. WS Regression Analysis'!C93</f>
        <v>11757130.6</v>
      </c>
      <c r="J31" s="753">
        <f>+'6. WS Regression Analysis'!C105</f>
        <v>11227626.33</v>
      </c>
      <c r="K31" s="753">
        <f>+'6. WS Regression Analysis'!C117</f>
        <v>11778395.460000001</v>
      </c>
      <c r="L31" s="753">
        <f>+'6. WS Regression Analysis'!C129</f>
        <v>11621738.41</v>
      </c>
    </row>
    <row r="32" spans="2:12" x14ac:dyDescent="0.25">
      <c r="B32" s="12" t="s">
        <v>110</v>
      </c>
      <c r="C32" s="753">
        <f>+'6. WS Regression Analysis'!C22</f>
        <v>13539376.789999999</v>
      </c>
      <c r="D32" s="753">
        <f>+'6. WS Regression Analysis'!C34</f>
        <v>12637824.1</v>
      </c>
      <c r="E32" s="753">
        <f>+'6. WS Regression Analysis'!C46</f>
        <v>11330102.74</v>
      </c>
      <c r="F32" s="753">
        <f>+'6. WS Regression Analysis'!C58</f>
        <v>12397998</v>
      </c>
      <c r="G32" s="753">
        <f>+'6. WS Regression Analysis'!C70</f>
        <v>13284790</v>
      </c>
      <c r="H32" s="753">
        <f>+'6. WS Regression Analysis'!C82</f>
        <v>12814047.140000001</v>
      </c>
      <c r="I32" s="753">
        <f>+'6. WS Regression Analysis'!C94</f>
        <v>13295537.15</v>
      </c>
      <c r="J32" s="753">
        <f>+'6. WS Regression Analysis'!C106</f>
        <v>13826833.73</v>
      </c>
      <c r="K32" s="753">
        <f>+'6. WS Regression Analysis'!C118</f>
        <v>13705374.73</v>
      </c>
      <c r="L32" s="753">
        <f>+'6. WS Regression Analysis'!C130</f>
        <v>14136095.050000001</v>
      </c>
    </row>
    <row r="33" spans="2:20" x14ac:dyDescent="0.25">
      <c r="B33" s="12" t="s">
        <v>16</v>
      </c>
      <c r="C33" s="391">
        <f>SUM(C21:C32)</f>
        <v>132861329.50999999</v>
      </c>
      <c r="D33" s="391">
        <f t="shared" ref="D33:L33" si="4">SUM(D21:D32)</f>
        <v>133912300.44999999</v>
      </c>
      <c r="E33" s="391">
        <f t="shared" si="4"/>
        <v>134268044.38999999</v>
      </c>
      <c r="F33" s="391">
        <f t="shared" si="4"/>
        <v>134069791.25999999</v>
      </c>
      <c r="G33" s="391">
        <f t="shared" si="4"/>
        <v>130397715</v>
      </c>
      <c r="H33" s="391">
        <f t="shared" si="4"/>
        <v>140352284.21000001</v>
      </c>
      <c r="I33" s="391">
        <f t="shared" si="4"/>
        <v>139903657.92000002</v>
      </c>
      <c r="J33" s="391">
        <f t="shared" si="4"/>
        <v>146244902.30999997</v>
      </c>
      <c r="K33" s="391">
        <f t="shared" si="4"/>
        <v>149961501.62</v>
      </c>
      <c r="L33" s="391">
        <f t="shared" si="4"/>
        <v>152832225.73000002</v>
      </c>
    </row>
    <row r="35" spans="2:20" x14ac:dyDescent="0.25">
      <c r="B35" s="762" t="s">
        <v>461</v>
      </c>
      <c r="C35" s="762">
        <v>2013</v>
      </c>
      <c r="D35" s="762">
        <v>2014</v>
      </c>
      <c r="E35" s="762">
        <v>2015</v>
      </c>
      <c r="F35" s="762">
        <v>2016</v>
      </c>
      <c r="G35" s="762">
        <v>2017</v>
      </c>
      <c r="H35" s="762">
        <v>2018</v>
      </c>
      <c r="I35" s="762">
        <v>2019</v>
      </c>
      <c r="J35" s="762">
        <v>2020</v>
      </c>
      <c r="K35" s="762">
        <v>2021</v>
      </c>
      <c r="L35" s="762">
        <v>2022</v>
      </c>
      <c r="T35" s="137"/>
    </row>
    <row r="36" spans="2:20" x14ac:dyDescent="0.25">
      <c r="B36" s="762" t="s">
        <v>101</v>
      </c>
      <c r="C36" s="753">
        <f>+'6. WS Regression Analysis'!J11</f>
        <v>12714599.300000001</v>
      </c>
      <c r="D36" s="753">
        <f>+'6. WS Regression Analysis'!J23</f>
        <v>14291884.02</v>
      </c>
      <c r="E36" s="753">
        <f>+'6. WS Regression Analysis'!J35</f>
        <v>14263800.74</v>
      </c>
      <c r="F36" s="753">
        <f>+'6. WS Regression Analysis'!J47</f>
        <v>12986488.859999999</v>
      </c>
      <c r="G36" s="753">
        <f>+'6. WS Regression Analysis'!J59</f>
        <v>12460558</v>
      </c>
      <c r="H36" s="753">
        <f>+'6. WS Regression Analysis'!J71</f>
        <v>13845455.77</v>
      </c>
      <c r="I36" s="753">
        <f>+'6. WS Regression Analysis'!J83</f>
        <v>14136861.25</v>
      </c>
      <c r="J36" s="753">
        <f>+'6. WS Regression Analysis'!J95</f>
        <v>13330651.290000001</v>
      </c>
      <c r="K36" s="753">
        <f>+'6. WS Regression Analysis'!J107</f>
        <v>14331625.610000001</v>
      </c>
      <c r="L36" s="753">
        <f>+'6. WS Regression Analysis'!J119</f>
        <v>16083247.240000002</v>
      </c>
      <c r="T36" s="137"/>
    </row>
    <row r="37" spans="2:20" x14ac:dyDescent="0.25">
      <c r="B37" s="762" t="s">
        <v>102</v>
      </c>
      <c r="C37" s="753">
        <f>+'6. WS Regression Analysis'!J12</f>
        <v>11674145.16</v>
      </c>
      <c r="D37" s="753">
        <f>+'6. WS Regression Analysis'!J24</f>
        <v>12438081.460000001</v>
      </c>
      <c r="E37" s="753">
        <f>+'6. WS Regression Analysis'!J36</f>
        <v>13411681.4</v>
      </c>
      <c r="F37" s="753">
        <f>+'6. WS Regression Analysis'!J48</f>
        <v>11954300.219999999</v>
      </c>
      <c r="G37" s="753">
        <f>+'6. WS Regression Analysis'!J60</f>
        <v>10899195</v>
      </c>
      <c r="H37" s="753">
        <f>+'6. WS Regression Analysis'!J72</f>
        <v>11528218.460000001</v>
      </c>
      <c r="I37" s="753">
        <f>+'6. WS Regression Analysis'!J84</f>
        <v>12314382.420000002</v>
      </c>
      <c r="J37" s="753">
        <f>+'6. WS Regression Analysis'!J96</f>
        <v>12482507.939999999</v>
      </c>
      <c r="K37" s="753">
        <f>+'6. WS Regression Analysis'!J108</f>
        <v>13507751.590000002</v>
      </c>
      <c r="L37" s="753">
        <f>+'6. WS Regression Analysis'!J120</f>
        <v>13855295.420000002</v>
      </c>
      <c r="T37" s="137"/>
    </row>
    <row r="38" spans="2:20" x14ac:dyDescent="0.25">
      <c r="B38" s="762" t="s">
        <v>103</v>
      </c>
      <c r="C38" s="753">
        <f>+'6. WS Regression Analysis'!J13</f>
        <v>11709867.51</v>
      </c>
      <c r="D38" s="753">
        <f>+'6. WS Regression Analysis'!J25</f>
        <v>12842498.390000001</v>
      </c>
      <c r="E38" s="753">
        <f>+'6. WS Regression Analysis'!J37</f>
        <v>12285354.76</v>
      </c>
      <c r="F38" s="753">
        <f>+'6. WS Regression Analysis'!J49</f>
        <v>11407426.93</v>
      </c>
      <c r="G38" s="753">
        <f>+'6. WS Regression Analysis'!J61</f>
        <v>11922989</v>
      </c>
      <c r="H38" s="753">
        <f>+'6. WS Regression Analysis'!J73</f>
        <v>11940053.310000001</v>
      </c>
      <c r="I38" s="753">
        <f>+'6. WS Regression Analysis'!J85</f>
        <v>12555744.24</v>
      </c>
      <c r="J38" s="753">
        <f>+'6. WS Regression Analysis'!J97</f>
        <v>12243994.050000001</v>
      </c>
      <c r="K38" s="753">
        <f>+'6. WS Regression Analysis'!J109</f>
        <v>12900973.860000001</v>
      </c>
      <c r="L38" s="753">
        <f>+'6. WS Regression Analysis'!J121</f>
        <v>13662706.83</v>
      </c>
      <c r="T38" s="137"/>
    </row>
    <row r="39" spans="2:20" x14ac:dyDescent="0.25">
      <c r="B39" s="762" t="s">
        <v>104</v>
      </c>
      <c r="C39" s="753">
        <f>+'6. WS Regression Analysis'!J14</f>
        <v>10142113.619999999</v>
      </c>
      <c r="D39" s="753">
        <f>+'6. WS Regression Analysis'!J26</f>
        <v>10372952.890000001</v>
      </c>
      <c r="E39" s="753">
        <f>+'6. WS Regression Analysis'!J38</f>
        <v>10075219.709999999</v>
      </c>
      <c r="F39" s="753">
        <f>+'6. WS Regression Analysis'!J50</f>
        <v>10309941.479999999</v>
      </c>
      <c r="G39" s="753">
        <f>+'6. WS Regression Analysis'!J62</f>
        <v>9658215</v>
      </c>
      <c r="H39" s="753">
        <f>+'6. WS Regression Analysis'!J74</f>
        <v>11069382.609999999</v>
      </c>
      <c r="I39" s="753">
        <f>+'6. WS Regression Analysis'!J86</f>
        <v>10775085.52</v>
      </c>
      <c r="J39" s="753">
        <f>+'6. WS Regression Analysis'!J98</f>
        <v>11212186.560000001</v>
      </c>
      <c r="K39" s="753">
        <f>+'6. WS Regression Analysis'!J110</f>
        <v>11078741.08</v>
      </c>
      <c r="L39" s="753">
        <f>+'6. WS Regression Analysis'!J122</f>
        <v>11554160.809999999</v>
      </c>
      <c r="T39" s="137"/>
    </row>
    <row r="40" spans="2:20" x14ac:dyDescent="0.25">
      <c r="B40" s="762" t="s">
        <v>80</v>
      </c>
      <c r="C40" s="753">
        <f>+'6. WS Regression Analysis'!J15</f>
        <v>9944562.9800000004</v>
      </c>
      <c r="D40" s="753">
        <f>+'6. WS Regression Analysis'!J27</f>
        <v>9883792.6600000001</v>
      </c>
      <c r="E40" s="753">
        <f>+'6. WS Regression Analysis'!J39</f>
        <v>10186850.77</v>
      </c>
      <c r="F40" s="753">
        <f>+'6. WS Regression Analysis'!J51</f>
        <v>10173589.859999999</v>
      </c>
      <c r="G40" s="753">
        <f>+'6. WS Regression Analysis'!J63</f>
        <v>10119389</v>
      </c>
      <c r="H40" s="753">
        <f>+'6. WS Regression Analysis'!J75</f>
        <v>10354364.879999999</v>
      </c>
      <c r="I40" s="753">
        <f>+'6. WS Regression Analysis'!J87</f>
        <v>10527884.379999999</v>
      </c>
      <c r="J40" s="753">
        <f>+'6. WS Regression Analysis'!J99</f>
        <v>11297028.48</v>
      </c>
      <c r="K40" s="753">
        <f>+'6. WS Regression Analysis'!J111</f>
        <v>11382215.42</v>
      </c>
      <c r="L40" s="753">
        <f>+'6. WS Regression Analysis'!J123</f>
        <v>11604071.09</v>
      </c>
      <c r="T40" s="137"/>
    </row>
    <row r="41" spans="2:20" x14ac:dyDescent="0.25">
      <c r="B41" s="762" t="s">
        <v>105</v>
      </c>
      <c r="C41" s="753">
        <f>+'6. WS Regression Analysis'!J16</f>
        <v>10492366.73</v>
      </c>
      <c r="D41" s="753">
        <f>+'6. WS Regression Analysis'!J28</f>
        <v>10305409.279999999</v>
      </c>
      <c r="E41" s="753">
        <f>+'6. WS Regression Analysis'!J40</f>
        <v>9831338.959999999</v>
      </c>
      <c r="F41" s="753">
        <f>+'6. WS Regression Analysis'!J52</f>
        <v>10399523.84</v>
      </c>
      <c r="G41" s="753">
        <f>+'6. WS Regression Analysis'!J64</f>
        <v>10393658</v>
      </c>
      <c r="H41" s="753">
        <f>+'6. WS Regression Analysis'!J76</f>
        <v>10827406.5</v>
      </c>
      <c r="I41" s="753">
        <f>+'6. WS Regression Analysis'!J88</f>
        <v>10423008.750000002</v>
      </c>
      <c r="J41" s="753">
        <f>+'6. WS Regression Analysis'!J100</f>
        <v>11927943.300000001</v>
      </c>
      <c r="K41" s="753">
        <f>+'6. WS Regression Analysis'!J112</f>
        <v>13001288.51</v>
      </c>
      <c r="L41" s="753">
        <f>+'6. WS Regression Analysis'!J124</f>
        <v>11952635.959999999</v>
      </c>
      <c r="T41" s="137"/>
    </row>
    <row r="42" spans="2:20" x14ac:dyDescent="0.25">
      <c r="B42" s="762" t="s">
        <v>106</v>
      </c>
      <c r="C42" s="753">
        <f>+'6. WS Regression Analysis'!J17</f>
        <v>13000235.01</v>
      </c>
      <c r="D42" s="753">
        <f>+'6. WS Regression Analysis'!J29</f>
        <v>11509366.460000001</v>
      </c>
      <c r="E42" s="753">
        <f>+'6. WS Regression Analysis'!J41</f>
        <v>12693893.539999999</v>
      </c>
      <c r="F42" s="753">
        <f>+'6. WS Regression Analysis'!J53</f>
        <v>13608563.1</v>
      </c>
      <c r="G42" s="753">
        <f>+'6. WS Regression Analysis'!J65</f>
        <v>12493313</v>
      </c>
      <c r="H42" s="753">
        <f>+'6. WS Regression Analysis'!J77</f>
        <v>14215420.799999999</v>
      </c>
      <c r="I42" s="753">
        <f>+'6. WS Regression Analysis'!J89</f>
        <v>14446556.780000001</v>
      </c>
      <c r="J42" s="753">
        <f>+'6. WS Regression Analysis'!J101</f>
        <v>16040654.609999999</v>
      </c>
      <c r="K42" s="753">
        <f>+'6. WS Regression Analysis'!J113</f>
        <v>13790124.390000001</v>
      </c>
      <c r="L42" s="753">
        <f>+'6. WS Regression Analysis'!J125</f>
        <v>14394844.430000002</v>
      </c>
      <c r="T42" s="137"/>
    </row>
    <row r="43" spans="2:20" x14ac:dyDescent="0.25">
      <c r="B43" s="762" t="s">
        <v>107</v>
      </c>
      <c r="C43" s="753">
        <f>+'6. WS Regression Analysis'!J18</f>
        <v>11850427.800000001</v>
      </c>
      <c r="D43" s="753">
        <f>+'6. WS Regression Analysis'!J30</f>
        <v>11729091.77</v>
      </c>
      <c r="E43" s="753">
        <f>+'6. WS Regression Analysis'!J42</f>
        <v>12237310.5</v>
      </c>
      <c r="F43" s="753">
        <f>+'6. WS Regression Analysis'!J54</f>
        <v>13978739</v>
      </c>
      <c r="G43" s="753">
        <f>+'6. WS Regression Analysis'!J66</f>
        <v>11747163</v>
      </c>
      <c r="H43" s="753">
        <f>+'6. WS Regression Analysis'!J78</f>
        <v>14096456.189999999</v>
      </c>
      <c r="I43" s="753">
        <f>+'6. WS Regression Analysis'!J90</f>
        <v>12855525.319999998</v>
      </c>
      <c r="J43" s="753">
        <f>+'6. WS Regression Analysis'!J102</f>
        <v>14348154.499999998</v>
      </c>
      <c r="K43" s="753">
        <f>+'6. WS Regression Analysis'!J114</f>
        <v>15936674.720000001</v>
      </c>
      <c r="L43" s="753">
        <f>+'6. WS Regression Analysis'!J126</f>
        <v>14700501.91</v>
      </c>
      <c r="T43" s="137"/>
    </row>
    <row r="44" spans="2:20" x14ac:dyDescent="0.25">
      <c r="B44" s="762" t="s">
        <v>108</v>
      </c>
      <c r="C44" s="753">
        <f>+'6. WS Regression Analysis'!J19</f>
        <v>9883580.1400000006</v>
      </c>
      <c r="D44" s="753">
        <f>+'6. WS Regression Analysis'!J31</f>
        <v>9836508.7899999991</v>
      </c>
      <c r="E44" s="753">
        <f>+'6. WS Regression Analysis'!J43</f>
        <v>10936789.77</v>
      </c>
      <c r="F44" s="753">
        <f>+'6. WS Regression Analysis'!J55</f>
        <v>10295920.449999999</v>
      </c>
      <c r="G44" s="753">
        <f>+'6. WS Regression Analysis'!J67</f>
        <v>10202947</v>
      </c>
      <c r="H44" s="753">
        <f>+'6. WS Regression Analysis'!J79</f>
        <v>11319185.07</v>
      </c>
      <c r="I44" s="753">
        <f>+'6. WS Regression Analysis'!J91</f>
        <v>10088057.619999999</v>
      </c>
      <c r="J44" s="753">
        <f>+'6. WS Regression Analysis'!J103</f>
        <v>10895830.459999999</v>
      </c>
      <c r="K44" s="753">
        <f>+'6. WS Regression Analysis'!J115</f>
        <v>11174160.85</v>
      </c>
      <c r="L44" s="753">
        <f>+'6. WS Regression Analysis'!J127</f>
        <v>11710891.49</v>
      </c>
      <c r="T44" s="137"/>
    </row>
    <row r="45" spans="2:20" x14ac:dyDescent="0.25">
      <c r="B45" s="12" t="s">
        <v>111</v>
      </c>
      <c r="C45" s="753">
        <f>+'6. WS Regression Analysis'!J20</f>
        <v>10078690.4</v>
      </c>
      <c r="D45" s="753">
        <f>+'6. WS Regression Analysis'!J32</f>
        <v>10060378.970000001</v>
      </c>
      <c r="E45" s="753">
        <f>+'6. WS Regression Analysis'!J44</f>
        <v>10220441.720000001</v>
      </c>
      <c r="F45" s="753">
        <f>+'6. WS Regression Analysis'!J56</f>
        <v>9905172.6500000004</v>
      </c>
      <c r="G45" s="753">
        <f>+'6. WS Regression Analysis'!J68</f>
        <v>9806024</v>
      </c>
      <c r="H45" s="753">
        <f>+'6. WS Regression Analysis'!J80</f>
        <v>10779937.120000001</v>
      </c>
      <c r="I45" s="753">
        <f>+'6. WS Regression Analysis'!J92</f>
        <v>10474745.060000001</v>
      </c>
      <c r="J45" s="753">
        <f>+'6. WS Regression Analysis'!J104</f>
        <v>11276151.310000001</v>
      </c>
      <c r="K45" s="753">
        <f>+'6. WS Regression Analysis'!J116</f>
        <v>11120261.369999999</v>
      </c>
      <c r="L45" s="753">
        <f>+'6. WS Regression Analysis'!J128</f>
        <v>11314901.750000002</v>
      </c>
      <c r="T45" s="137"/>
    </row>
    <row r="46" spans="2:20" x14ac:dyDescent="0.25">
      <c r="B46" s="12" t="s">
        <v>109</v>
      </c>
      <c r="C46" s="753">
        <f>+'6. WS Regression Analysis'!J21</f>
        <v>11328604.07</v>
      </c>
      <c r="D46" s="753">
        <f>+'6. WS Regression Analysis'!J33</f>
        <v>11386048.66</v>
      </c>
      <c r="E46" s="753">
        <f>+'6. WS Regression Analysis'!J45</f>
        <v>10239309.789999999</v>
      </c>
      <c r="F46" s="753">
        <f>+'6. WS Regression Analysis'!J57</f>
        <v>10076326.68</v>
      </c>
      <c r="G46" s="753">
        <f>+'6. WS Regression Analysis'!J69</f>
        <v>11021437</v>
      </c>
      <c r="H46" s="753">
        <f>+'6. WS Regression Analysis'!J81</f>
        <v>11584828.199999999</v>
      </c>
      <c r="I46" s="753">
        <f>+'6. WS Regression Analysis'!J93</f>
        <v>11994608.57</v>
      </c>
      <c r="J46" s="753">
        <f>+'6. WS Regression Analysis'!J105</f>
        <v>11495934.960000001</v>
      </c>
      <c r="K46" s="753">
        <f>+'6. WS Regression Analysis'!J117</f>
        <v>12031205.42</v>
      </c>
      <c r="L46" s="753">
        <f>+'6. WS Regression Analysis'!J129</f>
        <v>11880521.75</v>
      </c>
      <c r="T46" s="137"/>
    </row>
    <row r="47" spans="2:20" x14ac:dyDescent="0.25">
      <c r="B47" s="12" t="s">
        <v>110</v>
      </c>
      <c r="C47" s="753">
        <f>+'6. WS Regression Analysis'!J22</f>
        <v>13833199.789999999</v>
      </c>
      <c r="D47" s="753">
        <f>+'6. WS Regression Analysis'!J34</f>
        <v>12911220.1</v>
      </c>
      <c r="E47" s="753">
        <f>+'6. WS Regression Analysis'!J46</f>
        <v>11611382.939999999</v>
      </c>
      <c r="F47" s="753">
        <f>+'6. WS Regression Analysis'!J58</f>
        <v>12631435</v>
      </c>
      <c r="G47" s="753">
        <f>+'6. WS Regression Analysis'!J70</f>
        <v>13509706</v>
      </c>
      <c r="H47" s="753">
        <f>+'6. WS Regression Analysis'!J82</f>
        <v>13032878.630000001</v>
      </c>
      <c r="I47" s="753">
        <f>+'6. WS Regression Analysis'!J94</f>
        <v>13533100.700000001</v>
      </c>
      <c r="J47" s="753">
        <f>+'6. WS Regression Analysis'!J106</f>
        <v>14052794.130000001</v>
      </c>
      <c r="K47" s="753">
        <f>+'6. WS Regression Analysis'!J118</f>
        <v>13944167.690000001</v>
      </c>
      <c r="L47" s="753">
        <f>+'6. WS Regression Analysis'!J130</f>
        <v>14368318.49</v>
      </c>
      <c r="T47" s="137"/>
    </row>
    <row r="48" spans="2:20" x14ac:dyDescent="0.25">
      <c r="B48" s="12" t="s">
        <v>16</v>
      </c>
      <c r="C48" s="391">
        <f>SUM(C36:C47)</f>
        <v>136652392.50999999</v>
      </c>
      <c r="D48" s="391">
        <f t="shared" ref="D48:L48" si="5">SUM(D36:D47)</f>
        <v>137567233.44999999</v>
      </c>
      <c r="E48" s="391">
        <f t="shared" si="5"/>
        <v>137993374.59999999</v>
      </c>
      <c r="F48" s="391">
        <f t="shared" si="5"/>
        <v>137727428.06999999</v>
      </c>
      <c r="G48" s="391">
        <f t="shared" si="5"/>
        <v>134234594</v>
      </c>
      <c r="H48" s="391">
        <f t="shared" si="5"/>
        <v>144593587.54000002</v>
      </c>
      <c r="I48" s="391">
        <f t="shared" si="5"/>
        <v>144125560.60999998</v>
      </c>
      <c r="J48" s="391">
        <f t="shared" si="5"/>
        <v>150603831.59</v>
      </c>
      <c r="K48" s="391">
        <f t="shared" si="5"/>
        <v>154199190.50999999</v>
      </c>
      <c r="L48" s="391">
        <f t="shared" si="5"/>
        <v>157082097.17000002</v>
      </c>
      <c r="T48" s="137"/>
    </row>
    <row r="49" spans="2:20" x14ac:dyDescent="0.25">
      <c r="T49" s="137"/>
    </row>
    <row r="50" spans="2:20" x14ac:dyDescent="0.25">
      <c r="T50" s="137"/>
    </row>
    <row r="51" spans="2:20" ht="23" x14ac:dyDescent="0.25">
      <c r="B51" s="86" t="s">
        <v>273</v>
      </c>
    </row>
    <row r="52" spans="2:20" ht="13" thickBot="1" x14ac:dyDescent="0.3"/>
    <row r="53" spans="2:20" ht="51.75" customHeight="1" thickBot="1" x14ac:dyDescent="0.3">
      <c r="B53" s="674"/>
      <c r="C53" s="866" t="str">
        <f>+'8. Final LF'!B15</f>
        <v>Residential-WN</v>
      </c>
      <c r="D53" s="862"/>
      <c r="E53" s="861" t="str">
        <f>+'8. Final LF'!B19</f>
        <v>General Service &lt; 50 kW-WN</v>
      </c>
      <c r="F53" s="861"/>
      <c r="G53" s="863" t="str">
        <f>+'8. Final LF'!B23</f>
        <v>General Service &gt; 50 kW - 4999 kW - Excluding Wholesale Market Participant-Non-WN/kW</v>
      </c>
      <c r="H53" s="864"/>
      <c r="I53" s="863" t="str">
        <f>+'8. Final LF'!B27</f>
        <v>General Service &gt; 50 kW - 4999 kW - Wholesale Market Participant-Non-WN/kW</v>
      </c>
      <c r="J53" s="864"/>
      <c r="K53" s="865" t="str">
        <f>+'8. Final LF'!B31</f>
        <v>Streetlighting-Non-WN/kW</v>
      </c>
      <c r="L53" s="864"/>
      <c r="M53" s="861" t="str">
        <f>+'8. Final LF'!B35</f>
        <v>Unmetered Scattered Load-WN</v>
      </c>
      <c r="N53" s="862"/>
      <c r="O53" s="861" t="str">
        <f>+'8. Final LF'!B39</f>
        <v>N/A-Non-WN/kW</v>
      </c>
      <c r="P53" s="862"/>
    </row>
    <row r="54" spans="2:20" ht="13" thickBot="1" x14ac:dyDescent="0.3">
      <c r="B54" s="673" t="s">
        <v>33</v>
      </c>
      <c r="C54" s="53" t="s">
        <v>35</v>
      </c>
      <c r="D54" s="56" t="s">
        <v>36</v>
      </c>
      <c r="E54" s="53" t="s">
        <v>35</v>
      </c>
      <c r="F54" s="56" t="s">
        <v>36</v>
      </c>
      <c r="G54" s="53" t="s">
        <v>35</v>
      </c>
      <c r="H54" s="56" t="s">
        <v>36</v>
      </c>
      <c r="I54" s="53" t="s">
        <v>35</v>
      </c>
      <c r="J54" s="56" t="s">
        <v>36</v>
      </c>
      <c r="K54" s="53" t="s">
        <v>35</v>
      </c>
      <c r="L54" s="56" t="s">
        <v>36</v>
      </c>
      <c r="M54" s="53" t="s">
        <v>35</v>
      </c>
      <c r="N54" s="56" t="s">
        <v>36</v>
      </c>
      <c r="O54" s="53" t="s">
        <v>35</v>
      </c>
      <c r="P54" s="56" t="s">
        <v>36</v>
      </c>
    </row>
    <row r="55" spans="2:20" x14ac:dyDescent="0.25">
      <c r="B55" s="670">
        <f>'4. Customer Growth'!B9</f>
        <v>2013</v>
      </c>
      <c r="C55" s="671">
        <f>+'8. Final LF'!E$16</f>
        <v>86276533</v>
      </c>
      <c r="D55" s="671">
        <f>+'8. Final LF'!E$17</f>
        <v>0</v>
      </c>
      <c r="E55" s="671">
        <f>+'8. Final LF'!E$20</f>
        <v>16432349</v>
      </c>
      <c r="F55" s="671">
        <f>+'8. Final LF'!E$21</f>
        <v>0</v>
      </c>
      <c r="G55" s="671">
        <f>+'8. Final LF'!E$24</f>
        <v>17691775</v>
      </c>
      <c r="H55" s="671">
        <f>+'8. Final LF'!E$25</f>
        <v>46868</v>
      </c>
      <c r="I55" s="671">
        <f>+'8. Final LF'!E$28</f>
        <v>3594883</v>
      </c>
      <c r="J55" s="671">
        <f>+'8. Final LF'!E$29</f>
        <v>6556</v>
      </c>
      <c r="K55" s="671">
        <f>+'8. Final LF'!E$32</f>
        <v>1796176</v>
      </c>
      <c r="L55" s="671">
        <f>+'8. Final LF'!E$33</f>
        <v>5310</v>
      </c>
      <c r="M55" s="671">
        <f>+'8. Final LF'!E$36</f>
        <v>264550</v>
      </c>
      <c r="N55" s="671">
        <f>+'8. Final LF'!E$37</f>
        <v>0</v>
      </c>
      <c r="O55" s="671">
        <f>+'8. Final LF'!E$40</f>
        <v>0</v>
      </c>
      <c r="P55" s="672">
        <f>+'8. Final LF'!E$41</f>
        <v>0</v>
      </c>
      <c r="Q55" s="202"/>
      <c r="R55" s="202"/>
    </row>
    <row r="56" spans="2:20" x14ac:dyDescent="0.25">
      <c r="B56" s="125">
        <f>'4. Customer Growth'!B10</f>
        <v>2014</v>
      </c>
      <c r="C56" s="551">
        <f>+'8. Final LF'!F$16</f>
        <v>87611190</v>
      </c>
      <c r="D56" s="551">
        <f>+'8. Final LF'!F$17</f>
        <v>0</v>
      </c>
      <c r="E56" s="551">
        <f>+'8. Final LF'!F$20</f>
        <v>16552641</v>
      </c>
      <c r="F56" s="551">
        <f>+'8. Final LF'!F$21</f>
        <v>0</v>
      </c>
      <c r="G56" s="551">
        <f>+'8. Final LF'!F$24</f>
        <v>17311423</v>
      </c>
      <c r="H56" s="551">
        <f>+'8. Final LF'!F$25</f>
        <v>45990</v>
      </c>
      <c r="I56" s="551">
        <f>+'8. Final LF'!F$28</f>
        <v>3453199</v>
      </c>
      <c r="J56" s="551">
        <f>+'8. Final LF'!F$29</f>
        <v>6080</v>
      </c>
      <c r="K56" s="551">
        <f>+'8. Final LF'!F$32</f>
        <v>1834665</v>
      </c>
      <c r="L56" s="551">
        <f>+'8. Final LF'!F$33</f>
        <v>5425</v>
      </c>
      <c r="M56" s="551">
        <f>+'8. Final LF'!F$36</f>
        <v>250496</v>
      </c>
      <c r="N56" s="551">
        <f>+'8. Final LF'!F$37</f>
        <v>0</v>
      </c>
      <c r="O56" s="551">
        <f>+'8. Final LF'!F$40</f>
        <v>0</v>
      </c>
      <c r="P56" s="668">
        <f>+'8. Final LF'!F$41</f>
        <v>0</v>
      </c>
      <c r="Q56" s="202"/>
      <c r="R56" s="202"/>
    </row>
    <row r="57" spans="2:20" x14ac:dyDescent="0.25">
      <c r="B57" s="125">
        <f>'4. Customer Growth'!B11</f>
        <v>2015</v>
      </c>
      <c r="C57" s="551">
        <f>+'8. Final LF'!G$16</f>
        <v>88019894.347826093</v>
      </c>
      <c r="D57" s="551">
        <f>+'8. Final LF'!G$17</f>
        <v>0</v>
      </c>
      <c r="E57" s="551">
        <f>+'8. Final LF'!G$20</f>
        <v>16816719.898242369</v>
      </c>
      <c r="F57" s="551">
        <f>+'8. Final LF'!G$21</f>
        <v>0</v>
      </c>
      <c r="G57" s="551">
        <f>+'8. Final LF'!G$24</f>
        <v>17836299.185938943</v>
      </c>
      <c r="H57" s="551">
        <f>+'8. Final LF'!G$25</f>
        <v>46298.799999999996</v>
      </c>
      <c r="I57" s="551">
        <f>+'8. Final LF'!G$28</f>
        <v>3423047.21</v>
      </c>
      <c r="J57" s="551">
        <f>+'8. Final LF'!G$29</f>
        <v>6214.5300000000007</v>
      </c>
      <c r="K57" s="551">
        <f>+'8. Final LF'!G$32</f>
        <v>1811343.3900000001</v>
      </c>
      <c r="L57" s="551">
        <f>+'8. Final LF'!G$33</f>
        <v>5476.170000000001</v>
      </c>
      <c r="M57" s="551">
        <f>+'8. Final LF'!G$36</f>
        <v>258733</v>
      </c>
      <c r="N57" s="551">
        <f>+'8. Final LF'!G$37</f>
        <v>0</v>
      </c>
      <c r="O57" s="551">
        <f>+'8. Final LF'!G$40</f>
        <v>0</v>
      </c>
      <c r="P57" s="668">
        <f>+'8. Final LF'!G$41</f>
        <v>0</v>
      </c>
      <c r="Q57" s="202"/>
      <c r="R57" s="202"/>
    </row>
    <row r="58" spans="2:20" x14ac:dyDescent="0.25">
      <c r="B58" s="125">
        <f>'4. Customer Growth'!B12</f>
        <v>2016</v>
      </c>
      <c r="C58" s="551">
        <f>+'8. Final LF'!H$16</f>
        <v>89543529.152451292</v>
      </c>
      <c r="D58" s="551">
        <f>+'8. Final LF'!H$17</f>
        <v>0</v>
      </c>
      <c r="E58" s="551">
        <f>+'8. Final LF'!H$20</f>
        <v>17017150.589305334</v>
      </c>
      <c r="F58" s="551">
        <f>+'8. Final LF'!H$21</f>
        <v>0</v>
      </c>
      <c r="G58" s="551">
        <f>+'8. Final LF'!H$24</f>
        <v>17027791.473816048</v>
      </c>
      <c r="H58" s="551">
        <f>+'8. Final LF'!H$25</f>
        <v>45180.1</v>
      </c>
      <c r="I58" s="551">
        <f>+'8. Final LF'!H$28</f>
        <v>3180755.81</v>
      </c>
      <c r="J58" s="551">
        <f>+'8. Final LF'!H$29</f>
        <v>5922.6900000000005</v>
      </c>
      <c r="K58" s="551">
        <f>+'8. Final LF'!H$32</f>
        <v>932624.09999999986</v>
      </c>
      <c r="L58" s="551">
        <f>+'8. Final LF'!H$33</f>
        <v>2932.5000000000005</v>
      </c>
      <c r="M58" s="551">
        <f>+'8. Final LF'!H$36</f>
        <v>183648</v>
      </c>
      <c r="N58" s="551">
        <f>+'8. Final LF'!H$37</f>
        <v>0</v>
      </c>
      <c r="O58" s="551">
        <f>+'8. Final LF'!H$40</f>
        <v>0</v>
      </c>
      <c r="P58" s="668">
        <f>+'8. Final LF'!H$41</f>
        <v>0</v>
      </c>
      <c r="Q58" s="202"/>
      <c r="R58" s="202"/>
    </row>
    <row r="59" spans="2:20" x14ac:dyDescent="0.25">
      <c r="B59" s="125">
        <f>'4. Customer Growth'!B13</f>
        <v>2017</v>
      </c>
      <c r="C59" s="551">
        <f>+'8. Final LF'!I$16</f>
        <v>87839401</v>
      </c>
      <c r="D59" s="551">
        <f>+'8. Final LF'!I$17</f>
        <v>0</v>
      </c>
      <c r="E59" s="551">
        <f>+'8. Final LF'!I$20</f>
        <v>17003638</v>
      </c>
      <c r="F59" s="551">
        <f>+'8. Final LF'!I$21</f>
        <v>0</v>
      </c>
      <c r="G59" s="551">
        <f>+'8. Final LF'!I$24</f>
        <v>16474910</v>
      </c>
      <c r="H59" s="551">
        <f>+'8. Final LF'!I$25</f>
        <v>43086.400000000001</v>
      </c>
      <c r="I59" s="551">
        <f>+'8. Final LF'!I$28</f>
        <v>2803203</v>
      </c>
      <c r="J59" s="551">
        <f>+'8. Final LF'!I$29</f>
        <v>5557.3</v>
      </c>
      <c r="K59" s="551">
        <f>+'8. Final LF'!I$32</f>
        <v>758718</v>
      </c>
      <c r="L59" s="551">
        <f>+'8. Final LF'!I$33</f>
        <v>2242</v>
      </c>
      <c r="M59" s="551">
        <f>+'8. Final LF'!I$36</f>
        <v>148714</v>
      </c>
      <c r="N59" s="551">
        <f>+'8. Final LF'!I$37</f>
        <v>0</v>
      </c>
      <c r="O59" s="551">
        <f>+'8. Final LF'!I$40</f>
        <v>0</v>
      </c>
      <c r="P59" s="668">
        <f>+'8. Final LF'!I$41</f>
        <v>0</v>
      </c>
      <c r="Q59" s="202"/>
      <c r="R59" s="202"/>
    </row>
    <row r="60" spans="2:20" x14ac:dyDescent="0.25">
      <c r="B60" s="125">
        <f>'4. Customer Growth'!B14</f>
        <v>2018</v>
      </c>
      <c r="C60" s="551">
        <f>+'8. Final LF'!J$16</f>
        <v>95897147</v>
      </c>
      <c r="D60" s="551">
        <f>+'8. Final LF'!J$17</f>
        <v>0</v>
      </c>
      <c r="E60" s="551">
        <f>+'8. Final LF'!J$20</f>
        <v>17666223</v>
      </c>
      <c r="F60" s="551">
        <f>+'8. Final LF'!J$21</f>
        <v>0</v>
      </c>
      <c r="G60" s="551">
        <f>+'8. Final LF'!J$24</f>
        <v>17070974</v>
      </c>
      <c r="H60" s="551">
        <f>+'8. Final LF'!J$25</f>
        <v>45883.1</v>
      </c>
      <c r="I60" s="551">
        <f>+'8. Final LF'!J$28</f>
        <v>2678677.3099999996</v>
      </c>
      <c r="J60" s="551">
        <f>+'8. Final LF'!J$29</f>
        <v>5394.4999999999991</v>
      </c>
      <c r="K60" s="551">
        <f>+'8. Final LF'!J$32</f>
        <v>761759</v>
      </c>
      <c r="L60" s="551">
        <f>+'8. Final LF'!J$33</f>
        <v>2247.6</v>
      </c>
      <c r="M60" s="551">
        <f>+'8. Final LF'!J$36</f>
        <v>153906</v>
      </c>
      <c r="N60" s="551">
        <f>+'8. Final LF'!J$37</f>
        <v>0</v>
      </c>
      <c r="O60" s="551">
        <f>+'8. Final LF'!J$40</f>
        <v>0</v>
      </c>
      <c r="P60" s="668">
        <f>+'8. Final LF'!J$41</f>
        <v>0</v>
      </c>
      <c r="Q60" s="202"/>
      <c r="R60" s="202"/>
    </row>
    <row r="61" spans="2:20" x14ac:dyDescent="0.25">
      <c r="B61" s="125">
        <f>'4. Customer Growth'!B15</f>
        <v>2019</v>
      </c>
      <c r="C61" s="551">
        <f>+'8. Final LF'!K$16</f>
        <v>95046949</v>
      </c>
      <c r="D61" s="551">
        <f>+'8. Final LF'!K$17</f>
        <v>0</v>
      </c>
      <c r="E61" s="551">
        <f>+'8. Final LF'!K$20</f>
        <v>17600016</v>
      </c>
      <c r="F61" s="551">
        <f>+'8. Final LF'!K$21</f>
        <v>0</v>
      </c>
      <c r="G61" s="551">
        <f>+'8. Final LF'!K$24</f>
        <v>17411107</v>
      </c>
      <c r="H61" s="551">
        <f>+'8. Final LF'!K$25</f>
        <v>43725.899999999994</v>
      </c>
      <c r="I61" s="551">
        <f>+'8. Final LF'!K$28</f>
        <v>2668244</v>
      </c>
      <c r="J61" s="551">
        <f>+'8. Final LF'!K$29</f>
        <v>5191.76</v>
      </c>
      <c r="K61" s="551">
        <f>+'8. Final LF'!K$32</f>
        <v>773922</v>
      </c>
      <c r="L61" s="551">
        <f>+'8. Final LF'!K$33</f>
        <v>2286.8000000000002</v>
      </c>
      <c r="M61" s="551">
        <f>+'8. Final LF'!K$36</f>
        <v>154158</v>
      </c>
      <c r="N61" s="551">
        <f>+'8. Final LF'!K$37</f>
        <v>0</v>
      </c>
      <c r="O61" s="551">
        <f>+'8. Final LF'!J$40</f>
        <v>0</v>
      </c>
      <c r="P61" s="668">
        <f>+'8. Final LF'!K$41</f>
        <v>0</v>
      </c>
      <c r="Q61" s="202"/>
      <c r="R61" s="202"/>
    </row>
    <row r="62" spans="2:20" x14ac:dyDescent="0.25">
      <c r="B62" s="125">
        <f>'4. Customer Growth'!B16</f>
        <v>2020</v>
      </c>
      <c r="C62" s="551">
        <f>+'8. Final LF'!L$16</f>
        <v>102567918</v>
      </c>
      <c r="D62" s="551">
        <f>+'8. Final LF'!L$17</f>
        <v>0</v>
      </c>
      <c r="E62" s="551">
        <f>+'8. Final LF'!L$20</f>
        <v>16820699</v>
      </c>
      <c r="F62" s="551">
        <f>+'8. Final LF'!L$21</f>
        <v>0</v>
      </c>
      <c r="G62" s="551">
        <f>+'8. Final LF'!L$24</f>
        <v>16401961</v>
      </c>
      <c r="H62" s="551">
        <f>+'8. Final LF'!L$25</f>
        <v>42527.5</v>
      </c>
      <c r="I62" s="551">
        <f>+'8. Final LF'!L$28</f>
        <v>2734869.5700000003</v>
      </c>
      <c r="J62" s="551">
        <f>+'8. Final LF'!L$29</f>
        <v>5526.0999999999995</v>
      </c>
      <c r="K62" s="551">
        <f>+'8. Final LF'!L$32</f>
        <v>803024</v>
      </c>
      <c r="L62" s="551">
        <f>+'8. Final LF'!L$33</f>
        <v>2328</v>
      </c>
      <c r="M62" s="551">
        <f>+'8. Final LF'!L$36</f>
        <v>153122</v>
      </c>
      <c r="N62" s="551">
        <f>+'8. Final LF'!L$37</f>
        <v>0</v>
      </c>
      <c r="O62" s="551">
        <f>+'8. Final LF'!L$40</f>
        <v>0</v>
      </c>
      <c r="P62" s="668">
        <f>+'8. Final LF'!L$41</f>
        <v>0</v>
      </c>
      <c r="Q62" s="202"/>
      <c r="R62" s="202"/>
    </row>
    <row r="63" spans="2:20" x14ac:dyDescent="0.25">
      <c r="B63" s="125">
        <f>'4. Customer Growth'!B17</f>
        <v>2021</v>
      </c>
      <c r="C63" s="551">
        <f>+'8. Final LF'!M$16</f>
        <v>104845989</v>
      </c>
      <c r="D63" s="551">
        <f>+'8. Final LF'!M$17</f>
        <v>0</v>
      </c>
      <c r="E63" s="551">
        <f>+'8. Final LF'!M$20</f>
        <v>17504591</v>
      </c>
      <c r="F63" s="551">
        <f>+'8. Final LF'!M$21</f>
        <v>0</v>
      </c>
      <c r="G63" s="551">
        <f>+'8. Final LF'!M$24</f>
        <v>17067244</v>
      </c>
      <c r="H63" s="551">
        <f>+'8. Final LF'!M$25</f>
        <v>43572.3</v>
      </c>
      <c r="I63" s="551">
        <f>+'8. Final LF'!M$28</f>
        <v>2738839.99</v>
      </c>
      <c r="J63" s="551">
        <f>+'8. Final LF'!M$29</f>
        <v>5291.6</v>
      </c>
      <c r="K63" s="551">
        <f>+'8. Final LF'!M$32</f>
        <v>791018</v>
      </c>
      <c r="L63" s="551">
        <f>+'8. Final LF'!M$33</f>
        <v>2337.6</v>
      </c>
      <c r="M63" s="551">
        <f>+'8. Final LF'!M$36</f>
        <v>155365</v>
      </c>
      <c r="N63" s="551">
        <f>+'8. Final LF'!M$37</f>
        <v>0</v>
      </c>
      <c r="O63" s="551">
        <f>+'8. Final LF'!M$40</f>
        <v>0</v>
      </c>
      <c r="P63" s="668">
        <f>+'8. Final LF'!M$41</f>
        <v>0</v>
      </c>
      <c r="Q63" s="202"/>
      <c r="R63" s="202"/>
    </row>
    <row r="64" spans="2:20" x14ac:dyDescent="0.25">
      <c r="B64" s="125">
        <f>'4. Customer Growth'!B18</f>
        <v>2022</v>
      </c>
      <c r="C64" s="551">
        <f>+'8. Final LF'!N$16</f>
        <v>105212685</v>
      </c>
      <c r="D64" s="551">
        <f>+'8. Final LF'!N$17</f>
        <v>0</v>
      </c>
      <c r="E64" s="551">
        <f>+'8. Final LF'!N$20</f>
        <v>18818565</v>
      </c>
      <c r="F64" s="551">
        <f>+'8. Final LF'!N$21</f>
        <v>0</v>
      </c>
      <c r="G64" s="551">
        <f>+'8. Final LF'!N$24</f>
        <v>18037476</v>
      </c>
      <c r="H64" s="551">
        <f>+'8. Final LF'!N$25</f>
        <v>45020.900000000009</v>
      </c>
      <c r="I64" s="551">
        <f>+'8. Final LF'!N$28</f>
        <v>2821873.45</v>
      </c>
      <c r="J64" s="551">
        <f>+'8. Final LF'!N$29</f>
        <v>5657.5</v>
      </c>
      <c r="K64" s="551">
        <f>+'8. Final LF'!N$32</f>
        <v>802430</v>
      </c>
      <c r="L64" s="551">
        <f>+'8. Final LF'!N$33</f>
        <v>2371.1999999999994</v>
      </c>
      <c r="M64" s="551">
        <f>+'8. Final LF'!N$36</f>
        <v>184699.60902894865</v>
      </c>
      <c r="N64" s="551">
        <f>+'8. Final LF'!N$37</f>
        <v>0</v>
      </c>
      <c r="O64" s="551">
        <f>+'8. Final LF'!N$40</f>
        <v>0</v>
      </c>
      <c r="P64" s="668">
        <f>+'8. Final LF'!N$41</f>
        <v>0</v>
      </c>
      <c r="Q64" s="202"/>
      <c r="R64" s="202"/>
    </row>
    <row r="65" spans="2:23" x14ac:dyDescent="0.25">
      <c r="B65" s="112" t="str">
        <f>'4. Customer Growth'!B22</f>
        <v>2023</v>
      </c>
      <c r="C65" s="551">
        <f>+'8. Final LF'!O$16</f>
        <v>106350197.09524722</v>
      </c>
      <c r="D65" s="551">
        <f>+'8. Final LF'!O$17</f>
        <v>0</v>
      </c>
      <c r="E65" s="551">
        <f>+'8. Final LF'!O$20</f>
        <v>18852905.426608346</v>
      </c>
      <c r="F65" s="551">
        <f>+'8. Final LF'!O$21</f>
        <v>0</v>
      </c>
      <c r="G65" s="551">
        <f>+'8. Final LF'!O$24</f>
        <v>18547588.056752723</v>
      </c>
      <c r="H65" s="551">
        <f>+'8. Final LF'!O$25</f>
        <v>46294.121591305724</v>
      </c>
      <c r="I65" s="551">
        <f>+'8. Final LF'!O$28</f>
        <v>2780774.6976221777</v>
      </c>
      <c r="J65" s="551">
        <f>+'8. Final LF'!O$29</f>
        <v>5575.1021902833627</v>
      </c>
      <c r="K65" s="551">
        <f>+'8. Final LF'!O$32</f>
        <v>811353.23439242423</v>
      </c>
      <c r="L65" s="551">
        <f>+'8. Final LF'!O$33</f>
        <v>2397.5683728067443</v>
      </c>
      <c r="M65" s="551">
        <f>+'8. Final LF'!O$36</f>
        <v>207019.8047360066</v>
      </c>
      <c r="N65" s="551">
        <f>+'8. Final LF'!O$37</f>
        <v>0</v>
      </c>
      <c r="O65" s="551">
        <f>+'8. Final LF'!O$40</f>
        <v>0</v>
      </c>
      <c r="P65" s="668">
        <f>+'8. Final LF'!O$41</f>
        <v>0</v>
      </c>
      <c r="Q65" s="202"/>
      <c r="R65" s="202"/>
    </row>
    <row r="66" spans="2:23" ht="13" thickBot="1" x14ac:dyDescent="0.3">
      <c r="B66" s="126" t="str">
        <f>'4. Customer Growth'!B23</f>
        <v>2024</v>
      </c>
      <c r="C66" s="556">
        <f>+'8. Final LF'!P$16</f>
        <v>108847740.38320151</v>
      </c>
      <c r="D66" s="556">
        <f>+'8. Final LF'!P$17</f>
        <v>0</v>
      </c>
      <c r="E66" s="556">
        <f>+'8. Final LF'!P$20</f>
        <v>19131277.822161231</v>
      </c>
      <c r="F66" s="556">
        <f>+'8. Final LF'!P$21</f>
        <v>0</v>
      </c>
      <c r="G66" s="556">
        <f>+'8. Final LF'!P$24</f>
        <v>18621416.213471785</v>
      </c>
      <c r="H66" s="556">
        <f>+'8. Final LF'!P$25</f>
        <v>46478.394050536343</v>
      </c>
      <c r="I66" s="556">
        <f>+'8. Final LF'!P$28</f>
        <v>2791843.4937129831</v>
      </c>
      <c r="J66" s="556">
        <f>+'8. Final LF'!P$29</f>
        <v>5597.2937289874571</v>
      </c>
      <c r="K66" s="556">
        <f>+'8. Final LF'!P$32</f>
        <v>820412.81545401609</v>
      </c>
      <c r="L66" s="556">
        <f>+'8. Final LF'!P$33</f>
        <v>2424.3396533087775</v>
      </c>
      <c r="M66" s="556">
        <f>+'8. Final LF'!P$36</f>
        <v>215972.26929725398</v>
      </c>
      <c r="N66" s="556">
        <f>+'8. Final LF'!P$37</f>
        <v>0</v>
      </c>
      <c r="O66" s="556">
        <f>+'8. Final LF'!P$40</f>
        <v>0</v>
      </c>
      <c r="P66" s="669">
        <f>+'8. Final LF'!P$41</f>
        <v>0</v>
      </c>
      <c r="Q66" s="202"/>
      <c r="R66" s="202"/>
    </row>
    <row r="68" spans="2:23" x14ac:dyDescent="0.25">
      <c r="J68" s="70"/>
      <c r="L68" s="70"/>
      <c r="M68" s="70"/>
      <c r="N68" s="70"/>
      <c r="O68" s="70"/>
      <c r="P68" s="70"/>
      <c r="Q68" s="70"/>
      <c r="R68" s="70"/>
      <c r="U68" s="70"/>
      <c r="V68" s="70"/>
      <c r="W68" s="70"/>
    </row>
    <row r="69" spans="2:23" ht="13" thickBot="1" x14ac:dyDescent="0.3">
      <c r="J69" s="70"/>
      <c r="L69" s="70"/>
    </row>
    <row r="70" spans="2:23" ht="37.5" customHeight="1" x14ac:dyDescent="0.25">
      <c r="B70" s="265" t="s">
        <v>33</v>
      </c>
      <c r="C70" s="553" t="s">
        <v>237</v>
      </c>
      <c r="D70" s="553" t="s">
        <v>272</v>
      </c>
      <c r="E70" s="553" t="s">
        <v>238</v>
      </c>
      <c r="F70" s="553" t="s">
        <v>239</v>
      </c>
      <c r="G70" s="553" t="s">
        <v>247</v>
      </c>
      <c r="H70" s="554" t="s">
        <v>238</v>
      </c>
      <c r="I70" s="392"/>
      <c r="J70" s="70"/>
      <c r="L70" s="70"/>
    </row>
    <row r="71" spans="2:23" x14ac:dyDescent="0.25">
      <c r="B71" s="675">
        <f t="shared" ref="B71:B82" si="6">+B55</f>
        <v>2013</v>
      </c>
      <c r="C71" s="551">
        <f>+'8. Final LF'!E$56</f>
        <v>126056266</v>
      </c>
      <c r="D71" s="48"/>
      <c r="E71" s="48"/>
      <c r="F71" s="551">
        <f>+'8. Final LF'!E$55</f>
        <v>15413</v>
      </c>
      <c r="G71" s="48"/>
      <c r="H71" s="140"/>
      <c r="J71" s="70"/>
      <c r="L71" s="70"/>
    </row>
    <row r="72" spans="2:23" x14ac:dyDescent="0.25">
      <c r="B72" s="125">
        <f t="shared" si="6"/>
        <v>2014</v>
      </c>
      <c r="C72" s="551">
        <f>+'8. Final LF'!F$56</f>
        <v>127013614</v>
      </c>
      <c r="D72" s="391">
        <f>C72-C71</f>
        <v>957348</v>
      </c>
      <c r="E72" s="552">
        <f>D72/C71</f>
        <v>7.5946085853439444E-3</v>
      </c>
      <c r="F72" s="551">
        <f>+'8. Final LF'!F$55</f>
        <v>15681</v>
      </c>
      <c r="G72" s="391">
        <f>F72-F71</f>
        <v>268</v>
      </c>
      <c r="H72" s="555">
        <f>G72/F71</f>
        <v>1.7387919288911959E-2</v>
      </c>
      <c r="J72" s="70"/>
      <c r="L72" s="70"/>
    </row>
    <row r="73" spans="2:23" x14ac:dyDescent="0.25">
      <c r="B73" s="125">
        <f t="shared" si="6"/>
        <v>2015</v>
      </c>
      <c r="C73" s="551">
        <f>+'8. Final LF'!G$56</f>
        <v>128166037.0320074</v>
      </c>
      <c r="D73" s="391">
        <f t="shared" ref="D73:D82" si="7">C73-C72</f>
        <v>1152423.0320073962</v>
      </c>
      <c r="E73" s="552">
        <f t="shared" ref="E73:E82" si="8">D73/C72</f>
        <v>9.0732244813331291E-3</v>
      </c>
      <c r="F73" s="551">
        <f>+'8. Final LF'!G$55</f>
        <v>15956</v>
      </c>
      <c r="G73" s="391">
        <f t="shared" ref="G73:G82" si="9">F73-F72</f>
        <v>275</v>
      </c>
      <c r="H73" s="555">
        <f t="shared" ref="H73:H82" si="10">G73/F72</f>
        <v>1.7537146865633568E-2</v>
      </c>
      <c r="J73" s="70"/>
      <c r="L73" s="70"/>
    </row>
    <row r="74" spans="2:23" x14ac:dyDescent="0.25">
      <c r="B74" s="125">
        <f t="shared" si="6"/>
        <v>2016</v>
      </c>
      <c r="C74" s="551">
        <f>+'8. Final LF'!H$56</f>
        <v>127885499.12557267</v>
      </c>
      <c r="D74" s="391">
        <f t="shared" si="7"/>
        <v>-280537.9064347297</v>
      </c>
      <c r="E74" s="552">
        <f t="shared" si="8"/>
        <v>-2.1888630789502362E-3</v>
      </c>
      <c r="F74" s="551">
        <f>+'8. Final LF'!H$55</f>
        <v>16244</v>
      </c>
      <c r="G74" s="391">
        <f t="shared" si="9"/>
        <v>288</v>
      </c>
      <c r="H74" s="555">
        <f t="shared" si="10"/>
        <v>1.8049636500376033E-2</v>
      </c>
      <c r="J74" s="70"/>
      <c r="L74" s="70"/>
    </row>
    <row r="75" spans="2:23" x14ac:dyDescent="0.25">
      <c r="B75" s="125">
        <f t="shared" si="6"/>
        <v>2017</v>
      </c>
      <c r="C75" s="551">
        <f>+'8. Final LF'!I$56</f>
        <v>125028584</v>
      </c>
      <c r="D75" s="391">
        <f t="shared" si="7"/>
        <v>-2856915.1255726665</v>
      </c>
      <c r="E75" s="552">
        <f t="shared" si="8"/>
        <v>-2.2339633071044428E-2</v>
      </c>
      <c r="F75" s="551">
        <f>+'8. Final LF'!I$55</f>
        <v>16515</v>
      </c>
      <c r="G75" s="391">
        <f t="shared" si="9"/>
        <v>271</v>
      </c>
      <c r="H75" s="555">
        <f t="shared" si="10"/>
        <v>1.6683082984486581E-2</v>
      </c>
      <c r="J75" s="70"/>
      <c r="L75" s="70"/>
    </row>
    <row r="76" spans="2:23" x14ac:dyDescent="0.25">
      <c r="B76" s="125">
        <f t="shared" si="6"/>
        <v>2018</v>
      </c>
      <c r="C76" s="551">
        <f>+'8. Final LF'!J$56</f>
        <v>134228686.31</v>
      </c>
      <c r="D76" s="391">
        <f t="shared" si="7"/>
        <v>9200102.3100000024</v>
      </c>
      <c r="E76" s="552">
        <f t="shared" si="8"/>
        <v>7.3583991881408517E-2</v>
      </c>
      <c r="F76" s="551">
        <f>+'8. Final LF'!J$55</f>
        <v>16762.5</v>
      </c>
      <c r="G76" s="391">
        <f t="shared" si="9"/>
        <v>247.5</v>
      </c>
      <c r="H76" s="555">
        <f t="shared" si="10"/>
        <v>1.4986376021798364E-2</v>
      </c>
      <c r="J76" s="70"/>
      <c r="L76" s="70"/>
    </row>
    <row r="77" spans="2:23" x14ac:dyDescent="0.25">
      <c r="B77" s="125">
        <f t="shared" si="6"/>
        <v>2019</v>
      </c>
      <c r="C77" s="551">
        <f>+'8. Final LF'!K$56</f>
        <v>133654396</v>
      </c>
      <c r="D77" s="391">
        <f t="shared" si="7"/>
        <v>-574290.31000000238</v>
      </c>
      <c r="E77" s="552">
        <f t="shared" si="8"/>
        <v>-4.2784469235859456E-3</v>
      </c>
      <c r="F77" s="551">
        <f>+'8. Final LF'!K$55</f>
        <v>17009.5</v>
      </c>
      <c r="G77" s="391">
        <f t="shared" si="9"/>
        <v>247</v>
      </c>
      <c r="H77" s="555">
        <f t="shared" si="10"/>
        <v>1.4735272184936615E-2</v>
      </c>
      <c r="J77" s="70"/>
      <c r="L77" s="70"/>
    </row>
    <row r="78" spans="2:23" x14ac:dyDescent="0.25">
      <c r="B78" s="125">
        <f t="shared" si="6"/>
        <v>2020</v>
      </c>
      <c r="C78" s="551">
        <f>+'8. Final LF'!L$56</f>
        <v>139481593.56999999</v>
      </c>
      <c r="D78" s="391">
        <f t="shared" si="7"/>
        <v>5827197.5699999928</v>
      </c>
      <c r="E78" s="552">
        <f t="shared" si="8"/>
        <v>4.3598996698918847E-2</v>
      </c>
      <c r="F78" s="551">
        <f>+'8. Final LF'!L$55</f>
        <v>17276.5</v>
      </c>
      <c r="G78" s="391">
        <f t="shared" si="9"/>
        <v>267</v>
      </c>
      <c r="H78" s="555">
        <f t="shared" si="10"/>
        <v>1.5697110438284489E-2</v>
      </c>
      <c r="J78" s="70"/>
      <c r="L78" s="70"/>
    </row>
    <row r="79" spans="2:23" x14ac:dyDescent="0.25">
      <c r="B79" s="125">
        <f t="shared" si="6"/>
        <v>2021</v>
      </c>
      <c r="C79" s="551">
        <f>+'8. Final LF'!M$56</f>
        <v>143103046.99000001</v>
      </c>
      <c r="D79" s="391">
        <f t="shared" si="7"/>
        <v>3621453.4200000167</v>
      </c>
      <c r="E79" s="552">
        <f t="shared" si="8"/>
        <v>2.5963665364796398E-2</v>
      </c>
      <c r="F79" s="551">
        <f>+'8. Final LF'!M$55</f>
        <v>17541</v>
      </c>
      <c r="G79" s="391">
        <f t="shared" si="9"/>
        <v>264.5</v>
      </c>
      <c r="H79" s="555">
        <f t="shared" si="10"/>
        <v>1.530981390906723E-2</v>
      </c>
      <c r="J79" s="70"/>
      <c r="L79" s="70"/>
    </row>
    <row r="80" spans="2:23" x14ac:dyDescent="0.25">
      <c r="B80" s="125">
        <f t="shared" si="6"/>
        <v>2022</v>
      </c>
      <c r="C80" s="551">
        <f>+'8. Final LF'!N$56</f>
        <v>145877729.05902892</v>
      </c>
      <c r="D80" s="391">
        <f t="shared" si="7"/>
        <v>2774682.069028914</v>
      </c>
      <c r="E80" s="552">
        <f t="shared" si="8"/>
        <v>1.93893989498547E-2</v>
      </c>
      <c r="F80" s="551">
        <f>+'8. Final LF'!N$55</f>
        <v>17894</v>
      </c>
      <c r="G80" s="391">
        <f t="shared" si="9"/>
        <v>353</v>
      </c>
      <c r="H80" s="555">
        <f t="shared" si="10"/>
        <v>2.0124280257682002E-2</v>
      </c>
      <c r="L80" s="70"/>
    </row>
    <row r="81" spans="2:9" x14ac:dyDescent="0.25">
      <c r="B81" s="112" t="str">
        <f t="shared" si="6"/>
        <v>2023</v>
      </c>
      <c r="C81" s="551">
        <f>+'8. Final LF'!O$56</f>
        <v>147549838.31535891</v>
      </c>
      <c r="D81" s="391">
        <f t="shared" si="7"/>
        <v>1672109.2563299835</v>
      </c>
      <c r="E81" s="552">
        <f t="shared" si="8"/>
        <v>1.1462402569026628E-2</v>
      </c>
      <c r="F81" s="551">
        <f>+'8. Final LF'!O$55</f>
        <v>18300</v>
      </c>
      <c r="G81" s="391">
        <f t="shared" si="9"/>
        <v>406</v>
      </c>
      <c r="H81" s="555">
        <f t="shared" si="10"/>
        <v>2.2689169554040461E-2</v>
      </c>
    </row>
    <row r="82" spans="2:9" ht="13" thickBot="1" x14ac:dyDescent="0.3">
      <c r="B82" s="126" t="str">
        <f t="shared" si="6"/>
        <v>2024</v>
      </c>
      <c r="C82" s="556">
        <f>+'8. Final LF'!P$56</f>
        <v>150428662.99729875</v>
      </c>
      <c r="D82" s="557">
        <f t="shared" si="7"/>
        <v>2878824.6819398403</v>
      </c>
      <c r="E82" s="558">
        <f t="shared" si="8"/>
        <v>1.9510863006077416E-2</v>
      </c>
      <c r="F82" s="556">
        <f>+'8. Final LF'!P$55</f>
        <v>18596</v>
      </c>
      <c r="G82" s="557">
        <f t="shared" si="9"/>
        <v>296</v>
      </c>
      <c r="H82" s="559">
        <f t="shared" si="10"/>
        <v>1.6174863387978144E-2</v>
      </c>
    </row>
    <row r="83" spans="2:9" ht="13" thickBot="1" x14ac:dyDescent="0.3"/>
    <row r="84" spans="2:9" ht="37.5" x14ac:dyDescent="0.25">
      <c r="B84" s="265" t="s">
        <v>33</v>
      </c>
      <c r="C84" s="553" t="s">
        <v>6</v>
      </c>
      <c r="D84" s="553" t="s">
        <v>290</v>
      </c>
      <c r="E84" s="553" t="s">
        <v>291</v>
      </c>
      <c r="F84" s="553" t="s">
        <v>293</v>
      </c>
      <c r="G84" s="553" t="s">
        <v>68</v>
      </c>
      <c r="H84" s="553" t="s">
        <v>69</v>
      </c>
      <c r="I84" s="554" t="s">
        <v>292</v>
      </c>
    </row>
    <row r="85" spans="2:9" x14ac:dyDescent="0.25">
      <c r="B85" s="57"/>
      <c r="C85" s="700" t="s">
        <v>35</v>
      </c>
      <c r="D85" s="700" t="s">
        <v>35</v>
      </c>
      <c r="E85" s="700" t="s">
        <v>35</v>
      </c>
      <c r="F85" s="700" t="s">
        <v>35</v>
      </c>
      <c r="G85" s="700" t="s">
        <v>35</v>
      </c>
      <c r="H85" s="700" t="s">
        <v>35</v>
      </c>
      <c r="I85" s="701" t="s">
        <v>35</v>
      </c>
    </row>
    <row r="86" spans="2:9" x14ac:dyDescent="0.25">
      <c r="B86" s="675">
        <f>+B71</f>
        <v>2013</v>
      </c>
      <c r="C86" s="551">
        <f>+C55</f>
        <v>86276533</v>
      </c>
      <c r="D86" s="391">
        <f>+E55</f>
        <v>16432349</v>
      </c>
      <c r="E86" s="391">
        <f>+G55</f>
        <v>17691775</v>
      </c>
      <c r="F86" s="551">
        <f>+I55</f>
        <v>3594883</v>
      </c>
      <c r="G86" s="551">
        <f>+K55</f>
        <v>1796176</v>
      </c>
      <c r="H86" s="551">
        <f>+M55</f>
        <v>264550</v>
      </c>
      <c r="I86" s="697">
        <f>SUM(C86:H86)</f>
        <v>126056266</v>
      </c>
    </row>
    <row r="87" spans="2:9" x14ac:dyDescent="0.25">
      <c r="B87" s="675">
        <f t="shared" ref="B87:B97" si="11">+B72</f>
        <v>2014</v>
      </c>
      <c r="C87" s="551">
        <f t="shared" ref="C87:C97" si="12">+C56</f>
        <v>87611190</v>
      </c>
      <c r="D87" s="391">
        <f t="shared" ref="D87:D97" si="13">+E56</f>
        <v>16552641</v>
      </c>
      <c r="E87" s="391">
        <f t="shared" ref="E87:E97" si="14">+G56</f>
        <v>17311423</v>
      </c>
      <c r="F87" s="551">
        <f t="shared" ref="F87:F97" si="15">+I56</f>
        <v>3453199</v>
      </c>
      <c r="G87" s="551">
        <f t="shared" ref="G87:G97" si="16">+K56</f>
        <v>1834665</v>
      </c>
      <c r="H87" s="551">
        <f t="shared" ref="H87:H97" si="17">+M56</f>
        <v>250496</v>
      </c>
      <c r="I87" s="697">
        <f t="shared" ref="I87:I97" si="18">SUM(C87:H87)</f>
        <v>127013614</v>
      </c>
    </row>
    <row r="88" spans="2:9" x14ac:dyDescent="0.25">
      <c r="B88" s="675">
        <f t="shared" si="11"/>
        <v>2015</v>
      </c>
      <c r="C88" s="551">
        <f t="shared" si="12"/>
        <v>88019894.347826093</v>
      </c>
      <c r="D88" s="391">
        <f t="shared" si="13"/>
        <v>16816719.898242369</v>
      </c>
      <c r="E88" s="391">
        <f t="shared" si="14"/>
        <v>17836299.185938943</v>
      </c>
      <c r="F88" s="551">
        <f t="shared" si="15"/>
        <v>3423047.21</v>
      </c>
      <c r="G88" s="551">
        <f t="shared" si="16"/>
        <v>1811343.3900000001</v>
      </c>
      <c r="H88" s="551">
        <f t="shared" si="17"/>
        <v>258733</v>
      </c>
      <c r="I88" s="697">
        <f t="shared" si="18"/>
        <v>128166037.0320074</v>
      </c>
    </row>
    <row r="89" spans="2:9" x14ac:dyDescent="0.25">
      <c r="B89" s="675">
        <f t="shared" si="11"/>
        <v>2016</v>
      </c>
      <c r="C89" s="551">
        <f t="shared" si="12"/>
        <v>89543529.152451292</v>
      </c>
      <c r="D89" s="391">
        <f t="shared" si="13"/>
        <v>17017150.589305334</v>
      </c>
      <c r="E89" s="391">
        <f t="shared" si="14"/>
        <v>17027791.473816048</v>
      </c>
      <c r="F89" s="551">
        <f t="shared" si="15"/>
        <v>3180755.81</v>
      </c>
      <c r="G89" s="551">
        <f t="shared" si="16"/>
        <v>932624.09999999986</v>
      </c>
      <c r="H89" s="551">
        <f t="shared" si="17"/>
        <v>183648</v>
      </c>
      <c r="I89" s="697">
        <f t="shared" si="18"/>
        <v>127885499.12557267</v>
      </c>
    </row>
    <row r="90" spans="2:9" x14ac:dyDescent="0.25">
      <c r="B90" s="675">
        <f t="shared" si="11"/>
        <v>2017</v>
      </c>
      <c r="C90" s="551">
        <f t="shared" si="12"/>
        <v>87839401</v>
      </c>
      <c r="D90" s="391">
        <f t="shared" si="13"/>
        <v>17003638</v>
      </c>
      <c r="E90" s="391">
        <f t="shared" si="14"/>
        <v>16474910</v>
      </c>
      <c r="F90" s="551">
        <f t="shared" si="15"/>
        <v>2803203</v>
      </c>
      <c r="G90" s="551">
        <f t="shared" si="16"/>
        <v>758718</v>
      </c>
      <c r="H90" s="551">
        <f t="shared" si="17"/>
        <v>148714</v>
      </c>
      <c r="I90" s="697">
        <f t="shared" si="18"/>
        <v>125028584</v>
      </c>
    </row>
    <row r="91" spans="2:9" x14ac:dyDescent="0.25">
      <c r="B91" s="675">
        <f t="shared" si="11"/>
        <v>2018</v>
      </c>
      <c r="C91" s="551">
        <f t="shared" si="12"/>
        <v>95897147</v>
      </c>
      <c r="D91" s="391">
        <f t="shared" si="13"/>
        <v>17666223</v>
      </c>
      <c r="E91" s="391">
        <f t="shared" si="14"/>
        <v>17070974</v>
      </c>
      <c r="F91" s="551">
        <f t="shared" si="15"/>
        <v>2678677.3099999996</v>
      </c>
      <c r="G91" s="551">
        <f t="shared" si="16"/>
        <v>761759</v>
      </c>
      <c r="H91" s="551">
        <f t="shared" si="17"/>
        <v>153906</v>
      </c>
      <c r="I91" s="697">
        <f t="shared" si="18"/>
        <v>134228686.31</v>
      </c>
    </row>
    <row r="92" spans="2:9" x14ac:dyDescent="0.25">
      <c r="B92" s="675">
        <f t="shared" si="11"/>
        <v>2019</v>
      </c>
      <c r="C92" s="551">
        <f t="shared" si="12"/>
        <v>95046949</v>
      </c>
      <c r="D92" s="391">
        <f t="shared" si="13"/>
        <v>17600016</v>
      </c>
      <c r="E92" s="391">
        <f t="shared" si="14"/>
        <v>17411107</v>
      </c>
      <c r="F92" s="551">
        <f t="shared" si="15"/>
        <v>2668244</v>
      </c>
      <c r="G92" s="551">
        <f t="shared" si="16"/>
        <v>773922</v>
      </c>
      <c r="H92" s="551">
        <f t="shared" si="17"/>
        <v>154158</v>
      </c>
      <c r="I92" s="697">
        <f t="shared" si="18"/>
        <v>133654396</v>
      </c>
    </row>
    <row r="93" spans="2:9" x14ac:dyDescent="0.25">
      <c r="B93" s="675">
        <f t="shared" si="11"/>
        <v>2020</v>
      </c>
      <c r="C93" s="551">
        <f t="shared" si="12"/>
        <v>102567918</v>
      </c>
      <c r="D93" s="391">
        <f t="shared" si="13"/>
        <v>16820699</v>
      </c>
      <c r="E93" s="391">
        <f t="shared" si="14"/>
        <v>16401961</v>
      </c>
      <c r="F93" s="551">
        <f t="shared" si="15"/>
        <v>2734869.5700000003</v>
      </c>
      <c r="G93" s="551">
        <f t="shared" si="16"/>
        <v>803024</v>
      </c>
      <c r="H93" s="551">
        <f t="shared" si="17"/>
        <v>153122</v>
      </c>
      <c r="I93" s="697">
        <f t="shared" si="18"/>
        <v>139481593.56999999</v>
      </c>
    </row>
    <row r="94" spans="2:9" x14ac:dyDescent="0.25">
      <c r="B94" s="675">
        <f t="shared" si="11"/>
        <v>2021</v>
      </c>
      <c r="C94" s="551">
        <f t="shared" si="12"/>
        <v>104845989</v>
      </c>
      <c r="D94" s="391">
        <f t="shared" si="13"/>
        <v>17504591</v>
      </c>
      <c r="E94" s="391">
        <f t="shared" si="14"/>
        <v>17067244</v>
      </c>
      <c r="F94" s="551">
        <f t="shared" si="15"/>
        <v>2738839.99</v>
      </c>
      <c r="G94" s="551">
        <f t="shared" si="16"/>
        <v>791018</v>
      </c>
      <c r="H94" s="551">
        <f t="shared" si="17"/>
        <v>155365</v>
      </c>
      <c r="I94" s="697">
        <f t="shared" si="18"/>
        <v>143103046.99000001</v>
      </c>
    </row>
    <row r="95" spans="2:9" x14ac:dyDescent="0.25">
      <c r="B95" s="675">
        <f t="shared" si="11"/>
        <v>2022</v>
      </c>
      <c r="C95" s="551">
        <f t="shared" si="12"/>
        <v>105212685</v>
      </c>
      <c r="D95" s="391">
        <f t="shared" si="13"/>
        <v>18818565</v>
      </c>
      <c r="E95" s="391">
        <f t="shared" si="14"/>
        <v>18037476</v>
      </c>
      <c r="F95" s="551">
        <f t="shared" si="15"/>
        <v>2821873.45</v>
      </c>
      <c r="G95" s="551">
        <f t="shared" si="16"/>
        <v>802430</v>
      </c>
      <c r="H95" s="551">
        <f t="shared" si="17"/>
        <v>184699.60902894865</v>
      </c>
      <c r="I95" s="697">
        <f t="shared" si="18"/>
        <v>145877729.05902892</v>
      </c>
    </row>
    <row r="96" spans="2:9" x14ac:dyDescent="0.25">
      <c r="B96" s="696" t="str">
        <f t="shared" si="11"/>
        <v>2023</v>
      </c>
      <c r="C96" s="551">
        <f t="shared" si="12"/>
        <v>106350197.09524722</v>
      </c>
      <c r="D96" s="391">
        <f t="shared" si="13"/>
        <v>18852905.426608346</v>
      </c>
      <c r="E96" s="391">
        <f t="shared" si="14"/>
        <v>18547588.056752723</v>
      </c>
      <c r="F96" s="551">
        <f t="shared" si="15"/>
        <v>2780774.6976221777</v>
      </c>
      <c r="G96" s="551">
        <f t="shared" si="16"/>
        <v>811353.23439242423</v>
      </c>
      <c r="H96" s="551">
        <f t="shared" si="17"/>
        <v>207019.8047360066</v>
      </c>
      <c r="I96" s="697">
        <f t="shared" si="18"/>
        <v>147549838.31535891</v>
      </c>
    </row>
    <row r="97" spans="2:18" ht="13" thickBot="1" x14ac:dyDescent="0.3">
      <c r="B97" s="698" t="str">
        <f t="shared" si="11"/>
        <v>2024</v>
      </c>
      <c r="C97" s="556">
        <f t="shared" si="12"/>
        <v>108847740.38320151</v>
      </c>
      <c r="D97" s="557">
        <f t="shared" si="13"/>
        <v>19131277.822161231</v>
      </c>
      <c r="E97" s="557">
        <f t="shared" si="14"/>
        <v>18621416.213471785</v>
      </c>
      <c r="F97" s="556">
        <f t="shared" si="15"/>
        <v>2791843.4937129831</v>
      </c>
      <c r="G97" s="556">
        <f t="shared" si="16"/>
        <v>820412.81545401609</v>
      </c>
      <c r="H97" s="556">
        <f t="shared" si="17"/>
        <v>215972.26929725398</v>
      </c>
      <c r="I97" s="699">
        <f t="shared" si="18"/>
        <v>150428662.99729875</v>
      </c>
    </row>
    <row r="98" spans="2:18" ht="13" thickBot="1" x14ac:dyDescent="0.3"/>
    <row r="99" spans="2:18" ht="13.5" thickBot="1" x14ac:dyDescent="0.35">
      <c r="B99" s="801" t="s">
        <v>294</v>
      </c>
      <c r="C99" s="802"/>
      <c r="D99" s="802"/>
      <c r="E99" s="802"/>
      <c r="F99" s="802"/>
      <c r="G99" s="802"/>
      <c r="H99" s="802"/>
      <c r="I99" s="803"/>
      <c r="L99" s="756"/>
      <c r="M99" s="756"/>
      <c r="N99" s="756"/>
      <c r="O99" s="756"/>
      <c r="P99" s="756"/>
      <c r="Q99" s="756"/>
      <c r="R99" s="756"/>
    </row>
    <row r="100" spans="2:18" ht="38" thickBot="1" x14ac:dyDescent="0.3">
      <c r="B100" s="702" t="s">
        <v>33</v>
      </c>
      <c r="C100" s="703" t="s">
        <v>6</v>
      </c>
      <c r="D100" s="703" t="s">
        <v>290</v>
      </c>
      <c r="E100" s="703" t="s">
        <v>291</v>
      </c>
      <c r="F100" s="703" t="s">
        <v>293</v>
      </c>
      <c r="G100" s="703" t="s">
        <v>68</v>
      </c>
      <c r="H100" s="704" t="s">
        <v>69</v>
      </c>
      <c r="I100" s="705" t="s">
        <v>292</v>
      </c>
      <c r="L100" s="745"/>
      <c r="M100" s="746"/>
      <c r="N100" s="747"/>
      <c r="O100" s="747"/>
      <c r="P100" s="747"/>
      <c r="Q100" s="746"/>
      <c r="R100" s="747"/>
    </row>
    <row r="101" spans="2:18" x14ac:dyDescent="0.25">
      <c r="B101" s="706">
        <f>+B86</f>
        <v>2013</v>
      </c>
      <c r="C101" s="707">
        <f>+'10. Analysis_Tables'!K21</f>
        <v>11857</v>
      </c>
      <c r="D101" s="707">
        <f>+'10. Analysis_Tables'!L21</f>
        <v>784</v>
      </c>
      <c r="E101" s="707">
        <f>+'10. Analysis_Tables'!M21</f>
        <v>35</v>
      </c>
      <c r="F101" s="707">
        <f>+'10. Analysis_Tables'!N21</f>
        <v>1</v>
      </c>
      <c r="G101" s="707">
        <f>+'10. Analysis_Tables'!O21</f>
        <v>2693.5</v>
      </c>
      <c r="H101" s="707">
        <f>+'10. Analysis_Tables'!P21</f>
        <v>42.5</v>
      </c>
      <c r="I101" s="708">
        <f>SUM(C101:H101)</f>
        <v>15413</v>
      </c>
      <c r="L101" s="745"/>
      <c r="M101" s="746"/>
      <c r="N101" s="747"/>
      <c r="O101" s="747"/>
      <c r="P101" s="747"/>
      <c r="Q101" s="746"/>
      <c r="R101" s="747"/>
    </row>
    <row r="102" spans="2:18" x14ac:dyDescent="0.25">
      <c r="B102" s="675">
        <f t="shared" ref="B102:B112" si="19">+B87</f>
        <v>2014</v>
      </c>
      <c r="C102" s="551">
        <f>+'10. Analysis_Tables'!K22</f>
        <v>12082</v>
      </c>
      <c r="D102" s="551">
        <f>+'10. Analysis_Tables'!L22</f>
        <v>783</v>
      </c>
      <c r="E102" s="551">
        <f>+'10. Analysis_Tables'!M22</f>
        <v>36</v>
      </c>
      <c r="F102" s="551">
        <f>+'10. Analysis_Tables'!N22</f>
        <v>1</v>
      </c>
      <c r="G102" s="551">
        <f>+'10. Analysis_Tables'!O22</f>
        <v>2738</v>
      </c>
      <c r="H102" s="551">
        <f>+'10. Analysis_Tables'!P22</f>
        <v>41</v>
      </c>
      <c r="I102" s="697">
        <f t="shared" ref="I102:I112" si="20">SUM(C102:H102)</f>
        <v>15681</v>
      </c>
      <c r="L102" s="745"/>
      <c r="M102" s="746"/>
      <c r="N102" s="747"/>
      <c r="O102" s="747"/>
      <c r="P102" s="747"/>
      <c r="Q102" s="746"/>
      <c r="R102" s="747"/>
    </row>
    <row r="103" spans="2:18" x14ac:dyDescent="0.25">
      <c r="B103" s="675">
        <f t="shared" si="19"/>
        <v>2015</v>
      </c>
      <c r="C103" s="551">
        <f>+'10. Analysis_Tables'!K23</f>
        <v>12257.5</v>
      </c>
      <c r="D103" s="551">
        <f>+'10. Analysis_Tables'!L23</f>
        <v>785</v>
      </c>
      <c r="E103" s="551">
        <f>+'10. Analysis_Tables'!M23</f>
        <v>37</v>
      </c>
      <c r="F103" s="551">
        <f>+'10. Analysis_Tables'!N23</f>
        <v>1</v>
      </c>
      <c r="G103" s="551">
        <f>+'10. Analysis_Tables'!O23</f>
        <v>2835</v>
      </c>
      <c r="H103" s="551">
        <f>+'10. Analysis_Tables'!P23</f>
        <v>40.5</v>
      </c>
      <c r="I103" s="697">
        <f t="shared" si="20"/>
        <v>15956</v>
      </c>
      <c r="L103" s="745"/>
      <c r="M103" s="746"/>
      <c r="N103" s="747"/>
      <c r="O103" s="747"/>
      <c r="P103" s="747"/>
      <c r="Q103" s="746"/>
      <c r="R103" s="747"/>
    </row>
    <row r="104" spans="2:18" x14ac:dyDescent="0.25">
      <c r="B104" s="675">
        <f t="shared" si="19"/>
        <v>2016</v>
      </c>
      <c r="C104" s="551">
        <f>+'10. Analysis_Tables'!K24</f>
        <v>12427</v>
      </c>
      <c r="D104" s="551">
        <f>+'10. Analysis_Tables'!L24</f>
        <v>795.5</v>
      </c>
      <c r="E104" s="551">
        <f>+'10. Analysis_Tables'!M24</f>
        <v>36</v>
      </c>
      <c r="F104" s="551">
        <f>+'10. Analysis_Tables'!N24</f>
        <v>1</v>
      </c>
      <c r="G104" s="551">
        <f>+'10. Analysis_Tables'!O24</f>
        <v>2948</v>
      </c>
      <c r="H104" s="551">
        <f>+'10. Analysis_Tables'!P24</f>
        <v>36.5</v>
      </c>
      <c r="I104" s="697">
        <f t="shared" si="20"/>
        <v>16244</v>
      </c>
      <c r="L104" s="745"/>
      <c r="M104" s="746"/>
      <c r="N104" s="747"/>
      <c r="O104" s="747"/>
      <c r="P104" s="747"/>
      <c r="Q104" s="746"/>
      <c r="R104" s="747"/>
    </row>
    <row r="105" spans="2:18" x14ac:dyDescent="0.25">
      <c r="B105" s="675">
        <f t="shared" si="19"/>
        <v>2017</v>
      </c>
      <c r="C105" s="551">
        <f>+'10. Analysis_Tables'!K25</f>
        <v>12621</v>
      </c>
      <c r="D105" s="551">
        <f>+'10. Analysis_Tables'!L25</f>
        <v>812.5</v>
      </c>
      <c r="E105" s="551">
        <f>+'10. Analysis_Tables'!M25</f>
        <v>34.5</v>
      </c>
      <c r="F105" s="551">
        <f>+'10. Analysis_Tables'!N25</f>
        <v>1</v>
      </c>
      <c r="G105" s="551">
        <f>+'10. Analysis_Tables'!O25</f>
        <v>3013</v>
      </c>
      <c r="H105" s="551">
        <f>+'10. Analysis_Tables'!P25</f>
        <v>33</v>
      </c>
      <c r="I105" s="697">
        <f t="shared" si="20"/>
        <v>16515</v>
      </c>
      <c r="L105" s="745"/>
      <c r="M105" s="746"/>
      <c r="N105" s="747"/>
      <c r="O105" s="747"/>
      <c r="P105" s="747"/>
      <c r="Q105" s="746"/>
      <c r="R105" s="747"/>
    </row>
    <row r="106" spans="2:18" x14ac:dyDescent="0.25">
      <c r="B106" s="675">
        <f t="shared" si="19"/>
        <v>2018</v>
      </c>
      <c r="C106" s="551">
        <f>+'10. Analysis_Tables'!K26</f>
        <v>12838</v>
      </c>
      <c r="D106" s="551">
        <f>+'10. Analysis_Tables'!L26</f>
        <v>819</v>
      </c>
      <c r="E106" s="551">
        <f>+'10. Analysis_Tables'!M26</f>
        <v>33.5</v>
      </c>
      <c r="F106" s="551">
        <f>+'10. Analysis_Tables'!N26</f>
        <v>1</v>
      </c>
      <c r="G106" s="551">
        <f>+'10. Analysis_Tables'!O26</f>
        <v>3036.5</v>
      </c>
      <c r="H106" s="551">
        <f>+'10. Analysis_Tables'!P26</f>
        <v>34.5</v>
      </c>
      <c r="I106" s="697">
        <f t="shared" si="20"/>
        <v>16762.5</v>
      </c>
      <c r="L106" s="745"/>
      <c r="M106" s="746"/>
      <c r="N106" s="747"/>
      <c r="O106" s="747"/>
      <c r="P106" s="747"/>
      <c r="Q106" s="746"/>
      <c r="R106" s="747"/>
    </row>
    <row r="107" spans="2:18" x14ac:dyDescent="0.25">
      <c r="B107" s="675">
        <f t="shared" si="19"/>
        <v>2019</v>
      </c>
      <c r="C107" s="551">
        <f>+'10. Analysis_Tables'!K27</f>
        <v>13035.5</v>
      </c>
      <c r="D107" s="551">
        <f>+'10. Analysis_Tables'!L27</f>
        <v>826.5</v>
      </c>
      <c r="E107" s="551">
        <f>+'10. Analysis_Tables'!M27</f>
        <v>34</v>
      </c>
      <c r="F107" s="551">
        <f>+'10. Analysis_Tables'!N27</f>
        <v>1</v>
      </c>
      <c r="G107" s="551">
        <f>+'10. Analysis_Tables'!O27</f>
        <v>3077.5</v>
      </c>
      <c r="H107" s="551">
        <f>+'10. Analysis_Tables'!P27</f>
        <v>35</v>
      </c>
      <c r="I107" s="697">
        <f t="shared" si="20"/>
        <v>17009.5</v>
      </c>
      <c r="L107" s="745"/>
      <c r="M107" s="746"/>
      <c r="N107" s="747"/>
      <c r="O107" s="747"/>
      <c r="P107" s="747"/>
      <c r="Q107" s="746"/>
      <c r="R107" s="747"/>
    </row>
    <row r="108" spans="2:18" x14ac:dyDescent="0.25">
      <c r="B108" s="675">
        <f t="shared" si="19"/>
        <v>2020</v>
      </c>
      <c r="C108" s="551">
        <f>+'10. Analysis_Tables'!K28</f>
        <v>13263</v>
      </c>
      <c r="D108" s="551">
        <f>+'10. Analysis_Tables'!L28</f>
        <v>832.5</v>
      </c>
      <c r="E108" s="551">
        <f>+'10. Analysis_Tables'!M28</f>
        <v>34</v>
      </c>
      <c r="F108" s="551">
        <f>+'10. Analysis_Tables'!N28</f>
        <v>1</v>
      </c>
      <c r="G108" s="551">
        <f>+'10. Analysis_Tables'!O28</f>
        <v>3111</v>
      </c>
      <c r="H108" s="551">
        <f>+'10. Analysis_Tables'!P28</f>
        <v>35</v>
      </c>
      <c r="I108" s="697">
        <f t="shared" si="20"/>
        <v>17276.5</v>
      </c>
      <c r="L108" s="745"/>
      <c r="M108" s="746"/>
      <c r="N108" s="747"/>
      <c r="O108" s="747"/>
      <c r="P108" s="747"/>
      <c r="Q108" s="746"/>
      <c r="R108" s="747"/>
    </row>
    <row r="109" spans="2:18" x14ac:dyDescent="0.25">
      <c r="B109" s="675">
        <f t="shared" si="19"/>
        <v>2021</v>
      </c>
      <c r="C109" s="551">
        <f>+'10. Analysis_Tables'!K29</f>
        <v>13507.5</v>
      </c>
      <c r="D109" s="551">
        <f>+'10. Analysis_Tables'!L29</f>
        <v>831</v>
      </c>
      <c r="E109" s="551">
        <f>+'10. Analysis_Tables'!M29</f>
        <v>33.5</v>
      </c>
      <c r="F109" s="551">
        <f>+'10. Analysis_Tables'!N29</f>
        <v>1</v>
      </c>
      <c r="G109" s="551">
        <f>+'10. Analysis_Tables'!O29</f>
        <v>3132</v>
      </c>
      <c r="H109" s="551">
        <f>+'10. Analysis_Tables'!P29</f>
        <v>36</v>
      </c>
      <c r="I109" s="697">
        <f t="shared" si="20"/>
        <v>17541</v>
      </c>
      <c r="L109" s="745"/>
      <c r="M109" s="746"/>
      <c r="N109" s="747"/>
      <c r="O109" s="747"/>
      <c r="P109" s="747"/>
      <c r="Q109" s="746"/>
      <c r="R109" s="747"/>
    </row>
    <row r="110" spans="2:18" x14ac:dyDescent="0.25">
      <c r="B110" s="675">
        <f t="shared" si="19"/>
        <v>2022</v>
      </c>
      <c r="C110" s="551">
        <f>+'10. Analysis_Tables'!K30</f>
        <v>13800</v>
      </c>
      <c r="D110" s="551">
        <f>+'10. Analysis_Tables'!L30</f>
        <v>840</v>
      </c>
      <c r="E110" s="551">
        <f>+'10. Analysis_Tables'!M30</f>
        <v>34.5</v>
      </c>
      <c r="F110" s="551">
        <f>+'10. Analysis_Tables'!N30</f>
        <v>1</v>
      </c>
      <c r="G110" s="551">
        <f>+'10. Analysis_Tables'!O30</f>
        <v>3177.5</v>
      </c>
      <c r="H110" s="551">
        <f>+'10. Analysis_Tables'!P30</f>
        <v>41</v>
      </c>
      <c r="I110" s="697">
        <f t="shared" si="20"/>
        <v>17894</v>
      </c>
    </row>
    <row r="111" spans="2:18" x14ac:dyDescent="0.25">
      <c r="B111" s="696" t="str">
        <f t="shared" si="19"/>
        <v>2023</v>
      </c>
      <c r="C111" s="551">
        <f>+'10. Analysis_Tables'!K31</f>
        <v>14154</v>
      </c>
      <c r="D111" s="551">
        <f>+'10. Analysis_Tables'!L31</f>
        <v>852</v>
      </c>
      <c r="E111" s="551">
        <f>+'10. Analysis_Tables'!M31</f>
        <v>36</v>
      </c>
      <c r="F111" s="551">
        <f>+'10. Analysis_Tables'!N31</f>
        <v>1</v>
      </c>
      <c r="G111" s="551">
        <f>+'10. Analysis_Tables'!O31</f>
        <v>3211</v>
      </c>
      <c r="H111" s="551">
        <f>+'10. Analysis_Tables'!P31</f>
        <v>46</v>
      </c>
      <c r="I111" s="697">
        <f t="shared" si="20"/>
        <v>18300</v>
      </c>
    </row>
    <row r="112" spans="2:18" ht="13" thickBot="1" x14ac:dyDescent="0.3">
      <c r="B112" s="698" t="str">
        <f t="shared" si="19"/>
        <v>2024</v>
      </c>
      <c r="C112" s="556">
        <f>+'10. Analysis_Tables'!K32</f>
        <v>14408</v>
      </c>
      <c r="D112" s="556">
        <f>+'10. Analysis_Tables'!L32</f>
        <v>858</v>
      </c>
      <c r="E112" s="556">
        <f>+'10. Analysis_Tables'!M32</f>
        <v>36</v>
      </c>
      <c r="F112" s="556">
        <f>+'10. Analysis_Tables'!N32</f>
        <v>1</v>
      </c>
      <c r="G112" s="556">
        <f>+'10. Analysis_Tables'!O32</f>
        <v>3245</v>
      </c>
      <c r="H112" s="556">
        <f>+'10. Analysis_Tables'!P32</f>
        <v>48</v>
      </c>
      <c r="I112" s="699">
        <f t="shared" si="20"/>
        <v>18596</v>
      </c>
      <c r="M112" s="757"/>
      <c r="N112" s="757"/>
      <c r="O112" s="757"/>
      <c r="P112" s="757"/>
      <c r="Q112" s="757"/>
      <c r="R112" s="757"/>
    </row>
    <row r="113" spans="2:18" ht="13" thickBot="1" x14ac:dyDescent="0.3">
      <c r="M113" s="757"/>
      <c r="N113" s="757"/>
      <c r="O113" s="757"/>
      <c r="P113" s="757"/>
      <c r="Q113" s="757"/>
      <c r="R113" s="757"/>
    </row>
    <row r="114" spans="2:18" ht="13.5" thickBot="1" x14ac:dyDescent="0.35">
      <c r="B114" s="801" t="s">
        <v>463</v>
      </c>
      <c r="C114" s="802"/>
      <c r="D114" s="802"/>
      <c r="E114" s="802"/>
      <c r="F114" s="802"/>
      <c r="G114" s="802"/>
      <c r="H114" s="802"/>
      <c r="I114" s="803"/>
      <c r="M114" s="757"/>
      <c r="N114" s="757"/>
      <c r="O114" s="757"/>
      <c r="P114" s="757"/>
      <c r="Q114" s="757"/>
      <c r="R114" s="757"/>
    </row>
    <row r="115" spans="2:18" ht="38" thickBot="1" x14ac:dyDescent="0.3">
      <c r="B115" s="320" t="s">
        <v>33</v>
      </c>
      <c r="C115" s="734" t="s">
        <v>6</v>
      </c>
      <c r="D115" s="734" t="s">
        <v>290</v>
      </c>
      <c r="E115" s="734" t="s">
        <v>291</v>
      </c>
      <c r="F115" s="734" t="s">
        <v>293</v>
      </c>
      <c r="G115" s="734" t="s">
        <v>68</v>
      </c>
      <c r="H115" s="734" t="s">
        <v>69</v>
      </c>
      <c r="I115" s="735" t="s">
        <v>292</v>
      </c>
      <c r="M115" s="757"/>
      <c r="N115" s="757"/>
      <c r="O115" s="757"/>
      <c r="P115" s="757"/>
      <c r="Q115" s="757"/>
      <c r="R115" s="757"/>
    </row>
    <row r="116" spans="2:18" x14ac:dyDescent="0.25">
      <c r="B116" s="706">
        <f>+B101</f>
        <v>2013</v>
      </c>
      <c r="C116" s="707">
        <f>+C86/C101</f>
        <v>7276.4217761659775</v>
      </c>
      <c r="D116" s="707">
        <f t="shared" ref="D116:I116" si="21">+D86/D101</f>
        <v>20959.628826530614</v>
      </c>
      <c r="E116" s="707">
        <f t="shared" si="21"/>
        <v>505479.28571428574</v>
      </c>
      <c r="F116" s="707">
        <f t="shared" si="21"/>
        <v>3594883</v>
      </c>
      <c r="G116" s="707">
        <f t="shared" si="21"/>
        <v>666.85576387599781</v>
      </c>
      <c r="H116" s="707">
        <f t="shared" si="21"/>
        <v>6224.7058823529414</v>
      </c>
      <c r="I116" s="733">
        <f t="shared" si="21"/>
        <v>8178.5678323493157</v>
      </c>
      <c r="M116" s="757"/>
      <c r="N116" s="757"/>
      <c r="O116" s="757"/>
      <c r="P116" s="757"/>
      <c r="Q116" s="757"/>
      <c r="R116" s="757"/>
    </row>
    <row r="117" spans="2:18" x14ac:dyDescent="0.25">
      <c r="B117" s="675">
        <f t="shared" ref="B117:B127" si="22">+B102</f>
        <v>2014</v>
      </c>
      <c r="C117" s="551">
        <f t="shared" ref="C117:I117" si="23">+C87/C102</f>
        <v>7251.3813938089725</v>
      </c>
      <c r="D117" s="551">
        <f t="shared" si="23"/>
        <v>21140.026819923372</v>
      </c>
      <c r="E117" s="551">
        <f t="shared" si="23"/>
        <v>480872.86111111112</v>
      </c>
      <c r="F117" s="551">
        <f t="shared" si="23"/>
        <v>3453199</v>
      </c>
      <c r="G117" s="551">
        <f t="shared" si="23"/>
        <v>670.07487216946674</v>
      </c>
      <c r="H117" s="551">
        <f t="shared" si="23"/>
        <v>6109.6585365853662</v>
      </c>
      <c r="I117" s="668">
        <f t="shared" si="23"/>
        <v>8099.8414641923346</v>
      </c>
      <c r="M117" s="757"/>
      <c r="N117" s="757"/>
      <c r="O117" s="757"/>
      <c r="P117" s="757"/>
      <c r="Q117" s="757"/>
      <c r="R117" s="757"/>
    </row>
    <row r="118" spans="2:18" x14ac:dyDescent="0.25">
      <c r="B118" s="675">
        <f t="shared" si="22"/>
        <v>2015</v>
      </c>
      <c r="C118" s="551">
        <f t="shared" ref="C118:I118" si="24">+C88/C103</f>
        <v>7180.901027764723</v>
      </c>
      <c r="D118" s="551">
        <f t="shared" si="24"/>
        <v>21422.573118780088</v>
      </c>
      <c r="E118" s="551">
        <f t="shared" si="24"/>
        <v>482062.140160512</v>
      </c>
      <c r="F118" s="551">
        <f t="shared" si="24"/>
        <v>3423047.21</v>
      </c>
      <c r="G118" s="551">
        <f t="shared" si="24"/>
        <v>638.92183068783072</v>
      </c>
      <c r="H118" s="551">
        <f t="shared" si="24"/>
        <v>6388.4691358024693</v>
      </c>
      <c r="I118" s="668">
        <f t="shared" si="24"/>
        <v>8032.4665976439828</v>
      </c>
      <c r="M118" s="757"/>
      <c r="N118" s="757"/>
      <c r="O118" s="757"/>
      <c r="P118" s="757"/>
      <c r="Q118" s="757"/>
      <c r="R118" s="757"/>
    </row>
    <row r="119" spans="2:18" x14ac:dyDescent="0.25">
      <c r="B119" s="675">
        <f t="shared" si="22"/>
        <v>2016</v>
      </c>
      <c r="C119" s="551">
        <f t="shared" ref="C119:I119" si="25">+C89/C104</f>
        <v>7205.5628190594107</v>
      </c>
      <c r="D119" s="551">
        <f t="shared" si="25"/>
        <v>21391.766925588101</v>
      </c>
      <c r="E119" s="551">
        <f t="shared" si="25"/>
        <v>472994.20760600135</v>
      </c>
      <c r="F119" s="551">
        <f t="shared" si="25"/>
        <v>3180755.81</v>
      </c>
      <c r="G119" s="551">
        <f t="shared" si="25"/>
        <v>316.35824287652639</v>
      </c>
      <c r="H119" s="551">
        <f t="shared" si="25"/>
        <v>5031.4520547945203</v>
      </c>
      <c r="I119" s="668">
        <f t="shared" si="25"/>
        <v>7872.7837432635233</v>
      </c>
      <c r="M119" s="757"/>
      <c r="N119" s="757"/>
      <c r="O119" s="757"/>
      <c r="P119" s="757"/>
      <c r="Q119" s="757"/>
      <c r="R119" s="757"/>
    </row>
    <row r="120" spans="2:18" x14ac:dyDescent="0.25">
      <c r="B120" s="675">
        <f t="shared" si="22"/>
        <v>2017</v>
      </c>
      <c r="C120" s="551">
        <f t="shared" ref="C120:I120" si="26">+C90/C105</f>
        <v>6959.7813960858884</v>
      </c>
      <c r="D120" s="551">
        <f t="shared" si="26"/>
        <v>20927.554461538461</v>
      </c>
      <c r="E120" s="551">
        <f t="shared" si="26"/>
        <v>477533.62318840582</v>
      </c>
      <c r="F120" s="551">
        <f t="shared" si="26"/>
        <v>2803203</v>
      </c>
      <c r="G120" s="551">
        <f t="shared" si="26"/>
        <v>251.81480252240291</v>
      </c>
      <c r="H120" s="551">
        <f t="shared" si="26"/>
        <v>4506.484848484848</v>
      </c>
      <c r="I120" s="668">
        <f t="shared" si="26"/>
        <v>7570.6075688767787</v>
      </c>
      <c r="M120" s="757"/>
      <c r="N120" s="757"/>
      <c r="O120" s="757"/>
      <c r="P120" s="757"/>
      <c r="Q120" s="757"/>
      <c r="R120" s="757"/>
    </row>
    <row r="121" spans="2:18" x14ac:dyDescent="0.25">
      <c r="B121" s="675">
        <f t="shared" si="22"/>
        <v>2018</v>
      </c>
      <c r="C121" s="551">
        <f t="shared" ref="C121:I121" si="27">+C91/C106</f>
        <v>7469.7886742483252</v>
      </c>
      <c r="D121" s="551">
        <f t="shared" si="27"/>
        <v>21570.479853479854</v>
      </c>
      <c r="E121" s="551">
        <f t="shared" si="27"/>
        <v>509581.3134328358</v>
      </c>
      <c r="F121" s="551">
        <f t="shared" si="27"/>
        <v>2678677.3099999996</v>
      </c>
      <c r="G121" s="551">
        <f t="shared" si="27"/>
        <v>250.86744607278115</v>
      </c>
      <c r="H121" s="551">
        <f t="shared" si="27"/>
        <v>4461.04347826087</v>
      </c>
      <c r="I121" s="668">
        <f t="shared" si="27"/>
        <v>8007.6770356450415</v>
      </c>
      <c r="M121" s="757"/>
      <c r="N121" s="757"/>
      <c r="O121" s="757"/>
      <c r="P121" s="757"/>
      <c r="Q121" s="757"/>
      <c r="R121" s="757"/>
    </row>
    <row r="122" spans="2:18" x14ac:dyDescent="0.25">
      <c r="B122" s="675">
        <f t="shared" si="22"/>
        <v>2019</v>
      </c>
      <c r="C122" s="551">
        <f t="shared" ref="C122:I122" si="28">+C92/C107</f>
        <v>7291.392658509455</v>
      </c>
      <c r="D122" s="551">
        <f t="shared" si="28"/>
        <v>21294.635208711436</v>
      </c>
      <c r="E122" s="551">
        <f t="shared" si="28"/>
        <v>512091.3823529412</v>
      </c>
      <c r="F122" s="551">
        <f t="shared" si="28"/>
        <v>2668244</v>
      </c>
      <c r="G122" s="551">
        <f t="shared" si="28"/>
        <v>251.47749796913078</v>
      </c>
      <c r="H122" s="551">
        <f t="shared" si="28"/>
        <v>4404.5142857142855</v>
      </c>
      <c r="I122" s="668">
        <f t="shared" si="28"/>
        <v>7857.6322643228787</v>
      </c>
      <c r="M122" s="758"/>
      <c r="N122" s="758"/>
      <c r="O122" s="758"/>
      <c r="P122" s="758"/>
      <c r="Q122" s="758"/>
      <c r="R122" s="758"/>
    </row>
    <row r="123" spans="2:18" x14ac:dyDescent="0.25">
      <c r="B123" s="675">
        <f t="shared" si="22"/>
        <v>2020</v>
      </c>
      <c r="C123" s="551">
        <f t="shared" ref="C123:I123" si="29">+C93/C108</f>
        <v>7733.3874688984397</v>
      </c>
      <c r="D123" s="551">
        <f t="shared" si="29"/>
        <v>20205.043843843843</v>
      </c>
      <c r="E123" s="551">
        <f t="shared" si="29"/>
        <v>482410.6176470588</v>
      </c>
      <c r="F123" s="551">
        <f t="shared" si="29"/>
        <v>2734869.5700000003</v>
      </c>
      <c r="G123" s="551">
        <f t="shared" si="29"/>
        <v>258.12407585985216</v>
      </c>
      <c r="H123" s="551">
        <f t="shared" si="29"/>
        <v>4374.9142857142861</v>
      </c>
      <c r="I123" s="668">
        <f t="shared" si="29"/>
        <v>8073.4867345816565</v>
      </c>
    </row>
    <row r="124" spans="2:18" x14ac:dyDescent="0.25">
      <c r="B124" s="675">
        <f t="shared" si="22"/>
        <v>2021</v>
      </c>
      <c r="C124" s="551">
        <f t="shared" ref="C124:I124" si="30">+C94/C109</f>
        <v>7762.0573014991669</v>
      </c>
      <c r="D124" s="551">
        <f t="shared" si="30"/>
        <v>21064.489771359807</v>
      </c>
      <c r="E124" s="551">
        <f t="shared" si="30"/>
        <v>509469.97014925373</v>
      </c>
      <c r="F124" s="551">
        <f t="shared" si="30"/>
        <v>2738839.99</v>
      </c>
      <c r="G124" s="551">
        <f t="shared" si="30"/>
        <v>252.56002554278416</v>
      </c>
      <c r="H124" s="551">
        <f t="shared" si="30"/>
        <v>4315.6944444444443</v>
      </c>
      <c r="I124" s="668">
        <f t="shared" si="30"/>
        <v>8158.2034655948928</v>
      </c>
    </row>
    <row r="125" spans="2:18" x14ac:dyDescent="0.25">
      <c r="B125" s="675">
        <f t="shared" si="22"/>
        <v>2022</v>
      </c>
      <c r="C125" s="551">
        <f t="shared" ref="C125:I125" si="31">+C95/C110</f>
        <v>7624.1076086956518</v>
      </c>
      <c r="D125" s="551">
        <f t="shared" si="31"/>
        <v>22403.053571428572</v>
      </c>
      <c r="E125" s="551">
        <f t="shared" si="31"/>
        <v>522825.39130434784</v>
      </c>
      <c r="F125" s="551">
        <f t="shared" si="31"/>
        <v>2821873.45</v>
      </c>
      <c r="G125" s="551">
        <f t="shared" si="31"/>
        <v>252.53501180173092</v>
      </c>
      <c r="H125" s="551">
        <f t="shared" si="31"/>
        <v>4504.8685129011865</v>
      </c>
      <c r="I125" s="668">
        <f t="shared" si="31"/>
        <v>8152.3264255632575</v>
      </c>
    </row>
    <row r="126" spans="2:18" x14ac:dyDescent="0.25">
      <c r="B126" s="696" t="str">
        <f t="shared" si="22"/>
        <v>2023</v>
      </c>
      <c r="C126" s="551">
        <f>+C96/C111</f>
        <v>7513.7909492191056</v>
      </c>
      <c r="D126" s="551">
        <f t="shared" ref="D126:I126" si="32">+D96/D111</f>
        <v>22127.823270667071</v>
      </c>
      <c r="E126" s="551">
        <f t="shared" si="32"/>
        <v>515210.77935424232</v>
      </c>
      <c r="F126" s="551">
        <f t="shared" si="32"/>
        <v>2780774.6976221777</v>
      </c>
      <c r="G126" s="551">
        <f t="shared" si="32"/>
        <v>252.67930065164256</v>
      </c>
      <c r="H126" s="551">
        <f t="shared" si="32"/>
        <v>4500.4305377392739</v>
      </c>
      <c r="I126" s="668">
        <f t="shared" si="32"/>
        <v>8062.8326948283557</v>
      </c>
    </row>
    <row r="127" spans="2:18" ht="13" thickBot="1" x14ac:dyDescent="0.3">
      <c r="B127" s="698" t="str">
        <f t="shared" si="22"/>
        <v>2024</v>
      </c>
      <c r="C127" s="556">
        <f>+C97/C112</f>
        <v>7554.6738189340304</v>
      </c>
      <c r="D127" s="556">
        <f t="shared" ref="D127:I127" si="33">+D97/D112</f>
        <v>22297.526599255514</v>
      </c>
      <c r="E127" s="556">
        <f t="shared" si="33"/>
        <v>517261.56148532737</v>
      </c>
      <c r="F127" s="556">
        <f t="shared" si="33"/>
        <v>2791843.4937129831</v>
      </c>
      <c r="G127" s="556">
        <f t="shared" si="33"/>
        <v>252.82367194268602</v>
      </c>
      <c r="H127" s="556">
        <f t="shared" si="33"/>
        <v>4499.4222770261249</v>
      </c>
      <c r="I127" s="669">
        <f t="shared" si="33"/>
        <v>8089.3021616099559</v>
      </c>
    </row>
    <row r="128" spans="2:18" ht="13" thickBot="1" x14ac:dyDescent="0.3"/>
    <row r="129" spans="2:20" ht="13.5" thickBot="1" x14ac:dyDescent="0.35">
      <c r="B129" s="801" t="s">
        <v>462</v>
      </c>
      <c r="C129" s="802"/>
      <c r="D129" s="802"/>
      <c r="E129" s="802"/>
      <c r="F129" s="802"/>
      <c r="G129" s="802"/>
      <c r="H129" s="802"/>
      <c r="I129" s="803"/>
    </row>
    <row r="130" spans="2:20" ht="38" thickBot="1" x14ac:dyDescent="0.3">
      <c r="B130" s="702" t="s">
        <v>33</v>
      </c>
      <c r="C130" s="703" t="s">
        <v>6</v>
      </c>
      <c r="D130" s="703" t="s">
        <v>290</v>
      </c>
      <c r="E130" s="703" t="s">
        <v>291</v>
      </c>
      <c r="F130" s="703" t="s">
        <v>293</v>
      </c>
      <c r="G130" s="703" t="s">
        <v>68</v>
      </c>
      <c r="H130" s="704" t="s">
        <v>69</v>
      </c>
      <c r="I130" s="705" t="s">
        <v>292</v>
      </c>
      <c r="S130" s="137">
        <f>+'6. WS Regression Analysis'!C131</f>
        <v>0</v>
      </c>
      <c r="T130" s="137">
        <f>+'6. WS Regression Analysis'!J131</f>
        <v>0</v>
      </c>
    </row>
    <row r="131" spans="2:20" x14ac:dyDescent="0.25">
      <c r="B131" s="706">
        <f>+B116</f>
        <v>2013</v>
      </c>
      <c r="C131" s="707">
        <f>+'10. Analysis_Tables'!K51</f>
        <v>0</v>
      </c>
      <c r="D131" s="707">
        <f>+'10. Analysis_Tables'!L51</f>
        <v>0</v>
      </c>
      <c r="E131" s="707">
        <f>+'10. Analysis_Tables'!M51</f>
        <v>0</v>
      </c>
      <c r="F131" s="707">
        <f>+'10. Analysis_Tables'!N51</f>
        <v>0</v>
      </c>
      <c r="G131" s="707">
        <f>+'10. Analysis_Tables'!O51</f>
        <v>0</v>
      </c>
      <c r="H131" s="707">
        <f>+'10. Analysis_Tables'!P51</f>
        <v>0</v>
      </c>
      <c r="I131" s="708">
        <f>SUM(C131:H131)</f>
        <v>0</v>
      </c>
      <c r="S131" s="137">
        <f>+'6. WS Regression Analysis'!C132</f>
        <v>0</v>
      </c>
      <c r="T131" s="137">
        <f>+'6. WS Regression Analysis'!J132</f>
        <v>0</v>
      </c>
    </row>
    <row r="132" spans="2:20" x14ac:dyDescent="0.25">
      <c r="B132" s="675">
        <f t="shared" ref="B132:B142" si="34">+B117</f>
        <v>2014</v>
      </c>
      <c r="C132" s="739">
        <f>+C102/C101-1</f>
        <v>1.8976132242557231E-2</v>
      </c>
      <c r="D132" s="739">
        <f t="shared" ref="D132:I132" si="35">+D102/D101-1</f>
        <v>-1.2755102040816757E-3</v>
      </c>
      <c r="E132" s="739">
        <f t="shared" si="35"/>
        <v>2.857142857142847E-2</v>
      </c>
      <c r="F132" s="739">
        <f t="shared" si="35"/>
        <v>0</v>
      </c>
      <c r="G132" s="739">
        <f t="shared" si="35"/>
        <v>1.6521254872841951E-2</v>
      </c>
      <c r="H132" s="739">
        <f t="shared" si="35"/>
        <v>-3.5294117647058809E-2</v>
      </c>
      <c r="I132" s="740">
        <f t="shared" si="35"/>
        <v>1.7387919288911924E-2</v>
      </c>
      <c r="S132" s="137">
        <f>+'6. WS Regression Analysis'!C133</f>
        <v>0</v>
      </c>
      <c r="T132" s="137">
        <f>+'6. WS Regression Analysis'!J133</f>
        <v>0</v>
      </c>
    </row>
    <row r="133" spans="2:20" x14ac:dyDescent="0.25">
      <c r="B133" s="675">
        <f t="shared" si="34"/>
        <v>2015</v>
      </c>
      <c r="C133" s="739">
        <f t="shared" ref="C133:I133" si="36">+C103/C102-1</f>
        <v>1.4525740771395457E-2</v>
      </c>
      <c r="D133" s="739">
        <f t="shared" si="36"/>
        <v>2.5542784163474774E-3</v>
      </c>
      <c r="E133" s="739">
        <f t="shared" si="36"/>
        <v>2.7777777777777679E-2</v>
      </c>
      <c r="F133" s="739">
        <f t="shared" si="36"/>
        <v>0</v>
      </c>
      <c r="G133" s="739">
        <f t="shared" si="36"/>
        <v>3.5427319211102981E-2</v>
      </c>
      <c r="H133" s="739">
        <f t="shared" si="36"/>
        <v>-1.2195121951219523E-2</v>
      </c>
      <c r="I133" s="740">
        <f t="shared" si="36"/>
        <v>1.7537146865633568E-2</v>
      </c>
      <c r="S133" s="137">
        <f>+'6. WS Regression Analysis'!C134</f>
        <v>0</v>
      </c>
      <c r="T133" s="137">
        <f>+'6. WS Regression Analysis'!J134</f>
        <v>0</v>
      </c>
    </row>
    <row r="134" spans="2:20" x14ac:dyDescent="0.25">
      <c r="B134" s="675">
        <f t="shared" si="34"/>
        <v>2016</v>
      </c>
      <c r="C134" s="739">
        <f t="shared" ref="C134:I134" si="37">+C104/C103-1</f>
        <v>1.382826840709761E-2</v>
      </c>
      <c r="D134" s="739">
        <f t="shared" si="37"/>
        <v>1.3375796178344057E-2</v>
      </c>
      <c r="E134" s="739">
        <f t="shared" si="37"/>
        <v>-2.7027027027026973E-2</v>
      </c>
      <c r="F134" s="739">
        <f t="shared" si="37"/>
        <v>0</v>
      </c>
      <c r="G134" s="739">
        <f t="shared" si="37"/>
        <v>3.9858906525573223E-2</v>
      </c>
      <c r="H134" s="739">
        <f t="shared" si="37"/>
        <v>-9.8765432098765427E-2</v>
      </c>
      <c r="I134" s="740">
        <f t="shared" si="37"/>
        <v>1.8049636500375943E-2</v>
      </c>
      <c r="S134" s="137">
        <f>+'6. WS Regression Analysis'!C135</f>
        <v>0</v>
      </c>
      <c r="T134" s="137">
        <f>+'6. WS Regression Analysis'!J135</f>
        <v>0</v>
      </c>
    </row>
    <row r="135" spans="2:20" x14ac:dyDescent="0.25">
      <c r="B135" s="675">
        <f t="shared" si="34"/>
        <v>2017</v>
      </c>
      <c r="C135" s="739">
        <f t="shared" ref="C135:I135" si="38">+C105/C104-1</f>
        <v>1.5611169228293198E-2</v>
      </c>
      <c r="D135" s="739">
        <f t="shared" si="38"/>
        <v>2.1370207416719023E-2</v>
      </c>
      <c r="E135" s="739">
        <f t="shared" si="38"/>
        <v>-4.166666666666663E-2</v>
      </c>
      <c r="F135" s="739">
        <f t="shared" si="38"/>
        <v>0</v>
      </c>
      <c r="G135" s="739">
        <f t="shared" si="38"/>
        <v>2.2048846675712275E-2</v>
      </c>
      <c r="H135" s="739">
        <f t="shared" si="38"/>
        <v>-9.589041095890416E-2</v>
      </c>
      <c r="I135" s="740">
        <f t="shared" si="38"/>
        <v>1.6683082984486619E-2</v>
      </c>
    </row>
    <row r="136" spans="2:20" x14ac:dyDescent="0.25">
      <c r="B136" s="675">
        <f t="shared" si="34"/>
        <v>2018</v>
      </c>
      <c r="C136" s="739">
        <f t="shared" ref="C136:I136" si="39">+C106/C105-1</f>
        <v>1.7193566278424832E-2</v>
      </c>
      <c r="D136" s="739">
        <f t="shared" si="39"/>
        <v>8.0000000000000071E-3</v>
      </c>
      <c r="E136" s="739">
        <f t="shared" si="39"/>
        <v>-2.8985507246376829E-2</v>
      </c>
      <c r="F136" s="739">
        <f t="shared" si="39"/>
        <v>0</v>
      </c>
      <c r="G136" s="739">
        <f t="shared" si="39"/>
        <v>7.7995353468303108E-3</v>
      </c>
      <c r="H136" s="739">
        <f t="shared" si="39"/>
        <v>4.5454545454545414E-2</v>
      </c>
      <c r="I136" s="740">
        <f t="shared" si="39"/>
        <v>1.4986376021798309E-2</v>
      </c>
    </row>
    <row r="137" spans="2:20" x14ac:dyDescent="0.25">
      <c r="B137" s="675">
        <f t="shared" si="34"/>
        <v>2019</v>
      </c>
      <c r="C137" s="739">
        <f t="shared" ref="C137:I137" si="40">+C107/C106-1</f>
        <v>1.5384016201900552E-2</v>
      </c>
      <c r="D137" s="739">
        <f t="shared" si="40"/>
        <v>9.157509157509125E-3</v>
      </c>
      <c r="E137" s="739">
        <f t="shared" si="40"/>
        <v>1.4925373134328401E-2</v>
      </c>
      <c r="F137" s="739">
        <f t="shared" si="40"/>
        <v>0</v>
      </c>
      <c r="G137" s="739">
        <f t="shared" si="40"/>
        <v>1.3502387617322587E-2</v>
      </c>
      <c r="H137" s="739">
        <f t="shared" si="40"/>
        <v>1.449275362318847E-2</v>
      </c>
      <c r="I137" s="740">
        <f t="shared" si="40"/>
        <v>1.4735272184936532E-2</v>
      </c>
    </row>
    <row r="138" spans="2:20" x14ac:dyDescent="0.25">
      <c r="B138" s="675">
        <f t="shared" si="34"/>
        <v>2020</v>
      </c>
      <c r="C138" s="739">
        <f t="shared" ref="C138:I138" si="41">+C108/C107-1</f>
        <v>1.745234168232912E-2</v>
      </c>
      <c r="D138" s="739">
        <f t="shared" si="41"/>
        <v>7.2595281306715442E-3</v>
      </c>
      <c r="E138" s="739">
        <f t="shared" si="41"/>
        <v>0</v>
      </c>
      <c r="F138" s="739">
        <f t="shared" si="41"/>
        <v>0</v>
      </c>
      <c r="G138" s="739">
        <f t="shared" si="41"/>
        <v>1.0885458976441997E-2</v>
      </c>
      <c r="H138" s="739">
        <f t="shared" si="41"/>
        <v>0</v>
      </c>
      <c r="I138" s="740">
        <f t="shared" si="41"/>
        <v>1.5697110438284589E-2</v>
      </c>
    </row>
    <row r="139" spans="2:20" x14ac:dyDescent="0.25">
      <c r="B139" s="675">
        <f t="shared" si="34"/>
        <v>2021</v>
      </c>
      <c r="C139" s="739">
        <f t="shared" ref="C139:I139" si="42">+C109/C108-1</f>
        <v>1.8434743270753229E-2</v>
      </c>
      <c r="D139" s="739">
        <f t="shared" si="42"/>
        <v>-1.8018018018017834E-3</v>
      </c>
      <c r="E139" s="739">
        <f t="shared" si="42"/>
        <v>-1.4705882352941124E-2</v>
      </c>
      <c r="F139" s="739">
        <f t="shared" si="42"/>
        <v>0</v>
      </c>
      <c r="G139" s="739">
        <f t="shared" si="42"/>
        <v>6.7502410800386325E-3</v>
      </c>
      <c r="H139" s="739">
        <f t="shared" si="42"/>
        <v>2.857142857142847E-2</v>
      </c>
      <c r="I139" s="740">
        <f t="shared" si="42"/>
        <v>1.5309813909067271E-2</v>
      </c>
    </row>
    <row r="140" spans="2:20" x14ac:dyDescent="0.25">
      <c r="B140" s="675">
        <f t="shared" si="34"/>
        <v>2022</v>
      </c>
      <c r="C140" s="739">
        <f t="shared" ref="C140:I140" si="43">+C110/C109-1</f>
        <v>2.1654636313159337E-2</v>
      </c>
      <c r="D140" s="739">
        <f t="shared" si="43"/>
        <v>1.0830324909747224E-2</v>
      </c>
      <c r="E140" s="739">
        <f t="shared" si="43"/>
        <v>2.9850746268656803E-2</v>
      </c>
      <c r="F140" s="739">
        <f t="shared" si="43"/>
        <v>0</v>
      </c>
      <c r="G140" s="739">
        <f t="shared" si="43"/>
        <v>1.4527458492975764E-2</v>
      </c>
      <c r="H140" s="739">
        <f t="shared" si="43"/>
        <v>0.13888888888888884</v>
      </c>
      <c r="I140" s="740">
        <f t="shared" si="43"/>
        <v>2.0124280257681981E-2</v>
      </c>
    </row>
    <row r="141" spans="2:20" x14ac:dyDescent="0.25">
      <c r="B141" s="696" t="str">
        <f t="shared" si="34"/>
        <v>2023</v>
      </c>
      <c r="C141" s="739">
        <f t="shared" ref="C141:I141" si="44">+C111/C110-1</f>
        <v>2.565217391304353E-2</v>
      </c>
      <c r="D141" s="739">
        <f t="shared" si="44"/>
        <v>1.4285714285714235E-2</v>
      </c>
      <c r="E141" s="739">
        <f t="shared" si="44"/>
        <v>4.3478260869565188E-2</v>
      </c>
      <c r="F141" s="739">
        <f t="shared" si="44"/>
        <v>0</v>
      </c>
      <c r="G141" s="739">
        <f t="shared" si="44"/>
        <v>1.054287962234457E-2</v>
      </c>
      <c r="H141" s="739">
        <f t="shared" si="44"/>
        <v>0.12195121951219523</v>
      </c>
      <c r="I141" s="740">
        <f t="shared" si="44"/>
        <v>2.2689169554040545E-2</v>
      </c>
    </row>
    <row r="142" spans="2:20" ht="13" thickBot="1" x14ac:dyDescent="0.3">
      <c r="B142" s="698" t="str">
        <f t="shared" si="34"/>
        <v>2024</v>
      </c>
      <c r="C142" s="741">
        <f t="shared" ref="C142:I142" si="45">+C112/C111-1</f>
        <v>1.7945457114596497E-2</v>
      </c>
      <c r="D142" s="741">
        <f t="shared" si="45"/>
        <v>7.0422535211267512E-3</v>
      </c>
      <c r="E142" s="741">
        <f t="shared" si="45"/>
        <v>0</v>
      </c>
      <c r="F142" s="741">
        <f t="shared" si="45"/>
        <v>0</v>
      </c>
      <c r="G142" s="741">
        <f t="shared" si="45"/>
        <v>1.0588601681719156E-2</v>
      </c>
      <c r="H142" s="741">
        <f t="shared" si="45"/>
        <v>4.3478260869565188E-2</v>
      </c>
      <c r="I142" s="742">
        <f t="shared" si="45"/>
        <v>1.6174863387978133E-2</v>
      </c>
    </row>
    <row r="143" spans="2:20" ht="13" thickBot="1" x14ac:dyDescent="0.3"/>
    <row r="144" spans="2:20" ht="13.5" thickBot="1" x14ac:dyDescent="0.35">
      <c r="B144" s="801" t="s">
        <v>464</v>
      </c>
      <c r="C144" s="802"/>
      <c r="D144" s="802"/>
      <c r="E144" s="802"/>
      <c r="F144" s="802"/>
      <c r="G144" s="802"/>
      <c r="H144" s="802"/>
      <c r="I144" s="803"/>
    </row>
    <row r="145" spans="2:9" ht="38" thickBot="1" x14ac:dyDescent="0.3">
      <c r="B145" s="320" t="s">
        <v>33</v>
      </c>
      <c r="C145" s="734" t="s">
        <v>6</v>
      </c>
      <c r="D145" s="734" t="s">
        <v>290</v>
      </c>
      <c r="E145" s="734" t="s">
        <v>291</v>
      </c>
      <c r="F145" s="734" t="s">
        <v>293</v>
      </c>
      <c r="G145" s="734" t="s">
        <v>68</v>
      </c>
      <c r="H145" s="734" t="s">
        <v>69</v>
      </c>
      <c r="I145" s="735" t="s">
        <v>292</v>
      </c>
    </row>
    <row r="146" spans="2:9" x14ac:dyDescent="0.25">
      <c r="B146" s="706">
        <f>+B131</f>
        <v>2013</v>
      </c>
      <c r="C146" s="707"/>
      <c r="D146" s="707"/>
      <c r="E146" s="707"/>
      <c r="F146" s="707"/>
      <c r="G146" s="707"/>
      <c r="H146" s="707"/>
      <c r="I146" s="733"/>
    </row>
    <row r="147" spans="2:9" x14ac:dyDescent="0.25">
      <c r="B147" s="675">
        <f t="shared" ref="B147:B157" si="46">+B132</f>
        <v>2014</v>
      </c>
      <c r="C147" s="552">
        <f>+C117/C116</f>
        <v>0.99655869558867172</v>
      </c>
      <c r="D147" s="552">
        <f t="shared" ref="D147:I147" si="47">+D117/D116</f>
        <v>1.0086069269110536</v>
      </c>
      <c r="E147" s="552">
        <f t="shared" si="47"/>
        <v>0.95132060739461632</v>
      </c>
      <c r="F147" s="552">
        <f t="shared" si="47"/>
        <v>0.96058731257734953</v>
      </c>
      <c r="G147" s="552">
        <f t="shared" si="47"/>
        <v>1.0048272931986946</v>
      </c>
      <c r="H147" s="552">
        <f t="shared" si="47"/>
        <v>0.98151762542006449</v>
      </c>
      <c r="I147" s="552">
        <f t="shared" si="47"/>
        <v>0.99037406428964392</v>
      </c>
    </row>
    <row r="148" spans="2:9" x14ac:dyDescent="0.25">
      <c r="B148" s="675">
        <f t="shared" si="46"/>
        <v>2015</v>
      </c>
      <c r="C148" s="552">
        <f t="shared" ref="C148:I148" si="48">+C118/C117</f>
        <v>0.99028042214074907</v>
      </c>
      <c r="D148" s="552">
        <f t="shared" si="48"/>
        <v>1.0133654654870368</v>
      </c>
      <c r="E148" s="552">
        <f t="shared" si="48"/>
        <v>1.0024731673287881</v>
      </c>
      <c r="F148" s="552">
        <f t="shared" si="48"/>
        <v>0.99126844702549721</v>
      </c>
      <c r="G148" s="552">
        <f t="shared" si="48"/>
        <v>0.95350811860654705</v>
      </c>
      <c r="H148" s="552">
        <f t="shared" si="48"/>
        <v>1.0456343996227533</v>
      </c>
      <c r="I148" s="552">
        <f t="shared" si="48"/>
        <v>0.99168195243743951</v>
      </c>
    </row>
    <row r="149" spans="2:9" x14ac:dyDescent="0.25">
      <c r="B149" s="675">
        <f t="shared" si="46"/>
        <v>2016</v>
      </c>
      <c r="C149" s="552">
        <f t="shared" ref="C149:I149" si="49">+C119/C118</f>
        <v>1.0034343588916397</v>
      </c>
      <c r="D149" s="552">
        <f t="shared" si="49"/>
        <v>0.99856197511749967</v>
      </c>
      <c r="E149" s="552">
        <f t="shared" si="49"/>
        <v>0.98118928702533803</v>
      </c>
      <c r="F149" s="552">
        <f t="shared" si="49"/>
        <v>0.92921762828973664</v>
      </c>
      <c r="G149" s="552">
        <f t="shared" si="49"/>
        <v>0.49514389348060184</v>
      </c>
      <c r="H149" s="552">
        <f t="shared" si="49"/>
        <v>0.78758337057575978</v>
      </c>
      <c r="I149" s="552">
        <f t="shared" si="49"/>
        <v>0.98012032139326966</v>
      </c>
    </row>
    <row r="150" spans="2:9" x14ac:dyDescent="0.25">
      <c r="B150" s="675">
        <f t="shared" si="46"/>
        <v>2017</v>
      </c>
      <c r="C150" s="552">
        <f t="shared" ref="C150:I150" si="50">+C120/C119</f>
        <v>0.96589004507414655</v>
      </c>
      <c r="D150" s="552">
        <f t="shared" si="50"/>
        <v>0.97829948009136336</v>
      </c>
      <c r="E150" s="552">
        <f t="shared" si="50"/>
        <v>1.0095971906408328</v>
      </c>
      <c r="F150" s="552">
        <f t="shared" si="50"/>
        <v>0.88130091319396187</v>
      </c>
      <c r="G150" s="552">
        <f t="shared" si="50"/>
        <v>0.79597989997904184</v>
      </c>
      <c r="H150" s="552">
        <f t="shared" si="50"/>
        <v>0.8956628820879996</v>
      </c>
      <c r="I150" s="552">
        <f t="shared" si="50"/>
        <v>0.96161762036899512</v>
      </c>
    </row>
    <row r="151" spans="2:9" x14ac:dyDescent="0.25">
      <c r="B151" s="675">
        <f t="shared" si="46"/>
        <v>2018</v>
      </c>
      <c r="C151" s="552">
        <f t="shared" ref="C151:I151" si="51">+C121/C120</f>
        <v>1.0732792093799468</v>
      </c>
      <c r="D151" s="552">
        <f t="shared" si="51"/>
        <v>1.0307214774245594</v>
      </c>
      <c r="E151" s="552">
        <f t="shared" si="51"/>
        <v>1.067110856049158</v>
      </c>
      <c r="F151" s="552">
        <f t="shared" si="51"/>
        <v>0.9555773556178413</v>
      </c>
      <c r="G151" s="552">
        <f t="shared" si="51"/>
        <v>0.99623788419055515</v>
      </c>
      <c r="H151" s="552">
        <f t="shared" si="51"/>
        <v>0.98991644890601238</v>
      </c>
      <c r="I151" s="552">
        <f t="shared" si="51"/>
        <v>1.0577324161623542</v>
      </c>
    </row>
    <row r="152" spans="2:9" x14ac:dyDescent="0.25">
      <c r="B152" s="675">
        <f t="shared" si="46"/>
        <v>2019</v>
      </c>
      <c r="C152" s="552">
        <f t="shared" ref="C152:I152" si="52">+C122/C121</f>
        <v>0.97611766229024921</v>
      </c>
      <c r="D152" s="552">
        <f t="shared" si="52"/>
        <v>0.9872119374885433</v>
      </c>
      <c r="E152" s="552">
        <f t="shared" si="52"/>
        <v>1.0049257475773516</v>
      </c>
      <c r="F152" s="552">
        <f t="shared" si="52"/>
        <v>0.99610505156367657</v>
      </c>
      <c r="G152" s="552">
        <f t="shared" si="52"/>
        <v>1.0024317698685092</v>
      </c>
      <c r="H152" s="552">
        <f t="shared" si="52"/>
        <v>0.98732825787911349</v>
      </c>
      <c r="I152" s="552">
        <f t="shared" si="52"/>
        <v>0.98126238475224969</v>
      </c>
    </row>
    <row r="153" spans="2:9" x14ac:dyDescent="0.25">
      <c r="B153" s="675">
        <f t="shared" si="46"/>
        <v>2020</v>
      </c>
      <c r="C153" s="552">
        <f t="shared" ref="C153:I153" si="53">+C123/C122</f>
        <v>1.0606187090847663</v>
      </c>
      <c r="D153" s="552">
        <f t="shared" si="53"/>
        <v>0.94883258838724549</v>
      </c>
      <c r="E153" s="552">
        <f t="shared" si="53"/>
        <v>0.94204010118368686</v>
      </c>
      <c r="F153" s="552">
        <f t="shared" si="53"/>
        <v>1.0249698191020014</v>
      </c>
      <c r="G153" s="552">
        <f t="shared" si="53"/>
        <v>1.0264301098285034</v>
      </c>
      <c r="H153" s="552">
        <f t="shared" si="53"/>
        <v>0.99327962220578903</v>
      </c>
      <c r="I153" s="552">
        <f t="shared" si="53"/>
        <v>1.0274706760252517</v>
      </c>
    </row>
    <row r="154" spans="2:9" x14ac:dyDescent="0.25">
      <c r="B154" s="675">
        <f t="shared" si="46"/>
        <v>2021</v>
      </c>
      <c r="C154" s="552">
        <f t="shared" ref="C154:I154" si="54">+C124/C123</f>
        <v>1.0037072799877194</v>
      </c>
      <c r="D154" s="552">
        <f t="shared" si="54"/>
        <v>1.0425362070064412</v>
      </c>
      <c r="E154" s="552">
        <f t="shared" si="54"/>
        <v>1.0560919505341237</v>
      </c>
      <c r="F154" s="552">
        <f t="shared" si="54"/>
        <v>1.0014517767295206</v>
      </c>
      <c r="G154" s="552">
        <f t="shared" si="54"/>
        <v>0.97844427995128602</v>
      </c>
      <c r="H154" s="552">
        <f t="shared" si="54"/>
        <v>0.98646377108159211</v>
      </c>
      <c r="I154" s="552">
        <f t="shared" si="54"/>
        <v>1.0104932024784736</v>
      </c>
    </row>
    <row r="155" spans="2:9" x14ac:dyDescent="0.25">
      <c r="B155" s="675">
        <f t="shared" si="46"/>
        <v>2022</v>
      </c>
      <c r="C155" s="552">
        <f t="shared" ref="C155:I155" si="55">+C125/C124</f>
        <v>0.9822276894584544</v>
      </c>
      <c r="D155" s="552">
        <f t="shared" si="55"/>
        <v>1.06354598732739</v>
      </c>
      <c r="E155" s="552">
        <f t="shared" si="55"/>
        <v>1.0262143441961487</v>
      </c>
      <c r="F155" s="552">
        <f t="shared" si="55"/>
        <v>1.0303170175341276</v>
      </c>
      <c r="G155" s="552">
        <f t="shared" si="55"/>
        <v>0.9999009592234579</v>
      </c>
      <c r="H155" s="552">
        <f t="shared" si="55"/>
        <v>1.04383398104105</v>
      </c>
      <c r="I155" s="552">
        <f t="shared" si="55"/>
        <v>0.99927961590362135</v>
      </c>
    </row>
    <row r="156" spans="2:9" x14ac:dyDescent="0.25">
      <c r="B156" s="696" t="str">
        <f t="shared" si="46"/>
        <v>2023</v>
      </c>
      <c r="C156" s="552">
        <f t="shared" ref="C156:I156" si="56">+C126/C125</f>
        <v>0.98553054794888717</v>
      </c>
      <c r="D156" s="552">
        <f t="shared" si="56"/>
        <v>0.98771460774827091</v>
      </c>
      <c r="E156" s="552">
        <f t="shared" si="56"/>
        <v>0.98543565007218081</v>
      </c>
      <c r="F156" s="552">
        <f t="shared" si="56"/>
        <v>0.98543565007218081</v>
      </c>
      <c r="G156" s="552">
        <f t="shared" si="56"/>
        <v>1.0005713617643834</v>
      </c>
      <c r="H156" s="552">
        <f t="shared" si="56"/>
        <v>0.99901484912396377</v>
      </c>
      <c r="I156" s="552">
        <f t="shared" si="56"/>
        <v>0.98902230773607447</v>
      </c>
    </row>
    <row r="157" spans="2:9" ht="13" thickBot="1" x14ac:dyDescent="0.3">
      <c r="B157" s="698" t="str">
        <f t="shared" si="46"/>
        <v>2024</v>
      </c>
      <c r="C157" s="552">
        <f t="shared" ref="C157:I157" si="57">+C127/C126</f>
        <v>1.0054410443398314</v>
      </c>
      <c r="D157" s="552">
        <f t="shared" si="57"/>
        <v>1.0076692283064916</v>
      </c>
      <c r="E157" s="552">
        <f t="shared" si="57"/>
        <v>1.0039804720965961</v>
      </c>
      <c r="F157" s="552">
        <f t="shared" si="57"/>
        <v>1.0039804720965961</v>
      </c>
      <c r="G157" s="552">
        <f t="shared" si="57"/>
        <v>1.0005713617643832</v>
      </c>
      <c r="H157" s="552">
        <f t="shared" si="57"/>
        <v>0.99977596349844888</v>
      </c>
      <c r="I157" s="552">
        <f t="shared" si="57"/>
        <v>1.003282899172468</v>
      </c>
    </row>
  </sheetData>
  <mergeCells count="12">
    <mergeCell ref="B4:H4"/>
    <mergeCell ref="B144:I144"/>
    <mergeCell ref="O53:P53"/>
    <mergeCell ref="M53:N53"/>
    <mergeCell ref="G53:H53"/>
    <mergeCell ref="K53:L53"/>
    <mergeCell ref="I53:J53"/>
    <mergeCell ref="B129:I129"/>
    <mergeCell ref="B114:I114"/>
    <mergeCell ref="B99:I99"/>
    <mergeCell ref="C53:D53"/>
    <mergeCell ref="E53:F5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137"/>
  <sheetViews>
    <sheetView showGridLines="0" topLeftCell="J1" zoomScaleNormal="100" workbookViewId="0">
      <selection activeCell="J1" sqref="A1:J1"/>
    </sheetView>
  </sheetViews>
  <sheetFormatPr defaultColWidth="10.5" defaultRowHeight="12.5" x14ac:dyDescent="0.25"/>
  <cols>
    <col min="1" max="1" width="3.296875" style="1" hidden="1" customWidth="1"/>
    <col min="2" max="2" width="43" style="1" hidden="1" customWidth="1"/>
    <col min="3" max="7" width="13.296875" style="1" hidden="1" customWidth="1"/>
    <col min="8" max="8" width="15.19921875" style="1" hidden="1" customWidth="1"/>
    <col min="9" max="9" width="10.69921875" style="1" hidden="1" customWidth="1"/>
    <col min="10" max="10" width="13.69921875" style="1" bestFit="1" customWidth="1"/>
    <col min="11" max="11" width="28" style="1" bestFit="1" customWidth="1"/>
    <col min="12" max="12" width="26.5" style="1" bestFit="1" customWidth="1"/>
    <col min="13" max="14" width="21.19921875" style="1" customWidth="1"/>
    <col min="15" max="15" width="15.5" style="1" customWidth="1"/>
    <col min="16" max="16" width="17.19921875" style="1" customWidth="1"/>
    <col min="17" max="17" width="10.69921875" style="1" bestFit="1" customWidth="1"/>
    <col min="18" max="18" width="7.69921875" style="1" customWidth="1"/>
    <col min="19" max="19" width="14.296875" style="1" customWidth="1"/>
    <col min="20" max="20" width="13.19921875" style="1" customWidth="1"/>
    <col min="21" max="21" width="9.296875" style="1" customWidth="1"/>
    <col min="22" max="22" width="16" style="1" customWidth="1"/>
    <col min="23" max="23" width="4.5" style="1" bestFit="1" customWidth="1"/>
    <col min="24" max="24" width="15" style="1" customWidth="1"/>
    <col min="25" max="25" width="6.5" style="1" bestFit="1" customWidth="1"/>
    <col min="26" max="27" width="11.296875" style="1" bestFit="1" customWidth="1"/>
    <col min="28" max="29" width="10.5" style="1" customWidth="1"/>
    <col min="30" max="31" width="1.796875" style="1" bestFit="1" customWidth="1"/>
    <col min="32" max="16384" width="10.5" style="1"/>
  </cols>
  <sheetData>
    <row r="1" spans="2:21" ht="28" x14ac:dyDescent="0.25">
      <c r="J1" s="681" t="s">
        <v>275</v>
      </c>
    </row>
    <row r="3" spans="2:21" ht="15.5" x14ac:dyDescent="0.3">
      <c r="B3" s="2"/>
      <c r="J3" s="876" t="s">
        <v>245</v>
      </c>
      <c r="K3" s="793"/>
      <c r="L3" s="793"/>
      <c r="M3" s="793"/>
      <c r="N3" s="793"/>
      <c r="O3" s="793"/>
      <c r="P3" s="793"/>
      <c r="Q3" s="793"/>
      <c r="R3" s="793"/>
      <c r="S3" s="793"/>
      <c r="T3" s="793"/>
      <c r="U3" s="877"/>
    </row>
    <row r="4" spans="2:21" ht="43.5" customHeight="1" thickBot="1" x14ac:dyDescent="0.3">
      <c r="C4" s="30" t="s">
        <v>30</v>
      </c>
      <c r="D4" s="30"/>
      <c r="E4" s="30"/>
      <c r="F4" s="30"/>
      <c r="J4" s="872" t="s">
        <v>33</v>
      </c>
      <c r="K4" s="567" t="str">
        <f>B5</f>
        <v>Residential-WN</v>
      </c>
      <c r="L4" s="560" t="str">
        <f>B21</f>
        <v>General Service &lt; 50 kW-WN</v>
      </c>
      <c r="M4" s="870" t="str">
        <f>B37</f>
        <v>General Service &gt; 50 kW - 4999 kW - Excluding Wholesale Market Participant-Non-WN/kW</v>
      </c>
      <c r="N4" s="871"/>
      <c r="O4" s="878" t="str">
        <f>B53</f>
        <v>General Service &gt; 50 kW - 4999 kW - Wholesale Market Participant-Non-WN/kW</v>
      </c>
      <c r="P4" s="878"/>
      <c r="Q4" s="878" t="str">
        <f>B69</f>
        <v>Streetlighting-Non-WN/kW</v>
      </c>
      <c r="R4" s="878"/>
      <c r="S4" s="560" t="str">
        <f>B85</f>
        <v>Unmetered Scattered Load-WN</v>
      </c>
      <c r="T4" s="874" t="s">
        <v>16</v>
      </c>
      <c r="U4" s="875"/>
    </row>
    <row r="5" spans="2:21" ht="13.5" thickBot="1" x14ac:dyDescent="0.35">
      <c r="B5" s="539" t="str">
        <f>+'8. Final LF'!B15</f>
        <v>Residential-WN</v>
      </c>
      <c r="C5" s="540"/>
      <c r="D5" s="540"/>
      <c r="E5" s="540"/>
      <c r="F5" s="541"/>
      <c r="G5" s="540"/>
      <c r="H5" s="541"/>
      <c r="J5" s="873"/>
      <c r="K5" s="12" t="s">
        <v>35</v>
      </c>
      <c r="L5" s="12" t="s">
        <v>35</v>
      </c>
      <c r="M5" s="12" t="s">
        <v>35</v>
      </c>
      <c r="N5" s="12" t="s">
        <v>36</v>
      </c>
      <c r="O5" s="12" t="s">
        <v>35</v>
      </c>
      <c r="P5" s="12" t="s">
        <v>36</v>
      </c>
      <c r="Q5" s="12" t="s">
        <v>35</v>
      </c>
      <c r="R5" s="12" t="s">
        <v>36</v>
      </c>
      <c r="S5" s="12" t="s">
        <v>35</v>
      </c>
      <c r="T5" s="12" t="s">
        <v>35</v>
      </c>
      <c r="U5" s="12" t="s">
        <v>36</v>
      </c>
    </row>
    <row r="6" spans="2:21" ht="13" thickBot="1" x14ac:dyDescent="0.3">
      <c r="B6" s="75" t="s">
        <v>33</v>
      </c>
      <c r="C6" s="320" t="s">
        <v>34</v>
      </c>
      <c r="D6" s="321" t="s">
        <v>236</v>
      </c>
      <c r="E6" s="321" t="s">
        <v>35</v>
      </c>
      <c r="F6" s="322" t="s">
        <v>236</v>
      </c>
      <c r="G6" s="542" t="s">
        <v>36</v>
      </c>
      <c r="H6" s="322" t="s">
        <v>236</v>
      </c>
      <c r="J6" s="572">
        <f>+B7</f>
        <v>2013</v>
      </c>
      <c r="K6" s="60">
        <f>+E7</f>
        <v>86276533</v>
      </c>
      <c r="L6" s="60">
        <f>+E23</f>
        <v>16432349</v>
      </c>
      <c r="M6" s="60">
        <f>+E39</f>
        <v>17691775</v>
      </c>
      <c r="N6" s="60">
        <f>+G39</f>
        <v>46868</v>
      </c>
      <c r="O6" s="60">
        <f>+E55</f>
        <v>3594883</v>
      </c>
      <c r="P6" s="60">
        <f>+G55</f>
        <v>6556</v>
      </c>
      <c r="Q6" s="60">
        <f>+E71</f>
        <v>1796176</v>
      </c>
      <c r="R6" s="60">
        <f>+G71</f>
        <v>5310</v>
      </c>
      <c r="S6" s="60">
        <f>+E87</f>
        <v>264550</v>
      </c>
      <c r="T6" s="561">
        <f>K6+L6+M6+O6+Q6+S6</f>
        <v>126056266</v>
      </c>
      <c r="U6" s="561">
        <f>N6+P6+R6</f>
        <v>58734</v>
      </c>
    </row>
    <row r="7" spans="2:21" x14ac:dyDescent="0.25">
      <c r="B7" s="676">
        <f>+'9. Exhibit_Tables'!B55</f>
        <v>2013</v>
      </c>
      <c r="C7" s="58">
        <f>+'8. Final LF'!E$15</f>
        <v>11857</v>
      </c>
      <c r="D7" s="58"/>
      <c r="E7" s="58">
        <f>+'9. Exhibit_Tables'!C55</f>
        <v>86276533</v>
      </c>
      <c r="F7" s="319"/>
      <c r="G7" s="543">
        <f>+'9. Exhibit_Tables'!D55</f>
        <v>0</v>
      </c>
      <c r="H7" s="319"/>
      <c r="J7" s="572">
        <f t="shared" ref="J7:J17" si="0">+B8</f>
        <v>2014</v>
      </c>
      <c r="K7" s="60">
        <f t="shared" ref="K7:K17" si="1">+E8</f>
        <v>87611190</v>
      </c>
      <c r="L7" s="60">
        <f t="shared" ref="L7:L17" si="2">+E24</f>
        <v>16552641</v>
      </c>
      <c r="M7" s="60">
        <f>+E40</f>
        <v>17311423</v>
      </c>
      <c r="N7" s="60">
        <f t="shared" ref="N7:N17" si="3">+G40</f>
        <v>45990</v>
      </c>
      <c r="O7" s="60">
        <f t="shared" ref="O7:O17" si="4">+E56</f>
        <v>3453199</v>
      </c>
      <c r="P7" s="60">
        <f t="shared" ref="P7:P17" si="5">+G56</f>
        <v>6080</v>
      </c>
      <c r="Q7" s="60">
        <f t="shared" ref="Q7:Q17" si="6">+E72</f>
        <v>1834665</v>
      </c>
      <c r="R7" s="60">
        <f t="shared" ref="R7:R17" si="7">+G72</f>
        <v>5425</v>
      </c>
      <c r="S7" s="60">
        <f t="shared" ref="S7:S17" si="8">+E88</f>
        <v>250496</v>
      </c>
      <c r="T7" s="561">
        <f t="shared" ref="T7:T17" si="9">K7+L7+M7+O7+Q7+S7</f>
        <v>127013614</v>
      </c>
      <c r="U7" s="561">
        <f t="shared" ref="U7:U17" si="10">N7+P7+R7</f>
        <v>57495</v>
      </c>
    </row>
    <row r="8" spans="2:21" x14ac:dyDescent="0.25">
      <c r="B8" s="676">
        <f>+'9. Exhibit_Tables'!B56</f>
        <v>2014</v>
      </c>
      <c r="C8" s="60">
        <f>+'8. Final LF'!F$15</f>
        <v>12082</v>
      </c>
      <c r="D8" s="547">
        <f t="shared" ref="D8:D18" si="11">(C8-C7)/C7</f>
        <v>1.8976132242557141E-2</v>
      </c>
      <c r="E8" s="58">
        <f>+'9. Exhibit_Tables'!C56</f>
        <v>87611190</v>
      </c>
      <c r="F8" s="544">
        <f>IF(E7&gt;0,+((E8-E7)/E7),0)</f>
        <v>1.5469525183632494E-2</v>
      </c>
      <c r="G8" s="543">
        <f>+'9. Exhibit_Tables'!D56</f>
        <v>0</v>
      </c>
      <c r="H8" s="323">
        <f>IF(G7&gt;0,+((G8-G7)/G7),0)</f>
        <v>0</v>
      </c>
      <c r="J8" s="572">
        <f t="shared" si="0"/>
        <v>2015</v>
      </c>
      <c r="K8" s="60">
        <f>+E9</f>
        <v>88019894.347826093</v>
      </c>
      <c r="L8" s="60">
        <f t="shared" si="2"/>
        <v>16816719.898242369</v>
      </c>
      <c r="M8" s="60">
        <f t="shared" ref="M8:M17" si="12">+E41</f>
        <v>17836299.185938943</v>
      </c>
      <c r="N8" s="60">
        <f t="shared" si="3"/>
        <v>46298.799999999996</v>
      </c>
      <c r="O8" s="60">
        <f t="shared" si="4"/>
        <v>3423047.21</v>
      </c>
      <c r="P8" s="60">
        <f t="shared" si="5"/>
        <v>6214.5300000000007</v>
      </c>
      <c r="Q8" s="60">
        <f t="shared" si="6"/>
        <v>1811343.3900000001</v>
      </c>
      <c r="R8" s="60">
        <f t="shared" si="7"/>
        <v>5476.170000000001</v>
      </c>
      <c r="S8" s="60">
        <f t="shared" si="8"/>
        <v>258733</v>
      </c>
      <c r="T8" s="561">
        <f t="shared" si="9"/>
        <v>128166037.0320074</v>
      </c>
      <c r="U8" s="561">
        <f t="shared" si="10"/>
        <v>57989.499999999993</v>
      </c>
    </row>
    <row r="9" spans="2:21" x14ac:dyDescent="0.25">
      <c r="B9" s="676">
        <f>+'9. Exhibit_Tables'!B57</f>
        <v>2015</v>
      </c>
      <c r="C9" s="60">
        <f>+'8. Final LF'!G$15</f>
        <v>12257.5</v>
      </c>
      <c r="D9" s="547">
        <f t="shared" si="11"/>
        <v>1.4525740771395464E-2</v>
      </c>
      <c r="E9" s="58">
        <f>+'9. Exhibit_Tables'!C57</f>
        <v>88019894.347826093</v>
      </c>
      <c r="F9" s="544">
        <f t="shared" ref="F9:F18" si="13">IF(E8&gt;0,+((E9-E8)/E8),0)</f>
        <v>4.6649788437537884E-3</v>
      </c>
      <c r="G9" s="543">
        <f>+'9. Exhibit_Tables'!D57</f>
        <v>0</v>
      </c>
      <c r="H9" s="323">
        <f t="shared" ref="H9:H18" si="14">IF(G8&gt;0,+((G9-G8)/G8),0)</f>
        <v>0</v>
      </c>
      <c r="J9" s="572">
        <f t="shared" si="0"/>
        <v>2016</v>
      </c>
      <c r="K9" s="60">
        <f t="shared" si="1"/>
        <v>89543529.152451292</v>
      </c>
      <c r="L9" s="60">
        <f t="shared" si="2"/>
        <v>17017150.589305334</v>
      </c>
      <c r="M9" s="60">
        <f t="shared" si="12"/>
        <v>17027791.473816048</v>
      </c>
      <c r="N9" s="60">
        <f t="shared" si="3"/>
        <v>45180.1</v>
      </c>
      <c r="O9" s="60">
        <f t="shared" si="4"/>
        <v>3180755.81</v>
      </c>
      <c r="P9" s="60">
        <f t="shared" si="5"/>
        <v>5922.6900000000005</v>
      </c>
      <c r="Q9" s="60">
        <f t="shared" si="6"/>
        <v>932624.09999999986</v>
      </c>
      <c r="R9" s="60">
        <f t="shared" si="7"/>
        <v>2932.5000000000005</v>
      </c>
      <c r="S9" s="60">
        <f t="shared" si="8"/>
        <v>183648</v>
      </c>
      <c r="T9" s="561">
        <f t="shared" si="9"/>
        <v>127885499.12557267</v>
      </c>
      <c r="U9" s="561">
        <f t="shared" si="10"/>
        <v>54035.29</v>
      </c>
    </row>
    <row r="10" spans="2:21" x14ac:dyDescent="0.25">
      <c r="B10" s="676">
        <f>+'9. Exhibit_Tables'!B58</f>
        <v>2016</v>
      </c>
      <c r="C10" s="60">
        <f>+'8. Final LF'!H$15</f>
        <v>12427</v>
      </c>
      <c r="D10" s="547">
        <f t="shared" si="11"/>
        <v>1.3828268407097695E-2</v>
      </c>
      <c r="E10" s="58">
        <f>+'9. Exhibit_Tables'!C58</f>
        <v>89543529.152451292</v>
      </c>
      <c r="F10" s="544">
        <f t="shared" si="13"/>
        <v>1.7310118535297115E-2</v>
      </c>
      <c r="G10" s="543">
        <f>+'9. Exhibit_Tables'!D58</f>
        <v>0</v>
      </c>
      <c r="H10" s="323">
        <f t="shared" si="14"/>
        <v>0</v>
      </c>
      <c r="J10" s="572">
        <f t="shared" si="0"/>
        <v>2017</v>
      </c>
      <c r="K10" s="60">
        <f t="shared" si="1"/>
        <v>87839401</v>
      </c>
      <c r="L10" s="60">
        <f t="shared" si="2"/>
        <v>17003638</v>
      </c>
      <c r="M10" s="60">
        <f t="shared" si="12"/>
        <v>16474910</v>
      </c>
      <c r="N10" s="60">
        <f t="shared" si="3"/>
        <v>43086.400000000001</v>
      </c>
      <c r="O10" s="60">
        <f t="shared" si="4"/>
        <v>2803203</v>
      </c>
      <c r="P10" s="60">
        <f t="shared" si="5"/>
        <v>5557.3</v>
      </c>
      <c r="Q10" s="60">
        <f t="shared" si="6"/>
        <v>758718</v>
      </c>
      <c r="R10" s="60">
        <f t="shared" si="7"/>
        <v>2242</v>
      </c>
      <c r="S10" s="60">
        <f t="shared" si="8"/>
        <v>148714</v>
      </c>
      <c r="T10" s="561">
        <f t="shared" si="9"/>
        <v>125028584</v>
      </c>
      <c r="U10" s="561">
        <f t="shared" si="10"/>
        <v>50885.700000000004</v>
      </c>
    </row>
    <row r="11" spans="2:21" x14ac:dyDescent="0.25">
      <c r="B11" s="676">
        <f>+'9. Exhibit_Tables'!B59</f>
        <v>2017</v>
      </c>
      <c r="C11" s="60">
        <f>+'8. Final LF'!I$15</f>
        <v>12621</v>
      </c>
      <c r="D11" s="547">
        <f t="shared" si="11"/>
        <v>1.5611169228293233E-2</v>
      </c>
      <c r="E11" s="58">
        <f>+'9. Exhibit_Tables'!C59</f>
        <v>87839401</v>
      </c>
      <c r="F11" s="544">
        <f t="shared" si="13"/>
        <v>-1.9031281976277126E-2</v>
      </c>
      <c r="G11" s="543">
        <f>+'9. Exhibit_Tables'!D59</f>
        <v>0</v>
      </c>
      <c r="H11" s="323">
        <f t="shared" si="14"/>
        <v>0</v>
      </c>
      <c r="J11" s="572">
        <f t="shared" si="0"/>
        <v>2018</v>
      </c>
      <c r="K11" s="60">
        <f t="shared" si="1"/>
        <v>95897147</v>
      </c>
      <c r="L11" s="60">
        <f t="shared" si="2"/>
        <v>17666223</v>
      </c>
      <c r="M11" s="60">
        <f t="shared" si="12"/>
        <v>17070974</v>
      </c>
      <c r="N11" s="60">
        <f t="shared" si="3"/>
        <v>45883.1</v>
      </c>
      <c r="O11" s="60">
        <f t="shared" si="4"/>
        <v>2678677.3099999996</v>
      </c>
      <c r="P11" s="60">
        <f t="shared" si="5"/>
        <v>5394.4999999999991</v>
      </c>
      <c r="Q11" s="60">
        <f t="shared" si="6"/>
        <v>761759</v>
      </c>
      <c r="R11" s="60">
        <f t="shared" si="7"/>
        <v>2247.6</v>
      </c>
      <c r="S11" s="60">
        <f t="shared" si="8"/>
        <v>153906</v>
      </c>
      <c r="T11" s="561">
        <f t="shared" si="9"/>
        <v>134228686.31</v>
      </c>
      <c r="U11" s="561">
        <f t="shared" si="10"/>
        <v>53525.2</v>
      </c>
    </row>
    <row r="12" spans="2:21" x14ac:dyDescent="0.25">
      <c r="B12" s="676">
        <f>+'9. Exhibit_Tables'!B60</f>
        <v>2018</v>
      </c>
      <c r="C12" s="60">
        <f>+'8. Final LF'!J$15</f>
        <v>12838</v>
      </c>
      <c r="D12" s="547">
        <f t="shared" si="11"/>
        <v>1.7193566278424846E-2</v>
      </c>
      <c r="E12" s="58">
        <f>+'9. Exhibit_Tables'!C60</f>
        <v>95897147</v>
      </c>
      <c r="F12" s="544">
        <f t="shared" si="13"/>
        <v>9.17327066016764E-2</v>
      </c>
      <c r="G12" s="543">
        <f>+'9. Exhibit_Tables'!D60</f>
        <v>0</v>
      </c>
      <c r="H12" s="323">
        <f t="shared" si="14"/>
        <v>0</v>
      </c>
      <c r="J12" s="572">
        <f t="shared" si="0"/>
        <v>2019</v>
      </c>
      <c r="K12" s="60">
        <f t="shared" si="1"/>
        <v>95046949</v>
      </c>
      <c r="L12" s="60">
        <f t="shared" si="2"/>
        <v>17600016</v>
      </c>
      <c r="M12" s="60">
        <f t="shared" si="12"/>
        <v>17411107</v>
      </c>
      <c r="N12" s="60">
        <f t="shared" si="3"/>
        <v>43725.899999999994</v>
      </c>
      <c r="O12" s="60">
        <f t="shared" si="4"/>
        <v>2668244</v>
      </c>
      <c r="P12" s="60">
        <f t="shared" si="5"/>
        <v>5191.76</v>
      </c>
      <c r="Q12" s="60">
        <f t="shared" si="6"/>
        <v>773922</v>
      </c>
      <c r="R12" s="60">
        <f t="shared" si="7"/>
        <v>2286.8000000000002</v>
      </c>
      <c r="S12" s="60">
        <f t="shared" si="8"/>
        <v>154158</v>
      </c>
      <c r="T12" s="561">
        <f t="shared" si="9"/>
        <v>133654396</v>
      </c>
      <c r="U12" s="561">
        <f t="shared" si="10"/>
        <v>51204.46</v>
      </c>
    </row>
    <row r="13" spans="2:21" x14ac:dyDescent="0.25">
      <c r="B13" s="676">
        <f>+'9. Exhibit_Tables'!B61</f>
        <v>2019</v>
      </c>
      <c r="C13" s="60">
        <f>+'8. Final LF'!K$15</f>
        <v>13035.5</v>
      </c>
      <c r="D13" s="547">
        <f t="shared" si="11"/>
        <v>1.5384016201900608E-2</v>
      </c>
      <c r="E13" s="58">
        <f>+'9. Exhibit_Tables'!C61</f>
        <v>95046949</v>
      </c>
      <c r="F13" s="544">
        <f t="shared" si="13"/>
        <v>-8.8657277781162766E-3</v>
      </c>
      <c r="G13" s="543">
        <f>+'9. Exhibit_Tables'!D61</f>
        <v>0</v>
      </c>
      <c r="H13" s="323">
        <f t="shared" si="14"/>
        <v>0</v>
      </c>
      <c r="J13" s="572">
        <f t="shared" si="0"/>
        <v>2020</v>
      </c>
      <c r="K13" s="60">
        <f t="shared" si="1"/>
        <v>102567918</v>
      </c>
      <c r="L13" s="60">
        <f t="shared" si="2"/>
        <v>16820699</v>
      </c>
      <c r="M13" s="60">
        <f t="shared" si="12"/>
        <v>16401961</v>
      </c>
      <c r="N13" s="60">
        <f t="shared" si="3"/>
        <v>42527.5</v>
      </c>
      <c r="O13" s="60">
        <f t="shared" si="4"/>
        <v>2734869.5700000003</v>
      </c>
      <c r="P13" s="60">
        <f t="shared" si="5"/>
        <v>5526.0999999999995</v>
      </c>
      <c r="Q13" s="60">
        <f t="shared" si="6"/>
        <v>803024</v>
      </c>
      <c r="R13" s="60">
        <f t="shared" si="7"/>
        <v>2328</v>
      </c>
      <c r="S13" s="60">
        <f t="shared" si="8"/>
        <v>153122</v>
      </c>
      <c r="T13" s="561">
        <f t="shared" si="9"/>
        <v>139481593.56999999</v>
      </c>
      <c r="U13" s="561">
        <f t="shared" si="10"/>
        <v>50381.599999999999</v>
      </c>
    </row>
    <row r="14" spans="2:21" x14ac:dyDescent="0.25">
      <c r="B14" s="676">
        <f>+'9. Exhibit_Tables'!B62</f>
        <v>2020</v>
      </c>
      <c r="C14" s="60">
        <f>+'8. Final LF'!L$15</f>
        <v>13263</v>
      </c>
      <c r="D14" s="547">
        <f t="shared" si="11"/>
        <v>1.7452341682329026E-2</v>
      </c>
      <c r="E14" s="58">
        <f>+'9. Exhibit_Tables'!C62</f>
        <v>102567918</v>
      </c>
      <c r="F14" s="544">
        <f t="shared" si="13"/>
        <v>7.9128989190384219E-2</v>
      </c>
      <c r="G14" s="543">
        <f>+'9. Exhibit_Tables'!D62</f>
        <v>0</v>
      </c>
      <c r="H14" s="323">
        <f t="shared" si="14"/>
        <v>0</v>
      </c>
      <c r="J14" s="572">
        <f t="shared" si="0"/>
        <v>2021</v>
      </c>
      <c r="K14" s="60">
        <f t="shared" si="1"/>
        <v>104845989</v>
      </c>
      <c r="L14" s="60">
        <f t="shared" si="2"/>
        <v>17504591</v>
      </c>
      <c r="M14" s="60">
        <f t="shared" si="12"/>
        <v>17067244</v>
      </c>
      <c r="N14" s="60">
        <f t="shared" si="3"/>
        <v>43572.3</v>
      </c>
      <c r="O14" s="60">
        <f t="shared" si="4"/>
        <v>2738839.99</v>
      </c>
      <c r="P14" s="60">
        <f t="shared" si="5"/>
        <v>5291.6</v>
      </c>
      <c r="Q14" s="60">
        <f t="shared" si="6"/>
        <v>791018</v>
      </c>
      <c r="R14" s="60">
        <f t="shared" si="7"/>
        <v>2337.6</v>
      </c>
      <c r="S14" s="60">
        <f t="shared" si="8"/>
        <v>155365</v>
      </c>
      <c r="T14" s="561">
        <f t="shared" si="9"/>
        <v>143103046.99000001</v>
      </c>
      <c r="U14" s="561">
        <f t="shared" si="10"/>
        <v>51201.5</v>
      </c>
    </row>
    <row r="15" spans="2:21" x14ac:dyDescent="0.25">
      <c r="B15" s="676">
        <f>+'9. Exhibit_Tables'!B63</f>
        <v>2021</v>
      </c>
      <c r="C15" s="60">
        <f>+'8. Final LF'!M$15</f>
        <v>13507.5</v>
      </c>
      <c r="D15" s="547">
        <f t="shared" si="11"/>
        <v>1.8434743270753222E-2</v>
      </c>
      <c r="E15" s="58">
        <f>+'9. Exhibit_Tables'!C63</f>
        <v>104845989</v>
      </c>
      <c r="F15" s="544">
        <f t="shared" si="13"/>
        <v>2.2210366013279123E-2</v>
      </c>
      <c r="G15" s="543">
        <f>+'9. Exhibit_Tables'!D63</f>
        <v>0</v>
      </c>
      <c r="H15" s="323">
        <f t="shared" si="14"/>
        <v>0</v>
      </c>
      <c r="J15" s="572">
        <f t="shared" si="0"/>
        <v>2022</v>
      </c>
      <c r="K15" s="60">
        <f t="shared" si="1"/>
        <v>105212685</v>
      </c>
      <c r="L15" s="60">
        <f t="shared" si="2"/>
        <v>18818565</v>
      </c>
      <c r="M15" s="60">
        <f t="shared" si="12"/>
        <v>18037476</v>
      </c>
      <c r="N15" s="60">
        <f t="shared" si="3"/>
        <v>45020.900000000009</v>
      </c>
      <c r="O15" s="60">
        <f t="shared" si="4"/>
        <v>2821873.45</v>
      </c>
      <c r="P15" s="60">
        <f t="shared" si="5"/>
        <v>5657.5</v>
      </c>
      <c r="Q15" s="60">
        <f t="shared" si="6"/>
        <v>802430</v>
      </c>
      <c r="R15" s="60">
        <f t="shared" si="7"/>
        <v>2371.1999999999994</v>
      </c>
      <c r="S15" s="60">
        <f t="shared" si="8"/>
        <v>184699.60902894865</v>
      </c>
      <c r="T15" s="561">
        <f t="shared" si="9"/>
        <v>145877729.05902892</v>
      </c>
      <c r="U15" s="561">
        <f t="shared" si="10"/>
        <v>53049.600000000006</v>
      </c>
    </row>
    <row r="16" spans="2:21" x14ac:dyDescent="0.25">
      <c r="B16" s="676">
        <f>+'9. Exhibit_Tables'!B64</f>
        <v>2022</v>
      </c>
      <c r="C16" s="60">
        <f>+'8. Final LF'!N$15</f>
        <v>13800</v>
      </c>
      <c r="D16" s="547">
        <f t="shared" si="11"/>
        <v>2.1654636313159357E-2</v>
      </c>
      <c r="E16" s="58">
        <f>+'9. Exhibit_Tables'!C64</f>
        <v>105212685</v>
      </c>
      <c r="F16" s="544">
        <f t="shared" si="13"/>
        <v>3.4974728503920165E-3</v>
      </c>
      <c r="G16" s="543">
        <f>+'9. Exhibit_Tables'!D64</f>
        <v>0</v>
      </c>
      <c r="H16" s="323">
        <f t="shared" si="14"/>
        <v>0</v>
      </c>
      <c r="J16" s="572" t="str">
        <f t="shared" si="0"/>
        <v>2023</v>
      </c>
      <c r="K16" s="60">
        <f t="shared" si="1"/>
        <v>106350197.09524722</v>
      </c>
      <c r="L16" s="60">
        <f t="shared" si="2"/>
        <v>18852905.426608346</v>
      </c>
      <c r="M16" s="60">
        <f t="shared" si="12"/>
        <v>18547588.056752723</v>
      </c>
      <c r="N16" s="60">
        <f t="shared" si="3"/>
        <v>46294.121591305724</v>
      </c>
      <c r="O16" s="60">
        <f t="shared" si="4"/>
        <v>2780774.6976221777</v>
      </c>
      <c r="P16" s="60">
        <f t="shared" si="5"/>
        <v>5575.1021902833627</v>
      </c>
      <c r="Q16" s="60">
        <f t="shared" si="6"/>
        <v>811353.23439242423</v>
      </c>
      <c r="R16" s="60">
        <f t="shared" si="7"/>
        <v>2397.5683728067443</v>
      </c>
      <c r="S16" s="60">
        <f t="shared" si="8"/>
        <v>207019.8047360066</v>
      </c>
      <c r="T16" s="561">
        <f t="shared" si="9"/>
        <v>147549838.31535891</v>
      </c>
      <c r="U16" s="561">
        <f t="shared" si="10"/>
        <v>54266.792154395829</v>
      </c>
    </row>
    <row r="17" spans="1:31" x14ac:dyDescent="0.25">
      <c r="B17" s="676" t="str">
        <f>+'9. Exhibit_Tables'!B65</f>
        <v>2023</v>
      </c>
      <c r="C17" s="60">
        <f>+'8. Final LF'!O$15</f>
        <v>14154</v>
      </c>
      <c r="D17" s="548">
        <f t="shared" si="11"/>
        <v>2.5652173913043478E-2</v>
      </c>
      <c r="E17" s="58">
        <f>+'9. Exhibit_Tables'!C65</f>
        <v>106350197.09524722</v>
      </c>
      <c r="F17" s="545">
        <f t="shared" si="13"/>
        <v>1.0811548961489045E-2</v>
      </c>
      <c r="G17" s="543">
        <f>+'9. Exhibit_Tables'!D65</f>
        <v>0</v>
      </c>
      <c r="H17" s="324">
        <f t="shared" si="14"/>
        <v>0</v>
      </c>
      <c r="J17" s="572" t="str">
        <f t="shared" si="0"/>
        <v>2024</v>
      </c>
      <c r="K17" s="60">
        <f t="shared" si="1"/>
        <v>108847740.38320151</v>
      </c>
      <c r="L17" s="60">
        <f t="shared" si="2"/>
        <v>19131277.822161231</v>
      </c>
      <c r="M17" s="60">
        <f t="shared" si="12"/>
        <v>18621416.213471785</v>
      </c>
      <c r="N17" s="60">
        <f t="shared" si="3"/>
        <v>46478.394050536343</v>
      </c>
      <c r="O17" s="60">
        <f t="shared" si="4"/>
        <v>2791843.4937129831</v>
      </c>
      <c r="P17" s="60">
        <f t="shared" si="5"/>
        <v>5597.2937289874571</v>
      </c>
      <c r="Q17" s="60">
        <f t="shared" si="6"/>
        <v>820412.81545401609</v>
      </c>
      <c r="R17" s="60">
        <f t="shared" si="7"/>
        <v>2424.3396533087775</v>
      </c>
      <c r="S17" s="60">
        <f t="shared" si="8"/>
        <v>215972.26929725398</v>
      </c>
      <c r="T17" s="561">
        <f t="shared" si="9"/>
        <v>150428662.99729875</v>
      </c>
      <c r="U17" s="561">
        <f t="shared" si="10"/>
        <v>54500.027432832576</v>
      </c>
      <c r="AD17" s="1" t="s">
        <v>30</v>
      </c>
      <c r="AE17" s="1" t="s">
        <v>30</v>
      </c>
    </row>
    <row r="18" spans="1:31" ht="13" thickBot="1" x14ac:dyDescent="0.3">
      <c r="A18" s="188"/>
      <c r="B18" s="677" t="str">
        <f>+'9. Exhibit_Tables'!B66</f>
        <v>2024</v>
      </c>
      <c r="C18" s="82">
        <f>+'8. Final LF'!P$15</f>
        <v>14408</v>
      </c>
      <c r="D18" s="549">
        <f t="shared" si="11"/>
        <v>1.794545711459658E-2</v>
      </c>
      <c r="E18" s="215">
        <f>+'9. Exhibit_Tables'!C66</f>
        <v>108847740.38320151</v>
      </c>
      <c r="F18" s="546">
        <f t="shared" si="13"/>
        <v>2.348414348228698E-2</v>
      </c>
      <c r="G18" s="678">
        <f>+'9. Exhibit_Tables'!D66</f>
        <v>0</v>
      </c>
      <c r="H18" s="325">
        <f t="shared" si="14"/>
        <v>0</v>
      </c>
    </row>
    <row r="19" spans="1:31" ht="12.75" customHeight="1" x14ac:dyDescent="0.3">
      <c r="A19" s="188"/>
      <c r="C19" s="188"/>
      <c r="J19" s="867" t="s">
        <v>244</v>
      </c>
      <c r="K19" s="868"/>
      <c r="L19" s="868"/>
      <c r="M19" s="868"/>
      <c r="N19" s="868"/>
      <c r="O19" s="868"/>
      <c r="P19" s="868"/>
      <c r="Q19" s="869"/>
    </row>
    <row r="20" spans="1:31" ht="48.75" customHeight="1" thickBot="1" x14ac:dyDescent="0.3">
      <c r="B20" s="581"/>
      <c r="C20" s="550"/>
      <c r="D20" s="30"/>
      <c r="E20" s="30"/>
      <c r="F20" s="30"/>
      <c r="J20" s="562" t="s">
        <v>33</v>
      </c>
      <c r="K20" s="560" t="str">
        <f>K4</f>
        <v>Residential-WN</v>
      </c>
      <c r="L20" s="560" t="str">
        <f>L4</f>
        <v>General Service &lt; 50 kW-WN</v>
      </c>
      <c r="M20" s="560" t="str">
        <f>M4</f>
        <v>General Service &gt; 50 kW - 4999 kW - Excluding Wholesale Market Participant-Non-WN/kW</v>
      </c>
      <c r="N20" s="560" t="str">
        <f>O4</f>
        <v>General Service &gt; 50 kW - 4999 kW - Wholesale Market Participant-Non-WN/kW</v>
      </c>
      <c r="O20" s="560" t="str">
        <f>Q4</f>
        <v>Streetlighting-Non-WN/kW</v>
      </c>
      <c r="P20" s="560" t="str">
        <f>S4</f>
        <v>Unmetered Scattered Load-WN</v>
      </c>
      <c r="Q20" s="563" t="s">
        <v>16</v>
      </c>
    </row>
    <row r="21" spans="1:31" ht="12.75" customHeight="1" thickBot="1" x14ac:dyDescent="0.35">
      <c r="B21" s="539" t="str">
        <f>+'8. Final LF'!B19</f>
        <v>General Service &lt; 50 kW-WN</v>
      </c>
      <c r="C21" s="540"/>
      <c r="D21" s="540"/>
      <c r="E21" s="540"/>
      <c r="F21" s="541"/>
      <c r="G21" s="540"/>
      <c r="H21" s="541"/>
      <c r="J21" s="572">
        <f>+B23</f>
        <v>2013</v>
      </c>
      <c r="K21" s="60">
        <f>+C7</f>
        <v>11857</v>
      </c>
      <c r="L21" s="60">
        <f>+C23</f>
        <v>784</v>
      </c>
      <c r="M21" s="60">
        <f>+C39</f>
        <v>35</v>
      </c>
      <c r="N21" s="60">
        <f>+C55</f>
        <v>1</v>
      </c>
      <c r="O21" s="60">
        <f>+C71</f>
        <v>2693.5</v>
      </c>
      <c r="P21" s="60">
        <f>+C87</f>
        <v>42.5</v>
      </c>
      <c r="Q21" s="561">
        <f t="shared" ref="Q21" si="15">SUM(K21:P21)</f>
        <v>15413</v>
      </c>
    </row>
    <row r="22" spans="1:31" ht="13" thickBot="1" x14ac:dyDescent="0.3">
      <c r="B22" s="75" t="s">
        <v>33</v>
      </c>
      <c r="C22" s="320" t="s">
        <v>34</v>
      </c>
      <c r="D22" s="321" t="s">
        <v>236</v>
      </c>
      <c r="E22" s="321" t="s">
        <v>35</v>
      </c>
      <c r="F22" s="321" t="s">
        <v>236</v>
      </c>
      <c r="G22" s="542" t="s">
        <v>36</v>
      </c>
      <c r="H22" s="322" t="s">
        <v>236</v>
      </c>
      <c r="J22" s="572">
        <f t="shared" ref="J22:J32" si="16">+B24</f>
        <v>2014</v>
      </c>
      <c r="K22" s="60">
        <f t="shared" ref="K22:K32" si="17">+C8</f>
        <v>12082</v>
      </c>
      <c r="L22" s="60">
        <f t="shared" ref="L22:L32" si="18">+C24</f>
        <v>783</v>
      </c>
      <c r="M22" s="60">
        <f t="shared" ref="M22:M32" si="19">+C40</f>
        <v>36</v>
      </c>
      <c r="N22" s="60">
        <f t="shared" ref="N22:N32" si="20">+C56</f>
        <v>1</v>
      </c>
      <c r="O22" s="60">
        <f t="shared" ref="O22:O32" si="21">+C72</f>
        <v>2738</v>
      </c>
      <c r="P22" s="60">
        <f t="shared" ref="P22:P32" si="22">+C88</f>
        <v>41</v>
      </c>
      <c r="Q22" s="561">
        <f t="shared" ref="Q22:Q32" si="23">SUM(K22:P22)</f>
        <v>15681</v>
      </c>
    </row>
    <row r="23" spans="1:31" ht="12.75" customHeight="1" x14ac:dyDescent="0.25">
      <c r="B23" s="676">
        <f>+B7</f>
        <v>2013</v>
      </c>
      <c r="C23" s="58">
        <f>+'8. Final LF'!E$19</f>
        <v>784</v>
      </c>
      <c r="D23" s="58"/>
      <c r="E23" s="58">
        <f>+'9. Exhibit_Tables'!E55</f>
        <v>16432349</v>
      </c>
      <c r="F23" s="319"/>
      <c r="G23" s="543">
        <f>+'9. Exhibit_Tables'!F55</f>
        <v>0</v>
      </c>
      <c r="H23" s="319"/>
      <c r="J23" s="572">
        <f t="shared" si="16"/>
        <v>2015</v>
      </c>
      <c r="K23" s="60">
        <f t="shared" si="17"/>
        <v>12257.5</v>
      </c>
      <c r="L23" s="60">
        <f t="shared" si="18"/>
        <v>785</v>
      </c>
      <c r="M23" s="60">
        <f t="shared" si="19"/>
        <v>37</v>
      </c>
      <c r="N23" s="60">
        <f t="shared" si="20"/>
        <v>1</v>
      </c>
      <c r="O23" s="60">
        <f t="shared" si="21"/>
        <v>2835</v>
      </c>
      <c r="P23" s="60">
        <f t="shared" si="22"/>
        <v>40.5</v>
      </c>
      <c r="Q23" s="561">
        <f t="shared" si="23"/>
        <v>15956</v>
      </c>
    </row>
    <row r="24" spans="1:31" x14ac:dyDescent="0.25">
      <c r="B24" s="676">
        <f t="shared" ref="B24:B34" si="24">+B8</f>
        <v>2014</v>
      </c>
      <c r="C24" s="58">
        <f>+'8. Final LF'!F$19</f>
        <v>783</v>
      </c>
      <c r="D24" s="547">
        <f t="shared" ref="D24:D34" si="25">(C24-C23)/C23</f>
        <v>-1.2755102040816326E-3</v>
      </c>
      <c r="E24" s="58">
        <f>+'9. Exhibit_Tables'!E56</f>
        <v>16552641</v>
      </c>
      <c r="F24" s="544">
        <f>IF(E23&gt;0,+((E24-E23)/E23),0)</f>
        <v>7.320438483871052E-3</v>
      </c>
      <c r="G24" s="543">
        <f>+'9. Exhibit_Tables'!F56</f>
        <v>0</v>
      </c>
      <c r="H24" s="323">
        <f>IF(G23&gt;0,+((G24-G23)/G23),0)</f>
        <v>0</v>
      </c>
      <c r="J24" s="572">
        <f t="shared" si="16"/>
        <v>2016</v>
      </c>
      <c r="K24" s="60">
        <f t="shared" si="17"/>
        <v>12427</v>
      </c>
      <c r="L24" s="60">
        <f t="shared" si="18"/>
        <v>795.5</v>
      </c>
      <c r="M24" s="60">
        <f t="shared" si="19"/>
        <v>36</v>
      </c>
      <c r="N24" s="60">
        <f t="shared" si="20"/>
        <v>1</v>
      </c>
      <c r="O24" s="60">
        <f t="shared" si="21"/>
        <v>2948</v>
      </c>
      <c r="P24" s="60">
        <f t="shared" si="22"/>
        <v>36.5</v>
      </c>
      <c r="Q24" s="561">
        <f t="shared" si="23"/>
        <v>16244</v>
      </c>
    </row>
    <row r="25" spans="1:31" x14ac:dyDescent="0.25">
      <c r="B25" s="676">
        <f t="shared" si="24"/>
        <v>2015</v>
      </c>
      <c r="C25" s="58">
        <f>+'8. Final LF'!G$19</f>
        <v>785</v>
      </c>
      <c r="D25" s="547">
        <f t="shared" si="25"/>
        <v>2.554278416347382E-3</v>
      </c>
      <c r="E25" s="58">
        <f>+'9. Exhibit_Tables'!E57</f>
        <v>16816719.898242369</v>
      </c>
      <c r="F25" s="544">
        <f t="shared" ref="F25:F34" si="26">IF(E24&gt;0,+((E25-E24)/E24),0)</f>
        <v>1.5953883023402084E-2</v>
      </c>
      <c r="G25" s="543">
        <f>+'9. Exhibit_Tables'!F57</f>
        <v>0</v>
      </c>
      <c r="H25" s="323">
        <f t="shared" ref="H25:H34" si="27">IF(G24&gt;0,+((G25-G24)/G24),0)</f>
        <v>0</v>
      </c>
      <c r="J25" s="572">
        <f t="shared" si="16"/>
        <v>2017</v>
      </c>
      <c r="K25" s="60">
        <f t="shared" si="17"/>
        <v>12621</v>
      </c>
      <c r="L25" s="60">
        <f t="shared" si="18"/>
        <v>812.5</v>
      </c>
      <c r="M25" s="60">
        <f t="shared" si="19"/>
        <v>34.5</v>
      </c>
      <c r="N25" s="60">
        <f t="shared" si="20"/>
        <v>1</v>
      </c>
      <c r="O25" s="60">
        <f t="shared" si="21"/>
        <v>3013</v>
      </c>
      <c r="P25" s="60">
        <f t="shared" si="22"/>
        <v>33</v>
      </c>
      <c r="Q25" s="561">
        <f t="shared" si="23"/>
        <v>16515</v>
      </c>
    </row>
    <row r="26" spans="1:31" x14ac:dyDescent="0.25">
      <c r="B26" s="676">
        <f t="shared" si="24"/>
        <v>2016</v>
      </c>
      <c r="C26" s="58">
        <f>+'8. Final LF'!H$19</f>
        <v>795.5</v>
      </c>
      <c r="D26" s="547">
        <f t="shared" si="25"/>
        <v>1.337579617834395E-2</v>
      </c>
      <c r="E26" s="58">
        <f>+'9. Exhibit_Tables'!E58</f>
        <v>17017150.589305334</v>
      </c>
      <c r="F26" s="544">
        <f t="shared" si="26"/>
        <v>1.1918536568115931E-2</v>
      </c>
      <c r="G26" s="543">
        <f>+'9. Exhibit_Tables'!F58</f>
        <v>0</v>
      </c>
      <c r="H26" s="323">
        <f t="shared" si="27"/>
        <v>0</v>
      </c>
      <c r="J26" s="572">
        <f t="shared" si="16"/>
        <v>2018</v>
      </c>
      <c r="K26" s="60">
        <f t="shared" si="17"/>
        <v>12838</v>
      </c>
      <c r="L26" s="60">
        <f t="shared" si="18"/>
        <v>819</v>
      </c>
      <c r="M26" s="60">
        <f t="shared" si="19"/>
        <v>33.5</v>
      </c>
      <c r="N26" s="60">
        <f t="shared" si="20"/>
        <v>1</v>
      </c>
      <c r="O26" s="60">
        <f t="shared" si="21"/>
        <v>3036.5</v>
      </c>
      <c r="P26" s="60">
        <f t="shared" si="22"/>
        <v>34.5</v>
      </c>
      <c r="Q26" s="561">
        <f t="shared" si="23"/>
        <v>16762.5</v>
      </c>
    </row>
    <row r="27" spans="1:31" x14ac:dyDescent="0.25">
      <c r="B27" s="676">
        <f t="shared" si="24"/>
        <v>2017</v>
      </c>
      <c r="C27" s="58">
        <f>+'8. Final LF'!I$19</f>
        <v>812.5</v>
      </c>
      <c r="D27" s="547">
        <f t="shared" si="25"/>
        <v>2.1370207416719043E-2</v>
      </c>
      <c r="E27" s="58">
        <f>+'9. Exhibit_Tables'!E59</f>
        <v>17003638</v>
      </c>
      <c r="F27" s="544">
        <f t="shared" si="26"/>
        <v>-7.9405710341577218E-4</v>
      </c>
      <c r="G27" s="543">
        <f>+'9. Exhibit_Tables'!F59</f>
        <v>0</v>
      </c>
      <c r="H27" s="323">
        <f t="shared" si="27"/>
        <v>0</v>
      </c>
      <c r="J27" s="572">
        <f t="shared" si="16"/>
        <v>2019</v>
      </c>
      <c r="K27" s="60">
        <f t="shared" si="17"/>
        <v>13035.5</v>
      </c>
      <c r="L27" s="60">
        <f t="shared" si="18"/>
        <v>826.5</v>
      </c>
      <c r="M27" s="60">
        <f t="shared" si="19"/>
        <v>34</v>
      </c>
      <c r="N27" s="60">
        <f t="shared" si="20"/>
        <v>1</v>
      </c>
      <c r="O27" s="60">
        <f t="shared" si="21"/>
        <v>3077.5</v>
      </c>
      <c r="P27" s="60">
        <f t="shared" si="22"/>
        <v>35</v>
      </c>
      <c r="Q27" s="561">
        <f t="shared" si="23"/>
        <v>17009.5</v>
      </c>
    </row>
    <row r="28" spans="1:31" x14ac:dyDescent="0.25">
      <c r="B28" s="676">
        <f t="shared" si="24"/>
        <v>2018</v>
      </c>
      <c r="C28" s="58">
        <f>+'8. Final LF'!J$19</f>
        <v>819</v>
      </c>
      <c r="D28" s="547">
        <f t="shared" si="25"/>
        <v>8.0000000000000002E-3</v>
      </c>
      <c r="E28" s="58">
        <f>+'9. Exhibit_Tables'!E60</f>
        <v>17666223</v>
      </c>
      <c r="F28" s="544">
        <f t="shared" si="26"/>
        <v>3.8967249243955913E-2</v>
      </c>
      <c r="G28" s="543">
        <f>+'9. Exhibit_Tables'!F60</f>
        <v>0</v>
      </c>
      <c r="H28" s="323">
        <f t="shared" si="27"/>
        <v>0</v>
      </c>
      <c r="J28" s="572">
        <f t="shared" si="16"/>
        <v>2020</v>
      </c>
      <c r="K28" s="60">
        <f t="shared" si="17"/>
        <v>13263</v>
      </c>
      <c r="L28" s="60">
        <f t="shared" si="18"/>
        <v>832.5</v>
      </c>
      <c r="M28" s="60">
        <f t="shared" si="19"/>
        <v>34</v>
      </c>
      <c r="N28" s="60">
        <f t="shared" si="20"/>
        <v>1</v>
      </c>
      <c r="O28" s="60">
        <f t="shared" si="21"/>
        <v>3111</v>
      </c>
      <c r="P28" s="60">
        <f t="shared" si="22"/>
        <v>35</v>
      </c>
      <c r="Q28" s="561">
        <f t="shared" si="23"/>
        <v>17276.5</v>
      </c>
    </row>
    <row r="29" spans="1:31" ht="12.75" customHeight="1" x14ac:dyDescent="0.25">
      <c r="B29" s="676">
        <f t="shared" si="24"/>
        <v>2019</v>
      </c>
      <c r="C29" s="58">
        <f>+'8. Final LF'!K$19</f>
        <v>826.5</v>
      </c>
      <c r="D29" s="547">
        <f t="shared" si="25"/>
        <v>9.1575091575091579E-3</v>
      </c>
      <c r="E29" s="58">
        <f>+'9. Exhibit_Tables'!E61</f>
        <v>17600016</v>
      </c>
      <c r="F29" s="544">
        <f t="shared" si="26"/>
        <v>-3.7476601535031003E-3</v>
      </c>
      <c r="G29" s="543">
        <f>+'9. Exhibit_Tables'!F61</f>
        <v>0</v>
      </c>
      <c r="H29" s="323">
        <f t="shared" si="27"/>
        <v>0</v>
      </c>
      <c r="J29" s="572">
        <f t="shared" si="16"/>
        <v>2021</v>
      </c>
      <c r="K29" s="60">
        <f t="shared" si="17"/>
        <v>13507.5</v>
      </c>
      <c r="L29" s="60">
        <f t="shared" si="18"/>
        <v>831</v>
      </c>
      <c r="M29" s="60">
        <f t="shared" si="19"/>
        <v>33.5</v>
      </c>
      <c r="N29" s="60">
        <f t="shared" si="20"/>
        <v>1</v>
      </c>
      <c r="O29" s="60">
        <f t="shared" si="21"/>
        <v>3132</v>
      </c>
      <c r="P29" s="60">
        <f t="shared" si="22"/>
        <v>36</v>
      </c>
      <c r="Q29" s="561">
        <f t="shared" si="23"/>
        <v>17541</v>
      </c>
    </row>
    <row r="30" spans="1:31" x14ac:dyDescent="0.25">
      <c r="B30" s="676">
        <f t="shared" si="24"/>
        <v>2020</v>
      </c>
      <c r="C30" s="58">
        <f>+'8. Final LF'!L$19</f>
        <v>832.5</v>
      </c>
      <c r="D30" s="547">
        <f t="shared" si="25"/>
        <v>7.2595281306715061E-3</v>
      </c>
      <c r="E30" s="58">
        <f>+'9. Exhibit_Tables'!E62</f>
        <v>16820699</v>
      </c>
      <c r="F30" s="544">
        <f t="shared" si="26"/>
        <v>-4.4279334746059322E-2</v>
      </c>
      <c r="G30" s="543">
        <f>+'9. Exhibit_Tables'!F62</f>
        <v>0</v>
      </c>
      <c r="H30" s="323">
        <f t="shared" si="27"/>
        <v>0</v>
      </c>
      <c r="J30" s="572">
        <f t="shared" si="16"/>
        <v>2022</v>
      </c>
      <c r="K30" s="60">
        <f t="shared" si="17"/>
        <v>13800</v>
      </c>
      <c r="L30" s="60">
        <f t="shared" si="18"/>
        <v>840</v>
      </c>
      <c r="M30" s="60">
        <f t="shared" si="19"/>
        <v>34.5</v>
      </c>
      <c r="N30" s="60">
        <f t="shared" si="20"/>
        <v>1</v>
      </c>
      <c r="O30" s="60">
        <f t="shared" si="21"/>
        <v>3177.5</v>
      </c>
      <c r="P30" s="60">
        <f t="shared" si="22"/>
        <v>41</v>
      </c>
      <c r="Q30" s="561">
        <f t="shared" si="23"/>
        <v>17894</v>
      </c>
    </row>
    <row r="31" spans="1:31" ht="12.75" customHeight="1" x14ac:dyDescent="0.25">
      <c r="B31" s="676">
        <f t="shared" si="24"/>
        <v>2021</v>
      </c>
      <c r="C31" s="58">
        <f>+'8. Final LF'!M$19</f>
        <v>831</v>
      </c>
      <c r="D31" s="547">
        <f t="shared" si="25"/>
        <v>-1.8018018018018018E-3</v>
      </c>
      <c r="E31" s="58">
        <f>+'9. Exhibit_Tables'!E63</f>
        <v>17504591</v>
      </c>
      <c r="F31" s="544">
        <f t="shared" si="26"/>
        <v>4.0657763390213451E-2</v>
      </c>
      <c r="G31" s="543">
        <f>+'9. Exhibit_Tables'!F63</f>
        <v>0</v>
      </c>
      <c r="H31" s="323">
        <f t="shared" si="27"/>
        <v>0</v>
      </c>
      <c r="J31" s="572" t="str">
        <f t="shared" si="16"/>
        <v>2023</v>
      </c>
      <c r="K31" s="60">
        <f t="shared" si="17"/>
        <v>14154</v>
      </c>
      <c r="L31" s="60">
        <f t="shared" si="18"/>
        <v>852</v>
      </c>
      <c r="M31" s="60">
        <f t="shared" si="19"/>
        <v>36</v>
      </c>
      <c r="N31" s="60">
        <f t="shared" si="20"/>
        <v>1</v>
      </c>
      <c r="O31" s="60">
        <f t="shared" si="21"/>
        <v>3211</v>
      </c>
      <c r="P31" s="60">
        <f t="shared" si="22"/>
        <v>46</v>
      </c>
      <c r="Q31" s="561">
        <f t="shared" si="23"/>
        <v>18300</v>
      </c>
    </row>
    <row r="32" spans="1:31" x14ac:dyDescent="0.25">
      <c r="B32" s="676">
        <f t="shared" si="24"/>
        <v>2022</v>
      </c>
      <c r="C32" s="58">
        <f>+'8. Final LF'!N$19</f>
        <v>840</v>
      </c>
      <c r="D32" s="547">
        <f t="shared" si="25"/>
        <v>1.0830324909747292E-2</v>
      </c>
      <c r="E32" s="58">
        <f>+'9. Exhibit_Tables'!E64</f>
        <v>18818565</v>
      </c>
      <c r="F32" s="544">
        <f t="shared" si="26"/>
        <v>7.506453592660349E-2</v>
      </c>
      <c r="G32" s="543">
        <f>+'9. Exhibit_Tables'!F64</f>
        <v>0</v>
      </c>
      <c r="H32" s="323">
        <f t="shared" si="27"/>
        <v>0</v>
      </c>
      <c r="J32" s="572" t="str">
        <f t="shared" si="16"/>
        <v>2024</v>
      </c>
      <c r="K32" s="60">
        <f t="shared" si="17"/>
        <v>14408</v>
      </c>
      <c r="L32" s="60">
        <f t="shared" si="18"/>
        <v>858</v>
      </c>
      <c r="M32" s="60">
        <f t="shared" si="19"/>
        <v>36</v>
      </c>
      <c r="N32" s="60">
        <f t="shared" si="20"/>
        <v>1</v>
      </c>
      <c r="O32" s="60">
        <f t="shared" si="21"/>
        <v>3245</v>
      </c>
      <c r="P32" s="60">
        <f t="shared" si="22"/>
        <v>48</v>
      </c>
      <c r="Q32" s="561">
        <f t="shared" si="23"/>
        <v>18596</v>
      </c>
    </row>
    <row r="33" spans="2:21" x14ac:dyDescent="0.25">
      <c r="B33" s="676" t="str">
        <f t="shared" si="24"/>
        <v>2023</v>
      </c>
      <c r="C33" s="58">
        <f>+'8. Final LF'!O$19</f>
        <v>852</v>
      </c>
      <c r="D33" s="548">
        <f t="shared" si="25"/>
        <v>1.4285714285714285E-2</v>
      </c>
      <c r="E33" s="58">
        <f>+'9. Exhibit_Tables'!E65</f>
        <v>18852905.426608346</v>
      </c>
      <c r="F33" s="545">
        <f t="shared" si="26"/>
        <v>1.8248164303891611E-3</v>
      </c>
      <c r="G33" s="543">
        <f>+'9. Exhibit_Tables'!F65</f>
        <v>0</v>
      </c>
      <c r="H33" s="324">
        <f t="shared" si="27"/>
        <v>0</v>
      </c>
    </row>
    <row r="34" spans="2:21" ht="13" thickBot="1" x14ac:dyDescent="0.3">
      <c r="B34" s="677" t="str">
        <f t="shared" si="24"/>
        <v>2024</v>
      </c>
      <c r="C34" s="215">
        <f>+'8. Final LF'!P$19</f>
        <v>858</v>
      </c>
      <c r="D34" s="549">
        <f t="shared" si="25"/>
        <v>7.0422535211267607E-3</v>
      </c>
      <c r="E34" s="215">
        <f>+'9. Exhibit_Tables'!E66</f>
        <v>19131277.822161231</v>
      </c>
      <c r="F34" s="546">
        <f t="shared" si="26"/>
        <v>1.4765490477663963E-2</v>
      </c>
      <c r="G34" s="678">
        <f>+'9. Exhibit_Tables'!F66</f>
        <v>0</v>
      </c>
      <c r="H34" s="325">
        <f t="shared" si="27"/>
        <v>0</v>
      </c>
    </row>
    <row r="35" spans="2:21" ht="13" x14ac:dyDescent="0.3">
      <c r="J35" s="876" t="s">
        <v>465</v>
      </c>
      <c r="K35" s="793"/>
      <c r="L35" s="793"/>
      <c r="M35" s="793"/>
      <c r="N35" s="793"/>
      <c r="O35" s="793"/>
      <c r="P35" s="793"/>
      <c r="Q35" s="793"/>
      <c r="R35" s="793"/>
      <c r="S35" s="793"/>
      <c r="T35" s="793"/>
      <c r="U35" s="877"/>
    </row>
    <row r="36" spans="2:21" ht="54" customHeight="1" thickBot="1" x14ac:dyDescent="0.3">
      <c r="C36" s="30"/>
      <c r="D36" s="30"/>
      <c r="E36" s="30"/>
      <c r="F36" s="30"/>
      <c r="G36" s="30"/>
      <c r="H36" s="30"/>
      <c r="J36" s="872" t="s">
        <v>33</v>
      </c>
      <c r="K36" s="567" t="str">
        <f>+K20</f>
        <v>Residential-WN</v>
      </c>
      <c r="L36" s="560" t="str">
        <f>+L20</f>
        <v>General Service &lt; 50 kW-WN</v>
      </c>
      <c r="M36" s="870" t="str">
        <f>+M20</f>
        <v>General Service &gt; 50 kW - 4999 kW - Excluding Wholesale Market Participant-Non-WN/kW</v>
      </c>
      <c r="N36" s="871"/>
      <c r="O36" s="878" t="str">
        <f>+N20</f>
        <v>General Service &gt; 50 kW - 4999 kW - Wholesale Market Participant-Non-WN/kW</v>
      </c>
      <c r="P36" s="878"/>
      <c r="Q36" s="878" t="str">
        <f>+Q4</f>
        <v>Streetlighting-Non-WN/kW</v>
      </c>
      <c r="R36" s="878"/>
      <c r="S36" s="560" t="str">
        <f>+S4</f>
        <v>Unmetered Scattered Load-WN</v>
      </c>
      <c r="T36" s="874" t="s">
        <v>16</v>
      </c>
      <c r="U36" s="875"/>
    </row>
    <row r="37" spans="2:21" ht="13.5" thickBot="1" x14ac:dyDescent="0.35">
      <c r="B37" s="879" t="str">
        <f>+'8. Final LF'!B23</f>
        <v>General Service &gt; 50 kW - 4999 kW - Excluding Wholesale Market Participant-Non-WN/kW</v>
      </c>
      <c r="C37" s="802"/>
      <c r="D37" s="802"/>
      <c r="E37" s="802"/>
      <c r="F37" s="802"/>
      <c r="G37" s="802"/>
      <c r="H37" s="803"/>
      <c r="J37" s="873"/>
      <c r="K37" s="12" t="s">
        <v>35</v>
      </c>
      <c r="L37" s="12" t="s">
        <v>35</v>
      </c>
      <c r="M37" s="12" t="s">
        <v>35</v>
      </c>
      <c r="N37" s="12" t="s">
        <v>36</v>
      </c>
      <c r="O37" s="12" t="s">
        <v>35</v>
      </c>
      <c r="P37" s="12" t="s">
        <v>36</v>
      </c>
      <c r="Q37" s="12" t="s">
        <v>35</v>
      </c>
      <c r="R37" s="12" t="s">
        <v>36</v>
      </c>
      <c r="S37" s="12" t="s">
        <v>35</v>
      </c>
      <c r="T37" s="12" t="s">
        <v>35</v>
      </c>
      <c r="U37" s="12" t="s">
        <v>36</v>
      </c>
    </row>
    <row r="38" spans="2:21" ht="13" thickBot="1" x14ac:dyDescent="0.3">
      <c r="B38" s="75" t="s">
        <v>33</v>
      </c>
      <c r="C38" s="320" t="s">
        <v>34</v>
      </c>
      <c r="D38" s="321" t="s">
        <v>236</v>
      </c>
      <c r="E38" s="321" t="s">
        <v>35</v>
      </c>
      <c r="F38" s="321" t="s">
        <v>236</v>
      </c>
      <c r="G38" s="542" t="s">
        <v>36</v>
      </c>
      <c r="H38" s="322" t="s">
        <v>236</v>
      </c>
      <c r="J38" s="572">
        <f>+B39</f>
        <v>2013</v>
      </c>
      <c r="K38" s="60"/>
      <c r="L38" s="60"/>
      <c r="M38" s="60"/>
      <c r="N38" s="60"/>
      <c r="O38" s="60"/>
      <c r="P38" s="60"/>
      <c r="Q38" s="60"/>
      <c r="R38" s="60"/>
      <c r="S38" s="60"/>
      <c r="T38" s="561"/>
      <c r="U38" s="561"/>
    </row>
    <row r="39" spans="2:21" x14ac:dyDescent="0.25">
      <c r="B39" s="676">
        <f>+B23</f>
        <v>2013</v>
      </c>
      <c r="C39" s="58">
        <f>+'8. Final LF'!E$23</f>
        <v>35</v>
      </c>
      <c r="D39" s="58"/>
      <c r="E39" s="58">
        <f>+'9. Exhibit_Tables'!G55</f>
        <v>17691775</v>
      </c>
      <c r="F39" s="679"/>
      <c r="G39" s="58">
        <f>+'9. Exhibit_Tables'!H55</f>
        <v>46868</v>
      </c>
      <c r="H39" s="319"/>
      <c r="J39" s="572">
        <f t="shared" ref="J39:J49" si="28">+B40</f>
        <v>2014</v>
      </c>
      <c r="K39" s="749">
        <f>+K7/K6-1</f>
        <v>1.5469525183632538E-2</v>
      </c>
      <c r="L39" s="749">
        <f t="shared" ref="L39:U39" si="29">+L7/L6-1</f>
        <v>7.3204384838709835E-3</v>
      </c>
      <c r="M39" s="749">
        <f>+M7/M6-1</f>
        <v>-2.1498803822680324E-2</v>
      </c>
      <c r="N39" s="749">
        <f t="shared" si="29"/>
        <v>-1.8733464197320138E-2</v>
      </c>
      <c r="O39" s="749">
        <f>+O7/O6-1</f>
        <v>-3.9412687422650472E-2</v>
      </c>
      <c r="P39" s="749">
        <f t="shared" si="29"/>
        <v>-7.2605247101891424E-2</v>
      </c>
      <c r="Q39" s="749">
        <f t="shared" si="29"/>
        <v>2.1428301012818451E-2</v>
      </c>
      <c r="R39" s="749">
        <f t="shared" si="29"/>
        <v>2.1657250470809686E-2</v>
      </c>
      <c r="S39" s="749">
        <f t="shared" si="29"/>
        <v>-5.3124173124173169E-2</v>
      </c>
      <c r="T39" s="749">
        <f t="shared" si="29"/>
        <v>7.5946085853439982E-3</v>
      </c>
      <c r="U39" s="749">
        <f t="shared" si="29"/>
        <v>-2.1095106752477277E-2</v>
      </c>
    </row>
    <row r="40" spans="2:21" x14ac:dyDescent="0.25">
      <c r="B40" s="676">
        <f t="shared" ref="B40:B50" si="30">+B24</f>
        <v>2014</v>
      </c>
      <c r="C40" s="58">
        <f>+'8. Final LF'!F$23</f>
        <v>36</v>
      </c>
      <c r="D40" s="547">
        <f t="shared" ref="D40:D50" si="31">(C40-C39)/C39</f>
        <v>2.8571428571428571E-2</v>
      </c>
      <c r="E40" s="58">
        <f>+'9. Exhibit_Tables'!G56</f>
        <v>17311423</v>
      </c>
      <c r="F40" s="547">
        <f>IF(E39&gt;0,+((E40-E39)/E39),0)</f>
        <v>-2.1498803822680313E-2</v>
      </c>
      <c r="G40" s="58">
        <f>+'9. Exhibit_Tables'!H56</f>
        <v>45990</v>
      </c>
      <c r="H40" s="323">
        <f>IF(G39&gt;0,+((G40-G39)/G39),0)</f>
        <v>-1.8733464197320134E-2</v>
      </c>
      <c r="J40" s="572">
        <f t="shared" si="28"/>
        <v>2015</v>
      </c>
      <c r="K40" s="749">
        <f t="shared" ref="K40:U40" si="32">+K8/K7-1</f>
        <v>4.6649788437538309E-3</v>
      </c>
      <c r="L40" s="749">
        <f t="shared" si="32"/>
        <v>1.595388302340206E-2</v>
      </c>
      <c r="M40" s="749">
        <f t="shared" si="32"/>
        <v>3.0319644199032325E-2</v>
      </c>
      <c r="N40" s="749">
        <f t="shared" si="32"/>
        <v>6.7145031528592636E-3</v>
      </c>
      <c r="O40" s="749">
        <f t="shared" si="32"/>
        <v>-8.7315529745027876E-3</v>
      </c>
      <c r="P40" s="749">
        <f t="shared" si="32"/>
        <v>2.2126644736842227E-2</v>
      </c>
      <c r="Q40" s="749">
        <f t="shared" si="32"/>
        <v>-1.2711644905200603E-2</v>
      </c>
      <c r="R40" s="749">
        <f t="shared" si="32"/>
        <v>9.4322580645163079E-3</v>
      </c>
      <c r="S40" s="749">
        <f t="shared" si="32"/>
        <v>3.2882760602963801E-2</v>
      </c>
      <c r="T40" s="749">
        <f t="shared" si="32"/>
        <v>9.0732244813331864E-3</v>
      </c>
      <c r="U40" s="749">
        <f t="shared" si="32"/>
        <v>8.6007478911207524E-3</v>
      </c>
    </row>
    <row r="41" spans="2:21" x14ac:dyDescent="0.25">
      <c r="B41" s="676">
        <f t="shared" si="30"/>
        <v>2015</v>
      </c>
      <c r="C41" s="58">
        <f>+'8. Final LF'!G$23</f>
        <v>37</v>
      </c>
      <c r="D41" s="547">
        <f t="shared" si="31"/>
        <v>2.7777777777777776E-2</v>
      </c>
      <c r="E41" s="58">
        <f>+'9. Exhibit_Tables'!G57</f>
        <v>17836299.185938943</v>
      </c>
      <c r="F41" s="547">
        <f t="shared" ref="F41:F50" si="33">IF(E40&gt;0,+((E41-E40)/E40),0)</f>
        <v>3.0319644199032231E-2</v>
      </c>
      <c r="G41" s="58">
        <f>+'9. Exhibit_Tables'!H57</f>
        <v>46298.799999999996</v>
      </c>
      <c r="H41" s="323">
        <f t="shared" ref="H41:H50" si="34">IF(G40&gt;0,+((G41-G40)/G40),0)</f>
        <v>6.7145031528592219E-3</v>
      </c>
      <c r="J41" s="572">
        <f t="shared" si="28"/>
        <v>2016</v>
      </c>
      <c r="K41" s="749">
        <f t="shared" ref="K41:U41" si="35">+K9/K8-1</f>
        <v>1.731011853529707E-2</v>
      </c>
      <c r="L41" s="749">
        <f t="shared" si="35"/>
        <v>1.1918536568116034E-2</v>
      </c>
      <c r="M41" s="749">
        <f t="shared" si="35"/>
        <v>-4.5329342353725099E-2</v>
      </c>
      <c r="N41" s="749">
        <f t="shared" si="35"/>
        <v>-2.4162613285873435E-2</v>
      </c>
      <c r="O41" s="749">
        <f t="shared" si="35"/>
        <v>-7.0782371710263359E-2</v>
      </c>
      <c r="P41" s="749">
        <f t="shared" si="35"/>
        <v>-4.6960912571023083E-2</v>
      </c>
      <c r="Q41" s="749">
        <f t="shared" si="35"/>
        <v>-0.4851202123524464</v>
      </c>
      <c r="R41" s="749">
        <f t="shared" si="35"/>
        <v>-0.46449799768816524</v>
      </c>
      <c r="S41" s="749">
        <f t="shared" si="35"/>
        <v>-0.29020264133295715</v>
      </c>
      <c r="T41" s="749">
        <f t="shared" si="35"/>
        <v>-2.1888630789502761E-3</v>
      </c>
      <c r="U41" s="749">
        <f t="shared" si="35"/>
        <v>-6.8188378930668314E-2</v>
      </c>
    </row>
    <row r="42" spans="2:21" x14ac:dyDescent="0.25">
      <c r="B42" s="676">
        <f t="shared" si="30"/>
        <v>2016</v>
      </c>
      <c r="C42" s="58">
        <f>+'8. Final LF'!H$23</f>
        <v>36</v>
      </c>
      <c r="D42" s="547">
        <f t="shared" si="31"/>
        <v>-2.7027027027027029E-2</v>
      </c>
      <c r="E42" s="58">
        <f>+'9. Exhibit_Tables'!G58</f>
        <v>17027791.473816048</v>
      </c>
      <c r="F42" s="547">
        <f t="shared" si="33"/>
        <v>-4.5329342353725106E-2</v>
      </c>
      <c r="G42" s="58">
        <f>+'9. Exhibit_Tables'!H58</f>
        <v>45180.1</v>
      </c>
      <c r="H42" s="323">
        <f t="shared" si="34"/>
        <v>-2.4162613285873439E-2</v>
      </c>
      <c r="J42" s="572">
        <f t="shared" si="28"/>
        <v>2017</v>
      </c>
      <c r="K42" s="749">
        <f t="shared" ref="K42:U42" si="36">+K10/K9-1</f>
        <v>-1.9031281976277126E-2</v>
      </c>
      <c r="L42" s="749">
        <f t="shared" si="36"/>
        <v>-7.940571034157351E-4</v>
      </c>
      <c r="M42" s="749">
        <f t="shared" si="36"/>
        <v>-3.2469358969201889E-2</v>
      </c>
      <c r="N42" s="749">
        <f t="shared" si="36"/>
        <v>-4.6341198890662016E-2</v>
      </c>
      <c r="O42" s="749">
        <f t="shared" si="36"/>
        <v>-0.11869908680603813</v>
      </c>
      <c r="P42" s="749">
        <f t="shared" si="36"/>
        <v>-6.1693250870803684E-2</v>
      </c>
      <c r="Q42" s="749">
        <f t="shared" si="36"/>
        <v>-0.18646966124937137</v>
      </c>
      <c r="R42" s="749">
        <f t="shared" si="36"/>
        <v>-0.23546462063086115</v>
      </c>
      <c r="S42" s="749">
        <f t="shared" si="36"/>
        <v>-0.19022259975605504</v>
      </c>
      <c r="T42" s="749">
        <f t="shared" si="36"/>
        <v>-2.2339633071044473E-2</v>
      </c>
      <c r="U42" s="749">
        <f t="shared" si="36"/>
        <v>-5.8287648682925464E-2</v>
      </c>
    </row>
    <row r="43" spans="2:21" x14ac:dyDescent="0.25">
      <c r="B43" s="676">
        <f t="shared" si="30"/>
        <v>2017</v>
      </c>
      <c r="C43" s="58">
        <f>+'8. Final LF'!I$23</f>
        <v>34.5</v>
      </c>
      <c r="D43" s="547">
        <f t="shared" si="31"/>
        <v>-4.1666666666666664E-2</v>
      </c>
      <c r="E43" s="58">
        <f>+'9. Exhibit_Tables'!G59</f>
        <v>16474910</v>
      </c>
      <c r="F43" s="547">
        <f t="shared" si="33"/>
        <v>-3.2469358969201875E-2</v>
      </c>
      <c r="G43" s="58">
        <f>+'9. Exhibit_Tables'!H59</f>
        <v>43086.400000000001</v>
      </c>
      <c r="H43" s="323">
        <f t="shared" si="34"/>
        <v>-4.6341198890661975E-2</v>
      </c>
      <c r="J43" s="572">
        <f t="shared" si="28"/>
        <v>2018</v>
      </c>
      <c r="K43" s="749">
        <f t="shared" ref="K43:U43" si="37">+K11/K10-1</f>
        <v>9.1732706601676428E-2</v>
      </c>
      <c r="L43" s="749">
        <f t="shared" si="37"/>
        <v>3.8967249243955893E-2</v>
      </c>
      <c r="M43" s="749">
        <f t="shared" si="37"/>
        <v>3.618010659845794E-2</v>
      </c>
      <c r="N43" s="749">
        <f t="shared" si="37"/>
        <v>6.4909112852315376E-2</v>
      </c>
      <c r="O43" s="749">
        <f t="shared" si="37"/>
        <v>-4.4422644382158705E-2</v>
      </c>
      <c r="P43" s="749">
        <f t="shared" si="37"/>
        <v>-2.9294801432350415E-2</v>
      </c>
      <c r="Q43" s="749">
        <f t="shared" si="37"/>
        <v>4.0080767821508712E-3</v>
      </c>
      <c r="R43" s="749">
        <f t="shared" si="37"/>
        <v>2.4977698483497068E-3</v>
      </c>
      <c r="S43" s="749">
        <f t="shared" si="37"/>
        <v>3.4912651129012762E-2</v>
      </c>
      <c r="T43" s="749">
        <f t="shared" si="37"/>
        <v>7.3583991881408517E-2</v>
      </c>
      <c r="U43" s="749">
        <f t="shared" si="37"/>
        <v>5.1871154371463835E-2</v>
      </c>
    </row>
    <row r="44" spans="2:21" x14ac:dyDescent="0.25">
      <c r="B44" s="676">
        <f t="shared" si="30"/>
        <v>2018</v>
      </c>
      <c r="C44" s="58">
        <f>+'8. Final LF'!J$23</f>
        <v>33.5</v>
      </c>
      <c r="D44" s="547">
        <f t="shared" si="31"/>
        <v>-2.8985507246376812E-2</v>
      </c>
      <c r="E44" s="58">
        <f>+'9. Exhibit_Tables'!G60</f>
        <v>17070974</v>
      </c>
      <c r="F44" s="547">
        <f t="shared" si="33"/>
        <v>3.6180106598457898E-2</v>
      </c>
      <c r="G44" s="58">
        <f>+'9. Exhibit_Tables'!H60</f>
        <v>45883.1</v>
      </c>
      <c r="H44" s="323">
        <f t="shared" si="34"/>
        <v>6.4909112852315279E-2</v>
      </c>
      <c r="J44" s="572">
        <f t="shared" si="28"/>
        <v>2019</v>
      </c>
      <c r="K44" s="749">
        <f t="shared" ref="K44:U44" si="38">+K12/K11-1</f>
        <v>-8.865727778116228E-3</v>
      </c>
      <c r="L44" s="749">
        <f t="shared" si="38"/>
        <v>-3.7476601535031406E-3</v>
      </c>
      <c r="M44" s="749">
        <f t="shared" si="38"/>
        <v>1.9924639332237204E-2</v>
      </c>
      <c r="N44" s="749">
        <f t="shared" si="38"/>
        <v>-4.7015131933108356E-2</v>
      </c>
      <c r="O44" s="749">
        <f t="shared" si="38"/>
        <v>-3.894948436323431E-3</v>
      </c>
      <c r="P44" s="749">
        <f t="shared" si="38"/>
        <v>-3.7582723143942731E-2</v>
      </c>
      <c r="Q44" s="749">
        <f t="shared" si="38"/>
        <v>1.5966992185192375E-2</v>
      </c>
      <c r="R44" s="749">
        <f t="shared" si="38"/>
        <v>1.7440825769710067E-2</v>
      </c>
      <c r="S44" s="749">
        <f t="shared" si="38"/>
        <v>1.6373630657673388E-3</v>
      </c>
      <c r="T44" s="749">
        <f t="shared" si="38"/>
        <v>-4.2784469235859213E-3</v>
      </c>
      <c r="U44" s="749">
        <f t="shared" si="38"/>
        <v>-4.3357894972835154E-2</v>
      </c>
    </row>
    <row r="45" spans="2:21" x14ac:dyDescent="0.25">
      <c r="B45" s="676">
        <f t="shared" si="30"/>
        <v>2019</v>
      </c>
      <c r="C45" s="58">
        <f>+'8. Final LF'!K$23</f>
        <v>34</v>
      </c>
      <c r="D45" s="547">
        <f t="shared" si="31"/>
        <v>1.4925373134328358E-2</v>
      </c>
      <c r="E45" s="58">
        <f>+'9. Exhibit_Tables'!G61</f>
        <v>17411107</v>
      </c>
      <c r="F45" s="547">
        <f t="shared" si="33"/>
        <v>1.992463933223728E-2</v>
      </c>
      <c r="G45" s="58">
        <f>+'9. Exhibit_Tables'!H61</f>
        <v>43725.899999999994</v>
      </c>
      <c r="H45" s="323">
        <f t="shared" si="34"/>
        <v>-4.7015131933108363E-2</v>
      </c>
      <c r="J45" s="572">
        <f t="shared" si="28"/>
        <v>2020</v>
      </c>
      <c r="K45" s="749">
        <f t="shared" ref="K45:U45" si="39">+K13/K12-1</f>
        <v>7.9128989190384136E-2</v>
      </c>
      <c r="L45" s="749">
        <f t="shared" si="39"/>
        <v>-4.4279334746059273E-2</v>
      </c>
      <c r="M45" s="749">
        <f t="shared" si="39"/>
        <v>-5.7959898816313027E-2</v>
      </c>
      <c r="N45" s="749">
        <f t="shared" si="39"/>
        <v>-2.7407097395365065E-2</v>
      </c>
      <c r="O45" s="749">
        <f t="shared" si="39"/>
        <v>2.4969819102001356E-2</v>
      </c>
      <c r="P45" s="749">
        <f t="shared" si="39"/>
        <v>6.4398200224971669E-2</v>
      </c>
      <c r="Q45" s="749">
        <f t="shared" si="39"/>
        <v>3.7603272681226318E-2</v>
      </c>
      <c r="R45" s="749">
        <f t="shared" si="39"/>
        <v>1.8016442189959792E-2</v>
      </c>
      <c r="S45" s="749">
        <f t="shared" si="39"/>
        <v>-6.7203777942110854E-3</v>
      </c>
      <c r="T45" s="749">
        <f t="shared" si="39"/>
        <v>4.3598996698918757E-2</v>
      </c>
      <c r="U45" s="749">
        <f t="shared" si="39"/>
        <v>-1.6070084519981265E-2</v>
      </c>
    </row>
    <row r="46" spans="2:21" x14ac:dyDescent="0.25">
      <c r="B46" s="676">
        <f t="shared" si="30"/>
        <v>2020</v>
      </c>
      <c r="C46" s="58">
        <f>+'8. Final LF'!L$23</f>
        <v>34</v>
      </c>
      <c r="D46" s="547">
        <f t="shared" si="31"/>
        <v>0</v>
      </c>
      <c r="E46" s="58">
        <f>+'9. Exhibit_Tables'!G62</f>
        <v>16401961</v>
      </c>
      <c r="F46" s="547">
        <f t="shared" si="33"/>
        <v>-5.7959898816313055E-2</v>
      </c>
      <c r="G46" s="58">
        <f>+'9. Exhibit_Tables'!H62</f>
        <v>42527.5</v>
      </c>
      <c r="H46" s="323">
        <f t="shared" si="34"/>
        <v>-2.740709739536509E-2</v>
      </c>
      <c r="J46" s="572">
        <f t="shared" si="28"/>
        <v>2021</v>
      </c>
      <c r="K46" s="749">
        <f t="shared" ref="K46:U46" si="40">+K14/K13-1</f>
        <v>2.2210366013279081E-2</v>
      </c>
      <c r="L46" s="749">
        <f t="shared" si="40"/>
        <v>4.0657763390213431E-2</v>
      </c>
      <c r="M46" s="749">
        <f t="shared" si="40"/>
        <v>4.056118655568075E-2</v>
      </c>
      <c r="N46" s="749">
        <f t="shared" si="40"/>
        <v>2.4567632708247578E-2</v>
      </c>
      <c r="O46" s="749">
        <f t="shared" si="40"/>
        <v>1.4517767295205708E-3</v>
      </c>
      <c r="P46" s="749">
        <f t="shared" si="40"/>
        <v>-4.2434990318669374E-2</v>
      </c>
      <c r="Q46" s="749">
        <f t="shared" si="40"/>
        <v>-1.4950985275657969E-2</v>
      </c>
      <c r="R46" s="749">
        <f t="shared" si="40"/>
        <v>4.1237113402061709E-3</v>
      </c>
      <c r="S46" s="749">
        <f t="shared" si="40"/>
        <v>1.4648450255351886E-2</v>
      </c>
      <c r="T46" s="749">
        <f t="shared" si="40"/>
        <v>2.5963665364796329E-2</v>
      </c>
      <c r="U46" s="749">
        <f t="shared" si="40"/>
        <v>1.627379837083387E-2</v>
      </c>
    </row>
    <row r="47" spans="2:21" x14ac:dyDescent="0.25">
      <c r="B47" s="676">
        <f t="shared" si="30"/>
        <v>2021</v>
      </c>
      <c r="C47" s="58">
        <f>+'8. Final LF'!M$23</f>
        <v>33.5</v>
      </c>
      <c r="D47" s="547">
        <f t="shared" si="31"/>
        <v>-1.4705882352941176E-2</v>
      </c>
      <c r="E47" s="58">
        <f>+'9. Exhibit_Tables'!G63</f>
        <v>17067244</v>
      </c>
      <c r="F47" s="547">
        <f t="shared" si="33"/>
        <v>4.056118655568075E-2</v>
      </c>
      <c r="G47" s="58">
        <f>+'9. Exhibit_Tables'!H63</f>
        <v>43572.3</v>
      </c>
      <c r="H47" s="323">
        <f t="shared" si="34"/>
        <v>2.4567632708247671E-2</v>
      </c>
      <c r="J47" s="572">
        <f t="shared" si="28"/>
        <v>2022</v>
      </c>
      <c r="K47" s="749">
        <f t="shared" ref="K47:U47" si="41">+K15/K14-1</f>
        <v>3.497472850392036E-3</v>
      </c>
      <c r="L47" s="749">
        <f t="shared" si="41"/>
        <v>7.5064535926603559E-2</v>
      </c>
      <c r="M47" s="749">
        <f t="shared" si="41"/>
        <v>5.6847608202003741E-2</v>
      </c>
      <c r="N47" s="749">
        <f t="shared" si="41"/>
        <v>3.3245892459200066E-2</v>
      </c>
      <c r="O47" s="749">
        <f t="shared" si="41"/>
        <v>3.0317017534127633E-2</v>
      </c>
      <c r="P47" s="749">
        <f t="shared" si="41"/>
        <v>6.9147327840350714E-2</v>
      </c>
      <c r="Q47" s="749">
        <f t="shared" si="41"/>
        <v>1.4426978905663246E-2</v>
      </c>
      <c r="R47" s="749">
        <f t="shared" si="41"/>
        <v>1.4373716632443356E-2</v>
      </c>
      <c r="S47" s="749">
        <f t="shared" si="41"/>
        <v>0.18881092285230672</v>
      </c>
      <c r="T47" s="749">
        <f t="shared" si="41"/>
        <v>1.9389398949854808E-2</v>
      </c>
      <c r="U47" s="749">
        <f t="shared" si="41"/>
        <v>3.6094645664678016E-2</v>
      </c>
    </row>
    <row r="48" spans="2:21" x14ac:dyDescent="0.25">
      <c r="B48" s="676">
        <f t="shared" si="30"/>
        <v>2022</v>
      </c>
      <c r="C48" s="58">
        <f>+'8. Final LF'!N$23</f>
        <v>34.5</v>
      </c>
      <c r="D48" s="547">
        <f t="shared" si="31"/>
        <v>2.9850746268656716E-2</v>
      </c>
      <c r="E48" s="58">
        <f>+'9. Exhibit_Tables'!G64</f>
        <v>18037476</v>
      </c>
      <c r="F48" s="547">
        <f t="shared" si="33"/>
        <v>5.684760820200379E-2</v>
      </c>
      <c r="G48" s="58">
        <f>+'9. Exhibit_Tables'!H64</f>
        <v>45020.900000000009</v>
      </c>
      <c r="H48" s="323">
        <f t="shared" si="34"/>
        <v>3.3245892459200128E-2</v>
      </c>
      <c r="J48" s="572" t="str">
        <f t="shared" si="28"/>
        <v>2023</v>
      </c>
      <c r="K48" s="749">
        <f t="shared" ref="K48:U48" si="42">+K16/K15-1</f>
        <v>1.0811548961489059E-2</v>
      </c>
      <c r="L48" s="749">
        <f t="shared" si="42"/>
        <v>1.8248164303891201E-3</v>
      </c>
      <c r="M48" s="749">
        <f t="shared" si="42"/>
        <v>2.8280678336188636E-2</v>
      </c>
      <c r="N48" s="749">
        <f t="shared" si="42"/>
        <v>2.8280678336188636E-2</v>
      </c>
      <c r="O48" s="749">
        <f t="shared" si="42"/>
        <v>-1.4564349927819187E-2</v>
      </c>
      <c r="P48" s="749">
        <f t="shared" si="42"/>
        <v>-1.4564349927819187E-2</v>
      </c>
      <c r="Q48" s="749">
        <f t="shared" si="42"/>
        <v>1.1120265185030842E-2</v>
      </c>
      <c r="R48" s="749">
        <f t="shared" si="42"/>
        <v>1.1120265185030842E-2</v>
      </c>
      <c r="S48" s="749">
        <f t="shared" si="42"/>
        <v>0.12084592828542284</v>
      </c>
      <c r="T48" s="749">
        <f t="shared" si="42"/>
        <v>1.1462402569026642E-2</v>
      </c>
      <c r="U48" s="749">
        <f t="shared" si="42"/>
        <v>2.2944417194395772E-2</v>
      </c>
    </row>
    <row r="49" spans="2:22" x14ac:dyDescent="0.25">
      <c r="B49" s="676" t="str">
        <f t="shared" si="30"/>
        <v>2023</v>
      </c>
      <c r="C49" s="58">
        <f>+'8. Final LF'!O$23</f>
        <v>36</v>
      </c>
      <c r="D49" s="548">
        <f t="shared" si="31"/>
        <v>4.3478260869565216E-2</v>
      </c>
      <c r="E49" s="58">
        <f>+'9. Exhibit_Tables'!G65</f>
        <v>18547588.056752723</v>
      </c>
      <c r="F49" s="548">
        <f t="shared" si="33"/>
        <v>2.828067833618865E-2</v>
      </c>
      <c r="G49" s="58">
        <f>+'9. Exhibit_Tables'!H65</f>
        <v>46294.121591305724</v>
      </c>
      <c r="H49" s="324">
        <f t="shared" si="34"/>
        <v>2.8280678336188636E-2</v>
      </c>
      <c r="J49" s="572" t="str">
        <f t="shared" si="28"/>
        <v>2024</v>
      </c>
      <c r="K49" s="749">
        <f t="shared" ref="K49:U49" si="43">+K17/K16-1</f>
        <v>2.3484143482287001E-2</v>
      </c>
      <c r="L49" s="749">
        <f t="shared" si="43"/>
        <v>1.4765490477663956E-2</v>
      </c>
      <c r="M49" s="749">
        <f t="shared" si="43"/>
        <v>3.9804720965961327E-3</v>
      </c>
      <c r="N49" s="749">
        <f t="shared" si="43"/>
        <v>3.9804720965961327E-3</v>
      </c>
      <c r="O49" s="749">
        <f t="shared" si="43"/>
        <v>3.9804720965961327E-3</v>
      </c>
      <c r="P49" s="749">
        <f t="shared" si="43"/>
        <v>3.9804720965961327E-3</v>
      </c>
      <c r="Q49" s="749">
        <f t="shared" si="43"/>
        <v>1.1166013368241634E-2</v>
      </c>
      <c r="R49" s="749">
        <f t="shared" si="43"/>
        <v>1.1166013368241634E-2</v>
      </c>
      <c r="S49" s="749">
        <f t="shared" si="43"/>
        <v>4.3244483650555221E-2</v>
      </c>
      <c r="T49" s="749">
        <f t="shared" si="43"/>
        <v>1.9510863006077406E-2</v>
      </c>
      <c r="U49" s="749">
        <f t="shared" si="43"/>
        <v>4.2979374526719294E-3</v>
      </c>
    </row>
    <row r="50" spans="2:22" ht="13" thickBot="1" x14ac:dyDescent="0.3">
      <c r="B50" s="677" t="str">
        <f t="shared" si="30"/>
        <v>2024</v>
      </c>
      <c r="C50" s="215">
        <f>+'8. Final LF'!P$23</f>
        <v>36</v>
      </c>
      <c r="D50" s="549">
        <f t="shared" si="31"/>
        <v>0</v>
      </c>
      <c r="E50" s="215">
        <f>+'9. Exhibit_Tables'!G66</f>
        <v>18621416.213471785</v>
      </c>
      <c r="F50" s="549">
        <f t="shared" si="33"/>
        <v>3.9804720965960563E-3</v>
      </c>
      <c r="G50" s="215">
        <f>+'9. Exhibit_Tables'!H66</f>
        <v>46478.394050536343</v>
      </c>
      <c r="H50" s="325">
        <f t="shared" si="34"/>
        <v>3.9804720965960797E-3</v>
      </c>
      <c r="J50" s="745"/>
      <c r="K50" s="746"/>
      <c r="L50" s="747"/>
      <c r="M50" s="747"/>
      <c r="N50" s="747"/>
      <c r="O50" s="746"/>
      <c r="P50" s="747"/>
    </row>
    <row r="51" spans="2:22" x14ac:dyDescent="0.25">
      <c r="J51" s="745"/>
      <c r="K51" s="748"/>
      <c r="L51" s="748"/>
      <c r="M51" s="748"/>
      <c r="N51" s="748"/>
      <c r="O51" s="748"/>
      <c r="P51" s="748"/>
    </row>
    <row r="52" spans="2:22" ht="13.5" thickBot="1" x14ac:dyDescent="0.35">
      <c r="C52" s="30" t="s">
        <v>30</v>
      </c>
      <c r="D52" s="30"/>
      <c r="E52" s="30"/>
      <c r="F52" s="30"/>
      <c r="G52" s="30"/>
      <c r="H52" s="30"/>
      <c r="J52" s="876" t="s">
        <v>450</v>
      </c>
      <c r="K52" s="793"/>
      <c r="L52" s="793"/>
      <c r="M52" s="793"/>
      <c r="N52" s="793"/>
      <c r="O52" s="793"/>
      <c r="P52" s="793"/>
      <c r="Q52" s="793"/>
      <c r="R52" s="793"/>
      <c r="S52" s="793"/>
      <c r="T52" s="793"/>
      <c r="U52" s="877"/>
    </row>
    <row r="53" spans="2:22" ht="54.75" customHeight="1" thickBot="1" x14ac:dyDescent="0.35">
      <c r="B53" s="879" t="str">
        <f>+'8. Final LF'!B27</f>
        <v>General Service &gt; 50 kW - 4999 kW - Wholesale Market Participant-Non-WN/kW</v>
      </c>
      <c r="C53" s="802"/>
      <c r="D53" s="802"/>
      <c r="E53" s="802"/>
      <c r="F53" s="802"/>
      <c r="G53" s="802"/>
      <c r="H53" s="803"/>
      <c r="J53" s="872" t="s">
        <v>33</v>
      </c>
      <c r="K53" s="567" t="str">
        <f>+K36</f>
        <v>Residential-WN</v>
      </c>
      <c r="L53" s="560" t="str">
        <f>+L36</f>
        <v>General Service &lt; 50 kW-WN</v>
      </c>
      <c r="M53" s="870" t="str">
        <f>+M36</f>
        <v>General Service &gt; 50 kW - 4999 kW - Excluding Wholesale Market Participant-Non-WN/kW</v>
      </c>
      <c r="N53" s="871"/>
      <c r="O53" s="878" t="str">
        <f>+O36</f>
        <v>General Service &gt; 50 kW - 4999 kW - Wholesale Market Participant-Non-WN/kW</v>
      </c>
      <c r="P53" s="878"/>
      <c r="Q53" s="878" t="str">
        <f>+Q36</f>
        <v>Streetlighting-Non-WN/kW</v>
      </c>
      <c r="R53" s="878"/>
      <c r="S53" s="560" t="str">
        <f>+S36</f>
        <v>Unmetered Scattered Load-WN</v>
      </c>
      <c r="T53" s="874" t="s">
        <v>16</v>
      </c>
      <c r="U53" s="875"/>
      <c r="V53" s="759" t="s">
        <v>451</v>
      </c>
    </row>
    <row r="54" spans="2:22" ht="13" thickBot="1" x14ac:dyDescent="0.3">
      <c r="B54" s="75" t="s">
        <v>33</v>
      </c>
      <c r="C54" s="320" t="s">
        <v>34</v>
      </c>
      <c r="D54" s="321" t="s">
        <v>236</v>
      </c>
      <c r="E54" s="321" t="s">
        <v>35</v>
      </c>
      <c r="F54" s="321" t="s">
        <v>236</v>
      </c>
      <c r="G54" s="542" t="s">
        <v>36</v>
      </c>
      <c r="H54" s="322" t="s">
        <v>236</v>
      </c>
      <c r="J54" s="873"/>
      <c r="K54" s="12" t="s">
        <v>35</v>
      </c>
      <c r="L54" s="12" t="s">
        <v>35</v>
      </c>
      <c r="M54" s="12" t="s">
        <v>35</v>
      </c>
      <c r="N54" s="12" t="s">
        <v>36</v>
      </c>
      <c r="O54" s="12" t="s">
        <v>35</v>
      </c>
      <c r="P54" s="12" t="s">
        <v>36</v>
      </c>
      <c r="Q54" s="12" t="s">
        <v>35</v>
      </c>
      <c r="R54" s="12" t="s">
        <v>36</v>
      </c>
      <c r="S54" s="12" t="s">
        <v>35</v>
      </c>
      <c r="T54" s="12" t="s">
        <v>35</v>
      </c>
      <c r="U54" s="12" t="s">
        <v>36</v>
      </c>
      <c r="V54" s="750"/>
    </row>
    <row r="55" spans="2:22" x14ac:dyDescent="0.25">
      <c r="B55" s="676">
        <f>+B39</f>
        <v>2013</v>
      </c>
      <c r="C55" s="58">
        <f>+'8. Final LF'!E$27</f>
        <v>1</v>
      </c>
      <c r="D55" s="58"/>
      <c r="E55" s="58">
        <f>+'9. Exhibit_Tables'!I55</f>
        <v>3594883</v>
      </c>
      <c r="F55" s="58"/>
      <c r="G55" s="58">
        <f>+'9. Exhibit_Tables'!J55</f>
        <v>6556</v>
      </c>
      <c r="H55" s="319"/>
      <c r="J55" s="572">
        <v>2013</v>
      </c>
      <c r="K55" s="60">
        <f>+K6*$V55</f>
        <v>86265336.276462898</v>
      </c>
      <c r="L55" s="60">
        <f t="shared" ref="L55:U55" si="44">+L6*$V55</f>
        <v>16430216.456393756</v>
      </c>
      <c r="M55" s="60">
        <f t="shared" si="44"/>
        <v>17689479.011662643</v>
      </c>
      <c r="N55" s="60">
        <f t="shared" si="44"/>
        <v>46861.917604005524</v>
      </c>
      <c r="O55" s="60">
        <f t="shared" si="44"/>
        <v>3594416.4662891566</v>
      </c>
      <c r="P55" s="60">
        <f t="shared" si="44"/>
        <v>6555.1491809307036</v>
      </c>
      <c r="Q55" s="60">
        <f t="shared" si="44"/>
        <v>1795942.8973775757</v>
      </c>
      <c r="R55" s="60">
        <f t="shared" si="44"/>
        <v>5309.310883273648</v>
      </c>
      <c r="S55" s="60">
        <f t="shared" si="44"/>
        <v>264515.66745198559</v>
      </c>
      <c r="T55" s="60">
        <f>+T6*$V55</f>
        <v>126039906.77563803</v>
      </c>
      <c r="U55" s="60">
        <f t="shared" si="44"/>
        <v>58726.377668209876</v>
      </c>
      <c r="V55" s="750">
        <f>+'6. WS Regression Analysis'!T161</f>
        <v>0.9998702228387284</v>
      </c>
    </row>
    <row r="56" spans="2:22" x14ac:dyDescent="0.25">
      <c r="B56" s="676">
        <f t="shared" ref="B56:B66" si="45">+B40</f>
        <v>2014</v>
      </c>
      <c r="C56" s="58">
        <f>+'8. Final LF'!F$27</f>
        <v>1</v>
      </c>
      <c r="D56" s="117">
        <f t="shared" ref="D56:D66" si="46">(C56-C55)/C55</f>
        <v>0</v>
      </c>
      <c r="E56" s="58">
        <f>+'9. Exhibit_Tables'!I56</f>
        <v>3453199</v>
      </c>
      <c r="F56" s="117">
        <f>IF(E55&gt;0,+((E56-E55)/E55),0)</f>
        <v>-3.9412687422650472E-2</v>
      </c>
      <c r="G56" s="58">
        <f>+'9. Exhibit_Tables'!J56</f>
        <v>6080</v>
      </c>
      <c r="H56" s="323">
        <f>IF(G55&gt;0,+((G56-G55)/G55),0)</f>
        <v>-7.2605247101891396E-2</v>
      </c>
      <c r="J56" s="572">
        <v>2014</v>
      </c>
      <c r="K56" s="60">
        <f t="shared" ref="K56:U56" si="47">+K7*$V56</f>
        <v>88400909.367798567</v>
      </c>
      <c r="L56" s="60">
        <f t="shared" si="47"/>
        <v>16701845.013618771</v>
      </c>
      <c r="M56" s="60">
        <f t="shared" si="47"/>
        <v>17467466.606156401</v>
      </c>
      <c r="N56" s="60">
        <f t="shared" si="47"/>
        <v>46404.549713627406</v>
      </c>
      <c r="O56" s="60">
        <f t="shared" si="47"/>
        <v>3484325.8244520212</v>
      </c>
      <c r="P56" s="60">
        <f t="shared" si="47"/>
        <v>6134.8045718385438</v>
      </c>
      <c r="Q56" s="60">
        <f t="shared" si="47"/>
        <v>1851202.5049000266</v>
      </c>
      <c r="R56" s="60">
        <f t="shared" si="47"/>
        <v>5473.9004608921223</v>
      </c>
      <c r="S56" s="60">
        <f t="shared" si="47"/>
        <v>252753.948359748</v>
      </c>
      <c r="T56" s="60">
        <f t="shared" si="47"/>
        <v>128158503.26528554</v>
      </c>
      <c r="U56" s="60">
        <f t="shared" si="47"/>
        <v>58013.25474635807</v>
      </c>
      <c r="V56" s="750">
        <f>+'6. WS Regression Analysis'!T162</f>
        <v>1.0090139098418658</v>
      </c>
    </row>
    <row r="57" spans="2:22" x14ac:dyDescent="0.25">
      <c r="B57" s="676">
        <f t="shared" si="45"/>
        <v>2015</v>
      </c>
      <c r="C57" s="58">
        <f>+'8. Final LF'!G$27</f>
        <v>1</v>
      </c>
      <c r="D57" s="117">
        <f t="shared" si="46"/>
        <v>0</v>
      </c>
      <c r="E57" s="58">
        <f>+'9. Exhibit_Tables'!I57</f>
        <v>3423047.21</v>
      </c>
      <c r="F57" s="117">
        <f t="shared" ref="F57:F66" si="48">IF(E56&gt;0,+((E57-E56)/E56),0)</f>
        <v>-8.7315529745027841E-3</v>
      </c>
      <c r="G57" s="58">
        <f>+'9. Exhibit_Tables'!J57</f>
        <v>6214.5300000000007</v>
      </c>
      <c r="H57" s="323">
        <f t="shared" ref="H57:H66" si="49">IF(G56&gt;0,+((G57-G56)/G56),0)</f>
        <v>2.2126644736842213E-2</v>
      </c>
      <c r="J57" s="572">
        <v>2015</v>
      </c>
      <c r="K57" s="60">
        <f t="shared" ref="K57:U57" si="50">+K8*$V57</f>
        <v>87873465.951254904</v>
      </c>
      <c r="L57" s="60">
        <f t="shared" si="50"/>
        <v>16788743.889539659</v>
      </c>
      <c r="M57" s="60">
        <f t="shared" si="50"/>
        <v>17806627.022504617</v>
      </c>
      <c r="N57" s="60">
        <f t="shared" si="50"/>
        <v>46221.778105149955</v>
      </c>
      <c r="O57" s="60">
        <f t="shared" si="50"/>
        <v>3417352.6869826573</v>
      </c>
      <c r="P57" s="60">
        <f t="shared" si="50"/>
        <v>6204.1916137739554</v>
      </c>
      <c r="Q57" s="60">
        <f t="shared" si="50"/>
        <v>1808330.069997713</v>
      </c>
      <c r="R57" s="60">
        <f t="shared" si="50"/>
        <v>5467.059936889922</v>
      </c>
      <c r="S57" s="60">
        <f t="shared" si="50"/>
        <v>258302.5761894426</v>
      </c>
      <c r="T57" s="60">
        <f t="shared" si="50"/>
        <v>127952822.19646899</v>
      </c>
      <c r="U57" s="60">
        <f t="shared" si="50"/>
        <v>57893.029655813829</v>
      </c>
      <c r="V57" s="750">
        <f>+'6. WS Regression Analysis'!T163</f>
        <v>0.99833641703780573</v>
      </c>
    </row>
    <row r="58" spans="2:22" x14ac:dyDescent="0.25">
      <c r="B58" s="676">
        <f t="shared" si="45"/>
        <v>2016</v>
      </c>
      <c r="C58" s="58">
        <f>+'8. Final LF'!H$27</f>
        <v>1</v>
      </c>
      <c r="D58" s="117">
        <f t="shared" si="46"/>
        <v>0</v>
      </c>
      <c r="E58" s="58">
        <f>+'9. Exhibit_Tables'!I58</f>
        <v>3180755.81</v>
      </c>
      <c r="F58" s="117">
        <f t="shared" si="48"/>
        <v>-7.0782371710263359E-2</v>
      </c>
      <c r="G58" s="58">
        <f>+'9. Exhibit_Tables'!J58</f>
        <v>5922.6900000000005</v>
      </c>
      <c r="H58" s="323">
        <f t="shared" si="49"/>
        <v>-4.696091257102309E-2</v>
      </c>
      <c r="J58" s="572">
        <v>2016</v>
      </c>
      <c r="K58" s="60">
        <f t="shared" ref="K58:U58" si="51">+K9*$V58</f>
        <v>89066010.278924704</v>
      </c>
      <c r="L58" s="60">
        <f t="shared" si="51"/>
        <v>16926401.311753377</v>
      </c>
      <c r="M58" s="60">
        <f t="shared" si="51"/>
        <v>16936985.450419553</v>
      </c>
      <c r="N58" s="60">
        <f t="shared" si="51"/>
        <v>44939.162986884425</v>
      </c>
      <c r="O58" s="60">
        <f t="shared" si="51"/>
        <v>3163793.4348766292</v>
      </c>
      <c r="P58" s="60">
        <f t="shared" si="51"/>
        <v>5891.1054032813245</v>
      </c>
      <c r="Q58" s="60">
        <f t="shared" si="51"/>
        <v>927650.59031291201</v>
      </c>
      <c r="R58" s="60">
        <f t="shared" si="51"/>
        <v>2916.8615266243014</v>
      </c>
      <c r="S58" s="60">
        <f t="shared" si="51"/>
        <v>182668.63960494447</v>
      </c>
      <c r="T58" s="60">
        <f t="shared" si="51"/>
        <v>127203509.70589212</v>
      </c>
      <c r="U58" s="60">
        <f t="shared" si="51"/>
        <v>53747.129916790051</v>
      </c>
      <c r="V58" s="750">
        <f>+'6. WS Regression Analysis'!T164</f>
        <v>0.99466718725466363</v>
      </c>
    </row>
    <row r="59" spans="2:22" x14ac:dyDescent="0.25">
      <c r="B59" s="676">
        <f t="shared" si="45"/>
        <v>2017</v>
      </c>
      <c r="C59" s="58">
        <f>+'8. Final LF'!I$27</f>
        <v>1</v>
      </c>
      <c r="D59" s="117">
        <f t="shared" si="46"/>
        <v>0</v>
      </c>
      <c r="E59" s="58">
        <f>+'9. Exhibit_Tables'!I59</f>
        <v>2803203</v>
      </c>
      <c r="F59" s="117">
        <f t="shared" si="48"/>
        <v>-0.11869908680603811</v>
      </c>
      <c r="G59" s="58">
        <f>+'9. Exhibit_Tables'!J59</f>
        <v>5557.3</v>
      </c>
      <c r="H59" s="323">
        <f t="shared" si="49"/>
        <v>-6.1693250870803691E-2</v>
      </c>
      <c r="J59" s="572">
        <v>2017</v>
      </c>
      <c r="K59" s="60">
        <f t="shared" ref="K59:U59" si="52">+K10*$V59</f>
        <v>88546624.819334731</v>
      </c>
      <c r="L59" s="60">
        <f t="shared" si="52"/>
        <v>17140539.864903942</v>
      </c>
      <c r="M59" s="60">
        <f t="shared" si="52"/>
        <v>16607554.902409976</v>
      </c>
      <c r="N59" s="60">
        <f t="shared" si="52"/>
        <v>43433.302734108853</v>
      </c>
      <c r="O59" s="60">
        <f t="shared" si="52"/>
        <v>2825772.5065023331</v>
      </c>
      <c r="P59" s="60">
        <f t="shared" si="52"/>
        <v>5602.0436444971756</v>
      </c>
      <c r="Q59" s="60">
        <f t="shared" si="52"/>
        <v>764826.68739596719</v>
      </c>
      <c r="R59" s="60">
        <f t="shared" si="52"/>
        <v>2260.05107713506</v>
      </c>
      <c r="S59" s="60">
        <f t="shared" si="52"/>
        <v>149911.34517621022</v>
      </c>
      <c r="T59" s="60">
        <f t="shared" si="52"/>
        <v>126035230.12572315</v>
      </c>
      <c r="U59" s="60">
        <f t="shared" si="52"/>
        <v>51295.397455741091</v>
      </c>
      <c r="V59" s="750">
        <f>+'6. WS Regression Analysis'!T165</f>
        <v>1.0080513278925334</v>
      </c>
    </row>
    <row r="60" spans="2:22" x14ac:dyDescent="0.25">
      <c r="B60" s="676">
        <f t="shared" si="45"/>
        <v>2018</v>
      </c>
      <c r="C60" s="58">
        <f>+'8. Final LF'!J$27</f>
        <v>1</v>
      </c>
      <c r="D60" s="117">
        <f t="shared" si="46"/>
        <v>0</v>
      </c>
      <c r="E60" s="58">
        <f>+'9. Exhibit_Tables'!I60</f>
        <v>2678677.3099999996</v>
      </c>
      <c r="F60" s="117">
        <f t="shared" si="48"/>
        <v>-4.4422644382158698E-2</v>
      </c>
      <c r="G60" s="58">
        <f>+'9. Exhibit_Tables'!J60</f>
        <v>5394.4999999999991</v>
      </c>
      <c r="H60" s="323">
        <f t="shared" si="49"/>
        <v>-2.9294801432350439E-2</v>
      </c>
      <c r="J60" s="572">
        <v>2018</v>
      </c>
      <c r="K60" s="60">
        <f t="shared" ref="K60:U60" si="53">+K11*$V60</f>
        <v>93198095.015388757</v>
      </c>
      <c r="L60" s="60">
        <f t="shared" si="53"/>
        <v>17169002.21981626</v>
      </c>
      <c r="M60" s="60">
        <f t="shared" si="53"/>
        <v>16590506.669163276</v>
      </c>
      <c r="N60" s="60">
        <f t="shared" si="53"/>
        <v>44591.70733620035</v>
      </c>
      <c r="O60" s="60">
        <f t="shared" si="53"/>
        <v>2603285.1890051109</v>
      </c>
      <c r="P60" s="60">
        <f t="shared" si="53"/>
        <v>5242.6702909161058</v>
      </c>
      <c r="Q60" s="60">
        <f t="shared" si="53"/>
        <v>740319.08019982616</v>
      </c>
      <c r="R60" s="60">
        <f t="shared" si="53"/>
        <v>2184.3406702869665</v>
      </c>
      <c r="S60" s="60">
        <f t="shared" si="53"/>
        <v>149574.27264690597</v>
      </c>
      <c r="T60" s="60">
        <f t="shared" si="53"/>
        <v>130450782.44622013</v>
      </c>
      <c r="U60" s="60">
        <f t="shared" si="53"/>
        <v>52018.718297403422</v>
      </c>
      <c r="V60" s="750">
        <f>+'6. WS Regression Analysis'!T166</f>
        <v>0.9718547207185293</v>
      </c>
    </row>
    <row r="61" spans="2:22" x14ac:dyDescent="0.25">
      <c r="B61" s="676">
        <f t="shared" si="45"/>
        <v>2019</v>
      </c>
      <c r="C61" s="58">
        <f>+'8. Final LF'!K$27</f>
        <v>1</v>
      </c>
      <c r="D61" s="117">
        <f t="shared" si="46"/>
        <v>0</v>
      </c>
      <c r="E61" s="58">
        <f>+'9. Exhibit_Tables'!I61</f>
        <v>2668244</v>
      </c>
      <c r="F61" s="117">
        <f t="shared" si="48"/>
        <v>-3.8949484363234449E-3</v>
      </c>
      <c r="G61" s="58">
        <f>+'9. Exhibit_Tables'!J61</f>
        <v>5191.76</v>
      </c>
      <c r="H61" s="323">
        <f t="shared" si="49"/>
        <v>-3.7582723143942703E-2</v>
      </c>
      <c r="J61" s="572">
        <v>2019</v>
      </c>
      <c r="K61" s="60">
        <f t="shared" ref="K61:U61" si="54">+K12*$V61</f>
        <v>95812203.151583895</v>
      </c>
      <c r="L61" s="60">
        <f t="shared" si="54"/>
        <v>17741719.499729834</v>
      </c>
      <c r="M61" s="60">
        <f t="shared" si="54"/>
        <v>17551289.531428982</v>
      </c>
      <c r="N61" s="60">
        <f t="shared" si="54"/>
        <v>44077.951558296118</v>
      </c>
      <c r="O61" s="60">
        <f t="shared" si="54"/>
        <v>2689726.9073412847</v>
      </c>
      <c r="P61" s="60">
        <f t="shared" si="54"/>
        <v>5233.5605620993392</v>
      </c>
      <c r="Q61" s="60">
        <f t="shared" si="54"/>
        <v>780153.09978524526</v>
      </c>
      <c r="R61" s="60">
        <f t="shared" si="54"/>
        <v>2305.2117766246456</v>
      </c>
      <c r="S61" s="60">
        <f t="shared" si="54"/>
        <v>155399.17660525715</v>
      </c>
      <c r="T61" s="60">
        <f t="shared" si="54"/>
        <v>134730491.36647451</v>
      </c>
      <c r="U61" s="60">
        <f t="shared" si="54"/>
        <v>51616.723897020107</v>
      </c>
      <c r="V61" s="750">
        <f>+'6. WS Regression Analysis'!T167</f>
        <v>1.0080513278925334</v>
      </c>
    </row>
    <row r="62" spans="2:22" x14ac:dyDescent="0.25">
      <c r="B62" s="676">
        <f t="shared" si="45"/>
        <v>2020</v>
      </c>
      <c r="C62" s="58">
        <f>+'8. Final LF'!L$27</f>
        <v>1</v>
      </c>
      <c r="D62" s="117">
        <f t="shared" si="46"/>
        <v>0</v>
      </c>
      <c r="E62" s="58">
        <f>+'9. Exhibit_Tables'!I62</f>
        <v>2734869.5700000003</v>
      </c>
      <c r="F62" s="117">
        <f t="shared" si="48"/>
        <v>2.496981910200128E-2</v>
      </c>
      <c r="G62" s="58">
        <f>+'9. Exhibit_Tables'!J62</f>
        <v>5526.0999999999995</v>
      </c>
      <c r="H62" s="323">
        <f t="shared" si="49"/>
        <v>6.4398200224971724E-2</v>
      </c>
      <c r="J62" s="572">
        <v>2020</v>
      </c>
      <c r="K62" s="60">
        <f t="shared" ref="K62:U62" si="55">+K13*$V62</f>
        <v>103350675.65734215</v>
      </c>
      <c r="L62" s="60">
        <f t="shared" si="55"/>
        <v>16949067.901317637</v>
      </c>
      <c r="M62" s="60">
        <f t="shared" si="55"/>
        <v>16527134.259031905</v>
      </c>
      <c r="N62" s="60">
        <f t="shared" si="55"/>
        <v>42852.053007623865</v>
      </c>
      <c r="O62" s="60">
        <f t="shared" si="55"/>
        <v>2755741.0095250723</v>
      </c>
      <c r="P62" s="60">
        <f t="shared" si="55"/>
        <v>5568.2730027730349</v>
      </c>
      <c r="Q62" s="60">
        <f t="shared" si="55"/>
        <v>809152.36057596025</v>
      </c>
      <c r="R62" s="60">
        <f t="shared" si="55"/>
        <v>2345.7663723884161</v>
      </c>
      <c r="S62" s="60">
        <f t="shared" si="55"/>
        <v>154290.56635432088</v>
      </c>
      <c r="T62" s="60">
        <f t="shared" si="55"/>
        <v>140546061.75414702</v>
      </c>
      <c r="U62" s="60">
        <f t="shared" si="55"/>
        <v>50766.092382785318</v>
      </c>
      <c r="V62" s="750">
        <f>+'6. WS Regression Analysis'!T168</f>
        <v>1.0076316032596289</v>
      </c>
    </row>
    <row r="63" spans="2:22" x14ac:dyDescent="0.25">
      <c r="B63" s="676">
        <f t="shared" si="45"/>
        <v>2021</v>
      </c>
      <c r="C63" s="58">
        <f>+'8. Final LF'!M$27</f>
        <v>1</v>
      </c>
      <c r="D63" s="117">
        <f t="shared" si="46"/>
        <v>0</v>
      </c>
      <c r="E63" s="58">
        <f>+'9. Exhibit_Tables'!I63</f>
        <v>2738839.99</v>
      </c>
      <c r="F63" s="117">
        <f t="shared" si="48"/>
        <v>1.4517767295205691E-3</v>
      </c>
      <c r="G63" s="58">
        <f>+'9. Exhibit_Tables'!J63</f>
        <v>5291.6</v>
      </c>
      <c r="H63" s="323">
        <f t="shared" si="49"/>
        <v>-4.2434990318669423E-2</v>
      </c>
      <c r="J63" s="572">
        <v>2021</v>
      </c>
      <c r="K63" s="60">
        <f t="shared" ref="K63:U63" si="56">+K14*$V63</f>
        <v>105428718.55521263</v>
      </c>
      <c r="L63" s="60">
        <f t="shared" si="56"/>
        <v>17601880.773551654</v>
      </c>
      <c r="M63" s="60">
        <f t="shared" si="56"/>
        <v>17162103.017494943</v>
      </c>
      <c r="N63" s="60">
        <f t="shared" si="56"/>
        <v>43814.472993366413</v>
      </c>
      <c r="O63" s="60">
        <f t="shared" si="56"/>
        <v>2754062.3463761825</v>
      </c>
      <c r="P63" s="60">
        <f t="shared" si="56"/>
        <v>5321.0104881242833</v>
      </c>
      <c r="Q63" s="60">
        <f t="shared" si="56"/>
        <v>795414.44445821561</v>
      </c>
      <c r="R63" s="60">
        <f t="shared" si="56"/>
        <v>2350.5922815479862</v>
      </c>
      <c r="S63" s="60">
        <f t="shared" si="56"/>
        <v>156228.51207336708</v>
      </c>
      <c r="T63" s="60">
        <f t="shared" si="56"/>
        <v>143898407.649167</v>
      </c>
      <c r="U63" s="60">
        <f t="shared" si="56"/>
        <v>51486.07576303868</v>
      </c>
      <c r="V63" s="750">
        <f>+'6. WS Regression Analysis'!T169</f>
        <v>1.0055579575410618</v>
      </c>
    </row>
    <row r="64" spans="2:22" x14ac:dyDescent="0.25">
      <c r="B64" s="676">
        <f t="shared" si="45"/>
        <v>2022</v>
      </c>
      <c r="C64" s="58">
        <f>+'8. Final LF'!N$27</f>
        <v>1</v>
      </c>
      <c r="D64" s="117">
        <f t="shared" si="46"/>
        <v>0</v>
      </c>
      <c r="E64" s="58">
        <f>+'9. Exhibit_Tables'!I64</f>
        <v>2821873.45</v>
      </c>
      <c r="F64" s="117">
        <f t="shared" si="48"/>
        <v>3.0317017534127636E-2</v>
      </c>
      <c r="G64" s="58">
        <f>+'9. Exhibit_Tables'!J64</f>
        <v>5657.5</v>
      </c>
      <c r="H64" s="323">
        <f t="shared" si="49"/>
        <v>6.9147327840350672E-2</v>
      </c>
      <c r="J64" s="572">
        <v>2022</v>
      </c>
      <c r="K64" s="60">
        <f t="shared" ref="K64:U64" si="57">+K15*$V64</f>
        <v>105287929.03756312</v>
      </c>
      <c r="L64" s="60">
        <f t="shared" si="57"/>
        <v>18832023.308869731</v>
      </c>
      <c r="M64" s="60">
        <f t="shared" si="57"/>
        <v>18050375.704267483</v>
      </c>
      <c r="N64" s="60">
        <f t="shared" si="57"/>
        <v>45053.097204079771</v>
      </c>
      <c r="O64" s="60">
        <f t="shared" si="57"/>
        <v>2823891.5446039937</v>
      </c>
      <c r="P64" s="60">
        <f t="shared" si="57"/>
        <v>5661.5460248924674</v>
      </c>
      <c r="Q64" s="60">
        <f t="shared" si="57"/>
        <v>803003.86685894162</v>
      </c>
      <c r="R64" s="60">
        <f t="shared" si="57"/>
        <v>2372.8957904065423</v>
      </c>
      <c r="S64" s="60">
        <f t="shared" si="57"/>
        <v>184831.69903615327</v>
      </c>
      <c r="T64" s="60">
        <f t="shared" si="57"/>
        <v>145982055.16119939</v>
      </c>
      <c r="U64" s="60">
        <f t="shared" si="57"/>
        <v>53087.539019378783</v>
      </c>
      <c r="V64" s="750">
        <f>+'6. WS Regression Analysis'!T170</f>
        <v>1.0007151612713154</v>
      </c>
    </row>
    <row r="65" spans="2:22" x14ac:dyDescent="0.25">
      <c r="B65" s="676" t="str">
        <f t="shared" si="45"/>
        <v>2023</v>
      </c>
      <c r="C65" s="58">
        <f>+'8. Final LF'!O$27</f>
        <v>1</v>
      </c>
      <c r="D65" s="118">
        <f t="shared" si="46"/>
        <v>0</v>
      </c>
      <c r="E65" s="58">
        <f>+'9. Exhibit_Tables'!I65</f>
        <v>2780774.6976221777</v>
      </c>
      <c r="F65" s="118">
        <f t="shared" si="48"/>
        <v>-1.4564349927819239E-2</v>
      </c>
      <c r="G65" s="58">
        <f>+'9. Exhibit_Tables'!J65</f>
        <v>5575.1021902833627</v>
      </c>
      <c r="H65" s="324">
        <f t="shared" si="49"/>
        <v>-1.4564349927819234E-2</v>
      </c>
      <c r="J65" s="572" t="s">
        <v>281</v>
      </c>
      <c r="K65" s="60">
        <f t="shared" ref="K65:U65" si="58">+K16*$V65</f>
        <v>106350197.09524722</v>
      </c>
      <c r="L65" s="60">
        <f t="shared" si="58"/>
        <v>18852905.426608346</v>
      </c>
      <c r="M65" s="60">
        <f t="shared" si="58"/>
        <v>18547588.056752723</v>
      </c>
      <c r="N65" s="60">
        <f t="shared" si="58"/>
        <v>46294.121591305724</v>
      </c>
      <c r="O65" s="60">
        <f t="shared" si="58"/>
        <v>2780774.6976221777</v>
      </c>
      <c r="P65" s="60">
        <f t="shared" si="58"/>
        <v>5575.1021902833627</v>
      </c>
      <c r="Q65" s="60">
        <f t="shared" si="58"/>
        <v>811353.23439242423</v>
      </c>
      <c r="R65" s="60">
        <f t="shared" si="58"/>
        <v>2397.5683728067443</v>
      </c>
      <c r="S65" s="60">
        <f t="shared" si="58"/>
        <v>207019.8047360066</v>
      </c>
      <c r="T65" s="60">
        <f t="shared" si="58"/>
        <v>147549838.31535891</v>
      </c>
      <c r="U65" s="60">
        <f t="shared" si="58"/>
        <v>54266.792154395829</v>
      </c>
      <c r="V65" s="750">
        <v>1</v>
      </c>
    </row>
    <row r="66" spans="2:22" ht="13" thickBot="1" x14ac:dyDescent="0.3">
      <c r="B66" s="677" t="str">
        <f t="shared" si="45"/>
        <v>2024</v>
      </c>
      <c r="C66" s="215">
        <f>+'8. Final LF'!P$27</f>
        <v>1</v>
      </c>
      <c r="D66" s="119">
        <f t="shared" si="46"/>
        <v>0</v>
      </c>
      <c r="E66" s="215">
        <f>+'9. Exhibit_Tables'!I66</f>
        <v>2791843.4937129831</v>
      </c>
      <c r="F66" s="119">
        <f t="shared" si="48"/>
        <v>3.980472096596065E-3</v>
      </c>
      <c r="G66" s="215">
        <f>+'9. Exhibit_Tables'!J66</f>
        <v>5597.2937289874571</v>
      </c>
      <c r="H66" s="325">
        <f t="shared" si="49"/>
        <v>3.9804720965960511E-3</v>
      </c>
      <c r="J66" s="572" t="s">
        <v>285</v>
      </c>
      <c r="K66" s="60">
        <f t="shared" ref="K66:U66" si="59">+K17*$V66</f>
        <v>108847740.38320151</v>
      </c>
      <c r="L66" s="60">
        <f t="shared" si="59"/>
        <v>19131277.822161231</v>
      </c>
      <c r="M66" s="60">
        <f t="shared" si="59"/>
        <v>18621416.213471785</v>
      </c>
      <c r="N66" s="60">
        <f t="shared" si="59"/>
        <v>46478.394050536343</v>
      </c>
      <c r="O66" s="60">
        <f t="shared" si="59"/>
        <v>2791843.4937129831</v>
      </c>
      <c r="P66" s="60">
        <f t="shared" si="59"/>
        <v>5597.2937289874571</v>
      </c>
      <c r="Q66" s="60">
        <f t="shared" si="59"/>
        <v>820412.81545401609</v>
      </c>
      <c r="R66" s="60">
        <f t="shared" si="59"/>
        <v>2424.3396533087775</v>
      </c>
      <c r="S66" s="60">
        <f t="shared" si="59"/>
        <v>215972.26929725398</v>
      </c>
      <c r="T66" s="60">
        <f t="shared" si="59"/>
        <v>150428662.99729875</v>
      </c>
      <c r="U66" s="60">
        <f t="shared" si="59"/>
        <v>54500.027432832576</v>
      </c>
      <c r="V66" s="750">
        <v>1</v>
      </c>
    </row>
    <row r="68" spans="2:22" ht="13" thickBot="1" x14ac:dyDescent="0.3">
      <c r="C68" s="30"/>
      <c r="D68" s="30"/>
      <c r="E68" s="30"/>
    </row>
    <row r="69" spans="2:22" ht="13.5" thickBot="1" x14ac:dyDescent="0.35">
      <c r="B69" s="879" t="str">
        <f>+'8. Final LF'!B31</f>
        <v>Streetlighting-Non-WN/kW</v>
      </c>
      <c r="C69" s="802"/>
      <c r="D69" s="802"/>
      <c r="E69" s="802"/>
      <c r="F69" s="802"/>
      <c r="G69" s="802"/>
      <c r="H69" s="803"/>
      <c r="J69" s="876" t="s">
        <v>452</v>
      </c>
      <c r="K69" s="793"/>
      <c r="L69" s="793"/>
      <c r="M69" s="793"/>
      <c r="N69" s="793"/>
      <c r="O69" s="793"/>
      <c r="P69" s="793"/>
      <c r="Q69" s="793"/>
      <c r="R69" s="793"/>
      <c r="S69" s="793"/>
      <c r="T69" s="793"/>
      <c r="U69" s="877"/>
    </row>
    <row r="70" spans="2:22" ht="39.5" thickBot="1" x14ac:dyDescent="0.3">
      <c r="B70" s="75" t="s">
        <v>33</v>
      </c>
      <c r="C70" s="320" t="s">
        <v>34</v>
      </c>
      <c r="D70" s="321" t="s">
        <v>236</v>
      </c>
      <c r="E70" s="321" t="s">
        <v>35</v>
      </c>
      <c r="F70" s="321" t="s">
        <v>236</v>
      </c>
      <c r="G70" s="542" t="s">
        <v>36</v>
      </c>
      <c r="H70" s="322" t="s">
        <v>236</v>
      </c>
      <c r="J70" s="872" t="s">
        <v>33</v>
      </c>
      <c r="K70" s="567" t="str">
        <f>+K53</f>
        <v>Residential-WN</v>
      </c>
      <c r="L70" s="560" t="str">
        <f>+L53</f>
        <v>General Service &lt; 50 kW-WN</v>
      </c>
      <c r="M70" s="870" t="str">
        <f>+M53</f>
        <v>General Service &gt; 50 kW - 4999 kW - Excluding Wholesale Market Participant-Non-WN/kW</v>
      </c>
      <c r="N70" s="871"/>
      <c r="O70" s="878" t="str">
        <f>+O53</f>
        <v>General Service &gt; 50 kW - 4999 kW - Wholesale Market Participant-Non-WN/kW</v>
      </c>
      <c r="P70" s="878"/>
      <c r="Q70" s="878" t="str">
        <f>+Q53</f>
        <v>Streetlighting-Non-WN/kW</v>
      </c>
      <c r="R70" s="878"/>
      <c r="S70" s="560" t="str">
        <f>+S53</f>
        <v>Unmetered Scattered Load-WN</v>
      </c>
      <c r="T70" s="874" t="s">
        <v>16</v>
      </c>
      <c r="U70" s="875"/>
    </row>
    <row r="71" spans="2:22" x14ac:dyDescent="0.25">
      <c r="B71" s="676">
        <f>+B55</f>
        <v>2013</v>
      </c>
      <c r="C71" s="58">
        <f>+'8. Final LF'!E$31</f>
        <v>2693.5</v>
      </c>
      <c r="D71" s="58"/>
      <c r="E71" s="58">
        <f>+'9. Exhibit_Tables'!K55</f>
        <v>1796176</v>
      </c>
      <c r="F71" s="58"/>
      <c r="G71" s="58">
        <f>+'9. Exhibit_Tables'!L55</f>
        <v>5310</v>
      </c>
      <c r="H71" s="319"/>
      <c r="J71" s="873"/>
      <c r="K71" s="12" t="s">
        <v>35</v>
      </c>
      <c r="L71" s="12" t="s">
        <v>35</v>
      </c>
      <c r="M71" s="12" t="s">
        <v>35</v>
      </c>
      <c r="N71" s="12" t="s">
        <v>36</v>
      </c>
      <c r="O71" s="12" t="s">
        <v>35</v>
      </c>
      <c r="P71" s="12" t="s">
        <v>36</v>
      </c>
      <c r="Q71" s="12" t="s">
        <v>35</v>
      </c>
      <c r="R71" s="12" t="s">
        <v>36</v>
      </c>
      <c r="S71" s="12" t="s">
        <v>35</v>
      </c>
      <c r="T71" s="12" t="s">
        <v>35</v>
      </c>
      <c r="U71" s="12" t="s">
        <v>36</v>
      </c>
    </row>
    <row r="72" spans="2:22" x14ac:dyDescent="0.25">
      <c r="B72" s="676">
        <f t="shared" ref="B72:B82" si="60">+B56</f>
        <v>2014</v>
      </c>
      <c r="C72" s="58">
        <f>+'8. Final LF'!F$31</f>
        <v>2738</v>
      </c>
      <c r="D72" s="117">
        <f t="shared" ref="D72:D82" si="61">(C72-C71)/C71</f>
        <v>1.6521254872842027E-2</v>
      </c>
      <c r="E72" s="58">
        <f>+'9. Exhibit_Tables'!K56</f>
        <v>1834665</v>
      </c>
      <c r="F72" s="117">
        <f>IF(E71&gt;0,+((E72-E71)/E71),0)</f>
        <v>2.1428301012818344E-2</v>
      </c>
      <c r="G72" s="58">
        <f>+'9. Exhibit_Tables'!L56</f>
        <v>5425</v>
      </c>
      <c r="H72" s="323">
        <f>IF(G71&gt;0,+((G72-G71)/G71),0)</f>
        <v>2.1657250470809793E-2</v>
      </c>
      <c r="J72" s="572">
        <v>2013</v>
      </c>
      <c r="K72" s="60"/>
      <c r="L72" s="60"/>
      <c r="M72" s="60"/>
      <c r="N72" s="60"/>
      <c r="O72" s="60"/>
      <c r="P72" s="60"/>
      <c r="Q72" s="60"/>
      <c r="R72" s="60"/>
      <c r="S72" s="60"/>
      <c r="T72" s="60"/>
      <c r="U72" s="60"/>
    </row>
    <row r="73" spans="2:22" x14ac:dyDescent="0.25">
      <c r="B73" s="676">
        <f t="shared" si="60"/>
        <v>2015</v>
      </c>
      <c r="C73" s="58">
        <f>+'8. Final LF'!G$31</f>
        <v>2835</v>
      </c>
      <c r="D73" s="117">
        <f t="shared" si="61"/>
        <v>3.5427319211102995E-2</v>
      </c>
      <c r="E73" s="58">
        <f>+'9. Exhibit_Tables'!K57</f>
        <v>1811343.3900000001</v>
      </c>
      <c r="F73" s="117">
        <f t="shared" ref="F73:F82" si="62">IF(E72&gt;0,+((E73-E72)/E72),0)</f>
        <v>-1.2711644905200607E-2</v>
      </c>
      <c r="G73" s="58">
        <f>+'9. Exhibit_Tables'!L57</f>
        <v>5476.170000000001</v>
      </c>
      <c r="H73" s="323">
        <f t="shared" ref="H73:H82" si="63">IF(G72&gt;0,+((G73-G72)/G72),0)</f>
        <v>9.4322580645163096E-3</v>
      </c>
      <c r="J73" s="572">
        <v>2014</v>
      </c>
      <c r="K73" s="749">
        <f>+K56/K55-1</f>
        <v>2.4755865838064883E-2</v>
      </c>
      <c r="L73" s="749">
        <f t="shared" ref="L73:U73" si="64">+L56/L55-1</f>
        <v>1.6532256768857723E-2</v>
      </c>
      <c r="M73" s="749">
        <f t="shared" si="64"/>
        <v>-1.2550533871566794E-2</v>
      </c>
      <c r="N73" s="749">
        <f t="shared" si="64"/>
        <v>-9.7599055643217136E-3</v>
      </c>
      <c r="O73" s="749">
        <f t="shared" si="64"/>
        <v>-3.0628237676306846E-2</v>
      </c>
      <c r="P73" s="749">
        <f t="shared" si="64"/>
        <v>-6.4124339124876917E-2</v>
      </c>
      <c r="Q73" s="749">
        <f t="shared" si="64"/>
        <v>3.0769133920204528E-2</v>
      </c>
      <c r="R73" s="749">
        <f t="shared" si="64"/>
        <v>3.1000177092095793E-2</v>
      </c>
      <c r="S73" s="749">
        <f t="shared" si="64"/>
        <v>-4.446511318416535E-2</v>
      </c>
      <c r="T73" s="749">
        <f t="shared" si="64"/>
        <v>1.6808934121308017E-2</v>
      </c>
      <c r="U73" s="749">
        <f t="shared" si="64"/>
        <v>-1.2143145042603831E-2</v>
      </c>
    </row>
    <row r="74" spans="2:22" x14ac:dyDescent="0.25">
      <c r="B74" s="676">
        <f t="shared" si="60"/>
        <v>2016</v>
      </c>
      <c r="C74" s="58">
        <f>+'8. Final LF'!H$31</f>
        <v>2948</v>
      </c>
      <c r="D74" s="117">
        <f t="shared" si="61"/>
        <v>3.9858906525573196E-2</v>
      </c>
      <c r="E74" s="58">
        <f>+'9. Exhibit_Tables'!K58</f>
        <v>932624.09999999986</v>
      </c>
      <c r="F74" s="117">
        <f t="shared" si="62"/>
        <v>-0.48512021235244646</v>
      </c>
      <c r="G74" s="58">
        <f>+'9. Exhibit_Tables'!L58</f>
        <v>2932.5000000000005</v>
      </c>
      <c r="H74" s="323">
        <f t="shared" si="63"/>
        <v>-0.4644979976881653</v>
      </c>
      <c r="J74" s="572">
        <v>2015</v>
      </c>
      <c r="K74" s="749">
        <f t="shared" ref="K74:U74" si="65">+K57/K56-1</f>
        <v>-5.9664931086760298E-3</v>
      </c>
      <c r="L74" s="749">
        <f t="shared" si="65"/>
        <v>5.2029506829951444E-3</v>
      </c>
      <c r="M74" s="749">
        <f t="shared" si="65"/>
        <v>1.941669184177397E-2</v>
      </c>
      <c r="N74" s="749">
        <f t="shared" si="65"/>
        <v>-3.9386570843887858E-3</v>
      </c>
      <c r="O74" s="749">
        <f t="shared" si="65"/>
        <v>-1.9221261398507883E-2</v>
      </c>
      <c r="P74" s="749">
        <f t="shared" si="65"/>
        <v>1.1310391573666312E-2</v>
      </c>
      <c r="Q74" s="749">
        <f t="shared" si="65"/>
        <v>-2.3159235571923009E-2</v>
      </c>
      <c r="R74" s="749">
        <f t="shared" si="65"/>
        <v>-1.2496617450521441E-3</v>
      </c>
      <c r="S74" s="749">
        <f t="shared" si="65"/>
        <v>2.1952685074565714E-2</v>
      </c>
      <c r="T74" s="749">
        <f t="shared" si="65"/>
        <v>-1.6048959965675458E-3</v>
      </c>
      <c r="U74" s="749">
        <f t="shared" si="65"/>
        <v>-2.0723727891130972E-3</v>
      </c>
    </row>
    <row r="75" spans="2:22" x14ac:dyDescent="0.25">
      <c r="B75" s="676">
        <f t="shared" si="60"/>
        <v>2017</v>
      </c>
      <c r="C75" s="58">
        <f>+'8. Final LF'!I$31</f>
        <v>3013</v>
      </c>
      <c r="D75" s="117">
        <f t="shared" si="61"/>
        <v>2.2048846675712348E-2</v>
      </c>
      <c r="E75" s="58">
        <f>+'9. Exhibit_Tables'!K59</f>
        <v>758718</v>
      </c>
      <c r="F75" s="117">
        <f t="shared" si="62"/>
        <v>-0.18646966124937142</v>
      </c>
      <c r="G75" s="58">
        <f>+'9. Exhibit_Tables'!L59</f>
        <v>2242</v>
      </c>
      <c r="H75" s="323">
        <f t="shared" si="63"/>
        <v>-0.23546462063086115</v>
      </c>
      <c r="J75" s="572">
        <v>2016</v>
      </c>
      <c r="K75" s="749">
        <f t="shared" ref="K75:U75" si="66">+K58/K57-1</f>
        <v>1.3571153871765107E-2</v>
      </c>
      <c r="L75" s="749">
        <f t="shared" si="66"/>
        <v>8.1993878231405581E-3</v>
      </c>
      <c r="M75" s="749">
        <f t="shared" si="66"/>
        <v>-4.8838085449084856E-2</v>
      </c>
      <c r="N75" s="749">
        <f t="shared" si="66"/>
        <v>-2.7749151392395754E-2</v>
      </c>
      <c r="O75" s="749">
        <f t="shared" si="66"/>
        <v>-7.4197566166314455E-2</v>
      </c>
      <c r="P75" s="749">
        <f t="shared" si="66"/>
        <v>-5.0463659084536761E-2</v>
      </c>
      <c r="Q75" s="749">
        <f t="shared" si="66"/>
        <v>-0.48701257270245735</v>
      </c>
      <c r="R75" s="749">
        <f t="shared" si="66"/>
        <v>-0.46646615177158035</v>
      </c>
      <c r="S75" s="749">
        <f t="shared" si="66"/>
        <v>-0.29281139081256069</v>
      </c>
      <c r="T75" s="749">
        <f t="shared" si="66"/>
        <v>-5.856162276954846E-3</v>
      </c>
      <c r="U75" s="749">
        <f t="shared" si="66"/>
        <v>-7.1613107202577186E-2</v>
      </c>
    </row>
    <row r="76" spans="2:22" x14ac:dyDescent="0.25">
      <c r="B76" s="676">
        <f t="shared" si="60"/>
        <v>2018</v>
      </c>
      <c r="C76" s="58">
        <f>+'8. Final LF'!J$31</f>
        <v>3036.5</v>
      </c>
      <c r="D76" s="117">
        <f t="shared" si="61"/>
        <v>7.7995353468304019E-3</v>
      </c>
      <c r="E76" s="58">
        <f>+'9. Exhibit_Tables'!K60</f>
        <v>761759</v>
      </c>
      <c r="F76" s="117">
        <f t="shared" si="62"/>
        <v>4.008076782150944E-3</v>
      </c>
      <c r="G76" s="58">
        <f>+'9. Exhibit_Tables'!L60</f>
        <v>2247.6</v>
      </c>
      <c r="H76" s="323">
        <f t="shared" si="63"/>
        <v>2.4977698483496474E-3</v>
      </c>
      <c r="J76" s="572">
        <v>2017</v>
      </c>
      <c r="K76" s="749">
        <f t="shared" ref="K76:U76" si="67">+K59/K58-1</f>
        <v>-5.8314665489498374E-3</v>
      </c>
      <c r="L76" s="749">
        <f t="shared" si="67"/>
        <v>1.2651156569345456E-2</v>
      </c>
      <c r="M76" s="749">
        <f t="shared" si="67"/>
        <v>-1.9450364940911902E-2</v>
      </c>
      <c r="N76" s="749">
        <f t="shared" si="67"/>
        <v>-3.350886293131583E-2</v>
      </c>
      <c r="O76" s="749">
        <f t="shared" si="67"/>
        <v>-0.10684039123669176</v>
      </c>
      <c r="P76" s="749">
        <f t="shared" si="67"/>
        <v>-4.9067490563509897E-2</v>
      </c>
      <c r="Q76" s="749">
        <f t="shared" si="67"/>
        <v>-0.17552287964590374</v>
      </c>
      <c r="R76" s="749">
        <f t="shared" si="67"/>
        <v>-0.22517711022414266</v>
      </c>
      <c r="S76" s="749">
        <f t="shared" si="67"/>
        <v>-0.17932631731192672</v>
      </c>
      <c r="T76" s="749">
        <f t="shared" si="67"/>
        <v>-9.1843344800009996E-3</v>
      </c>
      <c r="U76" s="749">
        <f t="shared" si="67"/>
        <v>-4.5616062938517277E-2</v>
      </c>
    </row>
    <row r="77" spans="2:22" x14ac:dyDescent="0.25">
      <c r="B77" s="676">
        <f t="shared" si="60"/>
        <v>2019</v>
      </c>
      <c r="C77" s="58">
        <f>+'8. Final LF'!K$31</f>
        <v>3077.5</v>
      </c>
      <c r="D77" s="117">
        <f t="shared" si="61"/>
        <v>1.3502387617322576E-2</v>
      </c>
      <c r="E77" s="58">
        <f>+'9. Exhibit_Tables'!K61</f>
        <v>773922</v>
      </c>
      <c r="F77" s="117">
        <f t="shared" si="62"/>
        <v>1.596699218519243E-2</v>
      </c>
      <c r="G77" s="58">
        <f>+'9. Exhibit_Tables'!L61</f>
        <v>2286.8000000000002</v>
      </c>
      <c r="H77" s="323">
        <f t="shared" si="63"/>
        <v>1.7440825769710035E-2</v>
      </c>
      <c r="J77" s="572">
        <v>2018</v>
      </c>
      <c r="K77" s="749">
        <f t="shared" ref="K77:U77" si="68">+K60/K59-1</f>
        <v>5.2531309979850782E-2</v>
      </c>
      <c r="L77" s="749">
        <f t="shared" si="68"/>
        <v>1.6605284977397883E-3</v>
      </c>
      <c r="M77" s="749">
        <f t="shared" si="68"/>
        <v>-1.0265348118299045E-3</v>
      </c>
      <c r="N77" s="749">
        <f t="shared" si="68"/>
        <v>2.6670884532614236E-2</v>
      </c>
      <c r="O77" s="749">
        <f t="shared" si="68"/>
        <v>-7.8735042182362824E-2</v>
      </c>
      <c r="P77" s="749">
        <f t="shared" si="68"/>
        <v>-6.4150402315069077E-2</v>
      </c>
      <c r="Q77" s="749">
        <f t="shared" si="68"/>
        <v>-3.2043347336091266E-2</v>
      </c>
      <c r="R77" s="749">
        <f t="shared" si="68"/>
        <v>-3.3499422917497634E-2</v>
      </c>
      <c r="S77" s="749">
        <f t="shared" si="68"/>
        <v>-2.2484791188288611E-3</v>
      </c>
      <c r="T77" s="749">
        <f t="shared" si="68"/>
        <v>3.5034270307535031E-2</v>
      </c>
      <c r="U77" s="749">
        <f t="shared" si="68"/>
        <v>1.4101086599171531E-2</v>
      </c>
    </row>
    <row r="78" spans="2:22" x14ac:dyDescent="0.25">
      <c r="B78" s="676">
        <f t="shared" si="60"/>
        <v>2020</v>
      </c>
      <c r="C78" s="58">
        <f>+'8. Final LF'!L$31</f>
        <v>3111</v>
      </c>
      <c r="D78" s="117">
        <f t="shared" si="61"/>
        <v>1.0885458976441918E-2</v>
      </c>
      <c r="E78" s="58">
        <f>+'9. Exhibit_Tables'!K62</f>
        <v>803024</v>
      </c>
      <c r="F78" s="117">
        <f t="shared" si="62"/>
        <v>3.7603272681226277E-2</v>
      </c>
      <c r="G78" s="58">
        <f>+'9. Exhibit_Tables'!L62</f>
        <v>2328</v>
      </c>
      <c r="H78" s="323">
        <f t="shared" si="63"/>
        <v>1.8016442189959687E-2</v>
      </c>
      <c r="J78" s="572">
        <v>2019</v>
      </c>
      <c r="K78" s="749">
        <f t="shared" ref="K78:U78" si="69">+K61/K60-1</f>
        <v>2.8048943873407506E-2</v>
      </c>
      <c r="L78" s="749">
        <f t="shared" si="69"/>
        <v>3.3357633284743393E-2</v>
      </c>
      <c r="M78" s="749">
        <f t="shared" si="69"/>
        <v>5.7911604595627608E-2</v>
      </c>
      <c r="N78" s="749">
        <f t="shared" si="69"/>
        <v>-1.1521330054280243E-2</v>
      </c>
      <c r="O78" s="749">
        <f t="shared" si="69"/>
        <v>3.3204859268303633E-2</v>
      </c>
      <c r="P78" s="749">
        <f t="shared" si="69"/>
        <v>-1.7376123828635182E-3</v>
      </c>
      <c r="Q78" s="749">
        <f t="shared" si="69"/>
        <v>5.3806555376996634E-2</v>
      </c>
      <c r="R78" s="749">
        <f t="shared" si="69"/>
        <v>5.5335281708507322E-2</v>
      </c>
      <c r="S78" s="749">
        <f t="shared" si="69"/>
        <v>3.8943221018375329E-2</v>
      </c>
      <c r="T78" s="749">
        <f t="shared" si="69"/>
        <v>3.2807077427985165E-2</v>
      </c>
      <c r="U78" s="749">
        <f t="shared" si="69"/>
        <v>-7.7278797621467277E-3</v>
      </c>
    </row>
    <row r="79" spans="2:22" x14ac:dyDescent="0.25">
      <c r="B79" s="676">
        <f t="shared" si="60"/>
        <v>2021</v>
      </c>
      <c r="C79" s="58">
        <f>+'8. Final LF'!M$31</f>
        <v>3132</v>
      </c>
      <c r="D79" s="117">
        <f t="shared" si="61"/>
        <v>6.7502410800385727E-3</v>
      </c>
      <c r="E79" s="58">
        <f>+'9. Exhibit_Tables'!K63</f>
        <v>791018</v>
      </c>
      <c r="F79" s="117">
        <f t="shared" si="62"/>
        <v>-1.4950985275658012E-2</v>
      </c>
      <c r="G79" s="58">
        <f>+'9. Exhibit_Tables'!L63</f>
        <v>2337.6</v>
      </c>
      <c r="H79" s="323">
        <f t="shared" si="63"/>
        <v>4.1237113402061466E-3</v>
      </c>
      <c r="J79" s="572">
        <v>2020</v>
      </c>
      <c r="K79" s="749">
        <f t="shared" ref="K79:U79" si="70">+K62/K61-1</f>
        <v>7.8679669789365914E-2</v>
      </c>
      <c r="L79" s="749">
        <f t="shared" si="70"/>
        <v>-4.4677270341483388E-2</v>
      </c>
      <c r="M79" s="749">
        <f t="shared" si="70"/>
        <v>-5.8352138204040727E-2</v>
      </c>
      <c r="N79" s="749">
        <f t="shared" si="70"/>
        <v>-2.7812058122776318E-2</v>
      </c>
      <c r="O79" s="749">
        <f t="shared" si="70"/>
        <v>2.4543050078284834E-2</v>
      </c>
      <c r="P79" s="749">
        <f t="shared" si="70"/>
        <v>6.3955014316187109E-2</v>
      </c>
      <c r="Q79" s="749">
        <f t="shared" si="70"/>
        <v>3.7171243437599255E-2</v>
      </c>
      <c r="R79" s="749">
        <f t="shared" si="70"/>
        <v>1.7592568359663607E-2</v>
      </c>
      <c r="S79" s="749">
        <f t="shared" si="70"/>
        <v>-7.1339518982931338E-3</v>
      </c>
      <c r="T79" s="749">
        <f t="shared" si="70"/>
        <v>4.3164471001993387E-2</v>
      </c>
      <c r="U79" s="749">
        <f t="shared" si="70"/>
        <v>-1.6479765665327273E-2</v>
      </c>
    </row>
    <row r="80" spans="2:22" x14ac:dyDescent="0.25">
      <c r="B80" s="676">
        <f t="shared" si="60"/>
        <v>2022</v>
      </c>
      <c r="C80" s="58">
        <f>+'8. Final LF'!N$31</f>
        <v>3177.5</v>
      </c>
      <c r="D80" s="117">
        <f t="shared" si="61"/>
        <v>1.4527458492975735E-2</v>
      </c>
      <c r="E80" s="58">
        <f>+'9. Exhibit_Tables'!K64</f>
        <v>802430</v>
      </c>
      <c r="F80" s="117">
        <f t="shared" si="62"/>
        <v>1.4426978905663334E-2</v>
      </c>
      <c r="G80" s="58">
        <f>+'9. Exhibit_Tables'!L64</f>
        <v>2371.1999999999994</v>
      </c>
      <c r="H80" s="323">
        <f t="shared" si="63"/>
        <v>1.4373716632443299E-2</v>
      </c>
      <c r="J80" s="572">
        <v>2021</v>
      </c>
      <c r="K80" s="749">
        <f t="shared" ref="K80:U80" si="71">+K63/K62-1</f>
        <v>2.0106718070815655E-2</v>
      </c>
      <c r="L80" s="749">
        <f t="shared" si="71"/>
        <v>3.8516151804623311E-2</v>
      </c>
      <c r="M80" s="749">
        <f t="shared" si="71"/>
        <v>3.841977371945382E-2</v>
      </c>
      <c r="N80" s="749">
        <f t="shared" si="71"/>
        <v>2.2459133651573815E-2</v>
      </c>
      <c r="O80" s="749">
        <f t="shared" si="71"/>
        <v>-6.0915127477056963E-4</v>
      </c>
      <c r="P80" s="749">
        <f t="shared" si="71"/>
        <v>-4.4405601974905617E-2</v>
      </c>
      <c r="Q80" s="749">
        <f t="shared" si="71"/>
        <v>-1.6978157374423097E-2</v>
      </c>
      <c r="R80" s="749">
        <f t="shared" si="71"/>
        <v>2.0572846539088641E-3</v>
      </c>
      <c r="S80" s="749">
        <f t="shared" si="71"/>
        <v>1.2560364284332159E-2</v>
      </c>
      <c r="T80" s="749">
        <f t="shared" si="71"/>
        <v>2.3852293356210419E-2</v>
      </c>
      <c r="U80" s="749">
        <f t="shared" si="71"/>
        <v>1.4182367530369611E-2</v>
      </c>
    </row>
    <row r="81" spans="2:21" x14ac:dyDescent="0.25">
      <c r="B81" s="676" t="str">
        <f t="shared" si="60"/>
        <v>2023</v>
      </c>
      <c r="C81" s="58">
        <f>+'8. Final LF'!O$31</f>
        <v>3211</v>
      </c>
      <c r="D81" s="118">
        <f t="shared" si="61"/>
        <v>1.0542879622344611E-2</v>
      </c>
      <c r="E81" s="58">
        <f>+'9. Exhibit_Tables'!K65</f>
        <v>811353.23439242423</v>
      </c>
      <c r="F81" s="118">
        <f t="shared" si="62"/>
        <v>1.1120265185030757E-2</v>
      </c>
      <c r="G81" s="58">
        <f>+'9. Exhibit_Tables'!L65</f>
        <v>2397.5683728067443</v>
      </c>
      <c r="H81" s="324">
        <f t="shared" si="63"/>
        <v>1.1120265185030747E-2</v>
      </c>
      <c r="J81" s="572">
        <v>2022</v>
      </c>
      <c r="K81" s="749">
        <f t="shared" ref="K81:U81" si="72">+K64/K63-1</f>
        <v>-1.3354000653605924E-3</v>
      </c>
      <c r="L81" s="749">
        <f t="shared" si="72"/>
        <v>6.9886993960694976E-2</v>
      </c>
      <c r="M81" s="749">
        <f t="shared" si="72"/>
        <v>5.1757799488037159E-2</v>
      </c>
      <c r="N81" s="749">
        <f t="shared" si="72"/>
        <v>2.826975029234946E-2</v>
      </c>
      <c r="O81" s="749">
        <f t="shared" si="72"/>
        <v>2.5354980913810055E-2</v>
      </c>
      <c r="P81" s="749">
        <f t="shared" si="72"/>
        <v>6.3998283320096716E-2</v>
      </c>
      <c r="Q81" s="749">
        <f t="shared" si="72"/>
        <v>9.541469171955308E-3</v>
      </c>
      <c r="R81" s="749">
        <f t="shared" si="72"/>
        <v>9.4884634113867605E-3</v>
      </c>
      <c r="S81" s="749">
        <f t="shared" si="72"/>
        <v>0.18308557499001044</v>
      </c>
      <c r="T81" s="749">
        <f t="shared" si="72"/>
        <v>1.4479990057377545E-2</v>
      </c>
      <c r="U81" s="749">
        <f t="shared" si="72"/>
        <v>3.1104783819818183E-2</v>
      </c>
    </row>
    <row r="82" spans="2:21" ht="13" thickBot="1" x14ac:dyDescent="0.3">
      <c r="B82" s="677" t="str">
        <f t="shared" si="60"/>
        <v>2024</v>
      </c>
      <c r="C82" s="215">
        <f>+'8. Final LF'!P$31</f>
        <v>3245</v>
      </c>
      <c r="D82" s="119">
        <f t="shared" si="61"/>
        <v>1.058860168171909E-2</v>
      </c>
      <c r="E82" s="215">
        <f>+'9. Exhibit_Tables'!K66</f>
        <v>820412.81545401609</v>
      </c>
      <c r="F82" s="119">
        <f t="shared" si="62"/>
        <v>1.1166013368241589E-2</v>
      </c>
      <c r="G82" s="215">
        <f>+'9. Exhibit_Tables'!L66</f>
        <v>2424.3396533087775</v>
      </c>
      <c r="H82" s="325">
        <f t="shared" si="63"/>
        <v>1.1166013368241563E-2</v>
      </c>
      <c r="J82" s="572" t="s">
        <v>281</v>
      </c>
      <c r="K82" s="749">
        <f t="shared" ref="K82:U82" si="73">+K65/K64-1</f>
        <v>1.0089172304881489E-2</v>
      </c>
      <c r="L82" s="749">
        <f t="shared" si="73"/>
        <v>1.1088621438133384E-3</v>
      </c>
      <c r="M82" s="749">
        <f t="shared" si="73"/>
        <v>2.7545817363108238E-2</v>
      </c>
      <c r="N82" s="749">
        <f t="shared" si="73"/>
        <v>2.754581736310846E-2</v>
      </c>
      <c r="O82" s="749">
        <f t="shared" si="73"/>
        <v>-1.5268591693687883E-2</v>
      </c>
      <c r="P82" s="749">
        <f t="shared" si="73"/>
        <v>-1.5268591693687883E-2</v>
      </c>
      <c r="Q82" s="749">
        <f t="shared" si="73"/>
        <v>1.0397667904318286E-2</v>
      </c>
      <c r="R82" s="749">
        <f t="shared" si="73"/>
        <v>1.0397667904318286E-2</v>
      </c>
      <c r="S82" s="749">
        <f t="shared" si="73"/>
        <v>0.12004491553969499</v>
      </c>
      <c r="T82" s="749">
        <f t="shared" si="73"/>
        <v>1.0739560779770452E-2</v>
      </c>
      <c r="U82" s="749">
        <f t="shared" si="73"/>
        <v>2.221336978130739E-2</v>
      </c>
    </row>
    <row r="83" spans="2:21" x14ac:dyDescent="0.25">
      <c r="J83" s="572" t="s">
        <v>285</v>
      </c>
      <c r="K83" s="749">
        <f t="shared" ref="K83:U83" si="74">+K66/K65-1</f>
        <v>2.3484143482287001E-2</v>
      </c>
      <c r="L83" s="749">
        <f t="shared" si="74"/>
        <v>1.4765490477663956E-2</v>
      </c>
      <c r="M83" s="749">
        <f t="shared" si="74"/>
        <v>3.9804720965961327E-3</v>
      </c>
      <c r="N83" s="749">
        <f t="shared" si="74"/>
        <v>3.9804720965961327E-3</v>
      </c>
      <c r="O83" s="749">
        <f t="shared" si="74"/>
        <v>3.9804720965961327E-3</v>
      </c>
      <c r="P83" s="749">
        <f t="shared" si="74"/>
        <v>3.9804720965961327E-3</v>
      </c>
      <c r="Q83" s="749">
        <f t="shared" si="74"/>
        <v>1.1166013368241634E-2</v>
      </c>
      <c r="R83" s="749">
        <f t="shared" si="74"/>
        <v>1.1166013368241634E-2</v>
      </c>
      <c r="S83" s="749">
        <f t="shared" si="74"/>
        <v>4.3244483650555221E-2</v>
      </c>
      <c r="T83" s="749">
        <f t="shared" si="74"/>
        <v>1.9510863006077406E-2</v>
      </c>
      <c r="U83" s="749">
        <f t="shared" si="74"/>
        <v>4.2979374526719294E-3</v>
      </c>
    </row>
    <row r="84" spans="2:21" ht="13" thickBot="1" x14ac:dyDescent="0.3"/>
    <row r="85" spans="2:21" ht="13.5" thickBot="1" x14ac:dyDescent="0.35">
      <c r="B85" s="539" t="str">
        <f>+'8. Final LF'!B35</f>
        <v>Unmetered Scattered Load-WN</v>
      </c>
      <c r="C85" s="540"/>
      <c r="D85" s="540"/>
      <c r="E85" s="540"/>
      <c r="F85" s="541"/>
      <c r="G85" s="540"/>
      <c r="H85" s="541"/>
    </row>
    <row r="86" spans="2:21" ht="13" thickBot="1" x14ac:dyDescent="0.3">
      <c r="B86" s="75" t="s">
        <v>33</v>
      </c>
      <c r="C86" s="320" t="s">
        <v>34</v>
      </c>
      <c r="D86" s="321" t="s">
        <v>236</v>
      </c>
      <c r="E86" s="321" t="s">
        <v>35</v>
      </c>
      <c r="F86" s="321" t="s">
        <v>236</v>
      </c>
      <c r="G86" s="542" t="s">
        <v>36</v>
      </c>
      <c r="H86" s="322" t="s">
        <v>236</v>
      </c>
    </row>
    <row r="87" spans="2:21" x14ac:dyDescent="0.25">
      <c r="B87" s="676">
        <f>+B71</f>
        <v>2013</v>
      </c>
      <c r="C87" s="58">
        <f>+'8. Final LF'!E$35</f>
        <v>42.5</v>
      </c>
      <c r="D87" s="58"/>
      <c r="E87" s="58">
        <f>+'9. Exhibit_Tables'!M55</f>
        <v>264550</v>
      </c>
      <c r="F87" s="319"/>
      <c r="G87" s="543">
        <f>+'9. Exhibit_Tables'!N55</f>
        <v>0</v>
      </c>
      <c r="H87" s="319"/>
    </row>
    <row r="88" spans="2:21" x14ac:dyDescent="0.25">
      <c r="B88" s="676">
        <f t="shared" ref="B88:B98" si="75">+B72</f>
        <v>2014</v>
      </c>
      <c r="C88" s="58">
        <f>+'8. Final LF'!F$35</f>
        <v>41</v>
      </c>
      <c r="D88" s="117">
        <f t="shared" ref="D88:D98" si="76">(C88-C87)/C87</f>
        <v>-3.5294117647058823E-2</v>
      </c>
      <c r="E88" s="58">
        <f>+'9. Exhibit_Tables'!M56</f>
        <v>250496</v>
      </c>
      <c r="F88" s="323">
        <f t="shared" ref="F88:F98" si="77">(E88-E87)/E87</f>
        <v>-5.3124173124173127E-2</v>
      </c>
      <c r="G88" s="543">
        <f>+'9. Exhibit_Tables'!N56</f>
        <v>0</v>
      </c>
      <c r="H88" s="323">
        <f>IF(G87&gt;0,+((G88-G87)/G87),0)</f>
        <v>0</v>
      </c>
    </row>
    <row r="89" spans="2:21" x14ac:dyDescent="0.25">
      <c r="B89" s="676">
        <f t="shared" si="75"/>
        <v>2015</v>
      </c>
      <c r="C89" s="58">
        <f>+'8. Final LF'!G$35</f>
        <v>40.5</v>
      </c>
      <c r="D89" s="117">
        <f t="shared" si="76"/>
        <v>-1.2195121951219513E-2</v>
      </c>
      <c r="E89" s="58">
        <f>+'9. Exhibit_Tables'!M57</f>
        <v>258733</v>
      </c>
      <c r="F89" s="323">
        <f t="shared" si="77"/>
        <v>3.2882760602963718E-2</v>
      </c>
      <c r="G89" s="543">
        <f>+'9. Exhibit_Tables'!N57</f>
        <v>0</v>
      </c>
      <c r="H89" s="323">
        <f t="shared" ref="H89:H98" si="78">IF(G88&gt;0,+((G89-G88)/G88),0)</f>
        <v>0</v>
      </c>
    </row>
    <row r="90" spans="2:21" x14ac:dyDescent="0.25">
      <c r="B90" s="676">
        <f t="shared" si="75"/>
        <v>2016</v>
      </c>
      <c r="C90" s="58">
        <f>+'8. Final LF'!H$35</f>
        <v>36.5</v>
      </c>
      <c r="D90" s="117">
        <f t="shared" si="76"/>
        <v>-9.8765432098765427E-2</v>
      </c>
      <c r="E90" s="58">
        <f>+'9. Exhibit_Tables'!M58</f>
        <v>183648</v>
      </c>
      <c r="F90" s="323">
        <f t="shared" si="77"/>
        <v>-0.29020264133295715</v>
      </c>
      <c r="G90" s="543">
        <f>+'9. Exhibit_Tables'!N58</f>
        <v>0</v>
      </c>
      <c r="H90" s="323">
        <f t="shared" si="78"/>
        <v>0</v>
      </c>
    </row>
    <row r="91" spans="2:21" x14ac:dyDescent="0.25">
      <c r="B91" s="676">
        <f t="shared" si="75"/>
        <v>2017</v>
      </c>
      <c r="C91" s="58">
        <f>+'8. Final LF'!I$35</f>
        <v>33</v>
      </c>
      <c r="D91" s="117">
        <f t="shared" si="76"/>
        <v>-9.5890410958904104E-2</v>
      </c>
      <c r="E91" s="58">
        <f>+'9. Exhibit_Tables'!M59</f>
        <v>148714</v>
      </c>
      <c r="F91" s="323">
        <f t="shared" si="77"/>
        <v>-0.19022259975605507</v>
      </c>
      <c r="G91" s="543">
        <f>+'9. Exhibit_Tables'!N59</f>
        <v>0</v>
      </c>
      <c r="H91" s="323">
        <f t="shared" si="78"/>
        <v>0</v>
      </c>
    </row>
    <row r="92" spans="2:21" x14ac:dyDescent="0.25">
      <c r="B92" s="676">
        <f t="shared" si="75"/>
        <v>2018</v>
      </c>
      <c r="C92" s="58">
        <f>+'8. Final LF'!J$35</f>
        <v>34.5</v>
      </c>
      <c r="D92" s="117">
        <f t="shared" si="76"/>
        <v>4.5454545454545456E-2</v>
      </c>
      <c r="E92" s="58">
        <f>+'9. Exhibit_Tables'!M60</f>
        <v>153906</v>
      </c>
      <c r="F92" s="323">
        <f t="shared" si="77"/>
        <v>3.4912651129012734E-2</v>
      </c>
      <c r="G92" s="543">
        <f>+'9. Exhibit_Tables'!N60</f>
        <v>0</v>
      </c>
      <c r="H92" s="323">
        <f t="shared" si="78"/>
        <v>0</v>
      </c>
    </row>
    <row r="93" spans="2:21" x14ac:dyDescent="0.25">
      <c r="B93" s="676">
        <f t="shared" si="75"/>
        <v>2019</v>
      </c>
      <c r="C93" s="58">
        <f>+'8. Final LF'!K$35</f>
        <v>35</v>
      </c>
      <c r="D93" s="117">
        <f t="shared" si="76"/>
        <v>1.4492753623188406E-2</v>
      </c>
      <c r="E93" s="58">
        <f>+'9. Exhibit_Tables'!M61</f>
        <v>154158</v>
      </c>
      <c r="F93" s="323">
        <f t="shared" si="77"/>
        <v>1.6373630657674164E-3</v>
      </c>
      <c r="G93" s="543">
        <f>+'9. Exhibit_Tables'!N61</f>
        <v>0</v>
      </c>
      <c r="H93" s="323">
        <f t="shared" si="78"/>
        <v>0</v>
      </c>
    </row>
    <row r="94" spans="2:21" x14ac:dyDescent="0.25">
      <c r="B94" s="676">
        <f t="shared" si="75"/>
        <v>2020</v>
      </c>
      <c r="C94" s="58">
        <f>+'8. Final LF'!L$35</f>
        <v>35</v>
      </c>
      <c r="D94" s="117">
        <f t="shared" si="76"/>
        <v>0</v>
      </c>
      <c r="E94" s="58">
        <f>+'9. Exhibit_Tables'!M62</f>
        <v>153122</v>
      </c>
      <c r="F94" s="323">
        <f t="shared" si="77"/>
        <v>-6.720377794211134E-3</v>
      </c>
      <c r="G94" s="543">
        <f>+'9. Exhibit_Tables'!N62</f>
        <v>0</v>
      </c>
      <c r="H94" s="323">
        <f t="shared" si="78"/>
        <v>0</v>
      </c>
    </row>
    <row r="95" spans="2:21" x14ac:dyDescent="0.25">
      <c r="B95" s="676">
        <f t="shared" si="75"/>
        <v>2021</v>
      </c>
      <c r="C95" s="58">
        <f>+'8. Final LF'!M$35</f>
        <v>36</v>
      </c>
      <c r="D95" s="117">
        <f t="shared" si="76"/>
        <v>2.8571428571428571E-2</v>
      </c>
      <c r="E95" s="58">
        <f>+'9. Exhibit_Tables'!M63</f>
        <v>155365</v>
      </c>
      <c r="F95" s="323">
        <f t="shared" si="77"/>
        <v>1.4648450255351941E-2</v>
      </c>
      <c r="G95" s="543">
        <f>+'9. Exhibit_Tables'!N63</f>
        <v>0</v>
      </c>
      <c r="H95" s="323">
        <f t="shared" si="78"/>
        <v>0</v>
      </c>
    </row>
    <row r="96" spans="2:21" x14ac:dyDescent="0.25">
      <c r="B96" s="676">
        <f t="shared" si="75"/>
        <v>2022</v>
      </c>
      <c r="C96" s="58">
        <f>+'8. Final LF'!N$35</f>
        <v>41</v>
      </c>
      <c r="D96" s="117">
        <f t="shared" si="76"/>
        <v>0.1388888888888889</v>
      </c>
      <c r="E96" s="58">
        <f>+'9. Exhibit_Tables'!M64</f>
        <v>184699.60902894865</v>
      </c>
      <c r="F96" s="323">
        <f t="shared" si="77"/>
        <v>0.1888109228523068</v>
      </c>
      <c r="G96" s="543">
        <f>+'9. Exhibit_Tables'!N64</f>
        <v>0</v>
      </c>
      <c r="H96" s="323">
        <f t="shared" si="78"/>
        <v>0</v>
      </c>
    </row>
    <row r="97" spans="2:8" x14ac:dyDescent="0.25">
      <c r="B97" s="676" t="str">
        <f t="shared" si="75"/>
        <v>2023</v>
      </c>
      <c r="C97" s="58">
        <f>+'8. Final LF'!O$35</f>
        <v>46</v>
      </c>
      <c r="D97" s="118">
        <f t="shared" si="76"/>
        <v>0.12195121951219512</v>
      </c>
      <c r="E97" s="58">
        <f>+'9. Exhibit_Tables'!M65</f>
        <v>207019.8047360066</v>
      </c>
      <c r="F97" s="324">
        <f t="shared" si="77"/>
        <v>0.12084592828542277</v>
      </c>
      <c r="G97" s="543">
        <f>+'9. Exhibit_Tables'!N65</f>
        <v>0</v>
      </c>
      <c r="H97" s="323">
        <f t="shared" si="78"/>
        <v>0</v>
      </c>
    </row>
    <row r="98" spans="2:8" ht="13" thickBot="1" x14ac:dyDescent="0.3">
      <c r="B98" s="677" t="str">
        <f t="shared" si="75"/>
        <v>2024</v>
      </c>
      <c r="C98" s="215">
        <f>+'8. Final LF'!P$35</f>
        <v>48</v>
      </c>
      <c r="D98" s="119">
        <f t="shared" si="76"/>
        <v>4.3478260869565216E-2</v>
      </c>
      <c r="E98" s="215">
        <f>+'9. Exhibit_Tables'!M66</f>
        <v>215972.26929725398</v>
      </c>
      <c r="F98" s="325">
        <f t="shared" si="77"/>
        <v>4.3244483650555277E-2</v>
      </c>
      <c r="G98" s="678">
        <f>+'9. Exhibit_Tables'!N66</f>
        <v>0</v>
      </c>
      <c r="H98" s="680">
        <f t="shared" si="78"/>
        <v>0</v>
      </c>
    </row>
    <row r="137" ht="10.5" customHeight="1" x14ac:dyDescent="0.25"/>
  </sheetData>
  <mergeCells count="28">
    <mergeCell ref="O70:P70"/>
    <mergeCell ref="Q70:R70"/>
    <mergeCell ref="T70:U70"/>
    <mergeCell ref="J35:U35"/>
    <mergeCell ref="J36:J37"/>
    <mergeCell ref="M36:N36"/>
    <mergeCell ref="O36:P36"/>
    <mergeCell ref="Q36:R36"/>
    <mergeCell ref="T36:U36"/>
    <mergeCell ref="J52:U52"/>
    <mergeCell ref="J53:J54"/>
    <mergeCell ref="M53:N53"/>
    <mergeCell ref="O53:P53"/>
    <mergeCell ref="Q53:R53"/>
    <mergeCell ref="T53:U53"/>
    <mergeCell ref="J69:U69"/>
    <mergeCell ref="J70:J71"/>
    <mergeCell ref="M70:N70"/>
    <mergeCell ref="B69:H69"/>
    <mergeCell ref="B53:H53"/>
    <mergeCell ref="B37:H37"/>
    <mergeCell ref="J19:Q19"/>
    <mergeCell ref="M4:N4"/>
    <mergeCell ref="J4:J5"/>
    <mergeCell ref="T4:U4"/>
    <mergeCell ref="J3:U3"/>
    <mergeCell ref="O4:P4"/>
    <mergeCell ref="Q4:R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35"/>
  <sheetViews>
    <sheetView zoomScaleNormal="100" workbookViewId="0">
      <selection activeCell="A2" sqref="A2"/>
    </sheetView>
  </sheetViews>
  <sheetFormatPr defaultColWidth="9.296875" defaultRowHeight="14" x14ac:dyDescent="0.3"/>
  <cols>
    <col min="1" max="1" width="4.796875" style="396" customWidth="1"/>
    <col min="2" max="2" width="71.296875" style="396" customWidth="1"/>
    <col min="3" max="3" width="9.69921875" style="396" bestFit="1" customWidth="1"/>
    <col min="4" max="4" width="9.296875" style="396"/>
    <col min="5" max="14" width="17.69921875" style="396" customWidth="1"/>
    <col min="15" max="15" width="19.69921875" style="396" customWidth="1"/>
    <col min="16" max="16" width="2.19921875" style="396" customWidth="1"/>
    <col min="17" max="18" width="19.796875" style="396" bestFit="1" customWidth="1"/>
    <col min="19" max="19" width="2.69921875" style="396" customWidth="1"/>
    <col min="20" max="20" width="13.796875" style="399" customWidth="1"/>
    <col min="21" max="21" width="40.796875" style="398" bestFit="1" customWidth="1"/>
    <col min="22" max="22" width="44.296875" style="398" bestFit="1" customWidth="1"/>
    <col min="23" max="23" width="25.19921875" style="397" customWidth="1"/>
    <col min="24" max="16384" width="9.296875" style="396"/>
  </cols>
  <sheetData>
    <row r="1" spans="1:23" ht="3.75" customHeight="1" thickBot="1" x14ac:dyDescent="0.35"/>
    <row r="2" spans="1:23" ht="26.25" customHeight="1" thickBot="1" x14ac:dyDescent="0.45">
      <c r="C2" s="422" t="s">
        <v>214</v>
      </c>
      <c r="D2" s="423"/>
    </row>
    <row r="3" spans="1:23" ht="49.5" customHeight="1" thickBot="1" x14ac:dyDescent="0.55000000000000004">
      <c r="B3" s="408" t="str">
        <f>'1. LDC Info'!F4</f>
        <v>Wasaga Distribution Inc.</v>
      </c>
      <c r="Q3" s="880" t="s">
        <v>278</v>
      </c>
      <c r="R3" s="881"/>
      <c r="U3" s="442" t="s">
        <v>190</v>
      </c>
      <c r="V3" s="442" t="s">
        <v>191</v>
      </c>
      <c r="W3" s="443" t="s">
        <v>194</v>
      </c>
    </row>
    <row r="4" spans="1:23" ht="15" customHeight="1" x14ac:dyDescent="0.5">
      <c r="B4" s="408"/>
      <c r="E4" s="439">
        <f>+E7</f>
        <v>2013</v>
      </c>
      <c r="F4" s="439">
        <f t="shared" ref="F4:N4" si="0">+F7</f>
        <v>2014</v>
      </c>
      <c r="G4" s="439">
        <f t="shared" si="0"/>
        <v>2015</v>
      </c>
      <c r="H4" s="439">
        <f t="shared" si="0"/>
        <v>2016</v>
      </c>
      <c r="I4" s="439">
        <f t="shared" si="0"/>
        <v>2017</v>
      </c>
      <c r="J4" s="439">
        <f t="shared" si="0"/>
        <v>2018</v>
      </c>
      <c r="K4" s="439">
        <f t="shared" si="0"/>
        <v>2019</v>
      </c>
      <c r="L4" s="439">
        <f t="shared" si="0"/>
        <v>2020</v>
      </c>
      <c r="M4" s="439">
        <f t="shared" si="0"/>
        <v>2021</v>
      </c>
      <c r="N4" s="439">
        <f t="shared" si="0"/>
        <v>2022</v>
      </c>
      <c r="O4" s="434" t="s">
        <v>453</v>
      </c>
      <c r="Q4" s="694">
        <v>2023</v>
      </c>
      <c r="R4" s="694">
        <v>2024</v>
      </c>
      <c r="U4" s="406"/>
      <c r="V4" s="406"/>
      <c r="W4" s="407"/>
    </row>
    <row r="5" spans="1:23" ht="15" customHeight="1" x14ac:dyDescent="0.5">
      <c r="B5" s="411" t="s">
        <v>216</v>
      </c>
      <c r="E5" s="428">
        <f>U18</f>
        <v>132861329.50999999</v>
      </c>
      <c r="F5" s="428">
        <f>U31</f>
        <v>133912300.44999999</v>
      </c>
      <c r="G5" s="428">
        <f>U44</f>
        <v>134268044.38999999</v>
      </c>
      <c r="H5" s="428">
        <f>U57</f>
        <v>134069791.25999999</v>
      </c>
      <c r="I5" s="428">
        <f>U70</f>
        <v>130397715</v>
      </c>
      <c r="J5" s="428">
        <f>U83</f>
        <v>140352284.21000001</v>
      </c>
      <c r="K5" s="428">
        <f>U96</f>
        <v>139903657.92000002</v>
      </c>
      <c r="L5" s="428">
        <f>U109</f>
        <v>146244902.30999997</v>
      </c>
      <c r="M5" s="428">
        <f>U122</f>
        <v>149961501.62</v>
      </c>
      <c r="N5" s="428">
        <f>U135</f>
        <v>152832225.73000002</v>
      </c>
      <c r="Q5" s="428">
        <f>+'7. Billed kWh'!E26-Q9-Q13</f>
        <v>154539309.01436594</v>
      </c>
      <c r="R5" s="428">
        <f>+'7. Billed kWh'!E27-R9-R13</f>
        <v>157451775.02891439</v>
      </c>
      <c r="U5" s="406"/>
      <c r="V5" s="406"/>
      <c r="W5" s="407"/>
    </row>
    <row r="6" spans="1:23" x14ac:dyDescent="0.3">
      <c r="Q6"/>
      <c r="R6"/>
      <c r="T6" s="400" t="s">
        <v>76</v>
      </c>
      <c r="U6" s="401">
        <f>'6. WS Regression Analysis'!C11</f>
        <v>12427125.300000001</v>
      </c>
      <c r="V6" s="412">
        <v>12037372.630000001</v>
      </c>
      <c r="W6" s="402">
        <f>+U6/V6</f>
        <v>1.0323785498696487</v>
      </c>
    </row>
    <row r="7" spans="1:23" x14ac:dyDescent="0.3">
      <c r="A7" s="411"/>
      <c r="C7" s="411"/>
      <c r="E7" s="440">
        <f>+'8. Final LF'!E9</f>
        <v>2013</v>
      </c>
      <c r="F7" s="440">
        <f>+'8. Final LF'!F9</f>
        <v>2014</v>
      </c>
      <c r="G7" s="440">
        <f>+'8. Final LF'!G9</f>
        <v>2015</v>
      </c>
      <c r="H7" s="440">
        <f>+'8. Final LF'!H9</f>
        <v>2016</v>
      </c>
      <c r="I7" s="440">
        <f>+'8. Final LF'!I9</f>
        <v>2017</v>
      </c>
      <c r="J7" s="440">
        <f>+'8. Final LF'!J9</f>
        <v>2018</v>
      </c>
      <c r="K7" s="440">
        <f>+'8. Final LF'!K9</f>
        <v>2019</v>
      </c>
      <c r="L7" s="440">
        <f>+'8. Final LF'!L9</f>
        <v>2020</v>
      </c>
      <c r="M7" s="440">
        <f>+'8. Final LF'!M9</f>
        <v>2021</v>
      </c>
      <c r="N7" s="440">
        <f>+'8. Final LF'!N9</f>
        <v>2022</v>
      </c>
      <c r="O7" s="431"/>
      <c r="Q7" s="695">
        <f>+Q4</f>
        <v>2023</v>
      </c>
      <c r="R7" s="440">
        <f>+R4</f>
        <v>2024</v>
      </c>
      <c r="T7" s="400" t="s">
        <v>77</v>
      </c>
      <c r="U7" s="401">
        <f>'6. WS Regression Analysis'!C12</f>
        <v>11414727.16</v>
      </c>
      <c r="V7" s="412">
        <v>11056689.02</v>
      </c>
      <c r="W7" s="402">
        <f t="shared" ref="W7:W17" si="1">+U7/V7</f>
        <v>1.0323820394471039</v>
      </c>
    </row>
    <row r="8" spans="1:23" x14ac:dyDescent="0.3">
      <c r="A8" s="411" t="s">
        <v>195</v>
      </c>
      <c r="B8" s="411" t="s">
        <v>213</v>
      </c>
      <c r="C8" s="411"/>
      <c r="E8" s="428">
        <f>V18</f>
        <v>128710876.20999999</v>
      </c>
      <c r="F8" s="428">
        <f>V31</f>
        <v>129721073.02999999</v>
      </c>
      <c r="G8" s="428">
        <f>V44</f>
        <v>130062006.19</v>
      </c>
      <c r="H8" s="428">
        <f>V57</f>
        <v>129854582.82000002</v>
      </c>
      <c r="I8" s="428">
        <f>V70</f>
        <v>126280355.89999999</v>
      </c>
      <c r="J8" s="428">
        <f>V83</f>
        <v>135908089.95999998</v>
      </c>
      <c r="K8" s="428">
        <f>+V96</f>
        <v>135499476.65000001</v>
      </c>
      <c r="L8" s="428">
        <f>+V109</f>
        <v>141661860.57999998</v>
      </c>
      <c r="M8" s="428">
        <f>V122</f>
        <v>145258377.97999999</v>
      </c>
      <c r="N8" s="428">
        <f>V135</f>
        <v>148041188.84</v>
      </c>
      <c r="O8" s="432"/>
      <c r="Q8" s="428">
        <f>+Q5/O18</f>
        <v>149685657.74913141</v>
      </c>
      <c r="R8" s="428">
        <f>+R5/O18</f>
        <v>152506651.28042221</v>
      </c>
      <c r="T8" s="400" t="s">
        <v>78</v>
      </c>
      <c r="U8" s="401">
        <f>'6. WS Regression Analysis'!C13</f>
        <v>11410609.51</v>
      </c>
      <c r="V8" s="412">
        <v>11053679.289999999</v>
      </c>
      <c r="W8" s="402">
        <f t="shared" si="1"/>
        <v>1.0322906256492268</v>
      </c>
    </row>
    <row r="9" spans="1:23" ht="14.5" thickBot="1" x14ac:dyDescent="0.35">
      <c r="A9" s="411" t="s">
        <v>196</v>
      </c>
      <c r="B9" s="411" t="s">
        <v>215</v>
      </c>
      <c r="C9" s="411"/>
      <c r="E9" s="435">
        <v>196180</v>
      </c>
      <c r="F9" s="435">
        <v>202170</v>
      </c>
      <c r="G9" s="435">
        <v>302283</v>
      </c>
      <c r="H9" s="435">
        <v>476881</v>
      </c>
      <c r="I9" s="435">
        <v>1033676</v>
      </c>
      <c r="J9" s="435">
        <v>1562626.0199999998</v>
      </c>
      <c r="K9" s="435">
        <v>1554198</v>
      </c>
      <c r="L9" s="435">
        <v>1624059</v>
      </c>
      <c r="M9" s="435">
        <v>1498849</v>
      </c>
      <c r="N9" s="435">
        <v>1427998</v>
      </c>
      <c r="O9" s="432"/>
      <c r="Q9" s="435">
        <f>TREND(E9:N9,E7:N7,Q7)</f>
        <v>2005655.2026666403</v>
      </c>
      <c r="R9" s="435">
        <f>TREND(E9:N9,E7:N7,R7)</f>
        <v>2190703.0573332906</v>
      </c>
      <c r="T9" s="400" t="s">
        <v>79</v>
      </c>
      <c r="U9" s="401">
        <f>'6. WS Regression Analysis'!C14</f>
        <v>9843368.6199999992</v>
      </c>
      <c r="V9" s="412">
        <v>9536827.4700000007</v>
      </c>
      <c r="W9" s="402">
        <f t="shared" si="1"/>
        <v>1.0321428851433336</v>
      </c>
    </row>
    <row r="10" spans="1:23" ht="14.5" thickBot="1" x14ac:dyDescent="0.35">
      <c r="A10" s="411" t="s">
        <v>197</v>
      </c>
      <c r="B10" s="411" t="s">
        <v>198</v>
      </c>
      <c r="C10" s="411"/>
      <c r="E10" s="436">
        <f>E9+E8</f>
        <v>128907056.20999999</v>
      </c>
      <c r="F10" s="437">
        <f t="shared" ref="F10:N10" si="2">F9+F8</f>
        <v>129923243.02999999</v>
      </c>
      <c r="G10" s="437">
        <f t="shared" si="2"/>
        <v>130364289.19</v>
      </c>
      <c r="H10" s="437">
        <f t="shared" si="2"/>
        <v>130331463.82000002</v>
      </c>
      <c r="I10" s="437">
        <f t="shared" si="2"/>
        <v>127314031.89999999</v>
      </c>
      <c r="J10" s="437">
        <f t="shared" si="2"/>
        <v>137470715.97999999</v>
      </c>
      <c r="K10" s="437">
        <f t="shared" si="2"/>
        <v>137053674.65000001</v>
      </c>
      <c r="L10" s="437">
        <f t="shared" si="2"/>
        <v>143285919.57999998</v>
      </c>
      <c r="M10" s="437">
        <f t="shared" si="2"/>
        <v>146757226.97999999</v>
      </c>
      <c r="N10" s="438">
        <f t="shared" si="2"/>
        <v>149469186.84</v>
      </c>
      <c r="O10" s="535">
        <f>AVERAGE(J10:N10)</f>
        <v>142807344.80599999</v>
      </c>
      <c r="Q10" s="437">
        <f>+Q8+Q9</f>
        <v>151691312.95179805</v>
      </c>
      <c r="R10" s="438">
        <f>+R8+R9</f>
        <v>154697354.3377555</v>
      </c>
      <c r="T10" s="400" t="s">
        <v>287</v>
      </c>
      <c r="U10" s="401">
        <f>'6. WS Regression Analysis'!C15</f>
        <v>9607315.9800000004</v>
      </c>
      <c r="V10" s="412">
        <v>9309016.1500000004</v>
      </c>
      <c r="W10" s="402">
        <f t="shared" si="1"/>
        <v>1.0320441843899906</v>
      </c>
    </row>
    <row r="11" spans="1:23" x14ac:dyDescent="0.3">
      <c r="A11" s="411"/>
      <c r="B11" s="411"/>
      <c r="C11" s="411"/>
      <c r="E11" s="424"/>
      <c r="F11" s="424"/>
      <c r="G11" s="424"/>
      <c r="H11" s="424"/>
      <c r="I11" s="424"/>
      <c r="J11" s="424"/>
      <c r="K11" s="424"/>
      <c r="L11" s="424"/>
      <c r="M11" s="424"/>
      <c r="N11" s="424"/>
      <c r="O11" s="432"/>
      <c r="Q11" s="424"/>
      <c r="R11" s="424"/>
      <c r="T11" s="400" t="s">
        <v>81</v>
      </c>
      <c r="U11" s="401">
        <f>'6. WS Regression Analysis'!C16</f>
        <v>10146122.73</v>
      </c>
      <c r="V11" s="412">
        <v>9830533.1899999995</v>
      </c>
      <c r="W11" s="402">
        <f t="shared" si="1"/>
        <v>1.0321029931846455</v>
      </c>
    </row>
    <row r="12" spans="1:23" x14ac:dyDescent="0.3">
      <c r="A12" s="411" t="s">
        <v>199</v>
      </c>
      <c r="B12" s="411" t="s">
        <v>218</v>
      </c>
      <c r="C12" s="411"/>
      <c r="E12" s="428">
        <f>+'8. Final LF'!E56</f>
        <v>126056266</v>
      </c>
      <c r="F12" s="428">
        <f>+'8. Final LF'!F56</f>
        <v>127013614</v>
      </c>
      <c r="G12" s="428">
        <f>+'8. Final LF'!G56</f>
        <v>128166037.0320074</v>
      </c>
      <c r="H12" s="428">
        <f>+'8. Final LF'!H56</f>
        <v>127885499.12557267</v>
      </c>
      <c r="I12" s="428">
        <f>+'8. Final LF'!I56</f>
        <v>125028584</v>
      </c>
      <c r="J12" s="428">
        <f>+'8. Final LF'!J56</f>
        <v>134228686.31</v>
      </c>
      <c r="K12" s="428">
        <f>+'8. Final LF'!K56</f>
        <v>133654396</v>
      </c>
      <c r="L12" s="428">
        <f>+'8. Final LF'!L56</f>
        <v>139481593.56999999</v>
      </c>
      <c r="M12" s="428">
        <f>+'8. Final LF'!M56</f>
        <v>143103046.99000001</v>
      </c>
      <c r="N12" s="428">
        <f>+'8. Final LF'!N56</f>
        <v>145877729.05902892</v>
      </c>
      <c r="Q12" s="428">
        <f>+'8. Final LF'!O56</f>
        <v>147549838.31535891</v>
      </c>
      <c r="R12" s="428">
        <f>+'8. Final LF'!P56</f>
        <v>150428662.99729875</v>
      </c>
      <c r="T12" s="400" t="s">
        <v>82</v>
      </c>
      <c r="U12" s="401">
        <f>'6. WS Regression Analysis'!C17</f>
        <v>12627370.01</v>
      </c>
      <c r="V12" s="412">
        <v>12231693.16</v>
      </c>
      <c r="W12" s="402">
        <f t="shared" si="1"/>
        <v>1.0323484937714051</v>
      </c>
    </row>
    <row r="13" spans="1:23" ht="14.5" thickBot="1" x14ac:dyDescent="0.35">
      <c r="A13" s="411" t="s">
        <v>200</v>
      </c>
      <c r="B13" s="411" t="s">
        <v>219</v>
      </c>
      <c r="C13" s="411"/>
      <c r="E13" s="435">
        <v>3594883</v>
      </c>
      <c r="F13" s="435">
        <v>3453199</v>
      </c>
      <c r="G13" s="435">
        <v>3423047.21</v>
      </c>
      <c r="H13" s="435">
        <v>3180755.81</v>
      </c>
      <c r="I13" s="435">
        <v>2803203</v>
      </c>
      <c r="J13" s="435">
        <v>2678677.3099999996</v>
      </c>
      <c r="K13" s="435">
        <v>2667704.5</v>
      </c>
      <c r="L13" s="435">
        <v>2734869.5700000003</v>
      </c>
      <c r="M13" s="435">
        <v>2738839.99</v>
      </c>
      <c r="N13" s="435">
        <v>2821873</v>
      </c>
      <c r="Q13" s="435">
        <f>+'8. Final LF'!O28</f>
        <v>2780774.6976221777</v>
      </c>
      <c r="R13" s="435">
        <f>+'8. Final LF'!P28</f>
        <v>2791843.4937129831</v>
      </c>
      <c r="T13" s="400" t="s">
        <v>83</v>
      </c>
      <c r="U13" s="401">
        <f>'6. WS Regression Analysis'!C18</f>
        <v>11481797.800000001</v>
      </c>
      <c r="V13" s="412">
        <v>11123354.539999999</v>
      </c>
      <c r="W13" s="402">
        <f t="shared" si="1"/>
        <v>1.0322243850729584</v>
      </c>
    </row>
    <row r="14" spans="1:23" ht="14.5" thickBot="1" x14ac:dyDescent="0.35">
      <c r="A14" s="411" t="s">
        <v>21</v>
      </c>
      <c r="B14" s="447" t="s">
        <v>220</v>
      </c>
      <c r="E14" s="444">
        <f>E12-E13</f>
        <v>122461383</v>
      </c>
      <c r="F14" s="445">
        <f t="shared" ref="F14:N14" si="3">F12-F13</f>
        <v>123560415</v>
      </c>
      <c r="G14" s="445">
        <f t="shared" si="3"/>
        <v>124742989.8220074</v>
      </c>
      <c r="H14" s="445">
        <f t="shared" si="3"/>
        <v>124704743.31557266</v>
      </c>
      <c r="I14" s="445">
        <f t="shared" si="3"/>
        <v>122225381</v>
      </c>
      <c r="J14" s="445">
        <f t="shared" si="3"/>
        <v>131550009</v>
      </c>
      <c r="K14" s="445">
        <f t="shared" si="3"/>
        <v>130986691.5</v>
      </c>
      <c r="L14" s="445">
        <f t="shared" si="3"/>
        <v>136746724</v>
      </c>
      <c r="M14" s="445">
        <f t="shared" si="3"/>
        <v>140364207</v>
      </c>
      <c r="N14" s="446">
        <f t="shared" si="3"/>
        <v>143055856.05902892</v>
      </c>
      <c r="O14" s="534">
        <f>AVERAGE(J14:N14)</f>
        <v>136540697.51180577</v>
      </c>
      <c r="Q14" s="445">
        <f>+Q12-Q13</f>
        <v>144769063.61773673</v>
      </c>
      <c r="R14" s="446">
        <f>+R12-R13</f>
        <v>147636819.50358576</v>
      </c>
      <c r="T14" s="400" t="s">
        <v>73</v>
      </c>
      <c r="U14" s="401">
        <f>'6. WS Regression Analysis'!C19</f>
        <v>9549656.1400000006</v>
      </c>
      <c r="V14" s="412">
        <v>9253334.6699999999</v>
      </c>
      <c r="W14" s="402">
        <f t="shared" si="1"/>
        <v>1.0320232089908838</v>
      </c>
    </row>
    <row r="15" spans="1:23" x14ac:dyDescent="0.3">
      <c r="Q15"/>
      <c r="R15"/>
      <c r="T15" s="400" t="s">
        <v>74</v>
      </c>
      <c r="U15" s="401">
        <f>'6. WS Regression Analysis'!C20</f>
        <v>9762325.4000000004</v>
      </c>
      <c r="V15" s="412">
        <v>9458916.8699999992</v>
      </c>
      <c r="W15" s="402">
        <f t="shared" si="1"/>
        <v>1.03207645591667</v>
      </c>
    </row>
    <row r="16" spans="1:23" x14ac:dyDescent="0.3">
      <c r="A16" s="411" t="s">
        <v>201</v>
      </c>
      <c r="B16" s="409" t="s">
        <v>202</v>
      </c>
      <c r="C16" s="411"/>
      <c r="E16" s="429">
        <f>E10/E14</f>
        <v>1.0526343329798913</v>
      </c>
      <c r="F16" s="429">
        <f t="shared" ref="F16:M16" si="4">F10/F14</f>
        <v>1.0514956835488127</v>
      </c>
      <c r="G16" s="429">
        <f t="shared" si="4"/>
        <v>1.0450630482403338</v>
      </c>
      <c r="H16" s="429">
        <f t="shared" si="4"/>
        <v>1.0451203406929648</v>
      </c>
      <c r="I16" s="429">
        <f t="shared" si="4"/>
        <v>1.0416333404597855</v>
      </c>
      <c r="J16" s="719">
        <f t="shared" si="4"/>
        <v>1.0450072715692478</v>
      </c>
      <c r="K16" s="719">
        <f>K10/K14</f>
        <v>1.0463175539478375</v>
      </c>
      <c r="L16" s="719">
        <f t="shared" si="4"/>
        <v>1.0478197604207322</v>
      </c>
      <c r="M16" s="719">
        <f t="shared" si="4"/>
        <v>1.0455459416373862</v>
      </c>
      <c r="N16" s="719">
        <f>N10/N14</f>
        <v>1.0448309559471984</v>
      </c>
      <c r="O16" s="441">
        <f>O10/O14</f>
        <v>1.0458958201356221</v>
      </c>
      <c r="Q16" s="486">
        <f>Q10/Q14</f>
        <v>1.0478158051249096</v>
      </c>
      <c r="R16" s="486">
        <f>R10/R14</f>
        <v>1.0478236720210452</v>
      </c>
      <c r="T16" s="400" t="s">
        <v>75</v>
      </c>
      <c r="U16" s="401">
        <f>'6. WS Regression Analysis'!C21</f>
        <v>11051534.07</v>
      </c>
      <c r="V16" s="412">
        <v>10705477.99</v>
      </c>
      <c r="W16" s="402">
        <f t="shared" si="1"/>
        <v>1.0323251404863241</v>
      </c>
    </row>
    <row r="17" spans="1:23" x14ac:dyDescent="0.3">
      <c r="A17" s="411"/>
      <c r="B17" s="411"/>
      <c r="C17" s="413"/>
      <c r="E17" s="426"/>
      <c r="F17" s="425"/>
      <c r="G17" s="425"/>
      <c r="H17" s="425"/>
      <c r="I17" s="425"/>
      <c r="J17" s="496"/>
      <c r="K17" s="496"/>
      <c r="L17" s="496"/>
      <c r="M17" s="496"/>
      <c r="N17" s="496"/>
      <c r="O17" s="433"/>
      <c r="Q17" s="425"/>
      <c r="R17" s="425"/>
      <c r="T17" s="400" t="s">
        <v>72</v>
      </c>
      <c r="U17" s="401">
        <f>'6. WS Regression Analysis'!C22</f>
        <v>13539376.789999999</v>
      </c>
      <c r="V17" s="412">
        <v>13113981.23</v>
      </c>
      <c r="W17" s="402">
        <f t="shared" si="1"/>
        <v>1.0324383230797105</v>
      </c>
    </row>
    <row r="18" spans="1:23" x14ac:dyDescent="0.3">
      <c r="A18" s="411" t="s">
        <v>203</v>
      </c>
      <c r="B18" s="411" t="s">
        <v>204</v>
      </c>
      <c r="C18" s="411"/>
      <c r="E18" s="429">
        <f t="shared" ref="E18:M18" si="5">E5/E8</f>
        <v>1.0322463293096402</v>
      </c>
      <c r="F18" s="429">
        <f t="shared" si="5"/>
        <v>1.0323095340032433</v>
      </c>
      <c r="G18" s="429">
        <f t="shared" si="5"/>
        <v>1.0323387153805366</v>
      </c>
      <c r="H18" s="429">
        <f t="shared" si="5"/>
        <v>1.0324609909674343</v>
      </c>
      <c r="I18" s="429">
        <f t="shared" si="5"/>
        <v>1.0326049057326105</v>
      </c>
      <c r="J18" s="719">
        <f t="shared" si="5"/>
        <v>1.0326999978537557</v>
      </c>
      <c r="K18" s="719">
        <f>K5/K8</f>
        <v>1.032503308343959</v>
      </c>
      <c r="L18" s="719">
        <f t="shared" si="5"/>
        <v>1.0323519803512098</v>
      </c>
      <c r="M18" s="719">
        <f t="shared" si="5"/>
        <v>1.0323776411756957</v>
      </c>
      <c r="N18" s="719">
        <f>N5/N8</f>
        <v>1.0323628641970586</v>
      </c>
      <c r="O18" s="441">
        <f>AVERAGE(E18:N18)</f>
        <v>1.0324256267315142</v>
      </c>
      <c r="Q18" s="486">
        <f t="shared" ref="Q18" si="6">Q5/Q8</f>
        <v>1.0324256267315142</v>
      </c>
      <c r="R18" s="486">
        <f>R5/R8</f>
        <v>1.0324256267315142</v>
      </c>
      <c r="T18" s="403" t="s">
        <v>192</v>
      </c>
      <c r="U18" s="404">
        <f>SUM(U6:U17)</f>
        <v>132861329.50999999</v>
      </c>
      <c r="V18" s="404">
        <f>SUM(V6:V17)</f>
        <v>128710876.20999999</v>
      </c>
      <c r="W18" s="405">
        <f>U18/V18</f>
        <v>1.0322463293096402</v>
      </c>
    </row>
    <row r="19" spans="1:23" x14ac:dyDescent="0.3">
      <c r="A19" s="411"/>
      <c r="B19" s="411"/>
      <c r="C19" s="411"/>
      <c r="E19" s="426"/>
      <c r="F19" s="425"/>
      <c r="G19" s="425"/>
      <c r="H19" s="425"/>
      <c r="I19" s="425"/>
      <c r="J19" s="496"/>
      <c r="K19" s="496"/>
      <c r="L19" s="496"/>
      <c r="M19" s="496"/>
      <c r="N19" s="496"/>
      <c r="O19" s="433"/>
      <c r="Q19" s="425"/>
      <c r="R19" s="425"/>
      <c r="T19" s="400" t="s">
        <v>76</v>
      </c>
      <c r="U19" s="401">
        <f>'6. WS Regression Analysis'!C23</f>
        <v>14009823.02</v>
      </c>
      <c r="V19" s="412">
        <v>13569001.189999999</v>
      </c>
      <c r="W19" s="402">
        <f>+U19/V19</f>
        <v>1.0324874192158575</v>
      </c>
    </row>
    <row r="20" spans="1:23" x14ac:dyDescent="0.3">
      <c r="A20" s="411"/>
      <c r="B20" s="414" t="s">
        <v>205</v>
      </c>
      <c r="C20" s="427" t="s">
        <v>217</v>
      </c>
      <c r="E20" s="430">
        <f>E16*E18</f>
        <v>1.0865779263237942</v>
      </c>
      <c r="F20" s="430">
        <f t="shared" ref="F20:M20" si="7">F16*F18</f>
        <v>1.0854690190906966</v>
      </c>
      <c r="G20" s="430">
        <f t="shared" si="7"/>
        <v>1.0788590447120938</v>
      </c>
      <c r="H20" s="430">
        <f>H16*H18</f>
        <v>1.0790459826320808</v>
      </c>
      <c r="I20" s="430">
        <f t="shared" si="7"/>
        <v>1.0755956973334211</v>
      </c>
      <c r="J20" s="720">
        <f t="shared" si="7"/>
        <v>1.0791790071067213</v>
      </c>
      <c r="K20" s="720">
        <f>K16*K18</f>
        <v>1.080326336029501</v>
      </c>
      <c r="L20" s="720">
        <f t="shared" si="7"/>
        <v>1.0817188047214732</v>
      </c>
      <c r="M20" s="720">
        <f t="shared" si="7"/>
        <v>1.0793982529684265</v>
      </c>
      <c r="N20" s="720">
        <f>N16*N18</f>
        <v>1.0786446782834005</v>
      </c>
      <c r="O20" s="441">
        <f>O16*O18</f>
        <v>1.0798096475993906</v>
      </c>
      <c r="Q20" s="487">
        <f>Q16*Q18</f>
        <v>1.0817918893052709</v>
      </c>
      <c r="R20" s="487">
        <f>R16*R18</f>
        <v>1.0818000112904442</v>
      </c>
      <c r="T20" s="400" t="s">
        <v>77</v>
      </c>
      <c r="U20" s="401">
        <f>'6. WS Regression Analysis'!C24</f>
        <v>12185867.460000001</v>
      </c>
      <c r="V20" s="412">
        <v>11802571.07</v>
      </c>
      <c r="W20" s="402">
        <f t="shared" ref="W20:W30" si="8">+U20/V20</f>
        <v>1.0324756688798318</v>
      </c>
    </row>
    <row r="21" spans="1:23" x14ac:dyDescent="0.3">
      <c r="A21" s="411"/>
      <c r="B21" s="411"/>
      <c r="C21" s="411"/>
      <c r="E21" s="425"/>
      <c r="F21" s="425"/>
      <c r="G21" s="425"/>
      <c r="H21" s="425"/>
      <c r="I21" s="425"/>
      <c r="J21" s="425"/>
      <c r="K21" s="425"/>
      <c r="L21" s="425"/>
      <c r="M21" s="425"/>
      <c r="N21" s="425"/>
      <c r="O21" s="433"/>
      <c r="T21" s="400" t="s">
        <v>78</v>
      </c>
      <c r="U21" s="401">
        <f>'6. WS Regression Analysis'!C25</f>
        <v>12555380.390000001</v>
      </c>
      <c r="V21" s="412">
        <v>12161096.949999999</v>
      </c>
      <c r="W21" s="402">
        <f t="shared" si="8"/>
        <v>1.0324217002480192</v>
      </c>
    </row>
    <row r="22" spans="1:23" x14ac:dyDescent="0.3">
      <c r="A22" s="411"/>
      <c r="B22" s="409" t="s">
        <v>204</v>
      </c>
      <c r="C22" s="415">
        <f>O18</f>
        <v>1.0324256267315142</v>
      </c>
      <c r="E22" s="425"/>
      <c r="F22" s="425"/>
      <c r="G22" s="425"/>
      <c r="H22" s="425"/>
      <c r="I22" s="425"/>
      <c r="J22" s="425"/>
      <c r="K22" s="425"/>
      <c r="L22" s="425"/>
      <c r="M22" s="425"/>
      <c r="N22" s="425"/>
      <c r="O22" s="433" t="s">
        <v>279</v>
      </c>
      <c r="Q22" s="456">
        <f>+Q10-Q14*O16</f>
        <v>277954.42905923724</v>
      </c>
      <c r="R22" s="456">
        <f>+R10-R14*O16</f>
        <v>284621.92083787918</v>
      </c>
      <c r="T22" s="400" t="s">
        <v>79</v>
      </c>
      <c r="U22" s="401">
        <f>'6. WS Regression Analysis'!C26</f>
        <v>10082468.890000001</v>
      </c>
      <c r="V22" s="412">
        <v>9767547.5299999993</v>
      </c>
      <c r="W22" s="402">
        <f t="shared" si="8"/>
        <v>1.0322415999546204</v>
      </c>
    </row>
    <row r="23" spans="1:23" x14ac:dyDescent="0.3">
      <c r="A23" s="411"/>
      <c r="B23" s="411"/>
      <c r="C23" s="416"/>
      <c r="E23" s="496"/>
      <c r="F23" s="496"/>
      <c r="G23" s="496"/>
      <c r="H23" s="496"/>
      <c r="I23" s="425"/>
      <c r="J23" s="425"/>
      <c r="K23" s="425"/>
      <c r="L23" s="425"/>
      <c r="M23" s="115"/>
      <c r="N23" s="425"/>
      <c r="O23" s="433"/>
      <c r="T23" s="400" t="s">
        <v>287</v>
      </c>
      <c r="U23" s="401">
        <f>'6. WS Regression Analysis'!C27</f>
        <v>9562255.6600000001</v>
      </c>
      <c r="V23" s="412">
        <v>9264642.5999999996</v>
      </c>
      <c r="W23" s="402">
        <f t="shared" si="8"/>
        <v>1.0321235338317314</v>
      </c>
    </row>
    <row r="24" spans="1:23" x14ac:dyDescent="0.3">
      <c r="A24" s="411"/>
      <c r="B24" s="417" t="s">
        <v>206</v>
      </c>
      <c r="C24" s="416"/>
      <c r="E24" s="496"/>
      <c r="F24" s="496"/>
      <c r="G24" s="496"/>
      <c r="H24" s="496"/>
      <c r="I24" s="425"/>
      <c r="J24" s="425"/>
      <c r="L24" s="425"/>
      <c r="M24" s="425"/>
      <c r="N24" s="425"/>
      <c r="O24" s="433"/>
      <c r="T24" s="400" t="s">
        <v>81</v>
      </c>
      <c r="U24" s="401">
        <f>'6. WS Regression Analysis'!C28</f>
        <v>9968997.2799999993</v>
      </c>
      <c r="V24" s="412">
        <v>9658593.1300000008</v>
      </c>
      <c r="W24" s="402">
        <f t="shared" si="8"/>
        <v>1.0321376152636423</v>
      </c>
    </row>
    <row r="25" spans="1:23" x14ac:dyDescent="0.3">
      <c r="A25" s="411"/>
      <c r="B25" s="417" t="s">
        <v>207</v>
      </c>
      <c r="C25" s="416"/>
      <c r="E25" s="496"/>
      <c r="F25" s="496"/>
      <c r="G25" s="496"/>
      <c r="H25" s="496"/>
      <c r="I25" s="425"/>
      <c r="J25" s="425"/>
      <c r="L25" s="452"/>
      <c r="M25" s="425"/>
      <c r="N25" s="425"/>
      <c r="O25" s="433"/>
      <c r="T25" s="400" t="s">
        <v>82</v>
      </c>
      <c r="U25" s="401">
        <f>'6. WS Regression Analysis'!C29</f>
        <v>11153255.460000001</v>
      </c>
      <c r="V25" s="412">
        <v>10804830.810000001</v>
      </c>
      <c r="W25" s="402">
        <f t="shared" si="8"/>
        <v>1.0322471176205303</v>
      </c>
    </row>
    <row r="26" spans="1:23" x14ac:dyDescent="0.3">
      <c r="A26" s="411"/>
      <c r="B26" s="418" t="s">
        <v>208</v>
      </c>
      <c r="C26" s="415">
        <f>C22*O16</f>
        <v>1.0798096475993906</v>
      </c>
      <c r="E26" s="425"/>
      <c r="F26" s="425"/>
      <c r="G26" s="425"/>
      <c r="H26" s="425"/>
      <c r="I26" s="425"/>
      <c r="J26" s="425"/>
      <c r="L26" s="425"/>
      <c r="M26" s="425"/>
      <c r="N26" s="425"/>
      <c r="O26" s="433"/>
      <c r="T26" s="400" t="s">
        <v>83</v>
      </c>
      <c r="U26" s="401">
        <f>'6. WS Regression Analysis'!C30</f>
        <v>11362433.77</v>
      </c>
      <c r="V26" s="412">
        <v>11007759.82</v>
      </c>
      <c r="W26" s="402">
        <f t="shared" si="8"/>
        <v>1.0322203568936517</v>
      </c>
    </row>
    <row r="27" spans="1:23" x14ac:dyDescent="0.3">
      <c r="A27" s="411"/>
      <c r="B27" s="418" t="s">
        <v>209</v>
      </c>
      <c r="C27" s="419" t="s">
        <v>92</v>
      </c>
      <c r="E27" s="425"/>
      <c r="F27" s="425"/>
      <c r="G27" s="425"/>
      <c r="H27" s="425"/>
      <c r="I27" s="425"/>
      <c r="J27" s="425"/>
      <c r="K27" s="425"/>
      <c r="L27" s="425"/>
      <c r="M27" s="425"/>
      <c r="N27" s="425"/>
      <c r="O27" s="433"/>
      <c r="T27" s="400" t="s">
        <v>73</v>
      </c>
      <c r="U27" s="401">
        <f>'6. WS Regression Analysis'!C31</f>
        <v>9514380.7899999991</v>
      </c>
      <c r="V27" s="412">
        <v>9218609.3200000003</v>
      </c>
      <c r="W27" s="402">
        <f t="shared" si="8"/>
        <v>1.0320841744923841</v>
      </c>
    </row>
    <row r="28" spans="1:23" x14ac:dyDescent="0.3">
      <c r="A28" s="411"/>
      <c r="B28" s="420"/>
      <c r="C28" s="416"/>
      <c r="E28" s="425"/>
      <c r="F28" s="425"/>
      <c r="G28" s="425"/>
      <c r="H28" s="425"/>
      <c r="I28" s="425"/>
      <c r="J28" s="425"/>
      <c r="K28" s="425"/>
      <c r="L28" s="425"/>
      <c r="M28" s="425"/>
      <c r="N28" s="425"/>
      <c r="O28" s="433"/>
      <c r="T28" s="400" t="s">
        <v>74</v>
      </c>
      <c r="U28" s="401">
        <f>'6. WS Regression Analysis'!C32</f>
        <v>9761646.9700000007</v>
      </c>
      <c r="V28" s="412">
        <v>9457382.3100000005</v>
      </c>
      <c r="W28" s="402">
        <f t="shared" si="8"/>
        <v>1.0321721857091763</v>
      </c>
    </row>
    <row r="29" spans="1:23" x14ac:dyDescent="0.3">
      <c r="A29" s="411"/>
      <c r="B29" s="417" t="s">
        <v>210</v>
      </c>
      <c r="C29" s="416"/>
      <c r="E29" s="425"/>
      <c r="F29" s="425"/>
      <c r="G29" s="425"/>
      <c r="H29" s="425"/>
      <c r="I29" s="425"/>
      <c r="J29" s="425"/>
      <c r="K29" s="425"/>
      <c r="L29" s="425"/>
      <c r="M29" s="425"/>
      <c r="N29" s="425"/>
      <c r="O29" s="433"/>
      <c r="T29" s="400" t="s">
        <v>75</v>
      </c>
      <c r="U29" s="401">
        <f>'6. WS Regression Analysis'!C33</f>
        <v>11117966.66</v>
      </c>
      <c r="V29" s="412">
        <v>10769187.689999999</v>
      </c>
      <c r="W29" s="402">
        <f t="shared" si="8"/>
        <v>1.0323867481967901</v>
      </c>
    </row>
    <row r="30" spans="1:23" x14ac:dyDescent="0.3">
      <c r="A30" s="411"/>
      <c r="B30" s="418" t="s">
        <v>211</v>
      </c>
      <c r="C30" s="415">
        <f>C26*0.99</f>
        <v>1.0690115511233966</v>
      </c>
      <c r="E30" s="425"/>
      <c r="F30" s="425"/>
      <c r="G30" s="425"/>
      <c r="H30" s="425"/>
      <c r="I30" s="425"/>
      <c r="J30" s="425"/>
      <c r="K30" s="425"/>
      <c r="L30" s="425"/>
      <c r="M30" s="425"/>
      <c r="N30" s="425"/>
      <c r="O30" s="433"/>
      <c r="T30" s="400" t="s">
        <v>72</v>
      </c>
      <c r="U30" s="401">
        <f>'6. WS Regression Analysis'!C34</f>
        <v>12637824.1</v>
      </c>
      <c r="V30" s="412">
        <v>12239850.609999999</v>
      </c>
      <c r="W30" s="402">
        <f t="shared" si="8"/>
        <v>1.0325145708620704</v>
      </c>
    </row>
    <row r="31" spans="1:23" x14ac:dyDescent="0.3">
      <c r="A31" s="411"/>
      <c r="B31" s="418" t="s">
        <v>212</v>
      </c>
      <c r="C31" s="421" t="s">
        <v>92</v>
      </c>
      <c r="E31" s="425"/>
      <c r="F31" s="425"/>
      <c r="G31" s="425"/>
      <c r="H31" s="425"/>
      <c r="I31" s="425"/>
      <c r="J31" s="425"/>
      <c r="K31" s="425"/>
      <c r="L31" s="425"/>
      <c r="M31" s="425"/>
      <c r="N31" s="425"/>
      <c r="O31" s="433"/>
      <c r="T31" s="403" t="s">
        <v>193</v>
      </c>
      <c r="U31" s="404">
        <f>SUM(U19:U30)</f>
        <v>133912300.44999999</v>
      </c>
      <c r="V31" s="404">
        <f>SUM(V19:V30)</f>
        <v>129721073.02999999</v>
      </c>
      <c r="W31" s="405">
        <f>U31/V31</f>
        <v>1.0323095340032433</v>
      </c>
    </row>
    <row r="32" spans="1:23" x14ac:dyDescent="0.3">
      <c r="E32" s="424"/>
      <c r="F32" s="424"/>
      <c r="G32" s="424"/>
      <c r="H32" s="424"/>
      <c r="I32" s="424"/>
      <c r="J32" s="424"/>
      <c r="K32" s="424"/>
      <c r="L32" s="424"/>
      <c r="M32" s="424"/>
      <c r="N32" s="424"/>
      <c r="O32" s="432"/>
      <c r="T32" s="400" t="s">
        <v>76</v>
      </c>
      <c r="U32" s="401">
        <f>'6. WS Regression Analysis'!C35</f>
        <v>13995263.050000001</v>
      </c>
      <c r="V32" s="412">
        <v>13553617.74</v>
      </c>
      <c r="W32" s="402">
        <f>+U32/V32</f>
        <v>1.0325850498717106</v>
      </c>
    </row>
    <row r="33" spans="5:23" x14ac:dyDescent="0.3">
      <c r="E33" s="424"/>
      <c r="F33" s="424"/>
      <c r="G33" s="424"/>
      <c r="H33" s="424"/>
      <c r="I33" s="424"/>
      <c r="J33" s="424"/>
      <c r="K33" s="424"/>
      <c r="L33" s="424"/>
      <c r="M33" s="424"/>
      <c r="N33" s="424"/>
      <c r="O33" s="432"/>
      <c r="T33" s="400" t="s">
        <v>77</v>
      </c>
      <c r="U33" s="401">
        <f>'6. WS Regression Analysis'!C36</f>
        <v>13170058.060000001</v>
      </c>
      <c r="V33" s="412">
        <v>12754658.41</v>
      </c>
      <c r="W33" s="402">
        <f t="shared" ref="W33:W43" si="9">+U33/V33</f>
        <v>1.0325684653125886</v>
      </c>
    </row>
    <row r="34" spans="5:23" x14ac:dyDescent="0.3">
      <c r="E34" s="410"/>
      <c r="F34" s="410"/>
      <c r="G34" s="410"/>
      <c r="H34" s="410"/>
      <c r="I34" s="410"/>
      <c r="J34" s="410"/>
      <c r="K34" s="410"/>
      <c r="L34" s="410"/>
      <c r="M34" s="410"/>
      <c r="N34" s="410"/>
      <c r="O34" s="410"/>
      <c r="T34" s="400" t="s">
        <v>78</v>
      </c>
      <c r="U34" s="401">
        <f>'6. WS Regression Analysis'!C37</f>
        <v>11998087.02</v>
      </c>
      <c r="V34" s="412">
        <v>11621928.59</v>
      </c>
      <c r="W34" s="402">
        <f t="shared" si="9"/>
        <v>1.0323662658126864</v>
      </c>
    </row>
    <row r="35" spans="5:23" x14ac:dyDescent="0.3">
      <c r="E35" s="410"/>
      <c r="F35" s="410"/>
      <c r="G35" s="410"/>
      <c r="H35" s="410"/>
      <c r="I35" s="410"/>
      <c r="J35" s="410"/>
      <c r="K35" s="410"/>
      <c r="L35" s="410"/>
      <c r="M35" s="410"/>
      <c r="N35" s="410"/>
      <c r="O35" s="410"/>
      <c r="T35" s="400" t="s">
        <v>79</v>
      </c>
      <c r="U35" s="401">
        <f>'6. WS Regression Analysis'!C38</f>
        <v>9783026.5899999999</v>
      </c>
      <c r="V35" s="412">
        <v>9477215.8699999992</v>
      </c>
      <c r="W35" s="402">
        <f t="shared" si="9"/>
        <v>1.0322679913800465</v>
      </c>
    </row>
    <row r="36" spans="5:23" x14ac:dyDescent="0.3">
      <c r="E36" s="410"/>
      <c r="F36" s="410"/>
      <c r="G36" s="410"/>
      <c r="H36" s="410"/>
      <c r="I36" s="410"/>
      <c r="J36" s="410"/>
      <c r="K36" s="410"/>
      <c r="L36" s="410"/>
      <c r="M36" s="410"/>
      <c r="N36" s="410"/>
      <c r="O36" s="410"/>
      <c r="T36" s="400" t="s">
        <v>287</v>
      </c>
      <c r="U36" s="401">
        <f>'6. WS Regression Analysis'!C39</f>
        <v>9852639.4199999999</v>
      </c>
      <c r="V36" s="412">
        <v>9545743.2200000007</v>
      </c>
      <c r="W36" s="402">
        <f t="shared" si="9"/>
        <v>1.0321500581910688</v>
      </c>
    </row>
    <row r="37" spans="5:23" x14ac:dyDescent="0.3">
      <c r="E37" s="410"/>
      <c r="F37" s="410"/>
      <c r="G37" s="410"/>
      <c r="H37" s="410"/>
      <c r="I37" s="410"/>
      <c r="J37" s="410"/>
      <c r="K37" s="410"/>
      <c r="L37" s="410"/>
      <c r="M37" s="410"/>
      <c r="N37" s="410"/>
      <c r="O37" s="410"/>
      <c r="T37" s="400" t="s">
        <v>81</v>
      </c>
      <c r="U37" s="401">
        <f>'6. WS Regression Analysis'!C40</f>
        <v>9493089.5199999996</v>
      </c>
      <c r="V37" s="412">
        <v>9198114.5700000003</v>
      </c>
      <c r="W37" s="402">
        <f t="shared" si="9"/>
        <v>1.0320690667370105</v>
      </c>
    </row>
    <row r="38" spans="5:23" x14ac:dyDescent="0.3">
      <c r="E38" s="410"/>
      <c r="F38" s="410"/>
      <c r="G38" s="410"/>
      <c r="H38" s="410"/>
      <c r="I38" s="410"/>
      <c r="J38" s="410"/>
      <c r="K38" s="410"/>
      <c r="L38" s="410"/>
      <c r="M38" s="410"/>
      <c r="N38" s="410"/>
      <c r="O38" s="410"/>
      <c r="T38" s="400" t="s">
        <v>82</v>
      </c>
      <c r="U38" s="401">
        <f>'6. WS Regression Analysis'!C41</f>
        <v>12323498.1</v>
      </c>
      <c r="V38" s="412">
        <v>11937095.220000001</v>
      </c>
      <c r="W38" s="402">
        <f t="shared" si="9"/>
        <v>1.0323699252522172</v>
      </c>
    </row>
    <row r="39" spans="5:23" x14ac:dyDescent="0.3">
      <c r="E39" s="410"/>
      <c r="F39" s="410"/>
      <c r="G39" s="410"/>
      <c r="H39" s="410"/>
      <c r="I39" s="410"/>
      <c r="J39" s="410"/>
      <c r="K39" s="410"/>
      <c r="L39" s="410"/>
      <c r="M39" s="410"/>
      <c r="N39" s="410"/>
      <c r="O39" s="410"/>
      <c r="T39" s="400" t="s">
        <v>83</v>
      </c>
      <c r="U39" s="401">
        <f>'6. WS Regression Analysis'!C42</f>
        <v>11878051.48</v>
      </c>
      <c r="V39" s="412">
        <v>11506041.18</v>
      </c>
      <c r="W39" s="402">
        <f t="shared" si="9"/>
        <v>1.0323317372309284</v>
      </c>
    </row>
    <row r="40" spans="5:23" x14ac:dyDescent="0.3">
      <c r="E40" s="410"/>
      <c r="F40" s="410"/>
      <c r="G40" s="410"/>
      <c r="H40" s="410"/>
      <c r="I40" s="410"/>
      <c r="J40" s="410"/>
      <c r="K40" s="410"/>
      <c r="L40" s="410"/>
      <c r="M40" s="410"/>
      <c r="N40" s="410"/>
      <c r="O40" s="410"/>
      <c r="T40" s="400" t="s">
        <v>73</v>
      </c>
      <c r="U40" s="401">
        <f>'6. WS Regression Analysis'!C43</f>
        <v>10579920.17</v>
      </c>
      <c r="V40" s="412">
        <v>10249622.09</v>
      </c>
      <c r="W40" s="402">
        <f t="shared" si="9"/>
        <v>1.0322253910534178</v>
      </c>
    </row>
    <row r="41" spans="5:23" x14ac:dyDescent="0.3">
      <c r="E41" s="410"/>
      <c r="F41" s="410"/>
      <c r="G41" s="410"/>
      <c r="H41" s="410"/>
      <c r="I41" s="410"/>
      <c r="J41" s="410"/>
      <c r="K41" s="410"/>
      <c r="L41" s="410"/>
      <c r="M41" s="410"/>
      <c r="N41" s="410"/>
      <c r="O41" s="410"/>
      <c r="T41" s="400" t="s">
        <v>74</v>
      </c>
      <c r="U41" s="401">
        <f>'6. WS Regression Analysis'!C44</f>
        <v>9909152.1400000006</v>
      </c>
      <c r="V41" s="412">
        <v>9599502.4499999993</v>
      </c>
      <c r="W41" s="402">
        <f t="shared" si="9"/>
        <v>1.0322568478536094</v>
      </c>
    </row>
    <row r="42" spans="5:23" x14ac:dyDescent="0.3">
      <c r="E42" s="410"/>
      <c r="F42" s="410"/>
      <c r="G42" s="410"/>
      <c r="H42" s="410"/>
      <c r="I42" s="410"/>
      <c r="J42" s="410"/>
      <c r="K42" s="410"/>
      <c r="L42" s="410"/>
      <c r="M42" s="410"/>
      <c r="N42" s="410"/>
      <c r="O42" s="410"/>
      <c r="T42" s="400" t="s">
        <v>75</v>
      </c>
      <c r="U42" s="401">
        <f>'6. WS Regression Analysis'!C45</f>
        <v>9955156.0999999996</v>
      </c>
      <c r="V42" s="412">
        <v>9643799.5299999993</v>
      </c>
      <c r="W42" s="402">
        <f t="shared" si="9"/>
        <v>1.0322856742336286</v>
      </c>
    </row>
    <row r="43" spans="5:23" x14ac:dyDescent="0.3">
      <c r="E43" s="410"/>
      <c r="F43" s="410"/>
      <c r="G43" s="410"/>
      <c r="H43" s="410"/>
      <c r="I43" s="410"/>
      <c r="J43" s="410"/>
      <c r="K43" s="410"/>
      <c r="L43" s="410"/>
      <c r="M43" s="410"/>
      <c r="N43" s="410"/>
      <c r="O43" s="410"/>
      <c r="T43" s="400" t="s">
        <v>72</v>
      </c>
      <c r="U43" s="401">
        <f>'6. WS Regression Analysis'!C46</f>
        <v>11330102.74</v>
      </c>
      <c r="V43" s="412">
        <v>10974667.32</v>
      </c>
      <c r="W43" s="402">
        <f t="shared" si="9"/>
        <v>1.0323868969906962</v>
      </c>
    </row>
    <row r="44" spans="5:23" x14ac:dyDescent="0.3">
      <c r="E44" s="410"/>
      <c r="F44" s="410"/>
      <c r="G44" s="410"/>
      <c r="H44" s="410"/>
      <c r="I44" s="410"/>
      <c r="J44" s="410"/>
      <c r="K44" s="410"/>
      <c r="L44" s="410"/>
      <c r="M44" s="410"/>
      <c r="N44" s="410"/>
      <c r="O44" s="410"/>
      <c r="T44" s="403" t="s">
        <v>252</v>
      </c>
      <c r="U44" s="404">
        <f>SUM(U32:U43)</f>
        <v>134268044.38999999</v>
      </c>
      <c r="V44" s="404">
        <f>SUM(V32:V43)</f>
        <v>130062006.19</v>
      </c>
      <c r="W44" s="405">
        <f>U44/V44</f>
        <v>1.0323387153805366</v>
      </c>
    </row>
    <row r="45" spans="5:23" x14ac:dyDescent="0.3">
      <c r="E45" s="410"/>
      <c r="F45" s="410"/>
      <c r="G45" s="410"/>
      <c r="H45" s="410"/>
      <c r="I45" s="410"/>
      <c r="J45" s="410"/>
      <c r="K45" s="410"/>
      <c r="L45" s="410"/>
      <c r="M45" s="410"/>
      <c r="N45" s="410"/>
      <c r="O45" s="410"/>
      <c r="T45" s="400" t="s">
        <v>76</v>
      </c>
      <c r="U45" s="401">
        <f>'6. WS Regression Analysis'!C47</f>
        <v>12730345.99</v>
      </c>
      <c r="V45" s="412">
        <v>12329074.720000001</v>
      </c>
      <c r="W45" s="402">
        <f>+U45/V45</f>
        <v>1.0325467465412521</v>
      </c>
    </row>
    <row r="46" spans="5:23" x14ac:dyDescent="0.3">
      <c r="E46" s="410"/>
      <c r="F46" s="410"/>
      <c r="G46" s="410"/>
      <c r="H46" s="410"/>
      <c r="I46" s="410"/>
      <c r="J46" s="410"/>
      <c r="K46" s="410"/>
      <c r="L46" s="410"/>
      <c r="M46" s="410"/>
      <c r="N46" s="410"/>
      <c r="O46" s="410"/>
      <c r="T46" s="400" t="s">
        <v>77</v>
      </c>
      <c r="U46" s="401">
        <f>'6. WS Regression Analysis'!C48</f>
        <v>11705579.449999999</v>
      </c>
      <c r="V46" s="412">
        <v>11336672.4</v>
      </c>
      <c r="W46" s="402">
        <f t="shared" ref="W46:W56" si="10">+U46/V46</f>
        <v>1.0325410347043282</v>
      </c>
    </row>
    <row r="47" spans="5:23" x14ac:dyDescent="0.3">
      <c r="E47" s="410"/>
      <c r="F47" s="410"/>
      <c r="G47" s="410"/>
      <c r="H47" s="410"/>
      <c r="I47" s="410"/>
      <c r="J47" s="410"/>
      <c r="K47" s="410"/>
      <c r="L47" s="410"/>
      <c r="M47" s="410"/>
      <c r="N47" s="410"/>
      <c r="O47" s="410"/>
      <c r="T47" s="400" t="s">
        <v>78</v>
      </c>
      <c r="U47" s="401">
        <f>'6. WS Regression Analysis'!C49</f>
        <v>11115960.9</v>
      </c>
      <c r="V47" s="412">
        <v>10766967.26</v>
      </c>
      <c r="W47" s="402">
        <f t="shared" si="10"/>
        <v>1.0324133650240153</v>
      </c>
    </row>
    <row r="48" spans="5:23" x14ac:dyDescent="0.3">
      <c r="E48" s="410"/>
      <c r="F48" s="410"/>
      <c r="G48" s="410"/>
      <c r="H48" s="410"/>
      <c r="I48" s="410"/>
      <c r="J48" s="410"/>
      <c r="K48" s="410"/>
      <c r="L48" s="410"/>
      <c r="M48" s="410"/>
      <c r="N48" s="410"/>
      <c r="O48" s="410"/>
      <c r="T48" s="400" t="s">
        <v>79</v>
      </c>
      <c r="U48" s="401">
        <f>'6. WS Regression Analysis'!C50</f>
        <v>10054141.369999999</v>
      </c>
      <c r="V48" s="412">
        <v>9738766.6400000006</v>
      </c>
      <c r="W48" s="402">
        <f t="shared" si="10"/>
        <v>1.0323834363896411</v>
      </c>
    </row>
    <row r="49" spans="5:23" x14ac:dyDescent="0.3">
      <c r="E49" s="410"/>
      <c r="F49" s="410"/>
      <c r="G49" s="410"/>
      <c r="H49" s="410"/>
      <c r="I49" s="410"/>
      <c r="J49" s="410"/>
      <c r="K49" s="410"/>
      <c r="L49" s="410"/>
      <c r="M49" s="410"/>
      <c r="N49" s="410"/>
      <c r="O49" s="410"/>
      <c r="T49" s="400" t="s">
        <v>287</v>
      </c>
      <c r="U49" s="401">
        <f>'6. WS Regression Analysis'!C51</f>
        <v>9815290.6799999997</v>
      </c>
      <c r="V49" s="412">
        <v>9507957.8499999996</v>
      </c>
      <c r="W49" s="402">
        <f t="shared" si="10"/>
        <v>1.0323237476278884</v>
      </c>
    </row>
    <row r="50" spans="5:23" x14ac:dyDescent="0.3">
      <c r="T50" s="400" t="s">
        <v>81</v>
      </c>
      <c r="U50" s="401">
        <f>'6. WS Regression Analysis'!C52</f>
        <v>10031359.4</v>
      </c>
      <c r="V50" s="412">
        <v>9717280.9299999997</v>
      </c>
      <c r="W50" s="402">
        <f t="shared" si="10"/>
        <v>1.0323216414409047</v>
      </c>
    </row>
    <row r="51" spans="5:23" x14ac:dyDescent="0.3">
      <c r="T51" s="400" t="s">
        <v>82</v>
      </c>
      <c r="U51" s="401">
        <f>'6. WS Regression Analysis'!C53</f>
        <v>13224478.039999999</v>
      </c>
      <c r="V51" s="412">
        <v>12807264.720000001</v>
      </c>
      <c r="W51" s="402">
        <f t="shared" si="10"/>
        <v>1.0325763017413447</v>
      </c>
    </row>
    <row r="52" spans="5:23" x14ac:dyDescent="0.3">
      <c r="T52" s="400" t="s">
        <v>83</v>
      </c>
      <c r="U52" s="401">
        <f>'6. WS Regression Analysis'!C54</f>
        <v>13591514.92</v>
      </c>
      <c r="V52" s="412">
        <v>13162948.99</v>
      </c>
      <c r="W52" s="402">
        <f t="shared" si="10"/>
        <v>1.0325585042018763</v>
      </c>
    </row>
    <row r="53" spans="5:23" x14ac:dyDescent="0.3">
      <c r="T53" s="400" t="s">
        <v>73</v>
      </c>
      <c r="U53" s="401">
        <f>'6. WS Regression Analysis'!C55</f>
        <v>9965584.5099999998</v>
      </c>
      <c r="V53" s="412">
        <v>9653884.3200000003</v>
      </c>
      <c r="W53" s="402">
        <f t="shared" si="10"/>
        <v>1.0322875414359636</v>
      </c>
    </row>
    <row r="54" spans="5:23" x14ac:dyDescent="0.3">
      <c r="T54" s="400" t="s">
        <v>74</v>
      </c>
      <c r="U54" s="401">
        <f>'6. WS Regression Analysis'!C56</f>
        <v>9614905</v>
      </c>
      <c r="V54" s="412">
        <v>9313919.5099999998</v>
      </c>
      <c r="W54" s="402">
        <f t="shared" si="10"/>
        <v>1.032315663634074</v>
      </c>
    </row>
    <row r="55" spans="5:23" x14ac:dyDescent="0.3">
      <c r="T55" s="400" t="s">
        <v>75</v>
      </c>
      <c r="U55" s="401">
        <f>'6. WS Regression Analysis'!C57</f>
        <v>9822633</v>
      </c>
      <c r="V55" s="412">
        <v>9513946.5800000001</v>
      </c>
      <c r="W55" s="402">
        <f t="shared" si="10"/>
        <v>1.0324456751364268</v>
      </c>
    </row>
    <row r="56" spans="5:23" x14ac:dyDescent="0.3">
      <c r="T56" s="400" t="s">
        <v>72</v>
      </c>
      <c r="U56" s="401">
        <f>'6. WS Regression Analysis'!C58</f>
        <v>12397998</v>
      </c>
      <c r="V56" s="412">
        <v>12005898.9</v>
      </c>
      <c r="W56" s="402">
        <f t="shared" si="10"/>
        <v>1.0326588707156279</v>
      </c>
    </row>
    <row r="57" spans="5:23" x14ac:dyDescent="0.3">
      <c r="T57" s="403" t="s">
        <v>253</v>
      </c>
      <c r="U57" s="404">
        <f>SUM(U45:U56)</f>
        <v>134069791.25999999</v>
      </c>
      <c r="V57" s="404">
        <f>SUM(V45:V56)</f>
        <v>129854582.82000002</v>
      </c>
      <c r="W57" s="405">
        <f>U57/V57</f>
        <v>1.0324609909674343</v>
      </c>
    </row>
    <row r="58" spans="5:23" x14ac:dyDescent="0.3">
      <c r="T58" s="400" t="s">
        <v>76</v>
      </c>
      <c r="U58" s="401">
        <f>'6. WS Regression Analysis'!C59</f>
        <v>12229219</v>
      </c>
      <c r="V58" s="412">
        <v>11842392.57</v>
      </c>
      <c r="W58" s="402">
        <f>+U58/V58</f>
        <v>1.0326645504878749</v>
      </c>
    </row>
    <row r="59" spans="5:23" x14ac:dyDescent="0.3">
      <c r="T59" s="400" t="s">
        <v>77</v>
      </c>
      <c r="U59" s="401">
        <f>'6. WS Regression Analysis'!C60</f>
        <v>10687297</v>
      </c>
      <c r="V59" s="412">
        <v>10349202.35</v>
      </c>
      <c r="W59" s="402">
        <f t="shared" ref="W59:W69" si="11">+U59/V59</f>
        <v>1.0326686674553234</v>
      </c>
    </row>
    <row r="60" spans="5:23" x14ac:dyDescent="0.3">
      <c r="T60" s="400" t="s">
        <v>78</v>
      </c>
      <c r="U60" s="401">
        <f>'6. WS Regression Analysis'!C61</f>
        <v>11665956</v>
      </c>
      <c r="V60" s="412">
        <v>11297026.710000001</v>
      </c>
      <c r="W60" s="402">
        <f t="shared" si="11"/>
        <v>1.0326572025959209</v>
      </c>
    </row>
    <row r="61" spans="5:23" x14ac:dyDescent="0.3">
      <c r="T61" s="400" t="s">
        <v>79</v>
      </c>
      <c r="U61" s="401">
        <f>'6. WS Regression Analysis'!C62</f>
        <v>9357837</v>
      </c>
      <c r="V61" s="412">
        <v>9063316.5500000007</v>
      </c>
      <c r="W61" s="402">
        <f t="shared" si="11"/>
        <v>1.0324958803298114</v>
      </c>
    </row>
    <row r="62" spans="5:23" x14ac:dyDescent="0.3">
      <c r="T62" s="400" t="s">
        <v>287</v>
      </c>
      <c r="U62" s="401">
        <f>'6. WS Regression Analysis'!C63</f>
        <v>9739335</v>
      </c>
      <c r="V62" s="412">
        <v>9432771.9600000009</v>
      </c>
      <c r="W62" s="402">
        <f t="shared" si="11"/>
        <v>1.0324997828103966</v>
      </c>
    </row>
    <row r="63" spans="5:23" x14ac:dyDescent="0.3">
      <c r="T63" s="400" t="s">
        <v>81</v>
      </c>
      <c r="U63" s="401">
        <f>'6. WS Regression Analysis'!C64</f>
        <v>9985792</v>
      </c>
      <c r="V63" s="412">
        <v>9671820.0700000003</v>
      </c>
      <c r="W63" s="402">
        <f t="shared" si="11"/>
        <v>1.032462548695863</v>
      </c>
    </row>
    <row r="64" spans="5:23" x14ac:dyDescent="0.3">
      <c r="T64" s="400" t="s">
        <v>82</v>
      </c>
      <c r="U64" s="401">
        <f>'6. WS Regression Analysis'!C65</f>
        <v>12043306</v>
      </c>
      <c r="V64" s="412">
        <v>11663099.67</v>
      </c>
      <c r="W64" s="402">
        <f t="shared" si="11"/>
        <v>1.0325990809268288</v>
      </c>
    </row>
    <row r="65" spans="20:23" x14ac:dyDescent="0.3">
      <c r="T65" s="400" t="s">
        <v>83</v>
      </c>
      <c r="U65" s="401">
        <f>'6. WS Regression Analysis'!C66</f>
        <v>11325611</v>
      </c>
      <c r="V65" s="412">
        <v>10968271.41</v>
      </c>
      <c r="W65" s="402">
        <f t="shared" si="11"/>
        <v>1.0325793898274807</v>
      </c>
    </row>
    <row r="66" spans="20:23" x14ac:dyDescent="0.3">
      <c r="T66" s="400" t="s">
        <v>73</v>
      </c>
      <c r="U66" s="401">
        <f>'6. WS Regression Analysis'!C67</f>
        <v>9819996</v>
      </c>
      <c r="V66" s="412">
        <v>9509347.9600000009</v>
      </c>
      <c r="W66" s="402">
        <f t="shared" si="11"/>
        <v>1.0326676488552848</v>
      </c>
    </row>
    <row r="67" spans="20:23" x14ac:dyDescent="0.3">
      <c r="T67" s="400" t="s">
        <v>74</v>
      </c>
      <c r="U67" s="401">
        <f>'6. WS Regression Analysis'!C68</f>
        <v>9479144</v>
      </c>
      <c r="V67" s="412">
        <v>9181326.5399999991</v>
      </c>
      <c r="W67" s="402">
        <f t="shared" si="11"/>
        <v>1.0324373018106381</v>
      </c>
    </row>
    <row r="68" spans="20:23" x14ac:dyDescent="0.3">
      <c r="T68" s="400" t="s">
        <v>75</v>
      </c>
      <c r="U68" s="401">
        <f>'6. WS Regression Analysis'!C69</f>
        <v>10779432</v>
      </c>
      <c r="V68" s="412">
        <v>10438668.949999999</v>
      </c>
      <c r="W68" s="402">
        <f t="shared" si="11"/>
        <v>1.0326443008809087</v>
      </c>
    </row>
    <row r="69" spans="20:23" x14ac:dyDescent="0.3">
      <c r="T69" s="400" t="s">
        <v>72</v>
      </c>
      <c r="U69" s="401">
        <f>'6. WS Regression Analysis'!C70</f>
        <v>13284790</v>
      </c>
      <c r="V69" s="412">
        <v>12863111.16</v>
      </c>
      <c r="W69" s="402">
        <f t="shared" si="11"/>
        <v>1.0327820256510944</v>
      </c>
    </row>
    <row r="70" spans="20:23" x14ac:dyDescent="0.3">
      <c r="T70" s="403" t="s">
        <v>254</v>
      </c>
      <c r="U70" s="404">
        <f>SUM(U58:U69)</f>
        <v>130397715</v>
      </c>
      <c r="V70" s="404">
        <f>SUM(V58:V69)</f>
        <v>126280355.89999999</v>
      </c>
      <c r="W70" s="405">
        <f>U70/V70</f>
        <v>1.0326049057326105</v>
      </c>
    </row>
    <row r="71" spans="20:23" x14ac:dyDescent="0.3">
      <c r="T71" s="400" t="s">
        <v>76</v>
      </c>
      <c r="U71" s="401">
        <f>'6. WS Regression Analysis'!C71</f>
        <v>13615938.1</v>
      </c>
      <c r="V71" s="412">
        <v>13183516.220000001</v>
      </c>
      <c r="W71" s="402">
        <f>+U71/V71</f>
        <v>1.0328001932704414</v>
      </c>
    </row>
    <row r="72" spans="20:23" x14ac:dyDescent="0.3">
      <c r="T72" s="400" t="s">
        <v>77</v>
      </c>
      <c r="U72" s="401">
        <f>'6. WS Regression Analysis'!C72</f>
        <v>11305661.48</v>
      </c>
      <c r="V72" s="412">
        <v>10946971.210000001</v>
      </c>
      <c r="W72" s="402">
        <f t="shared" ref="W72:W82" si="12">+U72/V72</f>
        <v>1.0327661654643192</v>
      </c>
    </row>
    <row r="73" spans="20:23" x14ac:dyDescent="0.3">
      <c r="T73" s="400" t="s">
        <v>78</v>
      </c>
      <c r="U73" s="401">
        <f>'6. WS Regression Analysis'!C73</f>
        <v>11582097.93</v>
      </c>
      <c r="V73" s="412">
        <v>11215123.470000001</v>
      </c>
      <c r="W73" s="402">
        <f t="shared" si="12"/>
        <v>1.0327213927676893</v>
      </c>
    </row>
    <row r="74" spans="20:23" x14ac:dyDescent="0.3">
      <c r="T74" s="400" t="s">
        <v>79</v>
      </c>
      <c r="U74" s="401">
        <f>'6. WS Regression Analysis'!C74</f>
        <v>10730509.539999999</v>
      </c>
      <c r="V74" s="412">
        <v>10390815.029999999</v>
      </c>
      <c r="W74" s="402">
        <f t="shared" si="12"/>
        <v>1.032691806082511</v>
      </c>
    </row>
    <row r="75" spans="20:23" x14ac:dyDescent="0.3">
      <c r="T75" s="400" t="s">
        <v>287</v>
      </c>
      <c r="U75" s="401">
        <f>'6. WS Regression Analysis'!C75</f>
        <v>9875377.0999999996</v>
      </c>
      <c r="V75" s="412">
        <v>9564351.7599999998</v>
      </c>
      <c r="W75" s="402">
        <f t="shared" si="12"/>
        <v>1.0325192284646796</v>
      </c>
    </row>
    <row r="76" spans="20:23" x14ac:dyDescent="0.3">
      <c r="T76" s="400" t="s">
        <v>81</v>
      </c>
      <c r="U76" s="401">
        <f>'6. WS Regression Analysis'!C76</f>
        <v>10350680.970000001</v>
      </c>
      <c r="V76" s="412">
        <v>10024232.91</v>
      </c>
      <c r="W76" s="402">
        <f t="shared" si="12"/>
        <v>1.0325658893733745</v>
      </c>
    </row>
    <row r="77" spans="20:23" x14ac:dyDescent="0.3">
      <c r="T77" s="400" t="s">
        <v>82</v>
      </c>
      <c r="U77" s="401">
        <f>'6. WS Regression Analysis'!C77</f>
        <v>13689624.529999999</v>
      </c>
      <c r="V77" s="412">
        <v>13255693.390000001</v>
      </c>
      <c r="W77" s="402">
        <f t="shared" si="12"/>
        <v>1.0327354539089864</v>
      </c>
    </row>
    <row r="78" spans="20:23" x14ac:dyDescent="0.3">
      <c r="T78" s="400" t="s">
        <v>83</v>
      </c>
      <c r="U78" s="401">
        <f>'6. WS Regression Analysis'!C78</f>
        <v>13621544.029999999</v>
      </c>
      <c r="V78" s="412">
        <v>13189977.189999999</v>
      </c>
      <c r="W78" s="402">
        <f t="shared" si="12"/>
        <v>1.0327193014652969</v>
      </c>
    </row>
    <row r="79" spans="20:23" x14ac:dyDescent="0.3">
      <c r="T79" s="400" t="s">
        <v>73</v>
      </c>
      <c r="U79" s="401">
        <f>'6. WS Regression Analysis'!C79</f>
        <v>10918383.85</v>
      </c>
      <c r="V79" s="412">
        <v>10573578.58</v>
      </c>
      <c r="W79" s="402">
        <f t="shared" si="12"/>
        <v>1.0326100825175879</v>
      </c>
    </row>
    <row r="80" spans="20:23" x14ac:dyDescent="0.3">
      <c r="T80" s="400" t="s">
        <v>74</v>
      </c>
      <c r="U80" s="401">
        <f>'6. WS Regression Analysis'!C80</f>
        <v>10483323.640000001</v>
      </c>
      <c r="V80" s="412">
        <v>10152017.5</v>
      </c>
      <c r="W80" s="402">
        <f t="shared" si="12"/>
        <v>1.0326345123026039</v>
      </c>
    </row>
    <row r="81" spans="20:23" x14ac:dyDescent="0.3">
      <c r="T81" s="400" t="s">
        <v>75</v>
      </c>
      <c r="U81" s="401">
        <f>'6. WS Regression Analysis'!C81</f>
        <v>11365095.9</v>
      </c>
      <c r="V81" s="412">
        <v>11004740.380000001</v>
      </c>
      <c r="W81" s="402">
        <f t="shared" si="12"/>
        <v>1.0327454812704995</v>
      </c>
    </row>
    <row r="82" spans="20:23" x14ac:dyDescent="0.3">
      <c r="T82" s="400" t="s">
        <v>72</v>
      </c>
      <c r="U82" s="401">
        <f>'6. WS Regression Analysis'!C82</f>
        <v>12814047.140000001</v>
      </c>
      <c r="V82" s="412">
        <v>12407072.32</v>
      </c>
      <c r="W82" s="402">
        <f t="shared" si="12"/>
        <v>1.0328018415225939</v>
      </c>
    </row>
    <row r="83" spans="20:23" x14ac:dyDescent="0.3">
      <c r="T83" s="403" t="s">
        <v>255</v>
      </c>
      <c r="U83" s="404">
        <f>SUM(U71:U82)</f>
        <v>140352284.21000001</v>
      </c>
      <c r="V83" s="404">
        <f>SUM(V71:V82)</f>
        <v>135908089.95999998</v>
      </c>
      <c r="W83" s="405">
        <f>U83/V83</f>
        <v>1.0326999978537557</v>
      </c>
    </row>
    <row r="84" spans="20:23" x14ac:dyDescent="0.3">
      <c r="T84" s="400" t="s">
        <v>76</v>
      </c>
      <c r="U84" s="401">
        <f>'6. WS Regression Analysis'!C83</f>
        <v>13900952.76</v>
      </c>
      <c r="V84" s="412">
        <v>13458837.73</v>
      </c>
      <c r="W84" s="402">
        <f>+U84/V84</f>
        <v>1.0328494212404773</v>
      </c>
    </row>
    <row r="85" spans="20:23" x14ac:dyDescent="0.3">
      <c r="T85" s="400" t="s">
        <v>77</v>
      </c>
      <c r="U85" s="401">
        <f>'6. WS Regression Analysis'!C84</f>
        <v>12089793.720000001</v>
      </c>
      <c r="V85" s="412">
        <v>11705620.48</v>
      </c>
      <c r="W85" s="402">
        <f t="shared" ref="W85:W95" si="13">+U85/V85</f>
        <v>1.0328195537055376</v>
      </c>
    </row>
    <row r="86" spans="20:23" x14ac:dyDescent="0.3">
      <c r="T86" s="400" t="s">
        <v>78</v>
      </c>
      <c r="U86" s="401">
        <f>'6. WS Regression Analysis'!C85</f>
        <v>12234304.98</v>
      </c>
      <c r="V86" s="412">
        <v>11846141.6</v>
      </c>
      <c r="W86" s="402">
        <f t="shared" si="13"/>
        <v>1.0327670724449216</v>
      </c>
    </row>
    <row r="87" spans="20:23" x14ac:dyDescent="0.3">
      <c r="T87" s="400" t="s">
        <v>79</v>
      </c>
      <c r="U87" s="401">
        <f>'6. WS Regression Analysis'!C86</f>
        <v>10423342.369999999</v>
      </c>
      <c r="V87" s="412">
        <v>10093738.140000001</v>
      </c>
      <c r="W87" s="402">
        <f t="shared" si="13"/>
        <v>1.0326543274085767</v>
      </c>
    </row>
    <row r="88" spans="20:23" x14ac:dyDescent="0.3">
      <c r="T88" s="400" t="s">
        <v>287</v>
      </c>
      <c r="U88" s="401">
        <f>'6. WS Regression Analysis'!C87</f>
        <v>10124014.43</v>
      </c>
      <c r="V88" s="412">
        <v>9807877.7200000007</v>
      </c>
      <c r="W88" s="402">
        <f t="shared" si="13"/>
        <v>1.0322329375452286</v>
      </c>
    </row>
    <row r="89" spans="20:23" x14ac:dyDescent="0.3">
      <c r="T89" s="400" t="s">
        <v>81</v>
      </c>
      <c r="U89" s="401">
        <f>'6. WS Regression Analysis'!C88</f>
        <v>9963808.2200000007</v>
      </c>
      <c r="V89" s="412">
        <v>9652652</v>
      </c>
      <c r="W89" s="402">
        <f t="shared" si="13"/>
        <v>1.0322353090114511</v>
      </c>
    </row>
    <row r="90" spans="20:23" x14ac:dyDescent="0.3">
      <c r="T90" s="400" t="s">
        <v>82</v>
      </c>
      <c r="U90" s="401">
        <f>'6. WS Regression Analysis'!C89</f>
        <v>13911423.380000001</v>
      </c>
      <c r="V90" s="412">
        <v>13470080.869999999</v>
      </c>
      <c r="W90" s="402">
        <f t="shared" si="13"/>
        <v>1.0327646518428069</v>
      </c>
    </row>
    <row r="91" spans="20:23" x14ac:dyDescent="0.3">
      <c r="T91" s="400" t="s">
        <v>83</v>
      </c>
      <c r="U91" s="401">
        <f>'6. WS Regression Analysis'!C90</f>
        <v>12353863.699999999</v>
      </c>
      <c r="V91" s="412">
        <v>11966498.800000001</v>
      </c>
      <c r="W91" s="402">
        <f t="shared" si="13"/>
        <v>1.0323707799979054</v>
      </c>
    </row>
    <row r="92" spans="20:23" x14ac:dyDescent="0.3">
      <c r="T92" s="400" t="s">
        <v>73</v>
      </c>
      <c r="U92" s="401">
        <f>'6. WS Regression Analysis'!C91</f>
        <v>9705119.4000000004</v>
      </c>
      <c r="V92" s="412">
        <v>9402912.1400000006</v>
      </c>
      <c r="W92" s="402">
        <f t="shared" si="13"/>
        <v>1.0321397515472266</v>
      </c>
    </row>
    <row r="93" spans="20:23" x14ac:dyDescent="0.3">
      <c r="T93" s="400" t="s">
        <v>74</v>
      </c>
      <c r="U93" s="401">
        <f>'6. WS Regression Analysis'!C92</f>
        <v>10144367.210000001</v>
      </c>
      <c r="V93" s="412">
        <v>9827541.3900000006</v>
      </c>
      <c r="W93" s="402">
        <f t="shared" si="13"/>
        <v>1.0322385637899614</v>
      </c>
    </row>
    <row r="94" spans="20:23" x14ac:dyDescent="0.3">
      <c r="T94" s="400" t="s">
        <v>75</v>
      </c>
      <c r="U94" s="401">
        <f>'6. WS Regression Analysis'!C93</f>
        <v>11757130.6</v>
      </c>
      <c r="V94" s="412">
        <v>11388925.699999999</v>
      </c>
      <c r="W94" s="402">
        <f t="shared" si="13"/>
        <v>1.0323300818443306</v>
      </c>
    </row>
    <row r="95" spans="20:23" x14ac:dyDescent="0.3">
      <c r="T95" s="400" t="s">
        <v>72</v>
      </c>
      <c r="U95" s="401">
        <f>'6. WS Regression Analysis'!C94</f>
        <v>13295537.15</v>
      </c>
      <c r="V95" s="412">
        <v>12878650.08</v>
      </c>
      <c r="W95" s="402">
        <f t="shared" si="13"/>
        <v>1.0323704011996886</v>
      </c>
    </row>
    <row r="96" spans="20:23" x14ac:dyDescent="0.3">
      <c r="T96" s="403" t="s">
        <v>280</v>
      </c>
      <c r="U96" s="404">
        <f>SUM(U84:U95)</f>
        <v>139903657.92000002</v>
      </c>
      <c r="V96" s="404">
        <f>SUM(V84:V95)</f>
        <v>135499476.65000001</v>
      </c>
      <c r="W96" s="405">
        <f>U96/V96</f>
        <v>1.032503308343959</v>
      </c>
    </row>
    <row r="97" spans="20:23" x14ac:dyDescent="0.3">
      <c r="T97" s="400" t="s">
        <v>76</v>
      </c>
      <c r="U97" s="401">
        <f>'6. WS Regression Analysis'!C95</f>
        <v>13108024.91</v>
      </c>
      <c r="V97" s="412">
        <v>12697249.49</v>
      </c>
      <c r="W97" s="402">
        <f>+U97/V97</f>
        <v>1.0323515278110835</v>
      </c>
    </row>
    <row r="98" spans="20:23" x14ac:dyDescent="0.3">
      <c r="T98" s="400" t="s">
        <v>77</v>
      </c>
      <c r="U98" s="401">
        <f>'6. WS Regression Analysis'!C96</f>
        <v>12246829.32</v>
      </c>
      <c r="V98" s="412">
        <v>11863039.130000001</v>
      </c>
      <c r="W98" s="402">
        <f t="shared" ref="W98:W108" si="14">+U98/V98</f>
        <v>1.0323517595950136</v>
      </c>
    </row>
    <row r="99" spans="20:23" x14ac:dyDescent="0.3">
      <c r="T99" s="400" t="s">
        <v>78</v>
      </c>
      <c r="U99" s="401">
        <f>'6. WS Regression Analysis'!C97</f>
        <v>11915050.17</v>
      </c>
      <c r="V99" s="412">
        <v>11542065.890000001</v>
      </c>
      <c r="W99" s="402">
        <f t="shared" si="14"/>
        <v>1.0323152097340869</v>
      </c>
    </row>
    <row r="100" spans="20:23" x14ac:dyDescent="0.3">
      <c r="T100" s="400" t="s">
        <v>79</v>
      </c>
      <c r="U100" s="401">
        <f>'6. WS Regression Analysis'!C98</f>
        <v>10832586.26</v>
      </c>
      <c r="V100" s="412">
        <v>10493403.18</v>
      </c>
      <c r="W100" s="402">
        <f t="shared" si="14"/>
        <v>1.0323234582891534</v>
      </c>
    </row>
    <row r="101" spans="20:23" x14ac:dyDescent="0.3">
      <c r="T101" s="400" t="s">
        <v>287</v>
      </c>
      <c r="U101" s="401">
        <f>'6. WS Regression Analysis'!C99</f>
        <v>10843267</v>
      </c>
      <c r="V101" s="412">
        <v>10504393.189999999</v>
      </c>
      <c r="W101" s="402">
        <f t="shared" si="14"/>
        <v>1.0322601985541251</v>
      </c>
    </row>
    <row r="102" spans="20:23" x14ac:dyDescent="0.3">
      <c r="T102" s="400" t="s">
        <v>81</v>
      </c>
      <c r="U102" s="401">
        <f>'6. WS Regression Analysis'!C100</f>
        <v>11408378.16</v>
      </c>
      <c r="V102" s="412">
        <v>11051375.449999999</v>
      </c>
      <c r="W102" s="402">
        <f t="shared" si="14"/>
        <v>1.0323039165228978</v>
      </c>
    </row>
    <row r="103" spans="20:23" x14ac:dyDescent="0.3">
      <c r="T103" s="400" t="s">
        <v>82</v>
      </c>
      <c r="U103" s="401">
        <f>'6. WS Regression Analysis'!C101</f>
        <v>15505390.18</v>
      </c>
      <c r="V103" s="412">
        <v>15017659.710000001</v>
      </c>
      <c r="W103" s="402">
        <f t="shared" si="14"/>
        <v>1.0324771288881467</v>
      </c>
    </row>
    <row r="104" spans="20:23" x14ac:dyDescent="0.3">
      <c r="T104" s="400" t="s">
        <v>83</v>
      </c>
      <c r="U104" s="401">
        <f>'6. WS Regression Analysis'!C102</f>
        <v>13862181.6</v>
      </c>
      <c r="V104" s="412">
        <v>13426859.6</v>
      </c>
      <c r="W104" s="402">
        <f t="shared" si="14"/>
        <v>1.0324217287562909</v>
      </c>
    </row>
    <row r="105" spans="20:23" x14ac:dyDescent="0.3">
      <c r="T105" s="400" t="s">
        <v>73</v>
      </c>
      <c r="U105" s="401">
        <f>'6. WS Regression Analysis'!C103</f>
        <v>10501257.49</v>
      </c>
      <c r="V105" s="412">
        <v>10173059.08</v>
      </c>
      <c r="W105" s="402">
        <f t="shared" si="14"/>
        <v>1.0322615259991197</v>
      </c>
    </row>
    <row r="106" spans="20:23" x14ac:dyDescent="0.3">
      <c r="T106" s="400" t="s">
        <v>74</v>
      </c>
      <c r="U106" s="401">
        <f>'6. WS Regression Analysis'!C104</f>
        <v>10967477.16</v>
      </c>
      <c r="V106" s="412">
        <v>10624130.460000001</v>
      </c>
      <c r="W106" s="402">
        <f t="shared" si="14"/>
        <v>1.0323176283737012</v>
      </c>
    </row>
    <row r="107" spans="20:23" x14ac:dyDescent="0.3">
      <c r="T107" s="400" t="s">
        <v>75</v>
      </c>
      <c r="U107" s="401">
        <f>'6. WS Regression Analysis'!C105</f>
        <v>11227626.33</v>
      </c>
      <c r="V107" s="412">
        <v>10876116.859999999</v>
      </c>
      <c r="W107" s="402">
        <f t="shared" si="14"/>
        <v>1.0323193906910633</v>
      </c>
    </row>
    <row r="108" spans="20:23" x14ac:dyDescent="0.3">
      <c r="T108" s="400" t="s">
        <v>72</v>
      </c>
      <c r="U108" s="401">
        <f>'6. WS Regression Analysis'!C106</f>
        <v>13826833.73</v>
      </c>
      <c r="V108" s="412">
        <v>13392508.539999999</v>
      </c>
      <c r="W108" s="402">
        <f t="shared" si="14"/>
        <v>1.0324304583194988</v>
      </c>
    </row>
    <row r="109" spans="20:23" x14ac:dyDescent="0.3">
      <c r="T109" s="403" t="s">
        <v>283</v>
      </c>
      <c r="U109" s="404">
        <f>SUM(U97:U108)</f>
        <v>146244902.30999997</v>
      </c>
      <c r="V109" s="404">
        <f>SUM(V97:V108)</f>
        <v>141661860.57999998</v>
      </c>
      <c r="W109" s="405">
        <f>U109/V109</f>
        <v>1.0323519803512098</v>
      </c>
    </row>
    <row r="110" spans="20:23" x14ac:dyDescent="0.3">
      <c r="T110" s="400" t="s">
        <v>76</v>
      </c>
      <c r="U110" s="401">
        <f>'6. WS Regression Analysis'!C107</f>
        <v>14127144.220000001</v>
      </c>
      <c r="V110" s="412">
        <v>13683161.51</v>
      </c>
      <c r="W110" s="402">
        <f>+U110/V110</f>
        <v>1.0324473777259391</v>
      </c>
    </row>
    <row r="111" spans="20:23" x14ac:dyDescent="0.3">
      <c r="T111" s="400" t="s">
        <v>77</v>
      </c>
      <c r="U111" s="401">
        <f>'6. WS Regression Analysis'!C108</f>
        <v>13322300.050000001</v>
      </c>
      <c r="V111" s="412">
        <v>12903469.890000001</v>
      </c>
      <c r="W111" s="402">
        <f t="shared" ref="W111:W121" si="15">+U111/V111</f>
        <v>1.0324587233953704</v>
      </c>
    </row>
    <row r="112" spans="20:23" x14ac:dyDescent="0.3">
      <c r="T112" s="400" t="s">
        <v>78</v>
      </c>
      <c r="U112" s="401">
        <f>'6. WS Regression Analysis'!C109</f>
        <v>12551973.98</v>
      </c>
      <c r="V112" s="412">
        <v>12158371.4</v>
      </c>
      <c r="W112" s="402">
        <f t="shared" si="15"/>
        <v>1.032372968965235</v>
      </c>
    </row>
    <row r="113" spans="20:23" x14ac:dyDescent="0.3">
      <c r="T113" s="400" t="s">
        <v>79</v>
      </c>
      <c r="U113" s="401">
        <f>'6. WS Regression Analysis'!C110</f>
        <v>10695600.1</v>
      </c>
      <c r="V113" s="412">
        <v>10361167.449999999</v>
      </c>
      <c r="W113" s="402">
        <f t="shared" si="15"/>
        <v>1.03227750652751</v>
      </c>
    </row>
    <row r="114" spans="20:23" x14ac:dyDescent="0.3">
      <c r="T114" s="400" t="s">
        <v>287</v>
      </c>
      <c r="U114" s="401">
        <f>'6. WS Regression Analysis'!C111</f>
        <v>10920120.109999999</v>
      </c>
      <c r="V114" s="412">
        <v>10578555.09</v>
      </c>
      <c r="W114" s="402">
        <f t="shared" si="15"/>
        <v>1.0322884379855322</v>
      </c>
    </row>
    <row r="115" spans="20:23" x14ac:dyDescent="0.3">
      <c r="T115" s="400" t="s">
        <v>81</v>
      </c>
      <c r="U115" s="401">
        <f>'6. WS Regression Analysis'!C112</f>
        <v>12524914.77</v>
      </c>
      <c r="V115" s="412">
        <v>12131936.52</v>
      </c>
      <c r="W115" s="402">
        <f t="shared" si="15"/>
        <v>1.0323920463441396</v>
      </c>
    </row>
    <row r="116" spans="20:23" x14ac:dyDescent="0.3">
      <c r="T116" s="400" t="s">
        <v>82</v>
      </c>
      <c r="U116" s="401">
        <f>'6. WS Regression Analysis'!C113</f>
        <v>13320916.810000001</v>
      </c>
      <c r="V116" s="412">
        <v>12902680.51</v>
      </c>
      <c r="W116" s="402">
        <f t="shared" si="15"/>
        <v>1.0324146831099053</v>
      </c>
    </row>
    <row r="117" spans="20:23" x14ac:dyDescent="0.3">
      <c r="T117" s="400" t="s">
        <v>83</v>
      </c>
      <c r="U117" s="401">
        <f>'6. WS Regression Analysis'!C114</f>
        <v>15442609.630000001</v>
      </c>
      <c r="V117" s="412">
        <v>14956390.939999999</v>
      </c>
      <c r="W117" s="402">
        <f t="shared" si="15"/>
        <v>1.0325090920630884</v>
      </c>
    </row>
    <row r="118" spans="20:23" x14ac:dyDescent="0.3">
      <c r="T118" s="400" t="s">
        <v>73</v>
      </c>
      <c r="U118" s="401">
        <f>'6. WS Regression Analysis'!C115</f>
        <v>10775917.75</v>
      </c>
      <c r="V118" s="412">
        <v>10439149.08</v>
      </c>
      <c r="W118" s="402">
        <f t="shared" si="15"/>
        <v>1.0322601648294498</v>
      </c>
    </row>
    <row r="119" spans="20:23" x14ac:dyDescent="0.3">
      <c r="T119" s="400" t="s">
        <v>74</v>
      </c>
      <c r="U119" s="401">
        <f>'6. WS Regression Analysis'!C116</f>
        <v>10796234.01</v>
      </c>
      <c r="V119" s="412">
        <v>10459233.02</v>
      </c>
      <c r="W119" s="402">
        <f t="shared" si="15"/>
        <v>1.0322204304422313</v>
      </c>
    </row>
    <row r="120" spans="20:23" x14ac:dyDescent="0.3">
      <c r="T120" s="400" t="s">
        <v>75</v>
      </c>
      <c r="U120" s="401">
        <f>'6. WS Regression Analysis'!C117</f>
        <v>11778395.460000001</v>
      </c>
      <c r="V120" s="412">
        <v>11409241.439999999</v>
      </c>
      <c r="W120" s="402">
        <f t="shared" si="15"/>
        <v>1.032355702343696</v>
      </c>
    </row>
    <row r="121" spans="20:23" x14ac:dyDescent="0.3">
      <c r="T121" s="400" t="s">
        <v>72</v>
      </c>
      <c r="U121" s="401">
        <f>'6. WS Regression Analysis'!C118</f>
        <v>13705374.73</v>
      </c>
      <c r="V121" s="412">
        <v>13275021.130000001</v>
      </c>
      <c r="W121" s="402">
        <f t="shared" si="15"/>
        <v>1.0324182986818342</v>
      </c>
    </row>
    <row r="122" spans="20:23" x14ac:dyDescent="0.3">
      <c r="T122" s="403" t="s">
        <v>284</v>
      </c>
      <c r="U122" s="404">
        <f>SUM(U110:U121)</f>
        <v>149961501.62</v>
      </c>
      <c r="V122" s="404">
        <f>SUM(V110:V121)</f>
        <v>145258377.97999999</v>
      </c>
      <c r="W122" s="405">
        <f>U122/V122</f>
        <v>1.0323776411756957</v>
      </c>
    </row>
    <row r="123" spans="20:23" x14ac:dyDescent="0.3">
      <c r="T123" s="400" t="s">
        <v>76</v>
      </c>
      <c r="U123" s="401">
        <f>'6. WS Regression Analysis'!C119</f>
        <v>15856085.710000001</v>
      </c>
      <c r="V123" s="412">
        <v>15358124</v>
      </c>
      <c r="W123" s="402">
        <f>+U123/V123</f>
        <v>1.0324233421998676</v>
      </c>
    </row>
    <row r="124" spans="20:23" x14ac:dyDescent="0.3">
      <c r="T124" s="400" t="s">
        <v>77</v>
      </c>
      <c r="U124" s="401">
        <f>'6. WS Regression Analysis'!C120</f>
        <v>13630051.550000001</v>
      </c>
      <c r="V124" s="412">
        <v>13202268.23</v>
      </c>
      <c r="W124" s="402">
        <f t="shared" ref="W124:W134" si="16">+U124/V124</f>
        <v>1.0324022594108437</v>
      </c>
    </row>
    <row r="125" spans="20:23" x14ac:dyDescent="0.3">
      <c r="T125" s="400" t="s">
        <v>78</v>
      </c>
      <c r="U125" s="401">
        <f>'6. WS Regression Analysis'!C121</f>
        <v>13339493.23</v>
      </c>
      <c r="V125" s="412">
        <v>12921794.91</v>
      </c>
      <c r="W125" s="402">
        <f t="shared" si="16"/>
        <v>1.0323251005691747</v>
      </c>
    </row>
    <row r="126" spans="20:23" x14ac:dyDescent="0.3">
      <c r="T126" s="400" t="s">
        <v>79</v>
      </c>
      <c r="U126" s="401">
        <f>'6. WS Regression Analysis'!C122</f>
        <v>11179449.449999999</v>
      </c>
      <c r="V126" s="412">
        <v>10829785.539999999</v>
      </c>
      <c r="W126" s="402">
        <f t="shared" si="16"/>
        <v>1.0322872423196665</v>
      </c>
    </row>
    <row r="127" spans="20:23" x14ac:dyDescent="0.3">
      <c r="T127" s="400" t="s">
        <v>287</v>
      </c>
      <c r="U127" s="401">
        <f>'6. WS Regression Analysis'!C123</f>
        <v>11155592.32</v>
      </c>
      <c r="V127" s="412">
        <v>10806471.07</v>
      </c>
      <c r="W127" s="402">
        <f t="shared" si="16"/>
        <v>1.0323066843688871</v>
      </c>
    </row>
    <row r="128" spans="20:23" x14ac:dyDescent="0.3">
      <c r="T128" s="400" t="s">
        <v>81</v>
      </c>
      <c r="U128" s="401">
        <f>'6. WS Regression Analysis'!C124</f>
        <v>11493285</v>
      </c>
      <c r="V128" s="412">
        <v>11133158.24</v>
      </c>
      <c r="W128" s="402">
        <f t="shared" si="16"/>
        <v>1.0323472236931037</v>
      </c>
    </row>
    <row r="129" spans="20:23" x14ac:dyDescent="0.3">
      <c r="T129" s="400" t="s">
        <v>82</v>
      </c>
      <c r="U129" s="401">
        <f>'6. WS Regression Analysis'!C125</f>
        <v>13900904.560000001</v>
      </c>
      <c r="V129" s="412">
        <v>13464283.550000001</v>
      </c>
      <c r="W129" s="402">
        <f t="shared" si="16"/>
        <v>1.0324280908359211</v>
      </c>
    </row>
    <row r="130" spans="20:23" x14ac:dyDescent="0.3">
      <c r="T130" s="400" t="s">
        <v>83</v>
      </c>
      <c r="U130" s="401">
        <f>'6. WS Regression Analysis'!C126</f>
        <v>14218399.68</v>
      </c>
      <c r="V130" s="412">
        <v>13771961.140000001</v>
      </c>
      <c r="W130" s="402">
        <f t="shared" si="16"/>
        <v>1.0324164826971041</v>
      </c>
    </row>
    <row r="131" spans="20:23" x14ac:dyDescent="0.3">
      <c r="T131" s="400" t="s">
        <v>73</v>
      </c>
      <c r="U131" s="401">
        <f>'6. WS Regression Analysis'!C127</f>
        <v>11324279.640000001</v>
      </c>
      <c r="V131" s="412">
        <v>10970148.32</v>
      </c>
      <c r="W131" s="402">
        <f t="shared" si="16"/>
        <v>1.0322813611694177</v>
      </c>
    </row>
    <row r="132" spans="20:23" x14ac:dyDescent="0.3">
      <c r="T132" s="400" t="s">
        <v>74</v>
      </c>
      <c r="U132" s="401">
        <f>'6. WS Regression Analysis'!C128</f>
        <v>10976851.130000001</v>
      </c>
      <c r="V132" s="412">
        <v>10633526.939999999</v>
      </c>
      <c r="W132" s="402">
        <f t="shared" si="16"/>
        <v>1.0322869535138453</v>
      </c>
    </row>
    <row r="133" spans="20:23" x14ac:dyDescent="0.3">
      <c r="T133" s="400" t="s">
        <v>75</v>
      </c>
      <c r="U133" s="401">
        <f>'6. WS Regression Analysis'!C129</f>
        <v>11621738.41</v>
      </c>
      <c r="V133" s="412">
        <v>11257795.27</v>
      </c>
      <c r="W133" s="402">
        <f t="shared" si="16"/>
        <v>1.0323281007756326</v>
      </c>
    </row>
    <row r="134" spans="20:23" x14ac:dyDescent="0.3">
      <c r="T134" s="400" t="s">
        <v>72</v>
      </c>
      <c r="U134" s="401">
        <f>'6. WS Regression Analysis'!C130</f>
        <v>14136095.050000001</v>
      </c>
      <c r="V134" s="412">
        <v>13691871.630000001</v>
      </c>
      <c r="W134" s="402">
        <f t="shared" si="16"/>
        <v>1.0324443167453214</v>
      </c>
    </row>
    <row r="135" spans="20:23" x14ac:dyDescent="0.3">
      <c r="T135" s="403" t="s">
        <v>286</v>
      </c>
      <c r="U135" s="404">
        <f>SUM(U123:U134)</f>
        <v>152832225.73000002</v>
      </c>
      <c r="V135" s="404">
        <f>SUM(V123:V134)</f>
        <v>148041188.84</v>
      </c>
      <c r="W135" s="405">
        <f>U135/V135</f>
        <v>1.0323628641970586</v>
      </c>
    </row>
  </sheetData>
  <mergeCells count="1">
    <mergeCell ref="Q3:R3"/>
  </mergeCell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7821C-FDB9-4F2F-A652-3168C4DC7A4D}">
  <dimension ref="A1:F146"/>
  <sheetViews>
    <sheetView workbookViewId="0"/>
  </sheetViews>
  <sheetFormatPr defaultColWidth="9.296875" defaultRowHeight="12.5" x14ac:dyDescent="0.25"/>
  <cols>
    <col min="1" max="1" width="27.796875" style="1" customWidth="1"/>
    <col min="2" max="2" width="32" style="1" customWidth="1"/>
    <col min="3" max="3" width="21.19921875" style="1" customWidth="1"/>
    <col min="4" max="4" width="21" style="1" customWidth="1"/>
    <col min="5" max="5" width="17" style="1" customWidth="1"/>
    <col min="6" max="6" width="15.296875" style="1" customWidth="1"/>
    <col min="7" max="16384" width="9.296875" style="1"/>
  </cols>
  <sheetData>
    <row r="1" spans="1:6" ht="40" x14ac:dyDescent="0.4">
      <c r="A1" s="442" t="s">
        <v>3</v>
      </c>
      <c r="B1" s="442" t="s">
        <v>95</v>
      </c>
      <c r="C1" s="442" t="s">
        <v>96</v>
      </c>
      <c r="D1" s="442" t="s">
        <v>120</v>
      </c>
      <c r="E1" s="442" t="s">
        <v>1</v>
      </c>
      <c r="F1" s="442" t="s">
        <v>2</v>
      </c>
    </row>
    <row r="2" spans="1:6" ht="57.75" customHeight="1" x14ac:dyDescent="0.4">
      <c r="A2" s="442" t="s">
        <v>448</v>
      </c>
      <c r="B2" s="442" t="s">
        <v>134</v>
      </c>
      <c r="C2" s="442" t="s">
        <v>133</v>
      </c>
      <c r="D2" s="442" t="s">
        <v>133</v>
      </c>
      <c r="E2" s="442" t="s">
        <v>133</v>
      </c>
      <c r="F2" s="442" t="s">
        <v>133</v>
      </c>
    </row>
    <row r="3" spans="1:6" x14ac:dyDescent="0.25">
      <c r="A3" s="166" t="s">
        <v>304</v>
      </c>
      <c r="B3" s="743">
        <v>12593</v>
      </c>
      <c r="C3" s="744">
        <v>0</v>
      </c>
      <c r="D3" s="744">
        <v>31</v>
      </c>
      <c r="E3" s="744">
        <v>638.9</v>
      </c>
      <c r="F3" s="744">
        <v>0</v>
      </c>
    </row>
    <row r="4" spans="1:6" x14ac:dyDescent="0.25">
      <c r="A4" s="166" t="s">
        <v>305</v>
      </c>
      <c r="B4" s="743">
        <v>12597</v>
      </c>
      <c r="C4" s="744">
        <v>0</v>
      </c>
      <c r="D4" s="744">
        <v>28</v>
      </c>
      <c r="E4" s="744">
        <v>647.79999999999995</v>
      </c>
      <c r="F4" s="744">
        <v>0</v>
      </c>
    </row>
    <row r="5" spans="1:6" x14ac:dyDescent="0.25">
      <c r="A5" s="166" t="s">
        <v>306</v>
      </c>
      <c r="B5" s="743">
        <v>12608</v>
      </c>
      <c r="C5" s="744">
        <v>1</v>
      </c>
      <c r="D5" s="744">
        <v>31</v>
      </c>
      <c r="E5" s="744">
        <v>582.20000000000005</v>
      </c>
      <c r="F5" s="744">
        <v>0</v>
      </c>
    </row>
    <row r="6" spans="1:6" x14ac:dyDescent="0.25">
      <c r="A6" s="166" t="s">
        <v>307</v>
      </c>
      <c r="B6" s="743">
        <v>12620</v>
      </c>
      <c r="C6" s="744">
        <v>1</v>
      </c>
      <c r="D6" s="744">
        <v>30</v>
      </c>
      <c r="E6" s="744">
        <v>368.7</v>
      </c>
      <c r="F6" s="744">
        <v>0</v>
      </c>
    </row>
    <row r="7" spans="1:6" x14ac:dyDescent="0.25">
      <c r="A7" s="166" t="s">
        <v>308</v>
      </c>
      <c r="B7" s="743">
        <v>12628</v>
      </c>
      <c r="C7" s="744">
        <v>1</v>
      </c>
      <c r="D7" s="744">
        <v>31</v>
      </c>
      <c r="E7" s="744">
        <v>163.69999999999999</v>
      </c>
      <c r="F7" s="744">
        <v>15.7</v>
      </c>
    </row>
    <row r="8" spans="1:6" x14ac:dyDescent="0.25">
      <c r="A8" s="166" t="s">
        <v>309</v>
      </c>
      <c r="B8" s="743">
        <v>12686</v>
      </c>
      <c r="C8" s="744">
        <v>0</v>
      </c>
      <c r="D8" s="744">
        <v>30</v>
      </c>
      <c r="E8" s="744">
        <v>73.3</v>
      </c>
      <c r="F8" s="744">
        <v>41</v>
      </c>
    </row>
    <row r="9" spans="1:6" x14ac:dyDescent="0.25">
      <c r="A9" s="166" t="s">
        <v>310</v>
      </c>
      <c r="B9" s="743">
        <v>12684</v>
      </c>
      <c r="C9" s="744">
        <v>0</v>
      </c>
      <c r="D9" s="744">
        <v>31</v>
      </c>
      <c r="E9" s="744">
        <v>6.3</v>
      </c>
      <c r="F9" s="744">
        <v>96.7</v>
      </c>
    </row>
    <row r="10" spans="1:6" x14ac:dyDescent="0.25">
      <c r="A10" s="166" t="s">
        <v>311</v>
      </c>
      <c r="B10" s="743">
        <v>12731</v>
      </c>
      <c r="C10" s="744">
        <v>0</v>
      </c>
      <c r="D10" s="744">
        <v>31</v>
      </c>
      <c r="E10" s="744">
        <v>13.8</v>
      </c>
      <c r="F10" s="744">
        <v>63.9</v>
      </c>
    </row>
    <row r="11" spans="1:6" x14ac:dyDescent="0.25">
      <c r="A11" s="166" t="s">
        <v>312</v>
      </c>
      <c r="B11" s="743">
        <v>12749</v>
      </c>
      <c r="C11" s="744">
        <v>1</v>
      </c>
      <c r="D11" s="744">
        <v>30</v>
      </c>
      <c r="E11" s="744">
        <v>103.5</v>
      </c>
      <c r="F11" s="744">
        <v>24.1</v>
      </c>
    </row>
    <row r="12" spans="1:6" x14ac:dyDescent="0.25">
      <c r="A12" s="166" t="s">
        <v>313</v>
      </c>
      <c r="B12" s="743">
        <v>12817</v>
      </c>
      <c r="C12" s="744">
        <v>1</v>
      </c>
      <c r="D12" s="744">
        <v>31</v>
      </c>
      <c r="E12" s="744">
        <v>189.8</v>
      </c>
      <c r="F12" s="744">
        <v>0.1</v>
      </c>
    </row>
    <row r="13" spans="1:6" x14ac:dyDescent="0.25">
      <c r="A13" s="166" t="s">
        <v>314</v>
      </c>
      <c r="B13" s="743">
        <v>12853</v>
      </c>
      <c r="C13" s="744">
        <v>1</v>
      </c>
      <c r="D13" s="744">
        <v>30</v>
      </c>
      <c r="E13" s="744">
        <v>476.7</v>
      </c>
      <c r="F13" s="744">
        <v>0</v>
      </c>
    </row>
    <row r="14" spans="1:6" x14ac:dyDescent="0.25">
      <c r="A14" s="166" t="s">
        <v>315</v>
      </c>
      <c r="B14" s="743">
        <v>12873</v>
      </c>
      <c r="C14" s="744">
        <v>0</v>
      </c>
      <c r="D14" s="744">
        <v>31</v>
      </c>
      <c r="E14" s="744">
        <v>717.5</v>
      </c>
      <c r="F14" s="744">
        <v>0</v>
      </c>
    </row>
    <row r="15" spans="1:6" x14ac:dyDescent="0.25">
      <c r="A15" s="166" t="s">
        <v>316</v>
      </c>
      <c r="B15" s="743">
        <v>12874</v>
      </c>
      <c r="C15" s="744">
        <v>0</v>
      </c>
      <c r="D15" s="744">
        <v>31</v>
      </c>
      <c r="E15" s="744">
        <v>826.1</v>
      </c>
      <c r="F15" s="744">
        <v>0</v>
      </c>
    </row>
    <row r="16" spans="1:6" x14ac:dyDescent="0.25">
      <c r="A16" s="166" t="s">
        <v>317</v>
      </c>
      <c r="B16" s="743">
        <v>12904</v>
      </c>
      <c r="C16" s="744">
        <v>0</v>
      </c>
      <c r="D16" s="744">
        <v>28</v>
      </c>
      <c r="E16" s="744">
        <v>740.1</v>
      </c>
      <c r="F16" s="744">
        <v>0</v>
      </c>
    </row>
    <row r="17" spans="1:6" x14ac:dyDescent="0.25">
      <c r="A17" s="166" t="s">
        <v>318</v>
      </c>
      <c r="B17" s="743">
        <v>12843</v>
      </c>
      <c r="C17" s="744">
        <v>1</v>
      </c>
      <c r="D17" s="744">
        <v>31</v>
      </c>
      <c r="E17" s="744">
        <v>730</v>
      </c>
      <c r="F17" s="744">
        <v>0</v>
      </c>
    </row>
    <row r="18" spans="1:6" x14ac:dyDescent="0.25">
      <c r="A18" s="166" t="s">
        <v>319</v>
      </c>
      <c r="B18" s="743">
        <v>12851</v>
      </c>
      <c r="C18" s="744">
        <v>1</v>
      </c>
      <c r="D18" s="744">
        <v>30</v>
      </c>
      <c r="E18" s="744">
        <v>389.7</v>
      </c>
      <c r="F18" s="744">
        <v>0</v>
      </c>
    </row>
    <row r="19" spans="1:6" x14ac:dyDescent="0.25">
      <c r="A19" s="166" t="s">
        <v>320</v>
      </c>
      <c r="B19" s="743">
        <v>12850</v>
      </c>
      <c r="C19" s="744">
        <v>1</v>
      </c>
      <c r="D19" s="744">
        <v>31</v>
      </c>
      <c r="E19" s="744">
        <v>174.6</v>
      </c>
      <c r="F19" s="744">
        <v>4.0999999999999996</v>
      </c>
    </row>
    <row r="20" spans="1:6" x14ac:dyDescent="0.25">
      <c r="A20" s="166" t="s">
        <v>321</v>
      </c>
      <c r="B20" s="743">
        <v>12862</v>
      </c>
      <c r="C20" s="744">
        <v>0</v>
      </c>
      <c r="D20" s="744">
        <v>30</v>
      </c>
      <c r="E20" s="744">
        <v>57.2</v>
      </c>
      <c r="F20" s="744">
        <v>41.5</v>
      </c>
    </row>
    <row r="21" spans="1:6" x14ac:dyDescent="0.25">
      <c r="A21" s="166" t="s">
        <v>322</v>
      </c>
      <c r="B21" s="743">
        <v>12873</v>
      </c>
      <c r="C21" s="744">
        <v>0</v>
      </c>
      <c r="D21" s="744">
        <v>31</v>
      </c>
      <c r="E21" s="744">
        <v>29.7</v>
      </c>
      <c r="F21" s="744">
        <v>50.3</v>
      </c>
    </row>
    <row r="22" spans="1:6" x14ac:dyDescent="0.25">
      <c r="A22" s="166" t="s">
        <v>323</v>
      </c>
      <c r="B22" s="743">
        <v>12937</v>
      </c>
      <c r="C22" s="744">
        <v>0</v>
      </c>
      <c r="D22" s="744">
        <v>31</v>
      </c>
      <c r="E22" s="744">
        <v>24.1</v>
      </c>
      <c r="F22" s="744">
        <v>45.9</v>
      </c>
    </row>
    <row r="23" spans="1:6" x14ac:dyDescent="0.25">
      <c r="A23" s="166" t="s">
        <v>324</v>
      </c>
      <c r="B23" s="743">
        <v>12915</v>
      </c>
      <c r="C23" s="744">
        <v>1</v>
      </c>
      <c r="D23" s="744">
        <v>30</v>
      </c>
      <c r="E23" s="744">
        <v>86.3</v>
      </c>
      <c r="F23" s="744">
        <v>21.4</v>
      </c>
    </row>
    <row r="24" spans="1:6" x14ac:dyDescent="0.25">
      <c r="A24" s="166" t="s">
        <v>325</v>
      </c>
      <c r="B24" s="743">
        <v>12961</v>
      </c>
      <c r="C24" s="744">
        <v>1</v>
      </c>
      <c r="D24" s="744">
        <v>31</v>
      </c>
      <c r="E24" s="744">
        <v>238.8</v>
      </c>
      <c r="F24" s="744">
        <v>1.2</v>
      </c>
    </row>
    <row r="25" spans="1:6" x14ac:dyDescent="0.25">
      <c r="A25" s="166" t="s">
        <v>326</v>
      </c>
      <c r="B25" s="743">
        <v>12976</v>
      </c>
      <c r="C25" s="744">
        <v>1</v>
      </c>
      <c r="D25" s="744">
        <v>30</v>
      </c>
      <c r="E25" s="744">
        <v>460.7</v>
      </c>
      <c r="F25" s="744">
        <v>0</v>
      </c>
    </row>
    <row r="26" spans="1:6" x14ac:dyDescent="0.25">
      <c r="A26" s="166" t="s">
        <v>327</v>
      </c>
      <c r="B26" s="743">
        <v>13021</v>
      </c>
      <c r="C26" s="744">
        <v>0</v>
      </c>
      <c r="D26" s="744">
        <v>31</v>
      </c>
      <c r="E26" s="744">
        <v>537.70000000000005</v>
      </c>
      <c r="F26" s="744">
        <v>0</v>
      </c>
    </row>
    <row r="27" spans="1:6" x14ac:dyDescent="0.25">
      <c r="A27" s="166" t="s">
        <v>328</v>
      </c>
      <c r="B27" s="743">
        <v>13050</v>
      </c>
      <c r="C27" s="744">
        <v>0</v>
      </c>
      <c r="D27" s="744">
        <v>31</v>
      </c>
      <c r="E27" s="744">
        <v>854.9</v>
      </c>
      <c r="F27" s="744">
        <v>0</v>
      </c>
    </row>
    <row r="28" spans="1:6" x14ac:dyDescent="0.25">
      <c r="A28" s="166" t="s">
        <v>329</v>
      </c>
      <c r="B28" s="743">
        <v>13056</v>
      </c>
      <c r="C28" s="744">
        <v>0</v>
      </c>
      <c r="D28" s="744">
        <v>28</v>
      </c>
      <c r="E28" s="744">
        <v>860.7</v>
      </c>
      <c r="F28" s="744">
        <v>0</v>
      </c>
    </row>
    <row r="29" spans="1:6" x14ac:dyDescent="0.25">
      <c r="A29" s="166" t="s">
        <v>330</v>
      </c>
      <c r="B29" s="743">
        <v>13061</v>
      </c>
      <c r="C29" s="744">
        <v>1</v>
      </c>
      <c r="D29" s="744">
        <v>31</v>
      </c>
      <c r="E29" s="744">
        <v>646.70000000000005</v>
      </c>
      <c r="F29" s="744">
        <v>0</v>
      </c>
    </row>
    <row r="30" spans="1:6" x14ac:dyDescent="0.25">
      <c r="A30" s="166" t="s">
        <v>331</v>
      </c>
      <c r="B30" s="743">
        <v>13080</v>
      </c>
      <c r="C30" s="744">
        <v>1</v>
      </c>
      <c r="D30" s="744">
        <v>30</v>
      </c>
      <c r="E30" s="744">
        <v>366.8</v>
      </c>
      <c r="F30" s="744">
        <v>0</v>
      </c>
    </row>
    <row r="31" spans="1:6" x14ac:dyDescent="0.25">
      <c r="A31" s="166" t="s">
        <v>332</v>
      </c>
      <c r="B31" s="743">
        <v>13084</v>
      </c>
      <c r="C31" s="744">
        <v>1</v>
      </c>
      <c r="D31" s="744">
        <v>31</v>
      </c>
      <c r="E31" s="744">
        <v>156</v>
      </c>
      <c r="F31" s="744">
        <v>19.8</v>
      </c>
    </row>
    <row r="32" spans="1:6" x14ac:dyDescent="0.25">
      <c r="A32" s="166" t="s">
        <v>333</v>
      </c>
      <c r="B32" s="743">
        <v>13095</v>
      </c>
      <c r="C32" s="744">
        <v>0</v>
      </c>
      <c r="D32" s="744">
        <v>30</v>
      </c>
      <c r="E32" s="744">
        <v>69.8</v>
      </c>
      <c r="F32" s="744">
        <v>6</v>
      </c>
    </row>
    <row r="33" spans="1:6" x14ac:dyDescent="0.25">
      <c r="A33" s="166" t="s">
        <v>334</v>
      </c>
      <c r="B33" s="743">
        <v>13111</v>
      </c>
      <c r="C33" s="744">
        <v>0</v>
      </c>
      <c r="D33" s="744">
        <v>31</v>
      </c>
      <c r="E33" s="744">
        <v>17.399999999999999</v>
      </c>
      <c r="F33" s="744">
        <v>76.3</v>
      </c>
    </row>
    <row r="34" spans="1:6" x14ac:dyDescent="0.25">
      <c r="A34" s="166" t="s">
        <v>335</v>
      </c>
      <c r="B34" s="743">
        <v>13139</v>
      </c>
      <c r="C34" s="744">
        <v>0</v>
      </c>
      <c r="D34" s="744">
        <v>31</v>
      </c>
      <c r="E34" s="744">
        <v>12.2</v>
      </c>
      <c r="F34" s="744">
        <v>65.599999999999994</v>
      </c>
    </row>
    <row r="35" spans="1:6" x14ac:dyDescent="0.25">
      <c r="A35" s="166" t="s">
        <v>336</v>
      </c>
      <c r="B35" s="743">
        <v>13158</v>
      </c>
      <c r="C35" s="744">
        <v>1</v>
      </c>
      <c r="D35" s="744">
        <v>30</v>
      </c>
      <c r="E35" s="744">
        <v>27.6</v>
      </c>
      <c r="F35" s="744">
        <v>69.5</v>
      </c>
    </row>
    <row r="36" spans="1:6" x14ac:dyDescent="0.25">
      <c r="A36" s="166" t="s">
        <v>337</v>
      </c>
      <c r="B36" s="743">
        <v>13172</v>
      </c>
      <c r="C36" s="744">
        <v>1</v>
      </c>
      <c r="D36" s="744">
        <v>31</v>
      </c>
      <c r="E36" s="744">
        <v>257.10000000000002</v>
      </c>
      <c r="F36" s="744">
        <v>2.8</v>
      </c>
    </row>
    <row r="37" spans="1:6" x14ac:dyDescent="0.25">
      <c r="A37" s="166" t="s">
        <v>338</v>
      </c>
      <c r="B37" s="743">
        <v>13191</v>
      </c>
      <c r="C37" s="744">
        <v>1</v>
      </c>
      <c r="D37" s="744">
        <v>30</v>
      </c>
      <c r="E37" s="744">
        <v>323.8</v>
      </c>
      <c r="F37" s="744">
        <v>1.5</v>
      </c>
    </row>
    <row r="38" spans="1:6" x14ac:dyDescent="0.25">
      <c r="A38" s="166" t="s">
        <v>339</v>
      </c>
      <c r="B38" s="743">
        <v>13214</v>
      </c>
      <c r="C38" s="744">
        <v>0</v>
      </c>
      <c r="D38" s="744">
        <v>31</v>
      </c>
      <c r="E38" s="744">
        <v>426</v>
      </c>
      <c r="F38" s="744">
        <v>0</v>
      </c>
    </row>
    <row r="39" spans="1:6" x14ac:dyDescent="0.25">
      <c r="A39" s="166" t="s">
        <v>340</v>
      </c>
      <c r="B39" s="743">
        <v>13218</v>
      </c>
      <c r="C39" s="744">
        <v>0</v>
      </c>
      <c r="D39" s="744">
        <v>31</v>
      </c>
      <c r="E39" s="744">
        <v>556.4</v>
      </c>
      <c r="F39" s="744">
        <v>0</v>
      </c>
    </row>
    <row r="40" spans="1:6" x14ac:dyDescent="0.25">
      <c r="A40" s="166" t="s">
        <v>341</v>
      </c>
      <c r="B40" s="743">
        <v>13226</v>
      </c>
      <c r="C40" s="744">
        <v>0</v>
      </c>
      <c r="D40" s="744">
        <v>29</v>
      </c>
      <c r="E40" s="744">
        <v>623.5</v>
      </c>
      <c r="F40" s="744">
        <v>0</v>
      </c>
    </row>
    <row r="41" spans="1:6" x14ac:dyDescent="0.25">
      <c r="A41" s="166" t="s">
        <v>342</v>
      </c>
      <c r="B41" s="743">
        <v>13227</v>
      </c>
      <c r="C41" s="744">
        <v>1</v>
      </c>
      <c r="D41" s="744">
        <v>31</v>
      </c>
      <c r="E41" s="744">
        <v>502.2</v>
      </c>
      <c r="F41" s="744">
        <v>0</v>
      </c>
    </row>
    <row r="42" spans="1:6" x14ac:dyDescent="0.25">
      <c r="A42" s="166" t="s">
        <v>343</v>
      </c>
      <c r="B42" s="743">
        <v>13242</v>
      </c>
      <c r="C42" s="744">
        <v>1</v>
      </c>
      <c r="D42" s="744">
        <v>30</v>
      </c>
      <c r="E42" s="744">
        <v>387.4</v>
      </c>
      <c r="F42" s="744">
        <v>0</v>
      </c>
    </row>
    <row r="43" spans="1:6" x14ac:dyDescent="0.25">
      <c r="A43" s="166" t="s">
        <v>344</v>
      </c>
      <c r="B43" s="743">
        <v>13242</v>
      </c>
      <c r="C43" s="744">
        <v>1</v>
      </c>
      <c r="D43" s="744">
        <v>31</v>
      </c>
      <c r="E43" s="744">
        <v>206</v>
      </c>
      <c r="F43" s="744">
        <v>18.399999999999999</v>
      </c>
    </row>
    <row r="44" spans="1:6" x14ac:dyDescent="0.25">
      <c r="A44" s="166" t="s">
        <v>345</v>
      </c>
      <c r="B44" s="743">
        <v>13260</v>
      </c>
      <c r="C44" s="744">
        <v>0</v>
      </c>
      <c r="D44" s="744">
        <v>30</v>
      </c>
      <c r="E44" s="744">
        <v>58.3</v>
      </c>
      <c r="F44" s="744">
        <v>34</v>
      </c>
    </row>
    <row r="45" spans="1:6" x14ac:dyDescent="0.25">
      <c r="A45" s="166" t="s">
        <v>346</v>
      </c>
      <c r="B45" s="743">
        <v>13259</v>
      </c>
      <c r="C45" s="744">
        <v>0</v>
      </c>
      <c r="D45" s="744">
        <v>31</v>
      </c>
      <c r="E45" s="744">
        <v>2.9</v>
      </c>
      <c r="F45" s="744">
        <v>117.6</v>
      </c>
    </row>
    <row r="46" spans="1:6" x14ac:dyDescent="0.25">
      <c r="A46" s="166" t="s">
        <v>347</v>
      </c>
      <c r="B46" s="743">
        <v>13292</v>
      </c>
      <c r="C46" s="744">
        <v>0</v>
      </c>
      <c r="D46" s="744">
        <v>31</v>
      </c>
      <c r="E46" s="744">
        <v>0.4</v>
      </c>
      <c r="F46" s="744">
        <v>125.8</v>
      </c>
    </row>
    <row r="47" spans="1:6" x14ac:dyDescent="0.25">
      <c r="A47" s="166" t="s">
        <v>348</v>
      </c>
      <c r="B47" s="743">
        <v>13310</v>
      </c>
      <c r="C47" s="744">
        <v>1</v>
      </c>
      <c r="D47" s="744">
        <v>30</v>
      </c>
      <c r="E47" s="744">
        <v>45.4</v>
      </c>
      <c r="F47" s="744">
        <v>41.4</v>
      </c>
    </row>
    <row r="48" spans="1:6" x14ac:dyDescent="0.25">
      <c r="A48" s="166" t="s">
        <v>349</v>
      </c>
      <c r="B48" s="743">
        <v>13308</v>
      </c>
      <c r="C48" s="744">
        <v>1</v>
      </c>
      <c r="D48" s="744">
        <v>31</v>
      </c>
      <c r="E48" s="744">
        <v>198.3</v>
      </c>
      <c r="F48" s="744">
        <v>4.5</v>
      </c>
    </row>
    <row r="49" spans="1:6" x14ac:dyDescent="0.25">
      <c r="A49" s="166" t="s">
        <v>350</v>
      </c>
      <c r="B49" s="743">
        <v>13359</v>
      </c>
      <c r="C49" s="744">
        <v>1</v>
      </c>
      <c r="D49" s="744">
        <v>30</v>
      </c>
      <c r="E49" s="744">
        <v>249.1</v>
      </c>
      <c r="F49" s="744">
        <v>0</v>
      </c>
    </row>
    <row r="50" spans="1:6" x14ac:dyDescent="0.25">
      <c r="A50" s="166" t="s">
        <v>351</v>
      </c>
      <c r="B50" s="743">
        <v>13379</v>
      </c>
      <c r="C50" s="744">
        <v>0</v>
      </c>
      <c r="D50" s="744">
        <v>31</v>
      </c>
      <c r="E50" s="744">
        <v>596.4</v>
      </c>
      <c r="F50" s="744">
        <v>0</v>
      </c>
    </row>
    <row r="51" spans="1:6" x14ac:dyDescent="0.25">
      <c r="A51" s="166" t="s">
        <v>352</v>
      </c>
      <c r="B51" s="743">
        <v>13381</v>
      </c>
      <c r="C51" s="744">
        <v>0</v>
      </c>
      <c r="D51" s="744">
        <v>31</v>
      </c>
      <c r="E51" s="744">
        <v>641</v>
      </c>
      <c r="F51" s="744">
        <v>0</v>
      </c>
    </row>
    <row r="52" spans="1:6" x14ac:dyDescent="0.25">
      <c r="A52" s="166" t="s">
        <v>353</v>
      </c>
      <c r="B52" s="743">
        <v>13385</v>
      </c>
      <c r="C52" s="744">
        <v>0</v>
      </c>
      <c r="D52" s="744">
        <v>28</v>
      </c>
      <c r="E52" s="744">
        <v>512.4</v>
      </c>
      <c r="F52" s="744">
        <v>0</v>
      </c>
    </row>
    <row r="53" spans="1:6" x14ac:dyDescent="0.25">
      <c r="A53" s="166" t="s">
        <v>354</v>
      </c>
      <c r="B53" s="743">
        <v>13393</v>
      </c>
      <c r="C53" s="744">
        <v>1</v>
      </c>
      <c r="D53" s="744">
        <v>31</v>
      </c>
      <c r="E53" s="744">
        <v>594.29999999999995</v>
      </c>
      <c r="F53" s="744">
        <v>0</v>
      </c>
    </row>
    <row r="54" spans="1:6" x14ac:dyDescent="0.25">
      <c r="A54" s="166" t="s">
        <v>355</v>
      </c>
      <c r="B54" s="743">
        <v>13412</v>
      </c>
      <c r="C54" s="744">
        <v>1</v>
      </c>
      <c r="D54" s="744">
        <v>30</v>
      </c>
      <c r="E54" s="744">
        <v>298.89999999999998</v>
      </c>
      <c r="F54" s="744">
        <v>0.5</v>
      </c>
    </row>
    <row r="55" spans="1:6" x14ac:dyDescent="0.25">
      <c r="A55" s="166" t="s">
        <v>356</v>
      </c>
      <c r="B55" s="743">
        <v>13418</v>
      </c>
      <c r="C55" s="744">
        <v>1</v>
      </c>
      <c r="D55" s="744">
        <v>31</v>
      </c>
      <c r="E55" s="744">
        <v>221</v>
      </c>
      <c r="F55" s="744">
        <v>8.6</v>
      </c>
    </row>
    <row r="56" spans="1:6" x14ac:dyDescent="0.25">
      <c r="A56" s="166" t="s">
        <v>357</v>
      </c>
      <c r="B56" s="743">
        <v>13451</v>
      </c>
      <c r="C56" s="744">
        <v>0</v>
      </c>
      <c r="D56" s="744">
        <v>30</v>
      </c>
      <c r="E56" s="744">
        <v>59.8</v>
      </c>
      <c r="F56" s="744">
        <v>40.9</v>
      </c>
    </row>
    <row r="57" spans="1:6" x14ac:dyDescent="0.25">
      <c r="A57" s="166" t="s">
        <v>358</v>
      </c>
      <c r="B57" s="743">
        <v>13484</v>
      </c>
      <c r="C57" s="744">
        <v>0</v>
      </c>
      <c r="D57" s="744">
        <v>31</v>
      </c>
      <c r="E57" s="744">
        <v>3.9</v>
      </c>
      <c r="F57" s="744">
        <v>61.8</v>
      </c>
    </row>
    <row r="58" spans="1:6" x14ac:dyDescent="0.25">
      <c r="A58" s="166" t="s">
        <v>359</v>
      </c>
      <c r="B58" s="743">
        <v>13551</v>
      </c>
      <c r="C58" s="744">
        <v>0</v>
      </c>
      <c r="D58" s="744">
        <v>31</v>
      </c>
      <c r="E58" s="744">
        <v>19.3</v>
      </c>
      <c r="F58" s="744">
        <v>44.6</v>
      </c>
    </row>
    <row r="59" spans="1:6" x14ac:dyDescent="0.25">
      <c r="A59" s="166" t="s">
        <v>360</v>
      </c>
      <c r="B59" s="743">
        <v>13567</v>
      </c>
      <c r="C59" s="744">
        <v>1</v>
      </c>
      <c r="D59" s="744">
        <v>30</v>
      </c>
      <c r="E59" s="744">
        <v>69</v>
      </c>
      <c r="F59" s="744">
        <v>52</v>
      </c>
    </row>
    <row r="60" spans="1:6" x14ac:dyDescent="0.25">
      <c r="A60" s="166" t="s">
        <v>361</v>
      </c>
      <c r="B60" s="743">
        <v>13587</v>
      </c>
      <c r="C60" s="744">
        <v>1</v>
      </c>
      <c r="D60" s="744">
        <v>31</v>
      </c>
      <c r="E60" s="744">
        <v>158.19999999999999</v>
      </c>
      <c r="F60" s="744">
        <v>5.5</v>
      </c>
    </row>
    <row r="61" spans="1:6" x14ac:dyDescent="0.25">
      <c r="A61" s="166" t="s">
        <v>362</v>
      </c>
      <c r="B61" s="743">
        <v>13607</v>
      </c>
      <c r="C61" s="744">
        <v>1</v>
      </c>
      <c r="D61" s="744">
        <v>30</v>
      </c>
      <c r="E61" s="744">
        <v>444.8</v>
      </c>
      <c r="F61" s="744">
        <v>0</v>
      </c>
    </row>
    <row r="62" spans="1:6" x14ac:dyDescent="0.25">
      <c r="A62" s="166" t="s">
        <v>363</v>
      </c>
      <c r="B62" s="743">
        <v>13627</v>
      </c>
      <c r="C62" s="744">
        <v>0</v>
      </c>
      <c r="D62" s="744">
        <v>31</v>
      </c>
      <c r="E62" s="744">
        <v>668.9</v>
      </c>
      <c r="F62" s="744">
        <v>0</v>
      </c>
    </row>
    <row r="63" spans="1:6" x14ac:dyDescent="0.25">
      <c r="A63" s="166" t="s">
        <v>364</v>
      </c>
      <c r="B63" s="743">
        <v>13641</v>
      </c>
      <c r="C63" s="744">
        <v>0</v>
      </c>
      <c r="D63" s="744">
        <v>31</v>
      </c>
      <c r="E63" s="744">
        <v>671.9</v>
      </c>
      <c r="F63" s="744">
        <v>0</v>
      </c>
    </row>
    <row r="64" spans="1:6" x14ac:dyDescent="0.25">
      <c r="A64" s="166" t="s">
        <v>365</v>
      </c>
      <c r="B64" s="743">
        <v>13645</v>
      </c>
      <c r="C64" s="744">
        <v>0</v>
      </c>
      <c r="D64" s="744">
        <v>28</v>
      </c>
      <c r="E64" s="744">
        <v>554.20000000000005</v>
      </c>
      <c r="F64" s="744">
        <v>0</v>
      </c>
    </row>
    <row r="65" spans="1:6" x14ac:dyDescent="0.25">
      <c r="A65" s="166" t="s">
        <v>366</v>
      </c>
      <c r="B65" s="743">
        <v>13654</v>
      </c>
      <c r="C65" s="744">
        <v>1</v>
      </c>
      <c r="D65" s="744">
        <v>31</v>
      </c>
      <c r="E65" s="744">
        <v>559.29999999999995</v>
      </c>
      <c r="F65" s="744">
        <v>0</v>
      </c>
    </row>
    <row r="66" spans="1:6" x14ac:dyDescent="0.25">
      <c r="A66" s="166" t="s">
        <v>367</v>
      </c>
      <c r="B66" s="743">
        <v>13692</v>
      </c>
      <c r="C66" s="744">
        <v>1</v>
      </c>
      <c r="D66" s="744">
        <v>30</v>
      </c>
      <c r="E66" s="744">
        <v>472.4</v>
      </c>
      <c r="F66" s="744">
        <v>0</v>
      </c>
    </row>
    <row r="67" spans="1:6" x14ac:dyDescent="0.25">
      <c r="A67" s="166" t="s">
        <v>368</v>
      </c>
      <c r="B67" s="743">
        <v>13724</v>
      </c>
      <c r="C67" s="744">
        <v>1</v>
      </c>
      <c r="D67" s="744">
        <v>31</v>
      </c>
      <c r="E67" s="744">
        <v>138.80000000000001</v>
      </c>
      <c r="F67" s="744">
        <v>26.8</v>
      </c>
    </row>
    <row r="68" spans="1:6" x14ac:dyDescent="0.25">
      <c r="A68" s="166" t="s">
        <v>369</v>
      </c>
      <c r="B68" s="743">
        <v>13761</v>
      </c>
      <c r="C68" s="744">
        <v>0</v>
      </c>
      <c r="D68" s="744">
        <v>30</v>
      </c>
      <c r="E68" s="744">
        <v>66.400000000000006</v>
      </c>
      <c r="F68" s="744">
        <v>31.4</v>
      </c>
    </row>
    <row r="69" spans="1:6" x14ac:dyDescent="0.25">
      <c r="A69" s="166" t="s">
        <v>370</v>
      </c>
      <c r="B69" s="743">
        <v>13761</v>
      </c>
      <c r="C69" s="744">
        <v>0</v>
      </c>
      <c r="D69" s="744">
        <v>31</v>
      </c>
      <c r="E69" s="744">
        <v>4.8</v>
      </c>
      <c r="F69" s="744">
        <v>109.3</v>
      </c>
    </row>
    <row r="70" spans="1:6" x14ac:dyDescent="0.25">
      <c r="A70" s="166" t="s">
        <v>371</v>
      </c>
      <c r="B70" s="743">
        <v>13773</v>
      </c>
      <c r="C70" s="744">
        <v>0</v>
      </c>
      <c r="D70" s="744">
        <v>31</v>
      </c>
      <c r="E70" s="744">
        <v>3.7</v>
      </c>
      <c r="F70" s="744">
        <v>122.1</v>
      </c>
    </row>
    <row r="71" spans="1:6" x14ac:dyDescent="0.25">
      <c r="A71" s="166" t="s">
        <v>372</v>
      </c>
      <c r="B71" s="743">
        <v>13798</v>
      </c>
      <c r="C71" s="744">
        <v>1</v>
      </c>
      <c r="D71" s="744">
        <v>30</v>
      </c>
      <c r="E71" s="744">
        <v>75.900000000000006</v>
      </c>
      <c r="F71" s="744">
        <v>54.8</v>
      </c>
    </row>
    <row r="72" spans="1:6" x14ac:dyDescent="0.25">
      <c r="A72" s="166" t="s">
        <v>373</v>
      </c>
      <c r="B72" s="743">
        <v>13814</v>
      </c>
      <c r="C72" s="744">
        <v>1</v>
      </c>
      <c r="D72" s="744">
        <v>31</v>
      </c>
      <c r="E72" s="744">
        <v>279.5</v>
      </c>
      <c r="F72" s="744">
        <v>12.6</v>
      </c>
    </row>
    <row r="73" spans="1:6" x14ac:dyDescent="0.25">
      <c r="A73" s="166" t="s">
        <v>374</v>
      </c>
      <c r="B73" s="743">
        <v>13812</v>
      </c>
      <c r="C73" s="744">
        <v>1</v>
      </c>
      <c r="D73" s="744">
        <v>30</v>
      </c>
      <c r="E73" s="744">
        <v>503</v>
      </c>
      <c r="F73" s="744">
        <v>0</v>
      </c>
    </row>
    <row r="74" spans="1:6" x14ac:dyDescent="0.25">
      <c r="A74" s="166" t="s">
        <v>375</v>
      </c>
      <c r="B74" s="743">
        <v>13827</v>
      </c>
      <c r="C74" s="744">
        <v>0</v>
      </c>
      <c r="D74" s="744">
        <v>31</v>
      </c>
      <c r="E74" s="744">
        <v>588.29999999999995</v>
      </c>
      <c r="F74" s="744">
        <v>0</v>
      </c>
    </row>
    <row r="75" spans="1:6" x14ac:dyDescent="0.25">
      <c r="A75" s="166" t="s">
        <v>376</v>
      </c>
      <c r="B75" s="743">
        <v>13857</v>
      </c>
      <c r="C75" s="744">
        <v>0</v>
      </c>
      <c r="D75" s="744">
        <v>31</v>
      </c>
      <c r="E75" s="744">
        <v>777.9</v>
      </c>
      <c r="F75" s="744">
        <v>0</v>
      </c>
    </row>
    <row r="76" spans="1:6" x14ac:dyDescent="0.25">
      <c r="A76" s="166" t="s">
        <v>377</v>
      </c>
      <c r="B76" s="743">
        <v>13849</v>
      </c>
      <c r="C76" s="744">
        <v>0</v>
      </c>
      <c r="D76" s="744">
        <v>28</v>
      </c>
      <c r="E76" s="744">
        <v>634.4</v>
      </c>
      <c r="F76" s="744">
        <v>0</v>
      </c>
    </row>
    <row r="77" spans="1:6" x14ac:dyDescent="0.25">
      <c r="A77" s="166" t="s">
        <v>378</v>
      </c>
      <c r="B77" s="743">
        <v>13868</v>
      </c>
      <c r="C77" s="744">
        <v>1</v>
      </c>
      <c r="D77" s="744">
        <v>31</v>
      </c>
      <c r="E77" s="744">
        <v>585.70000000000005</v>
      </c>
      <c r="F77" s="744">
        <v>0</v>
      </c>
    </row>
    <row r="78" spans="1:6" x14ac:dyDescent="0.25">
      <c r="A78" s="166" t="s">
        <v>379</v>
      </c>
      <c r="B78" s="743">
        <v>13865</v>
      </c>
      <c r="C78" s="744">
        <v>1</v>
      </c>
      <c r="D78" s="744">
        <v>30</v>
      </c>
      <c r="E78" s="744">
        <v>391.1</v>
      </c>
      <c r="F78" s="744">
        <v>0</v>
      </c>
    </row>
    <row r="79" spans="1:6" x14ac:dyDescent="0.25">
      <c r="A79" s="166" t="s">
        <v>380</v>
      </c>
      <c r="B79" s="743">
        <v>13876</v>
      </c>
      <c r="C79" s="744">
        <v>1</v>
      </c>
      <c r="D79" s="744">
        <v>31</v>
      </c>
      <c r="E79" s="744">
        <v>237</v>
      </c>
      <c r="F79" s="744">
        <v>0</v>
      </c>
    </row>
    <row r="80" spans="1:6" x14ac:dyDescent="0.25">
      <c r="A80" s="166" t="s">
        <v>381</v>
      </c>
      <c r="B80" s="743">
        <v>13877</v>
      </c>
      <c r="C80" s="744">
        <v>0</v>
      </c>
      <c r="D80" s="744">
        <v>30</v>
      </c>
      <c r="E80" s="744">
        <v>96.1</v>
      </c>
      <c r="F80" s="744">
        <v>16.899999999999999</v>
      </c>
    </row>
    <row r="81" spans="1:6" x14ac:dyDescent="0.25">
      <c r="A81" s="166" t="s">
        <v>382</v>
      </c>
      <c r="B81" s="743">
        <v>13892</v>
      </c>
      <c r="C81" s="744">
        <v>0</v>
      </c>
      <c r="D81" s="744">
        <v>31</v>
      </c>
      <c r="E81" s="744">
        <v>4</v>
      </c>
      <c r="F81" s="744">
        <v>93.9</v>
      </c>
    </row>
    <row r="82" spans="1:6" x14ac:dyDescent="0.25">
      <c r="A82" s="166" t="s">
        <v>383</v>
      </c>
      <c r="B82" s="743">
        <v>13911</v>
      </c>
      <c r="C82" s="744">
        <v>0</v>
      </c>
      <c r="D82" s="744">
        <v>31</v>
      </c>
      <c r="E82" s="744">
        <v>7.3</v>
      </c>
      <c r="F82" s="744">
        <v>56.7</v>
      </c>
    </row>
    <row r="83" spans="1:6" x14ac:dyDescent="0.25">
      <c r="A83" s="166" t="s">
        <v>384</v>
      </c>
      <c r="B83" s="743">
        <v>13920</v>
      </c>
      <c r="C83" s="744">
        <v>1</v>
      </c>
      <c r="D83" s="744">
        <v>30</v>
      </c>
      <c r="E83" s="744">
        <v>61.6</v>
      </c>
      <c r="F83" s="744">
        <v>14.8</v>
      </c>
    </row>
    <row r="84" spans="1:6" x14ac:dyDescent="0.25">
      <c r="A84" s="166" t="s">
        <v>385</v>
      </c>
      <c r="B84" s="743">
        <v>13921</v>
      </c>
      <c r="C84" s="744">
        <v>1</v>
      </c>
      <c r="D84" s="744">
        <v>31</v>
      </c>
      <c r="E84" s="744">
        <v>252.6</v>
      </c>
      <c r="F84" s="744">
        <v>3.8</v>
      </c>
    </row>
    <row r="85" spans="1:6" x14ac:dyDescent="0.25">
      <c r="A85" s="166" t="s">
        <v>386</v>
      </c>
      <c r="B85" s="743">
        <v>14005</v>
      </c>
      <c r="C85" s="744">
        <v>1</v>
      </c>
      <c r="D85" s="744">
        <v>30</v>
      </c>
      <c r="E85" s="744">
        <v>523.20000000000005</v>
      </c>
      <c r="F85" s="744">
        <v>0</v>
      </c>
    </row>
    <row r="86" spans="1:6" x14ac:dyDescent="0.25">
      <c r="A86" s="166" t="s">
        <v>387</v>
      </c>
      <c r="B86" s="743">
        <v>14039</v>
      </c>
      <c r="C86" s="744">
        <v>0</v>
      </c>
      <c r="D86" s="744">
        <v>31</v>
      </c>
      <c r="E86" s="744">
        <v>583.1</v>
      </c>
      <c r="F86" s="744">
        <v>0</v>
      </c>
    </row>
    <row r="87" spans="1:6" x14ac:dyDescent="0.25">
      <c r="A87" s="166" t="s">
        <v>388</v>
      </c>
      <c r="B87" s="743">
        <v>14084</v>
      </c>
      <c r="C87" s="744">
        <v>0</v>
      </c>
      <c r="D87" s="744">
        <v>31</v>
      </c>
      <c r="E87" s="744">
        <v>613.79999999999995</v>
      </c>
      <c r="F87" s="744">
        <v>0</v>
      </c>
    </row>
    <row r="88" spans="1:6" x14ac:dyDescent="0.25">
      <c r="A88" s="166" t="s">
        <v>389</v>
      </c>
      <c r="B88" s="743">
        <v>14104</v>
      </c>
      <c r="C88" s="744">
        <v>0</v>
      </c>
      <c r="D88" s="744">
        <v>29</v>
      </c>
      <c r="E88" s="744">
        <v>621.70000000000005</v>
      </c>
      <c r="F88" s="744">
        <v>0</v>
      </c>
    </row>
    <row r="89" spans="1:6" x14ac:dyDescent="0.25">
      <c r="A89" s="166" t="s">
        <v>390</v>
      </c>
      <c r="B89" s="743">
        <v>14121</v>
      </c>
      <c r="C89" s="744">
        <v>1</v>
      </c>
      <c r="D89" s="744">
        <v>31</v>
      </c>
      <c r="E89" s="744">
        <v>486.1</v>
      </c>
      <c r="F89" s="744">
        <v>0</v>
      </c>
    </row>
    <row r="90" spans="1:6" x14ac:dyDescent="0.25">
      <c r="A90" s="166" t="s">
        <v>391</v>
      </c>
      <c r="B90" s="743">
        <v>14142</v>
      </c>
      <c r="C90" s="744">
        <v>1</v>
      </c>
      <c r="D90" s="744">
        <v>30</v>
      </c>
      <c r="E90" s="744">
        <v>398.6</v>
      </c>
      <c r="F90" s="744">
        <v>0</v>
      </c>
    </row>
    <row r="91" spans="1:6" x14ac:dyDescent="0.25">
      <c r="A91" s="166" t="s">
        <v>392</v>
      </c>
      <c r="B91" s="743">
        <v>14173.5</v>
      </c>
      <c r="C91" s="744">
        <v>1</v>
      </c>
      <c r="D91" s="744">
        <v>31</v>
      </c>
      <c r="E91" s="744">
        <v>246.2</v>
      </c>
      <c r="F91" s="744">
        <v>19.399999999999999</v>
      </c>
    </row>
    <row r="92" spans="1:6" x14ac:dyDescent="0.25">
      <c r="A92" s="166" t="s">
        <v>393</v>
      </c>
      <c r="B92" s="743">
        <v>14205</v>
      </c>
      <c r="C92" s="744">
        <v>0</v>
      </c>
      <c r="D92" s="744">
        <v>30</v>
      </c>
      <c r="E92" s="744">
        <v>56.1</v>
      </c>
      <c r="F92" s="744">
        <v>45.2</v>
      </c>
    </row>
    <row r="93" spans="1:6" x14ac:dyDescent="0.25">
      <c r="A93" s="166" t="s">
        <v>394</v>
      </c>
      <c r="B93" s="743">
        <v>14219</v>
      </c>
      <c r="C93" s="744">
        <v>0</v>
      </c>
      <c r="D93" s="744">
        <v>31</v>
      </c>
      <c r="E93" s="744">
        <v>0</v>
      </c>
      <c r="F93" s="744">
        <v>139.4</v>
      </c>
    </row>
    <row r="94" spans="1:6" x14ac:dyDescent="0.25">
      <c r="A94" s="166" t="s">
        <v>395</v>
      </c>
      <c r="B94" s="743">
        <v>14249</v>
      </c>
      <c r="C94" s="744">
        <v>0</v>
      </c>
      <c r="D94" s="744">
        <v>31</v>
      </c>
      <c r="E94" s="744" t="s">
        <v>449</v>
      </c>
      <c r="F94" s="744">
        <v>81.3</v>
      </c>
    </row>
    <row r="95" spans="1:6" x14ac:dyDescent="0.25">
      <c r="A95" s="166" t="s">
        <v>396</v>
      </c>
      <c r="B95" s="743">
        <v>14271</v>
      </c>
      <c r="C95" s="744">
        <v>1</v>
      </c>
      <c r="D95" s="744">
        <v>30</v>
      </c>
      <c r="E95" s="744">
        <v>84.6</v>
      </c>
      <c r="F95" s="744">
        <v>23</v>
      </c>
    </row>
    <row r="96" spans="1:6" x14ac:dyDescent="0.25">
      <c r="A96" s="166" t="s">
        <v>397</v>
      </c>
      <c r="B96" s="743">
        <v>14279</v>
      </c>
      <c r="C96" s="744">
        <v>1</v>
      </c>
      <c r="D96" s="744">
        <v>31</v>
      </c>
      <c r="E96" s="744">
        <v>279.89999999999998</v>
      </c>
      <c r="F96" s="744">
        <v>0</v>
      </c>
    </row>
    <row r="97" spans="1:6" x14ac:dyDescent="0.25">
      <c r="A97" s="166" t="s">
        <v>398</v>
      </c>
      <c r="B97" s="743">
        <v>14280</v>
      </c>
      <c r="C97" s="744">
        <v>1</v>
      </c>
      <c r="D97" s="744">
        <v>30</v>
      </c>
      <c r="E97" s="744">
        <v>296.10000000000002</v>
      </c>
      <c r="F97" s="744">
        <v>5.4</v>
      </c>
    </row>
    <row r="98" spans="1:6" x14ac:dyDescent="0.25">
      <c r="A98" s="166" t="s">
        <v>399</v>
      </c>
      <c r="B98" s="743">
        <v>14294</v>
      </c>
      <c r="C98" s="744">
        <v>0</v>
      </c>
      <c r="D98" s="744">
        <v>31</v>
      </c>
      <c r="E98" s="744">
        <v>554.70000000000005</v>
      </c>
      <c r="F98" s="744">
        <v>0</v>
      </c>
    </row>
    <row r="99" spans="1:6" x14ac:dyDescent="0.25">
      <c r="A99" s="166" t="s">
        <v>400</v>
      </c>
      <c r="B99" s="743">
        <v>14313</v>
      </c>
      <c r="C99" s="744">
        <v>0</v>
      </c>
      <c r="D99" s="744">
        <v>31</v>
      </c>
      <c r="E99" s="744">
        <v>636.70000000000005</v>
      </c>
      <c r="F99" s="744">
        <v>0</v>
      </c>
    </row>
    <row r="100" spans="1:6" x14ac:dyDescent="0.25">
      <c r="A100" s="166" t="s">
        <v>401</v>
      </c>
      <c r="B100" s="743">
        <v>14322</v>
      </c>
      <c r="C100" s="744">
        <v>0</v>
      </c>
      <c r="D100" s="744">
        <v>28</v>
      </c>
      <c r="E100" s="744">
        <v>639.6</v>
      </c>
      <c r="F100" s="744">
        <v>0</v>
      </c>
    </row>
    <row r="101" spans="1:6" x14ac:dyDescent="0.25">
      <c r="A101" s="166" t="s">
        <v>402</v>
      </c>
      <c r="B101" s="743">
        <v>14345</v>
      </c>
      <c r="C101" s="744">
        <v>1</v>
      </c>
      <c r="D101" s="744">
        <v>31</v>
      </c>
      <c r="E101" s="744">
        <v>460.9</v>
      </c>
      <c r="F101" s="744">
        <v>0</v>
      </c>
    </row>
    <row r="102" spans="1:6" x14ac:dyDescent="0.25">
      <c r="A102" s="166" t="s">
        <v>403</v>
      </c>
      <c r="B102" s="743">
        <v>14361</v>
      </c>
      <c r="C102" s="744">
        <v>1</v>
      </c>
      <c r="D102" s="744">
        <v>30</v>
      </c>
      <c r="E102" s="744">
        <v>315.10000000000002</v>
      </c>
      <c r="F102" s="744">
        <v>0.3</v>
      </c>
    </row>
    <row r="103" spans="1:6" x14ac:dyDescent="0.25">
      <c r="A103" s="166" t="s">
        <v>404</v>
      </c>
      <c r="B103" s="743">
        <v>14378</v>
      </c>
      <c r="C103" s="744">
        <v>1</v>
      </c>
      <c r="D103" s="744">
        <v>31</v>
      </c>
      <c r="E103" s="744">
        <v>206</v>
      </c>
      <c r="F103" s="744">
        <v>16</v>
      </c>
    </row>
    <row r="104" spans="1:6" x14ac:dyDescent="0.25">
      <c r="A104" s="166" t="s">
        <v>405</v>
      </c>
      <c r="B104" s="743">
        <v>14404</v>
      </c>
      <c r="C104" s="744">
        <v>0</v>
      </c>
      <c r="D104" s="744">
        <v>30</v>
      </c>
      <c r="E104" s="744">
        <v>22.7</v>
      </c>
      <c r="F104" s="744">
        <v>83</v>
      </c>
    </row>
    <row r="105" spans="1:6" x14ac:dyDescent="0.25">
      <c r="A105" s="166" t="s">
        <v>406</v>
      </c>
      <c r="B105" s="743">
        <v>14417</v>
      </c>
      <c r="C105" s="744">
        <v>0</v>
      </c>
      <c r="D105" s="744">
        <v>31</v>
      </c>
      <c r="E105" s="744">
        <v>14.2</v>
      </c>
      <c r="F105" s="744">
        <v>57.2</v>
      </c>
    </row>
    <row r="106" spans="1:6" x14ac:dyDescent="0.25">
      <c r="A106" s="166" t="s">
        <v>407</v>
      </c>
      <c r="B106" s="743">
        <v>14419</v>
      </c>
      <c r="C106" s="744">
        <v>0</v>
      </c>
      <c r="D106" s="744">
        <v>31</v>
      </c>
      <c r="E106" s="744">
        <v>3.5</v>
      </c>
      <c r="F106" s="744">
        <v>113.6</v>
      </c>
    </row>
    <row r="107" spans="1:6" x14ac:dyDescent="0.25">
      <c r="A107" s="166" t="s">
        <v>408</v>
      </c>
      <c r="B107" s="743">
        <v>14431</v>
      </c>
      <c r="C107" s="744">
        <v>1</v>
      </c>
      <c r="D107" s="744">
        <v>30</v>
      </c>
      <c r="E107" s="744">
        <v>52.9</v>
      </c>
      <c r="F107" s="744">
        <v>18.899999999999999</v>
      </c>
    </row>
    <row r="108" spans="1:6" x14ac:dyDescent="0.25">
      <c r="A108" s="166" t="s">
        <v>409</v>
      </c>
      <c r="B108" s="743">
        <v>14467</v>
      </c>
      <c r="C108" s="744">
        <v>1</v>
      </c>
      <c r="D108" s="744">
        <v>31</v>
      </c>
      <c r="E108" s="744">
        <v>137.30000000000001</v>
      </c>
      <c r="F108" s="744">
        <v>14.2</v>
      </c>
    </row>
    <row r="109" spans="1:6" x14ac:dyDescent="0.25">
      <c r="A109" s="166" t="s">
        <v>410</v>
      </c>
      <c r="B109" s="743">
        <v>14500</v>
      </c>
      <c r="C109" s="744">
        <v>1</v>
      </c>
      <c r="D109" s="744">
        <v>30</v>
      </c>
      <c r="E109" s="744">
        <v>412.5</v>
      </c>
      <c r="F109" s="744">
        <v>0</v>
      </c>
    </row>
    <row r="110" spans="1:6" x14ac:dyDescent="0.25">
      <c r="A110" s="166" t="s">
        <v>411</v>
      </c>
      <c r="B110" s="743">
        <v>14526</v>
      </c>
      <c r="C110" s="744">
        <v>0</v>
      </c>
      <c r="D110" s="744">
        <v>31</v>
      </c>
      <c r="E110" s="744">
        <v>511.6</v>
      </c>
      <c r="F110" s="744">
        <v>0</v>
      </c>
    </row>
    <row r="111" spans="1:6" x14ac:dyDescent="0.25">
      <c r="A111" s="166" t="s">
        <v>412</v>
      </c>
      <c r="B111" s="743">
        <v>14546</v>
      </c>
      <c r="C111" s="744">
        <v>0</v>
      </c>
      <c r="D111" s="744">
        <v>31</v>
      </c>
      <c r="E111" s="744">
        <v>827</v>
      </c>
      <c r="F111" s="744">
        <v>0</v>
      </c>
    </row>
    <row r="112" spans="1:6" x14ac:dyDescent="0.25">
      <c r="A112" s="166" t="s">
        <v>413</v>
      </c>
      <c r="B112" s="743">
        <v>14562</v>
      </c>
      <c r="C112" s="744">
        <v>0</v>
      </c>
      <c r="D112" s="744">
        <v>28</v>
      </c>
      <c r="E112" s="744">
        <v>642.1</v>
      </c>
      <c r="F112" s="744">
        <v>0</v>
      </c>
    </row>
    <row r="113" spans="1:6" x14ac:dyDescent="0.25">
      <c r="A113" s="166" t="s">
        <v>414</v>
      </c>
      <c r="B113" s="743">
        <v>14563</v>
      </c>
      <c r="C113" s="744">
        <v>1</v>
      </c>
      <c r="D113" s="744">
        <v>31</v>
      </c>
      <c r="E113" s="744">
        <v>539.9</v>
      </c>
      <c r="F113" s="744">
        <v>0</v>
      </c>
    </row>
    <row r="114" spans="1:6" x14ac:dyDescent="0.25">
      <c r="A114" s="166" t="s">
        <v>415</v>
      </c>
      <c r="B114" s="743">
        <v>14616</v>
      </c>
      <c r="C114" s="744">
        <v>1</v>
      </c>
      <c r="D114" s="744">
        <v>30</v>
      </c>
      <c r="E114" s="744">
        <v>373.5</v>
      </c>
      <c r="F114" s="744">
        <v>0</v>
      </c>
    </row>
    <row r="115" spans="1:6" x14ac:dyDescent="0.25">
      <c r="A115" s="166" t="s">
        <v>416</v>
      </c>
      <c r="B115" s="743">
        <v>14629</v>
      </c>
      <c r="C115" s="744">
        <v>1</v>
      </c>
      <c r="D115" s="744">
        <v>31</v>
      </c>
      <c r="E115" s="744">
        <v>144.1</v>
      </c>
      <c r="F115" s="744">
        <v>29.9</v>
      </c>
    </row>
    <row r="116" spans="1:6" x14ac:dyDescent="0.25">
      <c r="A116" s="166" t="s">
        <v>417</v>
      </c>
      <c r="B116" s="743">
        <v>14671</v>
      </c>
      <c r="C116" s="744">
        <v>0</v>
      </c>
      <c r="D116" s="744">
        <v>30</v>
      </c>
      <c r="E116" s="744">
        <v>50.9</v>
      </c>
      <c r="F116" s="744">
        <v>27.4</v>
      </c>
    </row>
    <row r="117" spans="1:6" x14ac:dyDescent="0.25">
      <c r="A117" s="166" t="s">
        <v>418</v>
      </c>
      <c r="B117" s="743">
        <v>14692</v>
      </c>
      <c r="C117" s="744">
        <v>0</v>
      </c>
      <c r="D117" s="744">
        <v>31</v>
      </c>
      <c r="E117" s="744">
        <v>10.5</v>
      </c>
      <c r="F117" s="744">
        <v>74.599999999999994</v>
      </c>
    </row>
    <row r="118" spans="1:6" x14ac:dyDescent="0.25">
      <c r="A118" s="166" t="s">
        <v>419</v>
      </c>
      <c r="B118" s="743">
        <v>14725</v>
      </c>
      <c r="C118" s="744">
        <v>0</v>
      </c>
      <c r="D118" s="744">
        <v>31</v>
      </c>
      <c r="E118" s="744">
        <v>5.0999999999999996</v>
      </c>
      <c r="F118" s="744">
        <v>86</v>
      </c>
    </row>
    <row r="119" spans="1:6" x14ac:dyDescent="0.25">
      <c r="A119" s="166" t="s">
        <v>420</v>
      </c>
      <c r="B119" s="743">
        <v>14744</v>
      </c>
      <c r="C119" s="744">
        <v>1</v>
      </c>
      <c r="D119" s="744">
        <v>30</v>
      </c>
      <c r="E119" s="744">
        <v>67.599999999999994</v>
      </c>
      <c r="F119" s="744">
        <v>37.9</v>
      </c>
    </row>
    <row r="120" spans="1:6" x14ac:dyDescent="0.25">
      <c r="A120" s="166" t="s">
        <v>421</v>
      </c>
      <c r="B120" s="743">
        <v>14820</v>
      </c>
      <c r="C120" s="744">
        <v>1</v>
      </c>
      <c r="D120" s="744">
        <v>31</v>
      </c>
      <c r="E120" s="744">
        <v>237.9</v>
      </c>
      <c r="F120" s="744">
        <v>1.4</v>
      </c>
    </row>
    <row r="121" spans="1:6" x14ac:dyDescent="0.25">
      <c r="A121" s="166" t="s">
        <v>422</v>
      </c>
      <c r="B121" s="743">
        <v>14889</v>
      </c>
      <c r="C121" s="744">
        <v>1</v>
      </c>
      <c r="D121" s="744">
        <v>30</v>
      </c>
      <c r="E121" s="744">
        <v>365</v>
      </c>
      <c r="F121" s="744">
        <v>5.0999999999999996</v>
      </c>
    </row>
    <row r="122" spans="1:6" x14ac:dyDescent="0.25">
      <c r="A122" s="166" t="s">
        <v>423</v>
      </c>
      <c r="B122" s="743">
        <v>14899</v>
      </c>
      <c r="C122" s="744">
        <v>0</v>
      </c>
      <c r="D122" s="744">
        <v>31</v>
      </c>
      <c r="E122" s="744">
        <v>554.6</v>
      </c>
      <c r="F122" s="744">
        <v>0</v>
      </c>
    </row>
    <row r="123" spans="1:6" x14ac:dyDescent="0.25">
      <c r="A123" s="166" t="s">
        <v>424</v>
      </c>
      <c r="B123" s="743">
        <v>14926.881721621357</v>
      </c>
      <c r="C123" s="744">
        <v>0</v>
      </c>
      <c r="D123" s="744">
        <v>31</v>
      </c>
      <c r="E123" s="744">
        <v>704.45999999999992</v>
      </c>
      <c r="F123" s="744">
        <v>0</v>
      </c>
    </row>
    <row r="124" spans="1:6" x14ac:dyDescent="0.25">
      <c r="A124" s="166" t="s">
        <v>425</v>
      </c>
      <c r="B124" s="743">
        <v>14954.815620596937</v>
      </c>
      <c r="C124" s="744">
        <v>0</v>
      </c>
      <c r="D124" s="744">
        <v>28.2</v>
      </c>
      <c r="E124" s="744">
        <v>647.65000000000009</v>
      </c>
      <c r="F124" s="744">
        <v>0</v>
      </c>
    </row>
    <row r="125" spans="1:6" x14ac:dyDescent="0.25">
      <c r="A125" s="166" t="s">
        <v>426</v>
      </c>
      <c r="B125" s="743">
        <v>14982.801794570507</v>
      </c>
      <c r="C125" s="744">
        <v>1</v>
      </c>
      <c r="D125" s="744">
        <v>31</v>
      </c>
      <c r="E125" s="744">
        <v>568.7299999999999</v>
      </c>
      <c r="F125" s="744">
        <v>0</v>
      </c>
    </row>
    <row r="126" spans="1:6" x14ac:dyDescent="0.25">
      <c r="A126" s="166" t="s">
        <v>427</v>
      </c>
      <c r="B126" s="743">
        <v>15010.840341368559</v>
      </c>
      <c r="C126" s="744">
        <v>1</v>
      </c>
      <c r="D126" s="744">
        <v>30</v>
      </c>
      <c r="E126" s="744">
        <v>376.21999999999997</v>
      </c>
      <c r="F126" s="744">
        <v>0.08</v>
      </c>
    </row>
    <row r="127" spans="1:6" x14ac:dyDescent="0.25">
      <c r="A127" s="166" t="s">
        <v>428</v>
      </c>
      <c r="B127" s="743">
        <v>15038.93135900066</v>
      </c>
      <c r="C127" s="744">
        <v>1</v>
      </c>
      <c r="D127" s="744">
        <v>31</v>
      </c>
      <c r="E127" s="744">
        <v>189.33999999999997</v>
      </c>
      <c r="F127" s="744">
        <v>15.87</v>
      </c>
    </row>
    <row r="128" spans="1:6" x14ac:dyDescent="0.25">
      <c r="A128" s="166" t="s">
        <v>429</v>
      </c>
      <c r="B128" s="743">
        <v>15067.07494565979</v>
      </c>
      <c r="C128" s="744">
        <v>0</v>
      </c>
      <c r="D128" s="744">
        <v>30</v>
      </c>
      <c r="E128" s="744">
        <v>61.060000000000016</v>
      </c>
      <c r="F128" s="744">
        <v>36.730000000000004</v>
      </c>
    </row>
    <row r="129" spans="1:6" x14ac:dyDescent="0.25">
      <c r="A129" s="166" t="s">
        <v>430</v>
      </c>
      <c r="B129" s="743">
        <v>15095.27119972268</v>
      </c>
      <c r="C129" s="744">
        <v>0</v>
      </c>
      <c r="D129" s="744">
        <v>31</v>
      </c>
      <c r="E129" s="744">
        <v>9.370000000000001</v>
      </c>
      <c r="F129" s="744">
        <v>87.710000000000008</v>
      </c>
    </row>
    <row r="130" spans="1:6" x14ac:dyDescent="0.25">
      <c r="A130" s="166" t="s">
        <v>431</v>
      </c>
      <c r="B130" s="743">
        <v>15123.520219750169</v>
      </c>
      <c r="C130" s="744">
        <v>0</v>
      </c>
      <c r="D130" s="744">
        <v>31</v>
      </c>
      <c r="E130" s="744">
        <v>9.2800000000000011</v>
      </c>
      <c r="F130" s="744">
        <v>80.55</v>
      </c>
    </row>
    <row r="131" spans="1:6" x14ac:dyDescent="0.25">
      <c r="A131" s="166" t="s">
        <v>432</v>
      </c>
      <c r="B131" s="743">
        <v>15151.822104487537</v>
      </c>
      <c r="C131" s="744">
        <v>1</v>
      </c>
      <c r="D131" s="744">
        <v>30</v>
      </c>
      <c r="E131" s="744">
        <v>67.440000000000012</v>
      </c>
      <c r="F131" s="744">
        <v>35.779999999999994</v>
      </c>
    </row>
    <row r="132" spans="1:6" x14ac:dyDescent="0.25">
      <c r="A132" s="166" t="s">
        <v>433</v>
      </c>
      <c r="B132" s="743">
        <v>15180.176952864855</v>
      </c>
      <c r="C132" s="744">
        <v>1</v>
      </c>
      <c r="D132" s="744">
        <v>31</v>
      </c>
      <c r="E132" s="744">
        <v>222.93999999999997</v>
      </c>
      <c r="F132" s="744">
        <v>4.6100000000000003</v>
      </c>
    </row>
    <row r="133" spans="1:6" x14ac:dyDescent="0.25">
      <c r="A133" s="166" t="s">
        <v>434</v>
      </c>
      <c r="B133" s="743">
        <v>15208.584863997328</v>
      </c>
      <c r="C133" s="744">
        <v>1</v>
      </c>
      <c r="D133" s="744">
        <v>30</v>
      </c>
      <c r="E133" s="744">
        <v>405.49</v>
      </c>
      <c r="F133" s="744">
        <v>1.2</v>
      </c>
    </row>
    <row r="134" spans="1:6" x14ac:dyDescent="0.25">
      <c r="A134" s="166" t="s">
        <v>435</v>
      </c>
      <c r="B134" s="743">
        <v>15237.045937185647</v>
      </c>
      <c r="C134" s="744">
        <v>0</v>
      </c>
      <c r="D134" s="744">
        <v>31</v>
      </c>
      <c r="E134" s="744">
        <v>573.88000000000011</v>
      </c>
      <c r="F134" s="744">
        <v>0</v>
      </c>
    </row>
    <row r="135" spans="1:6" x14ac:dyDescent="0.25">
      <c r="A135" s="166" t="s">
        <v>436</v>
      </c>
      <c r="B135" s="743">
        <v>15257.433328264045</v>
      </c>
      <c r="C135" s="744">
        <v>0</v>
      </c>
      <c r="D135" s="744">
        <v>31</v>
      </c>
      <c r="E135" s="744">
        <v>711.01599999999996</v>
      </c>
      <c r="F135" s="744">
        <v>0</v>
      </c>
    </row>
    <row r="136" spans="1:6" x14ac:dyDescent="0.25">
      <c r="A136" s="166" t="s">
        <v>437</v>
      </c>
      <c r="B136" s="743">
        <v>15277.847997970906</v>
      </c>
      <c r="C136" s="744">
        <v>0</v>
      </c>
      <c r="D136" s="744">
        <v>28.22</v>
      </c>
      <c r="E136" s="744">
        <v>647.63500000000022</v>
      </c>
      <c r="F136" s="744">
        <v>0</v>
      </c>
    </row>
    <row r="137" spans="1:6" x14ac:dyDescent="0.25">
      <c r="A137" s="166" t="s">
        <v>438</v>
      </c>
      <c r="B137" s="743">
        <v>15298.289982805434</v>
      </c>
      <c r="C137" s="744">
        <v>1</v>
      </c>
      <c r="D137" s="744">
        <v>31</v>
      </c>
      <c r="E137" s="744">
        <v>567.38299999999992</v>
      </c>
      <c r="F137" s="744">
        <v>0</v>
      </c>
    </row>
    <row r="138" spans="1:6" x14ac:dyDescent="0.25">
      <c r="A138" s="166" t="s">
        <v>439</v>
      </c>
      <c r="B138" s="743">
        <v>15318.759319315672</v>
      </c>
      <c r="C138" s="744">
        <v>1</v>
      </c>
      <c r="D138" s="744">
        <v>30</v>
      </c>
      <c r="E138" s="744">
        <v>376.97199999999998</v>
      </c>
      <c r="F138" s="744">
        <v>0.08</v>
      </c>
    </row>
    <row r="139" spans="1:6" x14ac:dyDescent="0.25">
      <c r="A139" s="166" t="s">
        <v>440</v>
      </c>
      <c r="B139" s="743">
        <v>15339.256044098562</v>
      </c>
      <c r="C139" s="744">
        <v>1</v>
      </c>
      <c r="D139" s="744">
        <v>31</v>
      </c>
      <c r="E139" s="744">
        <v>191.904</v>
      </c>
      <c r="F139" s="744">
        <v>15.87</v>
      </c>
    </row>
    <row r="140" spans="1:6" x14ac:dyDescent="0.25">
      <c r="A140" s="166" t="s">
        <v>441</v>
      </c>
      <c r="B140" s="743">
        <v>15359.780193800016</v>
      </c>
      <c r="C140" s="744">
        <v>0</v>
      </c>
      <c r="D140" s="744">
        <v>30</v>
      </c>
      <c r="E140" s="744">
        <v>59.836000000000013</v>
      </c>
      <c r="F140" s="744">
        <v>36.730000000000004</v>
      </c>
    </row>
    <row r="141" spans="1:6" x14ac:dyDescent="0.25">
      <c r="A141" s="166" t="s">
        <v>442</v>
      </c>
      <c r="B141" s="743">
        <v>15380.331805114976</v>
      </c>
      <c r="C141" s="744">
        <v>0</v>
      </c>
      <c r="D141" s="744">
        <v>31</v>
      </c>
      <c r="E141" s="744">
        <v>9.6769999999999996</v>
      </c>
      <c r="F141" s="744">
        <v>87.710000000000008</v>
      </c>
    </row>
    <row r="142" spans="1:6" x14ac:dyDescent="0.25">
      <c r="A142" s="166" t="s">
        <v>443</v>
      </c>
      <c r="B142" s="743">
        <v>15400.910914787486</v>
      </c>
      <c r="C142" s="744">
        <v>0</v>
      </c>
      <c r="D142" s="744">
        <v>31</v>
      </c>
      <c r="E142" s="744">
        <v>8.8279999999999994</v>
      </c>
      <c r="F142" s="744">
        <v>80.55</v>
      </c>
    </row>
    <row r="143" spans="1:6" x14ac:dyDescent="0.25">
      <c r="A143" s="166" t="s">
        <v>444</v>
      </c>
      <c r="B143" s="743">
        <v>15421.517559610751</v>
      </c>
      <c r="C143" s="744">
        <v>1</v>
      </c>
      <c r="D143" s="744">
        <v>30</v>
      </c>
      <c r="E143" s="744">
        <v>63.834000000000017</v>
      </c>
      <c r="F143" s="744">
        <v>35.779999999999994</v>
      </c>
    </row>
    <row r="144" spans="1:6" x14ac:dyDescent="0.25">
      <c r="A144" s="166" t="s">
        <v>445</v>
      </c>
      <c r="B144" s="743">
        <v>15442.151776427207</v>
      </c>
      <c r="C144" s="744">
        <v>1</v>
      </c>
      <c r="D144" s="744">
        <v>31</v>
      </c>
      <c r="E144" s="744">
        <v>226.25399999999999</v>
      </c>
      <c r="F144" s="744">
        <v>4.6100000000000003</v>
      </c>
    </row>
    <row r="145" spans="1:6" x14ac:dyDescent="0.25">
      <c r="A145" s="106" t="s">
        <v>446</v>
      </c>
      <c r="B145" s="743">
        <v>15462.813602128585</v>
      </c>
      <c r="C145" s="744">
        <v>1</v>
      </c>
      <c r="D145" s="744">
        <v>30</v>
      </c>
      <c r="E145" s="744">
        <v>398.36899999999997</v>
      </c>
      <c r="F145" s="744">
        <v>1.2</v>
      </c>
    </row>
    <row r="146" spans="1:6" x14ac:dyDescent="0.25">
      <c r="A146" s="106" t="s">
        <v>447</v>
      </c>
      <c r="B146" s="743">
        <v>15483.503073655977</v>
      </c>
      <c r="C146" s="744">
        <v>0</v>
      </c>
      <c r="D146" s="744">
        <v>31</v>
      </c>
      <c r="E146" s="744">
        <v>559.51800000000014</v>
      </c>
      <c r="F146" s="744">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1:J30"/>
  <sheetViews>
    <sheetView showGridLines="0" workbookViewId="0"/>
  </sheetViews>
  <sheetFormatPr defaultColWidth="9.296875" defaultRowHeight="15.5" x14ac:dyDescent="0.35"/>
  <cols>
    <col min="1" max="1" width="9.296875" style="608"/>
    <col min="2" max="2" width="110.19921875" style="608" customWidth="1"/>
    <col min="3" max="3" width="25.19921875" style="608" hidden="1" customWidth="1"/>
    <col min="4" max="4" width="29.5" style="635" hidden="1" customWidth="1"/>
    <col min="5" max="5" width="4.796875" style="635" customWidth="1"/>
    <col min="6" max="6" width="12" style="635" customWidth="1"/>
    <col min="7" max="7" width="18" style="608" customWidth="1"/>
    <col min="8" max="8" width="9.296875" style="608"/>
    <col min="9" max="9" width="14.796875" style="608" bestFit="1" customWidth="1"/>
    <col min="10" max="10" width="2.19921875" style="608" bestFit="1" customWidth="1"/>
    <col min="11" max="16384" width="9.296875" style="608"/>
  </cols>
  <sheetData>
    <row r="1" spans="2:10" x14ac:dyDescent="0.35">
      <c r="C1" s="777"/>
      <c r="D1" s="777"/>
      <c r="E1" s="777"/>
      <c r="F1" s="777"/>
      <c r="G1" s="626"/>
      <c r="H1" s="626"/>
      <c r="I1" s="626"/>
      <c r="J1" s="626"/>
    </row>
    <row r="2" spans="2:10" x14ac:dyDescent="0.35">
      <c r="C2" s="626"/>
      <c r="D2" s="626"/>
      <c r="E2" s="626"/>
      <c r="F2" s="626"/>
      <c r="G2" s="626"/>
      <c r="H2" s="626"/>
      <c r="I2" s="626"/>
      <c r="J2" s="626"/>
    </row>
    <row r="3" spans="2:10" x14ac:dyDescent="0.35">
      <c r="C3" s="626"/>
      <c r="D3" s="626"/>
      <c r="E3" s="626"/>
      <c r="F3" s="626"/>
      <c r="G3" s="626"/>
      <c r="H3" s="626"/>
      <c r="I3" s="626"/>
      <c r="J3" s="626"/>
    </row>
    <row r="4" spans="2:10" ht="23.25" customHeight="1" thickBot="1" x14ac:dyDescent="0.4">
      <c r="C4" s="626"/>
      <c r="D4" s="626"/>
      <c r="E4" s="626"/>
      <c r="F4" s="626"/>
      <c r="G4" s="626"/>
      <c r="H4" s="626"/>
      <c r="I4" s="626"/>
      <c r="J4" s="626"/>
    </row>
    <row r="5" spans="2:10" ht="16" thickBot="1" x14ac:dyDescent="0.4">
      <c r="B5" s="782" t="s">
        <v>114</v>
      </c>
      <c r="C5" s="782"/>
      <c r="D5" s="627"/>
      <c r="E5" s="608"/>
      <c r="F5" s="628"/>
      <c r="G5" s="629" t="s">
        <v>137</v>
      </c>
      <c r="H5" s="626"/>
      <c r="I5" s="626"/>
      <c r="J5" s="626"/>
    </row>
    <row r="6" spans="2:10" x14ac:dyDescent="0.35">
      <c r="C6" s="626"/>
      <c r="D6" s="626"/>
      <c r="E6" s="626"/>
      <c r="F6" s="626"/>
      <c r="G6" s="626"/>
      <c r="H6" s="626"/>
      <c r="I6" s="626"/>
      <c r="J6" s="626"/>
    </row>
    <row r="7" spans="2:10" ht="72" customHeight="1" thickBot="1" x14ac:dyDescent="0.4">
      <c r="B7" s="630" t="s">
        <v>64</v>
      </c>
      <c r="C7" s="631" t="s">
        <v>91</v>
      </c>
      <c r="D7" s="631" t="s">
        <v>188</v>
      </c>
      <c r="E7" s="608"/>
      <c r="F7" s="608"/>
    </row>
    <row r="8" spans="2:10" ht="21" customHeight="1" x14ac:dyDescent="0.35">
      <c r="B8" s="632" t="s">
        <v>6</v>
      </c>
      <c r="C8" s="633" t="s">
        <v>90</v>
      </c>
      <c r="D8" s="634" t="s">
        <v>92</v>
      </c>
      <c r="F8" s="783" t="s">
        <v>268</v>
      </c>
      <c r="G8" s="783"/>
    </row>
    <row r="9" spans="2:10" ht="21" customHeight="1" x14ac:dyDescent="0.35">
      <c r="B9" s="636" t="s">
        <v>65</v>
      </c>
      <c r="C9" s="637" t="s">
        <v>90</v>
      </c>
      <c r="D9" s="638" t="s">
        <v>92</v>
      </c>
      <c r="E9" s="639"/>
      <c r="F9" s="783"/>
      <c r="G9" s="783"/>
    </row>
    <row r="10" spans="2:10" ht="21" customHeight="1" x14ac:dyDescent="0.35">
      <c r="B10" s="636" t="s">
        <v>69</v>
      </c>
      <c r="C10" s="637" t="s">
        <v>90</v>
      </c>
      <c r="D10" s="638" t="s">
        <v>92</v>
      </c>
      <c r="E10" s="639"/>
      <c r="F10" s="783"/>
      <c r="G10" s="783"/>
    </row>
    <row r="11" spans="2:10" ht="21" customHeight="1" thickBot="1" x14ac:dyDescent="0.4">
      <c r="B11" s="640" t="s">
        <v>54</v>
      </c>
      <c r="C11" s="641" t="s">
        <v>90</v>
      </c>
      <c r="D11" s="642" t="s">
        <v>92</v>
      </c>
      <c r="E11" s="639"/>
      <c r="F11" s="783"/>
      <c r="G11" s="783"/>
    </row>
    <row r="12" spans="2:10" ht="21" customHeight="1" thickTop="1" x14ac:dyDescent="0.35">
      <c r="B12" s="643" t="s">
        <v>240</v>
      </c>
      <c r="C12" s="644" t="s">
        <v>90</v>
      </c>
      <c r="D12" s="645" t="s">
        <v>90</v>
      </c>
      <c r="E12" s="608"/>
      <c r="F12" s="783" t="s">
        <v>269</v>
      </c>
      <c r="G12" s="783"/>
    </row>
    <row r="13" spans="2:10" ht="21" customHeight="1" x14ac:dyDescent="0.35">
      <c r="B13" s="646" t="s">
        <v>241</v>
      </c>
      <c r="C13" s="637" t="s">
        <v>92</v>
      </c>
      <c r="D13" s="638" t="s">
        <v>92</v>
      </c>
      <c r="E13" s="608"/>
      <c r="F13" s="783"/>
      <c r="G13" s="783"/>
    </row>
    <row r="14" spans="2:10" ht="21" customHeight="1" thickBot="1" x14ac:dyDescent="0.4">
      <c r="B14" s="647" t="s">
        <v>68</v>
      </c>
      <c r="C14" s="648" t="s">
        <v>92</v>
      </c>
      <c r="D14" s="649" t="s">
        <v>90</v>
      </c>
      <c r="E14" s="608"/>
      <c r="F14" s="783"/>
      <c r="G14" s="783"/>
    </row>
    <row r="15" spans="2:10" hidden="1" x14ac:dyDescent="0.35">
      <c r="B15" s="650" t="s">
        <v>169</v>
      </c>
      <c r="C15" s="651" t="s">
        <v>92</v>
      </c>
      <c r="D15" s="652" t="s">
        <v>92</v>
      </c>
      <c r="E15" s="608"/>
      <c r="F15" s="653"/>
      <c r="G15" s="653"/>
    </row>
    <row r="16" spans="2:10" hidden="1" x14ac:dyDescent="0.35">
      <c r="B16" s="654" t="s">
        <v>70</v>
      </c>
      <c r="C16" s="637" t="s">
        <v>92</v>
      </c>
      <c r="D16" s="638" t="s">
        <v>92</v>
      </c>
      <c r="E16" s="608"/>
      <c r="F16" s="608"/>
    </row>
    <row r="17" spans="2:6" ht="16" hidden="1" thickBot="1" x14ac:dyDescent="0.4">
      <c r="B17" s="647" t="s">
        <v>70</v>
      </c>
      <c r="C17" s="648" t="s">
        <v>92</v>
      </c>
      <c r="D17" s="649" t="s">
        <v>92</v>
      </c>
      <c r="E17" s="608"/>
      <c r="F17" s="608"/>
    </row>
    <row r="18" spans="2:6" x14ac:dyDescent="0.35">
      <c r="D18" s="608"/>
      <c r="E18" s="608"/>
      <c r="F18" s="608"/>
    </row>
    <row r="19" spans="2:6" x14ac:dyDescent="0.35">
      <c r="D19" s="608"/>
      <c r="E19" s="608"/>
      <c r="F19" s="608"/>
    </row>
    <row r="20" spans="2:6" x14ac:dyDescent="0.35">
      <c r="D20" s="608"/>
      <c r="E20" s="608"/>
      <c r="F20" s="608"/>
    </row>
    <row r="21" spans="2:6" x14ac:dyDescent="0.35">
      <c r="D21" s="608"/>
      <c r="E21" s="608"/>
      <c r="F21" s="608"/>
    </row>
    <row r="22" spans="2:6" x14ac:dyDescent="0.35">
      <c r="D22" s="608"/>
      <c r="E22" s="608"/>
      <c r="F22" s="608"/>
    </row>
    <row r="23" spans="2:6" x14ac:dyDescent="0.35">
      <c r="D23" s="608"/>
      <c r="E23" s="608"/>
      <c r="F23" s="608"/>
    </row>
    <row r="24" spans="2:6" x14ac:dyDescent="0.35">
      <c r="D24" s="608"/>
      <c r="E24" s="608"/>
      <c r="F24" s="608"/>
    </row>
    <row r="25" spans="2:6" x14ac:dyDescent="0.35">
      <c r="D25" s="608"/>
      <c r="E25" s="608"/>
      <c r="F25" s="608"/>
    </row>
    <row r="26" spans="2:6" x14ac:dyDescent="0.35">
      <c r="D26" s="608"/>
      <c r="E26" s="608"/>
      <c r="F26" s="608"/>
    </row>
    <row r="27" spans="2:6" x14ac:dyDescent="0.35">
      <c r="D27" s="608"/>
      <c r="E27" s="608"/>
      <c r="F27" s="608"/>
    </row>
    <row r="28" spans="2:6" x14ac:dyDescent="0.35">
      <c r="D28" s="608"/>
      <c r="E28" s="608"/>
      <c r="F28" s="608"/>
    </row>
    <row r="29" spans="2:6" x14ac:dyDescent="0.35">
      <c r="D29" s="608"/>
      <c r="E29" s="608"/>
      <c r="F29" s="608"/>
    </row>
    <row r="30" spans="2:6" x14ac:dyDescent="0.35">
      <c r="C30" s="635"/>
      <c r="F30" s="608"/>
    </row>
  </sheetData>
  <mergeCells count="4">
    <mergeCell ref="C1:F1"/>
    <mergeCell ref="B5:C5"/>
    <mergeCell ref="F8:G11"/>
    <mergeCell ref="F12:G14"/>
  </mergeCells>
  <dataValidations count="1">
    <dataValidation type="list" allowBlank="1" showInputMessage="1" showErrorMessage="1" sqref="C8:D17" xr:uid="{00000000-0002-0000-0100-000000000000}">
      <formula1>"Weather-Sensitive,Non-Weather Sensitive,n/a"</formula1>
    </dataValidation>
  </dataValidation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AU178"/>
  <sheetViews>
    <sheetView showGridLines="0" zoomScale="90" zoomScaleNormal="90" workbookViewId="0">
      <pane ySplit="15" topLeftCell="A16" activePane="bottomLeft" state="frozen"/>
      <selection pane="bottomLeft"/>
    </sheetView>
  </sheetViews>
  <sheetFormatPr defaultColWidth="9.296875" defaultRowHeight="12.5" x14ac:dyDescent="0.25"/>
  <cols>
    <col min="1" max="1" width="2.296875" style="1" customWidth="1"/>
    <col min="2" max="2" width="18" style="1" customWidth="1"/>
    <col min="3" max="3" width="16.796875" style="30" customWidth="1"/>
    <col min="4" max="4" width="18.69921875" style="30" customWidth="1"/>
    <col min="5" max="5" width="18.69921875" style="29" customWidth="1"/>
    <col min="6" max="6" width="14.19921875" style="30" customWidth="1"/>
    <col min="7" max="7" width="14.19921875" style="29" customWidth="1"/>
    <col min="8" max="8" width="14.19921875" style="30" customWidth="1"/>
    <col min="9" max="9" width="15.19921875" style="29" customWidth="1"/>
    <col min="10" max="10" width="14.19921875" style="29" customWidth="1"/>
    <col min="11" max="11" width="18.19921875" style="29" customWidth="1"/>
    <col min="12" max="12" width="26.296875" style="30" customWidth="1"/>
    <col min="13" max="13" width="14.19921875" style="30" customWidth="1"/>
    <col min="14" max="14" width="17.296875" style="29" customWidth="1"/>
    <col min="15" max="16" width="14.19921875" style="30" customWidth="1"/>
    <col min="17" max="17" width="23.296875" style="29" customWidth="1"/>
    <col min="18" max="19" width="14.19921875" style="30" customWidth="1"/>
    <col min="20" max="20" width="14.19921875" style="29" customWidth="1"/>
    <col min="21" max="21" width="13.5" style="30" hidden="1" customWidth="1"/>
    <col min="22" max="22" width="13.5" style="29" hidden="1" customWidth="1"/>
    <col min="23" max="23" width="13.5" style="30" hidden="1" customWidth="1"/>
    <col min="24" max="24" width="13.5" style="29" hidden="1" customWidth="1"/>
    <col min="25" max="28" width="13.5" style="1" hidden="1" customWidth="1"/>
    <col min="29" max="29" width="12" style="1" bestFit="1" customWidth="1"/>
    <col min="30" max="30" width="15.19921875" style="1" bestFit="1" customWidth="1"/>
    <col min="31" max="31" width="13.296875" style="1" bestFit="1" customWidth="1"/>
    <col min="32" max="34" width="12" style="1" customWidth="1"/>
    <col min="35" max="35" width="16.296875" style="1" bestFit="1" customWidth="1"/>
    <col min="36" max="36" width="17.69921875" style="1" bestFit="1" customWidth="1"/>
    <col min="37" max="37" width="17.296875" style="1" customWidth="1"/>
    <col min="38" max="38" width="15.19921875" style="1" bestFit="1" customWidth="1"/>
    <col min="39" max="39" width="12" style="1" bestFit="1" customWidth="1"/>
    <col min="40" max="40" width="13.296875" style="1" bestFit="1" customWidth="1"/>
    <col min="41" max="41" width="15.5" style="1" bestFit="1" customWidth="1"/>
    <col min="42" max="42" width="13.69921875" style="1" bestFit="1" customWidth="1"/>
    <col min="43" max="43" width="13.296875" style="1" bestFit="1" customWidth="1"/>
    <col min="44" max="44" width="12" style="1" bestFit="1" customWidth="1"/>
    <col min="45" max="45" width="9.296875" style="1"/>
    <col min="46" max="46" width="12" style="1" bestFit="1" customWidth="1"/>
    <col min="47" max="47" width="15.19921875" style="1" bestFit="1" customWidth="1"/>
    <col min="48" max="16384" width="9.296875" style="1"/>
  </cols>
  <sheetData>
    <row r="1" spans="1:44" ht="13" x14ac:dyDescent="0.3">
      <c r="A1"/>
      <c r="B1"/>
      <c r="E1" s="30"/>
      <c r="G1" s="30"/>
      <c r="H1" s="1"/>
      <c r="I1" s="1"/>
      <c r="J1" s="1"/>
      <c r="K1" s="1"/>
      <c r="M1" s="1"/>
      <c r="N1" s="30"/>
      <c r="P1" s="611"/>
      <c r="Q1" s="612"/>
      <c r="R1" s="611"/>
      <c r="S1" s="611"/>
      <c r="T1" s="611"/>
      <c r="U1" s="611"/>
      <c r="V1" s="611"/>
      <c r="W1" s="611"/>
      <c r="X1" s="611"/>
      <c r="Y1" s="611"/>
      <c r="Z1" s="611"/>
      <c r="AA1" s="611"/>
      <c r="AB1" s="611"/>
      <c r="AC1" s="611"/>
    </row>
    <row r="2" spans="1:44" ht="23" x14ac:dyDescent="0.3">
      <c r="A2"/>
      <c r="B2"/>
      <c r="C2" s="86" t="s">
        <v>67</v>
      </c>
      <c r="E2" s="30"/>
      <c r="G2" s="30"/>
      <c r="H2" s="1"/>
      <c r="I2" s="1"/>
      <c r="J2" s="1"/>
      <c r="K2" s="1"/>
      <c r="M2" s="1"/>
      <c r="N2" s="30"/>
      <c r="P2" s="611"/>
      <c r="Q2" s="612"/>
      <c r="R2" s="611"/>
      <c r="S2" s="611"/>
      <c r="T2" s="611"/>
      <c r="U2" s="611"/>
      <c r="V2" s="611"/>
      <c r="W2" s="611"/>
      <c r="X2" s="611"/>
      <c r="Y2" s="611"/>
      <c r="Z2" s="611"/>
      <c r="AA2" s="611"/>
      <c r="AB2" s="611"/>
      <c r="AC2" s="611"/>
    </row>
    <row r="3" spans="1:44" ht="16" thickBot="1" x14ac:dyDescent="0.35">
      <c r="C3" s="52" t="s">
        <v>47</v>
      </c>
      <c r="D3" s="83"/>
      <c r="E3" s="83"/>
      <c r="F3" s="83"/>
      <c r="G3" s="83"/>
      <c r="H3"/>
      <c r="L3" s="83"/>
      <c r="M3" s="83"/>
      <c r="N3" s="83"/>
      <c r="O3" s="83"/>
      <c r="P3" s="84" t="s">
        <v>248</v>
      </c>
      <c r="Q3" s="83"/>
      <c r="R3" s="83"/>
      <c r="S3" s="83"/>
      <c r="T3" s="83"/>
    </row>
    <row r="4" spans="1:44" ht="14.5" thickBot="1" x14ac:dyDescent="0.35">
      <c r="C4" s="84" t="s">
        <v>51</v>
      </c>
      <c r="D4" s="84"/>
      <c r="E4" s="84"/>
      <c r="F4" s="84"/>
      <c r="G4" s="83"/>
      <c r="L4" s="83"/>
      <c r="M4" s="83"/>
      <c r="N4" s="83"/>
      <c r="O4" s="204"/>
      <c r="P4" s="205" t="s">
        <v>137</v>
      </c>
      <c r="Q4" s="83"/>
      <c r="R4" s="83"/>
      <c r="S4" s="83"/>
      <c r="T4" s="83"/>
    </row>
    <row r="5" spans="1:44" ht="14" x14ac:dyDescent="0.3">
      <c r="C5" s="84" t="s">
        <v>50</v>
      </c>
      <c r="D5" s="84"/>
      <c r="E5" s="84"/>
      <c r="F5" s="84"/>
      <c r="G5" s="83"/>
      <c r="L5" s="83"/>
      <c r="M5" s="83"/>
      <c r="N5" s="83"/>
      <c r="O5" s="83"/>
      <c r="P5" s="83"/>
      <c r="Q5" s="83"/>
      <c r="R5" s="83"/>
      <c r="S5" s="83"/>
      <c r="T5" s="83"/>
    </row>
    <row r="6" spans="1:44" ht="14" x14ac:dyDescent="0.3">
      <c r="C6" s="84" t="s">
        <v>52</v>
      </c>
      <c r="D6" s="84"/>
      <c r="E6" s="84"/>
      <c r="F6" s="84"/>
      <c r="G6" s="83"/>
      <c r="L6" s="83"/>
      <c r="M6" s="83"/>
      <c r="N6" s="83"/>
      <c r="O6" s="83"/>
      <c r="P6" s="83"/>
      <c r="Q6" s="83"/>
      <c r="R6" s="83"/>
      <c r="S6" s="83"/>
      <c r="T6" s="83"/>
    </row>
    <row r="7" spans="1:44" ht="14" x14ac:dyDescent="0.3">
      <c r="C7" s="84" t="s">
        <v>49</v>
      </c>
      <c r="D7" s="84"/>
      <c r="E7" s="84"/>
      <c r="F7" s="84"/>
      <c r="G7" s="83"/>
      <c r="L7" s="83"/>
      <c r="M7" s="83"/>
      <c r="N7" s="83"/>
      <c r="O7" s="83"/>
      <c r="P7" s="83"/>
      <c r="Q7" s="83"/>
      <c r="R7" s="83"/>
      <c r="S7" s="83"/>
      <c r="T7" s="83"/>
    </row>
    <row r="8" spans="1:44" ht="14" x14ac:dyDescent="0.3">
      <c r="C8" s="84"/>
      <c r="D8" s="84"/>
      <c r="E8" s="84"/>
      <c r="F8" s="84"/>
      <c r="G8" s="83"/>
      <c r="L8" s="83"/>
      <c r="M8" s="83"/>
      <c r="N8" s="83"/>
      <c r="O8" s="83"/>
      <c r="P8" s="83"/>
      <c r="Q8" s="83"/>
      <c r="R8" s="83"/>
      <c r="S8" s="83"/>
      <c r="T8" s="83"/>
    </row>
    <row r="9" spans="1:44" ht="14" x14ac:dyDescent="0.3">
      <c r="C9" s="85" t="s">
        <v>48</v>
      </c>
      <c r="D9" s="85"/>
      <c r="E9" s="84"/>
      <c r="F9" s="84"/>
      <c r="G9" s="83"/>
      <c r="L9" s="83"/>
      <c r="M9" s="83"/>
      <c r="N9" s="83"/>
      <c r="O9" s="83"/>
      <c r="P9" s="83"/>
      <c r="Q9" s="83"/>
      <c r="R9" s="83"/>
      <c r="S9" s="83"/>
      <c r="T9" s="83"/>
    </row>
    <row r="10" spans="1:44" ht="13" thickBot="1" x14ac:dyDescent="0.3"/>
    <row r="11" spans="1:44" ht="12.75" customHeight="1" x14ac:dyDescent="0.3">
      <c r="B11" s="31"/>
      <c r="C11" s="31"/>
      <c r="D11" s="794" t="str">
        <f>'2. Customer Classes'!B8</f>
        <v>Residential</v>
      </c>
      <c r="E11" s="790"/>
      <c r="F11" s="794" t="str">
        <f>'2. Customer Classes'!B9</f>
        <v>General Service &lt; 50 kW</v>
      </c>
      <c r="G11" s="790"/>
      <c r="H11" s="796" t="str">
        <f>+'2. Customer Classes'!B10</f>
        <v>Unmetered Scattered Load</v>
      </c>
      <c r="I11" s="797"/>
      <c r="J11" s="796" t="str">
        <f>+'2. Customer Classes'!B11</f>
        <v>Sentinel Lighting</v>
      </c>
      <c r="K11" s="797"/>
      <c r="L11" s="794" t="str">
        <f>'2. Customer Classes'!B12</f>
        <v>General Service &gt; 50 kW - 4999 kW - Excluding Wholesale Market Participant</v>
      </c>
      <c r="M11" s="795"/>
      <c r="N11" s="790"/>
      <c r="O11" s="784" t="str">
        <f>'2. Customer Classes'!B13</f>
        <v>General Service &gt; 50 kW - 4999 kW - Wholesale Market Participant</v>
      </c>
      <c r="P11" s="787"/>
      <c r="Q11" s="788"/>
      <c r="R11" s="784" t="str">
        <f>'2. Customer Classes'!B14</f>
        <v>Streetlighting</v>
      </c>
      <c r="S11" s="785"/>
      <c r="T11" s="786"/>
      <c r="U11" s="789" t="str">
        <f>'2. Customer Classes'!B14</f>
        <v>Streetlighting</v>
      </c>
      <c r="V11" s="790"/>
      <c r="W11" s="789" t="str">
        <f>'2. Customer Classes'!B15</f>
        <v>N/A</v>
      </c>
      <c r="X11" s="790"/>
      <c r="Y11" s="789" t="str">
        <f>'2. Customer Classes'!B16</f>
        <v>other</v>
      </c>
      <c r="Z11" s="790"/>
      <c r="AA11" s="789" t="str">
        <f>'2. Customer Classes'!B17</f>
        <v>other</v>
      </c>
      <c r="AB11" s="790"/>
    </row>
    <row r="12" spans="1:44" ht="12.75" customHeight="1" x14ac:dyDescent="0.3">
      <c r="B12" s="98"/>
      <c r="C12" s="98"/>
      <c r="D12" s="791" t="s">
        <v>85</v>
      </c>
      <c r="E12" s="792"/>
      <c r="F12" s="791" t="s">
        <v>85</v>
      </c>
      <c r="G12" s="792"/>
      <c r="H12" s="791" t="s">
        <v>85</v>
      </c>
      <c r="I12" s="792"/>
      <c r="J12" s="791" t="s">
        <v>85</v>
      </c>
      <c r="K12" s="792"/>
      <c r="L12" s="791" t="s">
        <v>85</v>
      </c>
      <c r="M12" s="793"/>
      <c r="N12" s="792"/>
      <c r="O12" s="791" t="s">
        <v>85</v>
      </c>
      <c r="P12" s="793"/>
      <c r="Q12" s="792"/>
      <c r="R12" s="791" t="s">
        <v>85</v>
      </c>
      <c r="S12" s="793"/>
      <c r="T12" s="792"/>
      <c r="U12" s="791" t="s">
        <v>85</v>
      </c>
      <c r="V12" s="792"/>
      <c r="W12" s="791" t="s">
        <v>85</v>
      </c>
      <c r="X12" s="792"/>
      <c r="Y12" s="791" t="s">
        <v>85</v>
      </c>
      <c r="Z12" s="792"/>
      <c r="AA12" s="791" t="s">
        <v>85</v>
      </c>
      <c r="AB12" s="792"/>
    </row>
    <row r="13" spans="1:44" x14ac:dyDescent="0.25">
      <c r="B13" s="32"/>
      <c r="C13" s="32"/>
      <c r="D13" s="33"/>
      <c r="E13" s="34" t="s">
        <v>34</v>
      </c>
      <c r="F13" s="33"/>
      <c r="G13" s="34" t="s">
        <v>34</v>
      </c>
      <c r="H13" s="33"/>
      <c r="I13" s="34" t="s">
        <v>34</v>
      </c>
      <c r="J13" s="33"/>
      <c r="K13" s="34" t="s">
        <v>34</v>
      </c>
      <c r="L13" s="33"/>
      <c r="M13" s="12"/>
      <c r="N13" s="34" t="s">
        <v>34</v>
      </c>
      <c r="O13" s="33"/>
      <c r="P13" s="12"/>
      <c r="Q13" s="34" t="s">
        <v>34</v>
      </c>
      <c r="R13" s="33"/>
      <c r="S13" s="12"/>
      <c r="T13" s="34" t="s">
        <v>34</v>
      </c>
      <c r="U13" s="33"/>
      <c r="V13" s="34" t="s">
        <v>34</v>
      </c>
      <c r="W13" s="33"/>
      <c r="X13" s="34" t="s">
        <v>34</v>
      </c>
      <c r="Y13" s="33"/>
      <c r="Z13" s="34" t="s">
        <v>34</v>
      </c>
      <c r="AA13" s="33"/>
      <c r="AB13" s="34" t="s">
        <v>34</v>
      </c>
    </row>
    <row r="14" spans="1:44" ht="13" thickBot="1" x14ac:dyDescent="0.3">
      <c r="B14" s="35"/>
      <c r="C14" s="35"/>
      <c r="D14" s="36" t="s">
        <v>35</v>
      </c>
      <c r="E14" s="37" t="s">
        <v>0</v>
      </c>
      <c r="F14" s="36" t="s">
        <v>35</v>
      </c>
      <c r="G14" s="37" t="s">
        <v>0</v>
      </c>
      <c r="H14" s="38" t="s">
        <v>35</v>
      </c>
      <c r="I14" s="39" t="s">
        <v>0</v>
      </c>
      <c r="J14" s="38" t="s">
        <v>35</v>
      </c>
      <c r="K14" s="39" t="s">
        <v>0</v>
      </c>
      <c r="L14" s="36" t="s">
        <v>35</v>
      </c>
      <c r="M14" s="22" t="s">
        <v>36</v>
      </c>
      <c r="N14" s="37" t="s">
        <v>0</v>
      </c>
      <c r="O14" s="36" t="s">
        <v>35</v>
      </c>
      <c r="P14" s="22" t="s">
        <v>36</v>
      </c>
      <c r="Q14" s="37" t="s">
        <v>0</v>
      </c>
      <c r="R14" s="36" t="s">
        <v>35</v>
      </c>
      <c r="S14" s="22" t="s">
        <v>36</v>
      </c>
      <c r="T14" s="37" t="s">
        <v>0</v>
      </c>
      <c r="U14" s="38" t="s">
        <v>35</v>
      </c>
      <c r="V14" s="39" t="s">
        <v>0</v>
      </c>
      <c r="W14" s="38" t="s">
        <v>35</v>
      </c>
      <c r="X14" s="39" t="s">
        <v>0</v>
      </c>
      <c r="Y14" s="38" t="s">
        <v>35</v>
      </c>
      <c r="Z14" s="39" t="s">
        <v>0</v>
      </c>
      <c r="AA14" s="38" t="s">
        <v>35</v>
      </c>
      <c r="AB14" s="39" t="s">
        <v>0</v>
      </c>
    </row>
    <row r="15" spans="1:44" ht="15.75" customHeight="1" thickBot="1" x14ac:dyDescent="0.3">
      <c r="B15" s="31" t="s">
        <v>33</v>
      </c>
      <c r="C15" s="374" t="s">
        <v>71</v>
      </c>
      <c r="D15" s="192"/>
      <c r="E15" s="193"/>
      <c r="F15" s="192"/>
      <c r="G15" s="193"/>
      <c r="H15" s="194"/>
      <c r="I15" s="193"/>
      <c r="J15" s="194"/>
      <c r="K15" s="193"/>
      <c r="L15" s="192"/>
      <c r="M15" s="195"/>
      <c r="N15" s="193"/>
      <c r="O15" s="192"/>
      <c r="P15" s="195"/>
      <c r="Q15" s="193"/>
      <c r="R15" s="192"/>
      <c r="S15" s="195"/>
      <c r="T15" s="193"/>
      <c r="U15" s="41"/>
      <c r="V15" s="40"/>
      <c r="W15" s="41"/>
      <c r="X15" s="40"/>
      <c r="Y15" s="41"/>
      <c r="Z15" s="40"/>
      <c r="AA15" s="41"/>
      <c r="AB15" s="40"/>
    </row>
    <row r="16" spans="1:44" x14ac:dyDescent="0.25">
      <c r="B16" s="99">
        <f>'1. LDC Info'!$F$18-11</f>
        <v>2013</v>
      </c>
      <c r="C16" s="372" t="s">
        <v>76</v>
      </c>
      <c r="D16" s="352">
        <v>8377247</v>
      </c>
      <c r="E16" s="348">
        <v>11715</v>
      </c>
      <c r="F16" s="351">
        <v>1386128</v>
      </c>
      <c r="G16" s="348">
        <v>787</v>
      </c>
      <c r="H16" s="200">
        <v>22012</v>
      </c>
      <c r="I16" s="348">
        <v>43</v>
      </c>
      <c r="J16" s="350"/>
      <c r="K16" s="348"/>
      <c r="L16" s="351">
        <v>1459153</v>
      </c>
      <c r="M16" s="353">
        <v>3493</v>
      </c>
      <c r="N16" s="348">
        <v>35</v>
      </c>
      <c r="O16" s="169">
        <v>284454</v>
      </c>
      <c r="P16" s="200">
        <v>484</v>
      </c>
      <c r="Q16" s="348">
        <v>1</v>
      </c>
      <c r="R16" s="352">
        <v>191828</v>
      </c>
      <c r="S16" s="353">
        <v>442</v>
      </c>
      <c r="T16" s="348">
        <v>2682</v>
      </c>
      <c r="U16" s="43"/>
      <c r="V16" s="42"/>
      <c r="W16" s="43"/>
      <c r="X16" s="42"/>
      <c r="Y16" s="43"/>
      <c r="Z16" s="42"/>
      <c r="AA16" s="43"/>
      <c r="AB16" s="42"/>
      <c r="AR16" s="202"/>
    </row>
    <row r="17" spans="2:44" x14ac:dyDescent="0.25">
      <c r="B17" s="99">
        <f>'1. LDC Info'!$F$18-11</f>
        <v>2013</v>
      </c>
      <c r="C17" s="371" t="s">
        <v>77</v>
      </c>
      <c r="D17" s="352">
        <v>7734168</v>
      </c>
      <c r="E17" s="348"/>
      <c r="F17" s="351">
        <v>1288061</v>
      </c>
      <c r="G17" s="348"/>
      <c r="H17" s="200">
        <v>22012</v>
      </c>
      <c r="I17" s="348"/>
      <c r="J17" s="350"/>
      <c r="K17" s="348"/>
      <c r="L17" s="351">
        <v>1338574</v>
      </c>
      <c r="M17" s="353">
        <v>3449</v>
      </c>
      <c r="N17" s="348"/>
      <c r="O17" s="169">
        <v>256457</v>
      </c>
      <c r="P17" s="200">
        <v>466</v>
      </c>
      <c r="Q17" s="348">
        <v>1</v>
      </c>
      <c r="R17" s="352">
        <v>173927</v>
      </c>
      <c r="S17" s="353">
        <v>442</v>
      </c>
      <c r="T17" s="348"/>
      <c r="U17" s="43"/>
      <c r="V17" s="42"/>
      <c r="W17" s="43"/>
      <c r="X17" s="42"/>
      <c r="Y17" s="43"/>
      <c r="Z17" s="42"/>
      <c r="AA17" s="43"/>
      <c r="AB17" s="42"/>
      <c r="AR17" s="202"/>
    </row>
    <row r="18" spans="2:44" ht="14.5" x14ac:dyDescent="0.35">
      <c r="B18" s="99">
        <f>'1. LDC Info'!$F$18-11</f>
        <v>2013</v>
      </c>
      <c r="C18" s="371" t="s">
        <v>78</v>
      </c>
      <c r="D18" s="352">
        <v>7601860</v>
      </c>
      <c r="E18" s="348"/>
      <c r="F18" s="351">
        <v>1307377</v>
      </c>
      <c r="G18" s="348"/>
      <c r="H18" s="200">
        <v>22062</v>
      </c>
      <c r="I18" s="348"/>
      <c r="J18" s="350"/>
      <c r="K18" s="348"/>
      <c r="L18" s="351">
        <v>1429848</v>
      </c>
      <c r="M18" s="353">
        <v>3403</v>
      </c>
      <c r="N18" s="348"/>
      <c r="O18" s="169">
        <v>281842</v>
      </c>
      <c r="P18" s="200">
        <v>468</v>
      </c>
      <c r="Q18" s="348">
        <v>1</v>
      </c>
      <c r="R18" s="352">
        <v>154303</v>
      </c>
      <c r="S18" s="353">
        <v>442</v>
      </c>
      <c r="T18" s="348"/>
      <c r="U18" s="43"/>
      <c r="V18" s="42"/>
      <c r="W18" s="43"/>
      <c r="X18" s="42"/>
      <c r="Y18" s="43"/>
      <c r="Z18" s="42"/>
      <c r="AA18" s="43"/>
      <c r="AB18" s="42"/>
      <c r="AP18" s="492"/>
      <c r="AR18" s="202"/>
    </row>
    <row r="19" spans="2:44" ht="14.5" x14ac:dyDescent="0.35">
      <c r="B19" s="99">
        <f>'1. LDC Info'!$F$18-11</f>
        <v>2013</v>
      </c>
      <c r="C19" s="371" t="s">
        <v>79</v>
      </c>
      <c r="D19" s="352">
        <v>6435227</v>
      </c>
      <c r="E19" s="348"/>
      <c r="F19" s="351">
        <v>1157649</v>
      </c>
      <c r="G19" s="348"/>
      <c r="H19" s="200">
        <v>21962</v>
      </c>
      <c r="I19" s="348"/>
      <c r="J19" s="350"/>
      <c r="K19" s="348"/>
      <c r="L19" s="351">
        <v>1319226</v>
      </c>
      <c r="M19" s="353">
        <v>3543</v>
      </c>
      <c r="N19" s="348"/>
      <c r="O19" s="169">
        <v>277471</v>
      </c>
      <c r="P19" s="200">
        <v>516</v>
      </c>
      <c r="Q19" s="348">
        <v>1</v>
      </c>
      <c r="R19" s="352">
        <v>129134</v>
      </c>
      <c r="S19" s="353">
        <v>442</v>
      </c>
      <c r="T19" s="348"/>
      <c r="U19" s="43"/>
      <c r="V19" s="42"/>
      <c r="W19" s="43"/>
      <c r="X19" s="42"/>
      <c r="Y19" s="43"/>
      <c r="Z19" s="42"/>
      <c r="AA19" s="43"/>
      <c r="AB19" s="42"/>
      <c r="AP19" s="492"/>
      <c r="AR19" s="202"/>
    </row>
    <row r="20" spans="2:44" ht="14.5" x14ac:dyDescent="0.35">
      <c r="B20" s="99">
        <f>'1. LDC Info'!$F$18-11</f>
        <v>2013</v>
      </c>
      <c r="C20" s="371" t="s">
        <v>80</v>
      </c>
      <c r="D20" s="352">
        <v>5952310</v>
      </c>
      <c r="E20" s="348"/>
      <c r="F20" s="351">
        <v>1277883</v>
      </c>
      <c r="G20" s="348"/>
      <c r="H20" s="200">
        <v>21962</v>
      </c>
      <c r="I20" s="348"/>
      <c r="J20" s="350"/>
      <c r="K20" s="348"/>
      <c r="L20" s="351">
        <v>1485679</v>
      </c>
      <c r="M20" s="353">
        <v>4472</v>
      </c>
      <c r="N20" s="348"/>
      <c r="O20" s="169">
        <v>307911</v>
      </c>
      <c r="P20" s="200">
        <v>627</v>
      </c>
      <c r="Q20" s="348">
        <v>1</v>
      </c>
      <c r="R20" s="352">
        <v>115425</v>
      </c>
      <c r="S20" s="353">
        <v>442</v>
      </c>
      <c r="T20" s="348"/>
      <c r="U20" s="43"/>
      <c r="V20" s="42"/>
      <c r="W20" s="43"/>
      <c r="X20" s="42"/>
      <c r="Y20" s="43"/>
      <c r="Z20" s="42"/>
      <c r="AA20" s="43"/>
      <c r="AB20" s="42"/>
      <c r="AP20" s="492"/>
      <c r="AR20" s="202"/>
    </row>
    <row r="21" spans="2:44" ht="14.5" x14ac:dyDescent="0.35">
      <c r="B21" s="99">
        <f>'1. LDC Info'!$F$18-11</f>
        <v>2013</v>
      </c>
      <c r="C21" s="371" t="s">
        <v>81</v>
      </c>
      <c r="D21" s="352">
        <v>6277996</v>
      </c>
      <c r="E21" s="348"/>
      <c r="F21" s="351">
        <v>1399541</v>
      </c>
      <c r="G21" s="348"/>
      <c r="H21" s="200">
        <v>21962</v>
      </c>
      <c r="I21" s="348"/>
      <c r="J21" s="350"/>
      <c r="K21" s="348"/>
      <c r="L21" s="351">
        <v>1568347</v>
      </c>
      <c r="M21" s="353">
        <v>4598</v>
      </c>
      <c r="N21" s="348"/>
      <c r="O21" s="169">
        <v>318570</v>
      </c>
      <c r="P21" s="200">
        <v>604</v>
      </c>
      <c r="Q21" s="348">
        <v>1</v>
      </c>
      <c r="R21" s="352">
        <v>101826</v>
      </c>
      <c r="S21" s="353">
        <v>442</v>
      </c>
      <c r="T21" s="348"/>
      <c r="U21" s="43"/>
      <c r="V21" s="42"/>
      <c r="W21" s="43"/>
      <c r="X21" s="42"/>
      <c r="Y21" s="43"/>
      <c r="Z21" s="42"/>
      <c r="AA21" s="43"/>
      <c r="AB21" s="42"/>
      <c r="AI21" s="202"/>
      <c r="AP21" s="492"/>
      <c r="AR21" s="202"/>
    </row>
    <row r="22" spans="2:44" ht="14.5" x14ac:dyDescent="0.35">
      <c r="B22" s="99">
        <f>'1. LDC Info'!$F$18-11</f>
        <v>2013</v>
      </c>
      <c r="C22" s="371" t="s">
        <v>82</v>
      </c>
      <c r="D22" s="352">
        <v>7988736</v>
      </c>
      <c r="E22" s="348"/>
      <c r="F22" s="351">
        <v>1747659</v>
      </c>
      <c r="G22" s="348"/>
      <c r="H22" s="200">
        <v>21962</v>
      </c>
      <c r="I22" s="348"/>
      <c r="J22" s="350"/>
      <c r="K22" s="348"/>
      <c r="L22" s="351">
        <v>1762624</v>
      </c>
      <c r="M22" s="353">
        <v>4615</v>
      </c>
      <c r="N22" s="348"/>
      <c r="O22" s="169">
        <v>345163</v>
      </c>
      <c r="P22" s="200">
        <v>610</v>
      </c>
      <c r="Q22" s="348">
        <v>1</v>
      </c>
      <c r="R22" s="352">
        <v>111334</v>
      </c>
      <c r="S22" s="353">
        <v>442</v>
      </c>
      <c r="T22" s="348"/>
      <c r="U22" s="43"/>
      <c r="V22" s="42"/>
      <c r="W22" s="43"/>
      <c r="X22" s="42"/>
      <c r="Y22" s="43"/>
      <c r="Z22" s="42"/>
      <c r="AA22" s="43"/>
      <c r="AB22" s="42"/>
      <c r="AI22" s="202"/>
      <c r="AP22" s="492"/>
      <c r="AR22" s="202"/>
    </row>
    <row r="23" spans="2:44" ht="14.5" x14ac:dyDescent="0.35">
      <c r="B23" s="99">
        <f>'1. LDC Info'!$F$18-11</f>
        <v>2013</v>
      </c>
      <c r="C23" s="371" t="s">
        <v>83</v>
      </c>
      <c r="D23" s="352">
        <v>7116905</v>
      </c>
      <c r="E23" s="348"/>
      <c r="F23" s="351">
        <v>1635933</v>
      </c>
      <c r="G23" s="348"/>
      <c r="H23" s="200">
        <v>21962</v>
      </c>
      <c r="I23" s="348"/>
      <c r="J23" s="350"/>
      <c r="K23" s="348"/>
      <c r="L23" s="351">
        <v>1679021</v>
      </c>
      <c r="M23" s="353">
        <v>4379</v>
      </c>
      <c r="N23" s="348"/>
      <c r="O23" s="169">
        <v>342291</v>
      </c>
      <c r="P23" s="200">
        <v>624</v>
      </c>
      <c r="Q23" s="348">
        <v>1</v>
      </c>
      <c r="R23" s="352">
        <v>127255</v>
      </c>
      <c r="S23" s="353">
        <v>442</v>
      </c>
      <c r="T23" s="348"/>
      <c r="U23" s="43"/>
      <c r="V23" s="42"/>
      <c r="W23" s="43"/>
      <c r="X23" s="42"/>
      <c r="Y23" s="43"/>
      <c r="Z23" s="42"/>
      <c r="AA23" s="43"/>
      <c r="AB23" s="42"/>
      <c r="AI23" s="202"/>
      <c r="AP23" s="492"/>
      <c r="AR23" s="202"/>
    </row>
    <row r="24" spans="2:44" ht="14.5" x14ac:dyDescent="0.35">
      <c r="B24" s="99">
        <f>'1. LDC Info'!$F$18-11</f>
        <v>2013</v>
      </c>
      <c r="C24" s="371" t="s">
        <v>73</v>
      </c>
      <c r="D24" s="352">
        <v>5901546</v>
      </c>
      <c r="E24" s="348"/>
      <c r="F24" s="351">
        <v>1272666</v>
      </c>
      <c r="G24" s="348"/>
      <c r="H24" s="200">
        <v>22927</v>
      </c>
      <c r="I24" s="348"/>
      <c r="J24" s="350"/>
      <c r="K24" s="348"/>
      <c r="L24" s="351">
        <v>1455879</v>
      </c>
      <c r="M24" s="353">
        <v>4337</v>
      </c>
      <c r="N24" s="348"/>
      <c r="O24" s="169">
        <v>313675</v>
      </c>
      <c r="P24" s="200">
        <v>677</v>
      </c>
      <c r="Q24" s="348">
        <v>1</v>
      </c>
      <c r="R24" s="352">
        <v>143065</v>
      </c>
      <c r="S24" s="353">
        <v>443</v>
      </c>
      <c r="T24" s="348"/>
      <c r="U24" s="43"/>
      <c r="V24" s="42"/>
      <c r="W24" s="43"/>
      <c r="X24" s="42"/>
      <c r="Y24" s="43"/>
      <c r="Z24" s="42"/>
      <c r="AA24" s="43"/>
      <c r="AB24" s="42"/>
      <c r="AI24" s="202"/>
      <c r="AP24" s="588"/>
      <c r="AR24" s="202"/>
    </row>
    <row r="25" spans="2:44" ht="14.5" x14ac:dyDescent="0.35">
      <c r="B25" s="99">
        <f>'1. LDC Info'!$F$18-11</f>
        <v>2013</v>
      </c>
      <c r="C25" s="371" t="s">
        <v>74</v>
      </c>
      <c r="D25" s="352">
        <v>6237527</v>
      </c>
      <c r="E25" s="348"/>
      <c r="F25" s="351">
        <v>1189230</v>
      </c>
      <c r="G25" s="348"/>
      <c r="H25" s="200">
        <v>22538</v>
      </c>
      <c r="I25" s="348"/>
      <c r="J25" s="350"/>
      <c r="K25" s="348"/>
      <c r="L25" s="351">
        <v>1392428</v>
      </c>
      <c r="M25" s="353">
        <v>3699</v>
      </c>
      <c r="N25" s="348"/>
      <c r="O25" s="169">
        <v>302871</v>
      </c>
      <c r="P25" s="200">
        <v>539</v>
      </c>
      <c r="Q25" s="348">
        <v>1</v>
      </c>
      <c r="R25" s="352">
        <v>168802</v>
      </c>
      <c r="S25" s="353">
        <v>443</v>
      </c>
      <c r="T25" s="348"/>
      <c r="U25" s="43"/>
      <c r="V25" s="42"/>
      <c r="W25" s="43"/>
      <c r="X25" s="42"/>
      <c r="Y25" s="43"/>
      <c r="Z25" s="42"/>
      <c r="AA25" s="43"/>
      <c r="AB25" s="42"/>
      <c r="AC25" s="491"/>
      <c r="AD25" s="491"/>
      <c r="AE25" s="491"/>
      <c r="AF25" s="491"/>
      <c r="AG25" s="491"/>
      <c r="AH25" s="491"/>
      <c r="AI25" s="202"/>
      <c r="AP25" s="588"/>
      <c r="AQ25" s="491"/>
      <c r="AR25" s="202"/>
    </row>
    <row r="26" spans="2:44" ht="14.5" x14ac:dyDescent="0.35">
      <c r="B26" s="99">
        <f>'1. LDC Info'!$F$18-11</f>
        <v>2013</v>
      </c>
      <c r="C26" s="371" t="s">
        <v>75</v>
      </c>
      <c r="D26" s="352">
        <v>7352984</v>
      </c>
      <c r="E26" s="348"/>
      <c r="F26" s="351">
        <v>1272663</v>
      </c>
      <c r="G26" s="348"/>
      <c r="H26" s="200">
        <v>21961</v>
      </c>
      <c r="I26" s="348"/>
      <c r="J26" s="350"/>
      <c r="K26" s="348"/>
      <c r="L26" s="351">
        <v>1322982</v>
      </c>
      <c r="M26" s="353">
        <v>3455</v>
      </c>
      <c r="N26" s="348"/>
      <c r="O26" s="169">
        <v>271859</v>
      </c>
      <c r="P26" s="200">
        <v>480</v>
      </c>
      <c r="Q26" s="348">
        <v>1</v>
      </c>
      <c r="R26" s="352">
        <v>181421</v>
      </c>
      <c r="S26" s="353">
        <v>443</v>
      </c>
      <c r="T26" s="348"/>
      <c r="U26" s="43"/>
      <c r="V26" s="42"/>
      <c r="W26" s="43"/>
      <c r="X26" s="42"/>
      <c r="Y26" s="43"/>
      <c r="Z26" s="42"/>
      <c r="AA26" s="43"/>
      <c r="AB26" s="42"/>
      <c r="AC26" s="491"/>
      <c r="AD26" s="491"/>
      <c r="AE26" s="491"/>
      <c r="AF26" s="491"/>
      <c r="AG26" s="491"/>
      <c r="AH26" s="491"/>
      <c r="AI26" s="202"/>
      <c r="AP26" s="588"/>
      <c r="AQ26" s="491"/>
      <c r="AR26" s="202"/>
    </row>
    <row r="27" spans="2:44" ht="14.5" x14ac:dyDescent="0.35">
      <c r="B27" s="99">
        <f>'1. LDC Info'!$F$18-11</f>
        <v>2013</v>
      </c>
      <c r="C27" s="371" t="s">
        <v>72</v>
      </c>
      <c r="D27" s="352">
        <v>9300027</v>
      </c>
      <c r="E27" s="348">
        <v>11999</v>
      </c>
      <c r="F27" s="351">
        <v>1497559</v>
      </c>
      <c r="G27" s="348">
        <v>781</v>
      </c>
      <c r="H27" s="200">
        <v>21228</v>
      </c>
      <c r="I27" s="348">
        <v>42</v>
      </c>
      <c r="J27" s="350"/>
      <c r="K27" s="348"/>
      <c r="L27" s="351">
        <v>1478014</v>
      </c>
      <c r="M27" s="353">
        <v>3425</v>
      </c>
      <c r="N27" s="348">
        <v>35</v>
      </c>
      <c r="O27" s="169">
        <v>292319</v>
      </c>
      <c r="P27" s="200">
        <v>461</v>
      </c>
      <c r="Q27" s="348">
        <v>1</v>
      </c>
      <c r="R27" s="352">
        <v>197856</v>
      </c>
      <c r="S27" s="353">
        <v>445</v>
      </c>
      <c r="T27" s="348">
        <v>2705</v>
      </c>
      <c r="U27" s="43"/>
      <c r="V27" s="42"/>
      <c r="W27" s="43"/>
      <c r="X27" s="42"/>
      <c r="Y27" s="43"/>
      <c r="Z27" s="42"/>
      <c r="AA27" s="43"/>
      <c r="AB27" s="42"/>
      <c r="AC27" s="491"/>
      <c r="AD27" s="491"/>
      <c r="AE27" s="491"/>
      <c r="AF27" s="491"/>
      <c r="AG27" s="491"/>
      <c r="AH27" s="491"/>
      <c r="AI27" s="202"/>
      <c r="AP27" s="588"/>
      <c r="AQ27" s="491"/>
      <c r="AR27" s="202"/>
    </row>
    <row r="28" spans="2:44" ht="14.5" x14ac:dyDescent="0.35">
      <c r="B28" s="99">
        <f>'1. LDC Info'!$F$18-10</f>
        <v>2014</v>
      </c>
      <c r="C28" s="371" t="s">
        <v>76</v>
      </c>
      <c r="D28" s="352">
        <v>9596052</v>
      </c>
      <c r="E28" s="348">
        <v>11999</v>
      </c>
      <c r="F28" s="351">
        <v>1588583</v>
      </c>
      <c r="G28" s="348">
        <v>781</v>
      </c>
      <c r="H28" s="200">
        <v>20011</v>
      </c>
      <c r="I28" s="348">
        <v>42</v>
      </c>
      <c r="J28" s="350"/>
      <c r="K28" s="348"/>
      <c r="L28" s="351">
        <v>1498289</v>
      </c>
      <c r="M28" s="353">
        <v>3455</v>
      </c>
      <c r="N28" s="348">
        <v>35</v>
      </c>
      <c r="O28" s="169">
        <v>280512</v>
      </c>
      <c r="P28" s="200">
        <v>442</v>
      </c>
      <c r="Q28" s="348">
        <v>1</v>
      </c>
      <c r="R28" s="352">
        <v>193074</v>
      </c>
      <c r="S28" s="353">
        <v>445</v>
      </c>
      <c r="T28" s="348">
        <v>2705</v>
      </c>
      <c r="U28" s="43"/>
      <c r="V28" s="42"/>
      <c r="W28" s="43"/>
      <c r="X28" s="42"/>
      <c r="Y28" s="43"/>
      <c r="Z28" s="42"/>
      <c r="AA28" s="43"/>
      <c r="AB28" s="42"/>
      <c r="AC28" s="491"/>
      <c r="AD28" s="491"/>
      <c r="AE28" s="491"/>
      <c r="AF28" s="491"/>
      <c r="AG28" s="491"/>
      <c r="AH28" s="491"/>
      <c r="AI28" s="202"/>
      <c r="AP28" s="588"/>
      <c r="AQ28" s="491"/>
      <c r="AR28" s="202"/>
    </row>
    <row r="29" spans="2:44" ht="14.5" x14ac:dyDescent="0.35">
      <c r="B29" s="99">
        <f>'1. LDC Info'!$F$18-10</f>
        <v>2014</v>
      </c>
      <c r="C29" s="371" t="s">
        <v>77</v>
      </c>
      <c r="D29" s="352">
        <v>8315457</v>
      </c>
      <c r="E29" s="348"/>
      <c r="F29" s="351">
        <v>1416213</v>
      </c>
      <c r="G29" s="348"/>
      <c r="H29" s="200">
        <v>20011</v>
      </c>
      <c r="I29" s="348"/>
      <c r="J29" s="350"/>
      <c r="K29" s="348"/>
      <c r="L29" s="351">
        <v>1334289</v>
      </c>
      <c r="M29" s="310">
        <v>3392</v>
      </c>
      <c r="N29" s="348"/>
      <c r="O29" s="169">
        <v>248535</v>
      </c>
      <c r="P29" s="200">
        <v>451</v>
      </c>
      <c r="Q29" s="348">
        <v>1</v>
      </c>
      <c r="R29" s="352">
        <v>177830</v>
      </c>
      <c r="S29" s="353">
        <v>452</v>
      </c>
      <c r="T29" s="348"/>
      <c r="U29" s="43"/>
      <c r="V29" s="42"/>
      <c r="W29" s="43"/>
      <c r="X29" s="42"/>
      <c r="Y29" s="43"/>
      <c r="Z29" s="42"/>
      <c r="AA29" s="43"/>
      <c r="AB29" s="42"/>
      <c r="AC29" s="491"/>
      <c r="AD29" s="491"/>
      <c r="AE29" s="491"/>
      <c r="AF29" s="491"/>
      <c r="AG29" s="491"/>
      <c r="AH29" s="491"/>
      <c r="AI29" s="202"/>
      <c r="AP29" s="588"/>
      <c r="AQ29" s="491"/>
      <c r="AR29" s="202"/>
    </row>
    <row r="30" spans="2:44" ht="14.5" x14ac:dyDescent="0.35">
      <c r="B30" s="99">
        <f>'1. LDC Info'!$F$18-10</f>
        <v>2014</v>
      </c>
      <c r="C30" s="371" t="s">
        <v>78</v>
      </c>
      <c r="D30" s="352">
        <v>8474305</v>
      </c>
      <c r="E30" s="348"/>
      <c r="F30" s="351">
        <v>1467995</v>
      </c>
      <c r="G30" s="348"/>
      <c r="H30" s="200">
        <v>20011</v>
      </c>
      <c r="I30" s="348"/>
      <c r="J30" s="350"/>
      <c r="K30" s="348"/>
      <c r="L30" s="351">
        <v>1441915</v>
      </c>
      <c r="M30" s="353">
        <v>3389</v>
      </c>
      <c r="N30" s="348"/>
      <c r="O30" s="169">
        <v>273517</v>
      </c>
      <c r="P30" s="200">
        <v>448</v>
      </c>
      <c r="Q30" s="348">
        <v>1</v>
      </c>
      <c r="R30" s="352">
        <v>157720</v>
      </c>
      <c r="S30" s="353">
        <v>452</v>
      </c>
      <c r="T30" s="348"/>
      <c r="U30" s="43"/>
      <c r="V30" s="42"/>
      <c r="W30" s="43"/>
      <c r="X30" s="42"/>
      <c r="Y30" s="43"/>
      <c r="Z30" s="42"/>
      <c r="AA30" s="43"/>
      <c r="AB30" s="42"/>
      <c r="AC30" s="491"/>
      <c r="AD30" s="491"/>
      <c r="AE30" s="491"/>
      <c r="AF30" s="491"/>
      <c r="AG30" s="491"/>
      <c r="AH30" s="491"/>
      <c r="AI30" s="202"/>
      <c r="AP30" s="588"/>
      <c r="AQ30" s="491"/>
      <c r="AR30" s="202"/>
    </row>
    <row r="31" spans="2:44" ht="14.5" x14ac:dyDescent="0.35">
      <c r="B31" s="99">
        <f>'1. LDC Info'!$F$18-10</f>
        <v>2014</v>
      </c>
      <c r="C31" s="371" t="s">
        <v>79</v>
      </c>
      <c r="D31" s="352">
        <v>6656004</v>
      </c>
      <c r="E31" s="348"/>
      <c r="F31" s="351">
        <v>1197218</v>
      </c>
      <c r="G31" s="348"/>
      <c r="H31" s="200">
        <v>20011</v>
      </c>
      <c r="I31" s="348"/>
      <c r="J31" s="350"/>
      <c r="K31" s="348"/>
      <c r="L31" s="351">
        <v>1303531</v>
      </c>
      <c r="M31" s="353">
        <v>3367</v>
      </c>
      <c r="N31" s="348"/>
      <c r="O31" s="169">
        <v>267143</v>
      </c>
      <c r="P31" s="200">
        <v>474</v>
      </c>
      <c r="Q31" s="348">
        <v>1</v>
      </c>
      <c r="R31" s="352">
        <v>131961</v>
      </c>
      <c r="S31" s="353">
        <v>452</v>
      </c>
      <c r="T31" s="348"/>
      <c r="U31" s="43"/>
      <c r="V31" s="42"/>
      <c r="W31" s="43"/>
      <c r="X31" s="42"/>
      <c r="Y31" s="43"/>
      <c r="Z31" s="42"/>
      <c r="AA31" s="43"/>
      <c r="AB31" s="42"/>
      <c r="AC31" s="491"/>
      <c r="AD31" s="491"/>
      <c r="AE31" s="491"/>
      <c r="AF31" s="491"/>
      <c r="AG31" s="491"/>
      <c r="AH31" s="491"/>
      <c r="AI31" s="202"/>
      <c r="AP31" s="588"/>
      <c r="AQ31" s="491"/>
      <c r="AR31" s="202"/>
    </row>
    <row r="32" spans="2:44" ht="14.5" x14ac:dyDescent="0.35">
      <c r="B32" s="99">
        <f>'1. LDC Info'!$F$18-10</f>
        <v>2014</v>
      </c>
      <c r="C32" s="371" t="s">
        <v>80</v>
      </c>
      <c r="D32" s="352">
        <v>5973235</v>
      </c>
      <c r="E32" s="348"/>
      <c r="F32" s="351">
        <v>1278819</v>
      </c>
      <c r="G32" s="348"/>
      <c r="H32" s="200">
        <v>20011</v>
      </c>
      <c r="I32" s="348"/>
      <c r="J32" s="350"/>
      <c r="K32" s="348"/>
      <c r="L32" s="351">
        <v>1428257</v>
      </c>
      <c r="M32" s="353">
        <v>4445</v>
      </c>
      <c r="N32" s="348"/>
      <c r="O32" s="169">
        <v>291404</v>
      </c>
      <c r="P32" s="200">
        <v>559</v>
      </c>
      <c r="Q32" s="348">
        <v>1</v>
      </c>
      <c r="R32" s="352">
        <v>117951</v>
      </c>
      <c r="S32" s="353">
        <v>452</v>
      </c>
      <c r="T32" s="348"/>
      <c r="U32" s="43"/>
      <c r="V32" s="42"/>
      <c r="W32" s="43"/>
      <c r="X32" s="42"/>
      <c r="Y32" s="43"/>
      <c r="Z32" s="42"/>
      <c r="AA32" s="43"/>
      <c r="AB32" s="42"/>
      <c r="AC32" s="491"/>
      <c r="AD32" s="491"/>
      <c r="AE32" s="491"/>
      <c r="AF32" s="491"/>
      <c r="AG32" s="491"/>
      <c r="AH32" s="491"/>
      <c r="AI32" s="202"/>
      <c r="AP32" s="588"/>
      <c r="AQ32" s="491"/>
      <c r="AR32" s="202"/>
    </row>
    <row r="33" spans="2:44" ht="14.5" x14ac:dyDescent="0.35">
      <c r="B33" s="99">
        <f>'1. LDC Info'!$F$18-10</f>
        <v>2014</v>
      </c>
      <c r="C33" s="371" t="s">
        <v>81</v>
      </c>
      <c r="D33" s="352">
        <v>6234249</v>
      </c>
      <c r="E33" s="348"/>
      <c r="F33" s="351">
        <v>1379959</v>
      </c>
      <c r="G33" s="348"/>
      <c r="H33" s="200">
        <v>20011</v>
      </c>
      <c r="I33" s="348"/>
      <c r="J33" s="350"/>
      <c r="K33" s="348"/>
      <c r="L33" s="351">
        <v>1466163</v>
      </c>
      <c r="M33" s="353">
        <v>4434</v>
      </c>
      <c r="N33" s="348"/>
      <c r="O33" s="169">
        <v>307103</v>
      </c>
      <c r="P33" s="200">
        <v>585</v>
      </c>
      <c r="Q33" s="348">
        <v>1</v>
      </c>
      <c r="R33" s="352">
        <v>104055</v>
      </c>
      <c r="S33" s="353">
        <v>452</v>
      </c>
      <c r="T33" s="348"/>
      <c r="U33" s="43"/>
      <c r="V33" s="42"/>
      <c r="W33" s="43"/>
      <c r="X33" s="42"/>
      <c r="Y33" s="43"/>
      <c r="Z33" s="42"/>
      <c r="AA33" s="43"/>
      <c r="AB33" s="42"/>
      <c r="AC33" s="491"/>
      <c r="AD33" s="491"/>
      <c r="AE33" s="491"/>
      <c r="AF33" s="491"/>
      <c r="AG33" s="491"/>
      <c r="AH33" s="491"/>
      <c r="AI33" s="202"/>
      <c r="AP33" s="588"/>
      <c r="AQ33" s="491"/>
      <c r="AR33" s="202"/>
    </row>
    <row r="34" spans="2:44" ht="14.5" x14ac:dyDescent="0.35">
      <c r="B34" s="99">
        <f>'1. LDC Info'!$F$18-10</f>
        <v>2014</v>
      </c>
      <c r="C34" s="371" t="s">
        <v>82</v>
      </c>
      <c r="D34" s="352">
        <v>6986424</v>
      </c>
      <c r="E34" s="348"/>
      <c r="F34" s="351">
        <v>1583159</v>
      </c>
      <c r="G34" s="348"/>
      <c r="H34" s="200">
        <v>22175</v>
      </c>
      <c r="I34" s="348"/>
      <c r="J34" s="350"/>
      <c r="K34" s="348"/>
      <c r="L34" s="351">
        <v>1593511</v>
      </c>
      <c r="M34" s="353">
        <v>4206</v>
      </c>
      <c r="N34" s="348"/>
      <c r="O34" s="169">
        <v>325023</v>
      </c>
      <c r="P34" s="200">
        <v>550</v>
      </c>
      <c r="Q34" s="348">
        <v>1</v>
      </c>
      <c r="R34" s="352">
        <v>113771</v>
      </c>
      <c r="S34" s="353">
        <v>452</v>
      </c>
      <c r="T34" s="348"/>
      <c r="U34" s="43"/>
      <c r="V34" s="42"/>
      <c r="W34" s="43"/>
      <c r="X34" s="42"/>
      <c r="Y34" s="43"/>
      <c r="Z34" s="42"/>
      <c r="AA34" s="43"/>
      <c r="AB34" s="42"/>
      <c r="AC34" s="491"/>
      <c r="AD34" s="491"/>
      <c r="AE34" s="491"/>
      <c r="AF34" s="491"/>
      <c r="AG34" s="491"/>
      <c r="AH34" s="491"/>
      <c r="AI34" s="202"/>
      <c r="AP34" s="588"/>
      <c r="AQ34" s="491"/>
      <c r="AR34" s="202"/>
    </row>
    <row r="35" spans="2:44" ht="14.5" x14ac:dyDescent="0.35">
      <c r="B35" s="99">
        <f>'1. LDC Info'!$F$18-10</f>
        <v>2014</v>
      </c>
      <c r="C35" s="371" t="s">
        <v>83</v>
      </c>
      <c r="D35" s="352">
        <v>7166813</v>
      </c>
      <c r="E35" s="348"/>
      <c r="F35" s="351">
        <v>1561806</v>
      </c>
      <c r="G35" s="348"/>
      <c r="H35" s="200">
        <v>21651</v>
      </c>
      <c r="I35" s="348"/>
      <c r="J35" s="350"/>
      <c r="K35" s="348"/>
      <c r="L35" s="351">
        <v>1612793</v>
      </c>
      <c r="M35" s="353">
        <v>4410</v>
      </c>
      <c r="N35" s="348"/>
      <c r="O35" s="169">
        <v>339894</v>
      </c>
      <c r="P35" s="200">
        <v>571</v>
      </c>
      <c r="Q35" s="348">
        <v>1</v>
      </c>
      <c r="R35" s="352">
        <v>130040</v>
      </c>
      <c r="S35" s="353">
        <v>452</v>
      </c>
      <c r="T35" s="348"/>
      <c r="U35" s="43"/>
      <c r="V35" s="42"/>
      <c r="W35" s="43"/>
      <c r="X35" s="42"/>
      <c r="Y35" s="43"/>
      <c r="Z35" s="42"/>
      <c r="AA35" s="43"/>
      <c r="AB35" s="42"/>
      <c r="AC35" s="491"/>
      <c r="AD35" s="491"/>
      <c r="AE35" s="491"/>
      <c r="AF35" s="491"/>
      <c r="AG35" s="491"/>
      <c r="AH35" s="491"/>
      <c r="AI35" s="202"/>
      <c r="AP35" s="588"/>
      <c r="AQ35" s="491"/>
      <c r="AR35" s="202"/>
    </row>
    <row r="36" spans="2:44" ht="14.5" x14ac:dyDescent="0.35">
      <c r="B36" s="99">
        <f>'1. LDC Info'!$F$18-10</f>
        <v>2014</v>
      </c>
      <c r="C36" s="371" t="s">
        <v>73</v>
      </c>
      <c r="D36" s="352">
        <v>5938552</v>
      </c>
      <c r="E36" s="348"/>
      <c r="F36" s="351">
        <v>1232094</v>
      </c>
      <c r="G36" s="348"/>
      <c r="H36" s="200">
        <v>21651</v>
      </c>
      <c r="I36" s="348"/>
      <c r="J36" s="350"/>
      <c r="K36" s="348"/>
      <c r="L36" s="351">
        <v>1449575</v>
      </c>
      <c r="M36" s="353">
        <v>4283</v>
      </c>
      <c r="N36" s="348"/>
      <c r="O36" s="169">
        <v>300632</v>
      </c>
      <c r="P36" s="200">
        <v>561</v>
      </c>
      <c r="Q36" s="348">
        <v>1</v>
      </c>
      <c r="R36" s="352">
        <v>146651</v>
      </c>
      <c r="S36" s="353">
        <v>454</v>
      </c>
      <c r="T36" s="348"/>
      <c r="U36" s="43"/>
      <c r="V36" s="42"/>
      <c r="W36" s="43"/>
      <c r="X36" s="42"/>
      <c r="Y36" s="43"/>
      <c r="Z36" s="42"/>
      <c r="AA36" s="43"/>
      <c r="AB36" s="42"/>
      <c r="AC36" s="491"/>
      <c r="AD36" s="491"/>
      <c r="AE36" s="491"/>
      <c r="AF36" s="491"/>
      <c r="AG36" s="491"/>
      <c r="AH36" s="491"/>
      <c r="AI36" s="202"/>
      <c r="AP36" s="588"/>
      <c r="AQ36" s="491"/>
      <c r="AR36" s="202"/>
    </row>
    <row r="37" spans="2:44" ht="14.5" x14ac:dyDescent="0.35">
      <c r="B37" s="99">
        <f>'1. LDC Info'!$F$18-10</f>
        <v>2014</v>
      </c>
      <c r="C37" s="371" t="s">
        <v>74</v>
      </c>
      <c r="D37" s="352">
        <v>6303404</v>
      </c>
      <c r="E37" s="348"/>
      <c r="F37" s="351">
        <v>1164868</v>
      </c>
      <c r="G37" s="348"/>
      <c r="H37" s="200">
        <v>21651</v>
      </c>
      <c r="I37" s="348"/>
      <c r="J37" s="350"/>
      <c r="K37" s="348"/>
      <c r="L37" s="351">
        <v>1340331</v>
      </c>
      <c r="M37" s="353">
        <v>3647</v>
      </c>
      <c r="N37" s="348"/>
      <c r="O37" s="169">
        <v>285924</v>
      </c>
      <c r="P37" s="200">
        <v>532</v>
      </c>
      <c r="Q37" s="348">
        <v>1</v>
      </c>
      <c r="R37" s="352">
        <v>173267</v>
      </c>
      <c r="S37" s="353">
        <v>454</v>
      </c>
      <c r="T37" s="348"/>
      <c r="U37" s="43"/>
      <c r="V37" s="42"/>
      <c r="W37" s="43"/>
      <c r="X37" s="42"/>
      <c r="Y37" s="43"/>
      <c r="Z37" s="42"/>
      <c r="AA37" s="43"/>
      <c r="AB37" s="42"/>
      <c r="AC37" s="491"/>
      <c r="AD37" s="491"/>
      <c r="AE37" s="491"/>
      <c r="AF37" s="491"/>
      <c r="AG37" s="491"/>
      <c r="AH37" s="491"/>
      <c r="AI37" s="202"/>
      <c r="AP37" s="588"/>
      <c r="AQ37" s="491"/>
      <c r="AR37" s="202"/>
    </row>
    <row r="38" spans="2:44" ht="14.5" x14ac:dyDescent="0.35">
      <c r="B38" s="99">
        <f>'1. LDC Info'!$F$18-10</f>
        <v>2014</v>
      </c>
      <c r="C38" s="371" t="s">
        <v>75</v>
      </c>
      <c r="D38" s="352">
        <v>7427575</v>
      </c>
      <c r="E38" s="348"/>
      <c r="F38" s="351">
        <v>1256884</v>
      </c>
      <c r="G38" s="348"/>
      <c r="H38" s="200">
        <v>21651</v>
      </c>
      <c r="I38" s="348"/>
      <c r="J38" s="350"/>
      <c r="K38" s="348"/>
      <c r="L38" s="351">
        <v>1345579</v>
      </c>
      <c r="M38" s="353">
        <v>3460</v>
      </c>
      <c r="N38" s="348"/>
      <c r="O38" s="169">
        <v>263844</v>
      </c>
      <c r="P38" s="200">
        <v>465</v>
      </c>
      <c r="Q38" s="348">
        <v>1</v>
      </c>
      <c r="R38" s="352">
        <v>186219</v>
      </c>
      <c r="S38" s="353">
        <v>454</v>
      </c>
      <c r="T38" s="348"/>
      <c r="U38" s="43"/>
      <c r="V38" s="42"/>
      <c r="W38" s="43"/>
      <c r="X38" s="42"/>
      <c r="Y38" s="43"/>
      <c r="Z38" s="42"/>
      <c r="AA38" s="43"/>
      <c r="AB38" s="42"/>
      <c r="AC38" s="491"/>
      <c r="AD38" s="491"/>
      <c r="AE38" s="491"/>
      <c r="AF38" s="491"/>
      <c r="AG38" s="491"/>
      <c r="AH38" s="491"/>
      <c r="AI38" s="202"/>
      <c r="AP38" s="588"/>
      <c r="AQ38" s="491"/>
      <c r="AR38" s="202"/>
    </row>
    <row r="39" spans="2:44" ht="14.5" x14ac:dyDescent="0.35">
      <c r="B39" s="99">
        <f>'1. LDC Info'!$F$18-10</f>
        <v>2014</v>
      </c>
      <c r="C39" s="371" t="s">
        <v>72</v>
      </c>
      <c r="D39" s="352">
        <v>8539120</v>
      </c>
      <c r="E39" s="348">
        <v>12165</v>
      </c>
      <c r="F39" s="351">
        <v>1425043</v>
      </c>
      <c r="G39" s="348">
        <v>785</v>
      </c>
      <c r="H39" s="200">
        <v>21651</v>
      </c>
      <c r="I39" s="348">
        <v>40</v>
      </c>
      <c r="J39" s="350"/>
      <c r="K39" s="348"/>
      <c r="L39" s="351">
        <v>1497190</v>
      </c>
      <c r="M39" s="353">
        <v>3502</v>
      </c>
      <c r="N39" s="348">
        <v>37</v>
      </c>
      <c r="O39" s="169">
        <v>269668</v>
      </c>
      <c r="P39" s="200">
        <v>442</v>
      </c>
      <c r="Q39" s="348">
        <v>1</v>
      </c>
      <c r="R39" s="352">
        <v>202126</v>
      </c>
      <c r="S39" s="353">
        <v>454</v>
      </c>
      <c r="T39" s="348">
        <v>2771</v>
      </c>
      <c r="U39" s="43"/>
      <c r="V39" s="42"/>
      <c r="W39" s="43"/>
      <c r="X39" s="42"/>
      <c r="Y39" s="43"/>
      <c r="Z39" s="42"/>
      <c r="AA39" s="43"/>
      <c r="AB39" s="42"/>
      <c r="AC39" s="491"/>
      <c r="AD39" s="491"/>
      <c r="AE39" s="491"/>
      <c r="AF39" s="491"/>
      <c r="AG39" s="491"/>
      <c r="AH39" s="491"/>
      <c r="AI39" s="202"/>
      <c r="AP39" s="588"/>
      <c r="AQ39" s="491"/>
      <c r="AR39" s="202"/>
    </row>
    <row r="40" spans="2:44" ht="14.5" x14ac:dyDescent="0.35">
      <c r="B40" s="99">
        <f>'1. LDC Info'!$F$18-9</f>
        <v>2015</v>
      </c>
      <c r="C40" s="371" t="s">
        <v>76</v>
      </c>
      <c r="D40" s="352">
        <v>9541117.8908418138</v>
      </c>
      <c r="E40" s="348">
        <v>12165</v>
      </c>
      <c r="F40" s="349">
        <v>1595096.549491212</v>
      </c>
      <c r="G40" s="348">
        <v>785</v>
      </c>
      <c r="H40" s="351">
        <v>21651</v>
      </c>
      <c r="I40" s="348">
        <v>40</v>
      </c>
      <c r="J40" s="350"/>
      <c r="K40" s="348"/>
      <c r="L40" s="351">
        <v>1579014.9676225716</v>
      </c>
      <c r="M40" s="200">
        <v>3725.2000000000003</v>
      </c>
      <c r="N40" s="348">
        <v>37</v>
      </c>
      <c r="O40" s="366">
        <v>265439.69</v>
      </c>
      <c r="P40" s="200">
        <v>440.48</v>
      </c>
      <c r="Q40" s="348">
        <v>1</v>
      </c>
      <c r="R40" s="352">
        <v>197240</v>
      </c>
      <c r="S40" s="354">
        <v>454.47</v>
      </c>
      <c r="T40" s="348">
        <v>2771</v>
      </c>
      <c r="U40" s="43"/>
      <c r="V40" s="42"/>
      <c r="W40" s="43"/>
      <c r="X40" s="42"/>
      <c r="Y40" s="43"/>
      <c r="Z40" s="42"/>
      <c r="AA40" s="43"/>
      <c r="AB40" s="42"/>
      <c r="AC40" s="491"/>
      <c r="AD40" s="491"/>
      <c r="AE40" s="491"/>
      <c r="AF40" s="491"/>
      <c r="AG40" s="491"/>
      <c r="AH40" s="491"/>
      <c r="AI40" s="202"/>
      <c r="AP40" s="588"/>
      <c r="AQ40" s="491"/>
      <c r="AR40" s="202"/>
    </row>
    <row r="41" spans="2:44" ht="14.5" x14ac:dyDescent="0.35">
      <c r="B41" s="99">
        <f>'1. LDC Info'!$F$18-9</f>
        <v>2015</v>
      </c>
      <c r="C41" s="371" t="s">
        <v>77</v>
      </c>
      <c r="D41" s="352">
        <v>9034606.3737280294</v>
      </c>
      <c r="E41" s="348"/>
      <c r="F41" s="351">
        <v>1530906.3644773359</v>
      </c>
      <c r="G41" s="348"/>
      <c r="H41" s="351">
        <v>21651</v>
      </c>
      <c r="I41" s="348"/>
      <c r="J41" s="350"/>
      <c r="K41" s="348"/>
      <c r="L41" s="351">
        <v>1449547.5948196116</v>
      </c>
      <c r="M41" s="200">
        <v>3502.7</v>
      </c>
      <c r="N41" s="348"/>
      <c r="O41" s="366">
        <v>239284.34</v>
      </c>
      <c r="P41" s="200">
        <v>433.47</v>
      </c>
      <c r="Q41" s="348">
        <v>1</v>
      </c>
      <c r="R41" s="352">
        <v>178833.97</v>
      </c>
      <c r="S41" s="354">
        <v>454.47</v>
      </c>
      <c r="T41" s="348"/>
      <c r="U41" s="43"/>
      <c r="V41" s="42"/>
      <c r="W41" s="43"/>
      <c r="X41" s="42"/>
      <c r="Y41" s="43"/>
      <c r="Z41" s="42"/>
      <c r="AA41" s="43"/>
      <c r="AB41" s="42"/>
      <c r="AC41" s="491"/>
      <c r="AD41" s="491"/>
      <c r="AE41" s="491"/>
      <c r="AF41" s="491"/>
      <c r="AG41" s="491"/>
      <c r="AH41" s="491"/>
      <c r="AI41" s="202"/>
      <c r="AP41" s="588"/>
      <c r="AQ41" s="491"/>
      <c r="AR41" s="202"/>
    </row>
    <row r="42" spans="2:44" ht="14.5" x14ac:dyDescent="0.35">
      <c r="B42" s="99">
        <f>'1. LDC Info'!$F$18-9</f>
        <v>2015</v>
      </c>
      <c r="C42" s="371" t="s">
        <v>78</v>
      </c>
      <c r="D42" s="352">
        <v>8082228.5661424613</v>
      </c>
      <c r="E42" s="348"/>
      <c r="F42" s="351">
        <v>1391086.7437557818</v>
      </c>
      <c r="G42" s="348"/>
      <c r="H42" s="351">
        <v>21651</v>
      </c>
      <c r="I42" s="348"/>
      <c r="J42" s="350"/>
      <c r="K42" s="348"/>
      <c r="L42" s="351">
        <v>1521804.0518038853</v>
      </c>
      <c r="M42" s="200">
        <v>3427.2000000000003</v>
      </c>
      <c r="N42" s="348"/>
      <c r="O42" s="366">
        <v>265072.74</v>
      </c>
      <c r="P42" s="200">
        <v>429.6</v>
      </c>
      <c r="Q42" s="348">
        <v>1</v>
      </c>
      <c r="R42" s="352">
        <v>158610.12</v>
      </c>
      <c r="S42" s="354">
        <v>454.47</v>
      </c>
      <c r="T42" s="348"/>
      <c r="U42" s="43"/>
      <c r="V42" s="42"/>
      <c r="W42" s="43"/>
      <c r="X42" s="42"/>
      <c r="Y42" s="43"/>
      <c r="Z42" s="42"/>
      <c r="AA42" s="43"/>
      <c r="AB42" s="42"/>
      <c r="AC42" s="491"/>
      <c r="AD42" s="491"/>
      <c r="AE42" s="491"/>
      <c r="AF42" s="491"/>
      <c r="AG42" s="491"/>
      <c r="AH42" s="491"/>
      <c r="AI42" s="202"/>
      <c r="AP42" s="588"/>
      <c r="AQ42" s="491"/>
      <c r="AR42" s="202"/>
    </row>
    <row r="43" spans="2:44" ht="14.5" x14ac:dyDescent="0.35">
      <c r="B43" s="99">
        <f>'1. LDC Info'!$F$18-9</f>
        <v>2015</v>
      </c>
      <c r="C43" s="371" t="s">
        <v>79</v>
      </c>
      <c r="D43" s="352">
        <v>6392446.0869565215</v>
      </c>
      <c r="E43" s="348"/>
      <c r="F43" s="351">
        <v>1233528.649398705</v>
      </c>
      <c r="G43" s="348"/>
      <c r="H43" s="351">
        <v>22728</v>
      </c>
      <c r="I43" s="348"/>
      <c r="J43" s="350"/>
      <c r="K43" s="348"/>
      <c r="L43" s="351">
        <v>1351203.9870490285</v>
      </c>
      <c r="M43" s="200">
        <v>3322</v>
      </c>
      <c r="N43" s="348"/>
      <c r="O43" s="366">
        <v>262368.12</v>
      </c>
      <c r="P43" s="200">
        <v>463</v>
      </c>
      <c r="Q43" s="348">
        <v>1</v>
      </c>
      <c r="R43" s="352">
        <v>132690.26</v>
      </c>
      <c r="S43" s="354">
        <v>454.47</v>
      </c>
      <c r="T43" s="348"/>
      <c r="U43" s="43"/>
      <c r="V43" s="42"/>
      <c r="W43" s="43"/>
      <c r="X43" s="42"/>
      <c r="Y43" s="43"/>
      <c r="Z43" s="42"/>
      <c r="AA43" s="43"/>
      <c r="AB43" s="42"/>
      <c r="AC43" s="491"/>
      <c r="AD43" s="491"/>
      <c r="AE43" s="491"/>
      <c r="AF43" s="491"/>
      <c r="AG43" s="491"/>
      <c r="AH43" s="491"/>
      <c r="AI43" s="202"/>
      <c r="AP43" s="588"/>
      <c r="AQ43" s="491"/>
      <c r="AR43" s="202"/>
    </row>
    <row r="44" spans="2:44" ht="14.5" x14ac:dyDescent="0.35">
      <c r="B44" s="99">
        <f>'1. LDC Info'!$F$18-9</f>
        <v>2015</v>
      </c>
      <c r="C44" s="371" t="s">
        <v>80</v>
      </c>
      <c r="D44" s="352">
        <v>6200525.2636447735</v>
      </c>
      <c r="E44" s="348"/>
      <c r="F44" s="351">
        <v>1289030.277520814</v>
      </c>
      <c r="G44" s="348"/>
      <c r="H44" s="351">
        <v>22727</v>
      </c>
      <c r="I44" s="348"/>
      <c r="J44" s="350"/>
      <c r="K44" s="348"/>
      <c r="L44" s="351">
        <v>1516857.6595744679</v>
      </c>
      <c r="M44" s="200">
        <v>4329.7</v>
      </c>
      <c r="N44" s="348"/>
      <c r="O44" s="366">
        <v>301326.34999999998</v>
      </c>
      <c r="P44" s="200">
        <v>606.20000000000005</v>
      </c>
      <c r="Q44" s="348">
        <v>1</v>
      </c>
      <c r="R44" s="352">
        <v>118590.44</v>
      </c>
      <c r="S44" s="354">
        <v>454.47</v>
      </c>
      <c r="T44" s="348"/>
      <c r="U44" s="43"/>
      <c r="V44" s="42"/>
      <c r="W44" s="43"/>
      <c r="X44" s="42"/>
      <c r="Y44" s="43"/>
      <c r="Z44" s="42"/>
      <c r="AA44" s="43"/>
      <c r="AB44" s="42"/>
      <c r="AC44" s="491"/>
      <c r="AD44" s="491"/>
      <c r="AE44" s="491"/>
      <c r="AF44" s="491"/>
      <c r="AG44" s="491"/>
      <c r="AH44" s="491"/>
      <c r="AI44" s="202"/>
      <c r="AP44" s="588"/>
      <c r="AQ44" s="491"/>
      <c r="AR44" s="202"/>
    </row>
    <row r="45" spans="2:44" ht="14.5" x14ac:dyDescent="0.35">
      <c r="B45" s="99">
        <f>'1. LDC Info'!$F$18-9</f>
        <v>2015</v>
      </c>
      <c r="C45" s="371" t="s">
        <v>81</v>
      </c>
      <c r="D45" s="352">
        <v>5866496.9565217393</v>
      </c>
      <c r="E45" s="348"/>
      <c r="F45" s="351">
        <v>1306767.715078631</v>
      </c>
      <c r="G45" s="348"/>
      <c r="H45" s="351">
        <v>22727</v>
      </c>
      <c r="I45" s="348"/>
      <c r="J45" s="350"/>
      <c r="K45" s="348"/>
      <c r="L45" s="351">
        <v>1511830.7123034231</v>
      </c>
      <c r="M45" s="200">
        <v>3989.7999999999997</v>
      </c>
      <c r="N45" s="348"/>
      <c r="O45" s="366">
        <v>306050.44</v>
      </c>
      <c r="P45" s="200">
        <v>567.20000000000005</v>
      </c>
      <c r="Q45" s="348">
        <v>1</v>
      </c>
      <c r="R45" s="352">
        <v>104618.79</v>
      </c>
      <c r="S45" s="354">
        <v>454.37</v>
      </c>
      <c r="T45" s="348"/>
      <c r="U45" s="43"/>
      <c r="V45" s="42"/>
      <c r="W45" s="43"/>
      <c r="X45" s="42"/>
      <c r="Y45" s="43"/>
      <c r="Z45" s="42"/>
      <c r="AA45" s="43"/>
      <c r="AB45" s="42"/>
      <c r="AC45" s="491"/>
      <c r="AD45" s="491"/>
      <c r="AE45" s="491"/>
      <c r="AF45" s="491"/>
      <c r="AG45" s="491"/>
      <c r="AH45" s="491"/>
      <c r="AI45" s="202"/>
      <c r="AP45" s="588"/>
      <c r="AQ45" s="491"/>
      <c r="AR45" s="202"/>
    </row>
    <row r="46" spans="2:44" ht="14.5" x14ac:dyDescent="0.35">
      <c r="B46" s="99">
        <f>'1. LDC Info'!$F$18-9</f>
        <v>2015</v>
      </c>
      <c r="C46" s="371" t="s">
        <v>82</v>
      </c>
      <c r="D46" s="352">
        <v>7877919.3987049023</v>
      </c>
      <c r="E46" s="348"/>
      <c r="F46" s="351">
        <v>1716496.7530064755</v>
      </c>
      <c r="G46" s="348"/>
      <c r="H46" s="351">
        <v>22688</v>
      </c>
      <c r="I46" s="348"/>
      <c r="J46" s="350"/>
      <c r="K46" s="348"/>
      <c r="L46" s="351">
        <v>1798904.0148011104</v>
      </c>
      <c r="M46" s="200">
        <v>4438.8999999999996</v>
      </c>
      <c r="N46" s="348"/>
      <c r="O46" s="366">
        <v>333118.44</v>
      </c>
      <c r="P46" s="200">
        <v>613.20000000000005</v>
      </c>
      <c r="Q46" s="348">
        <v>1</v>
      </c>
      <c r="R46" s="352">
        <v>114387.61</v>
      </c>
      <c r="S46" s="354">
        <v>454.37</v>
      </c>
      <c r="T46" s="348"/>
      <c r="U46" s="43"/>
      <c r="V46" s="42"/>
      <c r="W46" s="43"/>
      <c r="X46" s="42"/>
      <c r="Y46" s="43"/>
      <c r="Z46" s="42"/>
      <c r="AA46" s="43"/>
      <c r="AB46" s="42"/>
      <c r="AC46" s="491"/>
      <c r="AD46" s="491"/>
      <c r="AE46" s="491"/>
      <c r="AF46" s="491"/>
      <c r="AG46" s="491"/>
      <c r="AH46" s="491"/>
      <c r="AI46" s="202"/>
      <c r="AP46" s="588"/>
      <c r="AQ46" s="491"/>
      <c r="AR46" s="202"/>
    </row>
    <row r="47" spans="2:44" ht="14.5" x14ac:dyDescent="0.35">
      <c r="B47" s="99">
        <f>'1. LDC Info'!$F$18-9</f>
        <v>2015</v>
      </c>
      <c r="C47" s="371" t="s">
        <v>83</v>
      </c>
      <c r="D47" s="352">
        <v>7539173.1637372812</v>
      </c>
      <c r="E47" s="348"/>
      <c r="F47" s="351">
        <v>1664516.0129509715</v>
      </c>
      <c r="G47" s="348"/>
      <c r="H47" s="351">
        <v>21382</v>
      </c>
      <c r="I47" s="348"/>
      <c r="J47" s="350"/>
      <c r="K47" s="348"/>
      <c r="L47" s="351">
        <v>1615429.4079555969</v>
      </c>
      <c r="M47" s="200">
        <v>4380.5</v>
      </c>
      <c r="N47" s="348"/>
      <c r="O47" s="366">
        <v>330081.02</v>
      </c>
      <c r="P47" s="200">
        <v>600.29999999999995</v>
      </c>
      <c r="Q47" s="348">
        <v>1</v>
      </c>
      <c r="R47" s="352">
        <v>130744.89</v>
      </c>
      <c r="S47" s="354">
        <v>454.37</v>
      </c>
      <c r="T47" s="348"/>
      <c r="U47" s="43"/>
      <c r="V47" s="42"/>
      <c r="W47" s="43"/>
      <c r="X47" s="42"/>
      <c r="Y47" s="43"/>
      <c r="Z47" s="42"/>
      <c r="AA47" s="43"/>
      <c r="AB47" s="42"/>
      <c r="AC47" s="491"/>
      <c r="AD47" s="491"/>
      <c r="AE47" s="491"/>
      <c r="AF47" s="491"/>
      <c r="AG47" s="491"/>
      <c r="AH47" s="491"/>
      <c r="AI47" s="202"/>
      <c r="AP47" s="588"/>
      <c r="AQ47" s="491"/>
      <c r="AR47" s="202"/>
    </row>
    <row r="48" spans="2:44" ht="14.5" x14ac:dyDescent="0.35">
      <c r="B48" s="99">
        <f>'1. LDC Info'!$F$18-9</f>
        <v>2015</v>
      </c>
      <c r="C48" s="371" t="s">
        <v>73</v>
      </c>
      <c r="D48" s="352">
        <v>6733368.8806660501</v>
      </c>
      <c r="E48" s="348"/>
      <c r="F48" s="351">
        <v>1404225.3561517114</v>
      </c>
      <c r="G48" s="348"/>
      <c r="H48" s="351">
        <v>19884</v>
      </c>
      <c r="I48" s="348"/>
      <c r="J48" s="350"/>
      <c r="K48" s="348"/>
      <c r="L48" s="351">
        <v>1547861.0175763185</v>
      </c>
      <c r="M48" s="200">
        <v>4522.4999999999991</v>
      </c>
      <c r="N48" s="348"/>
      <c r="O48" s="366">
        <v>312471.59999999998</v>
      </c>
      <c r="P48" s="200">
        <v>597.9</v>
      </c>
      <c r="Q48" s="348">
        <v>1</v>
      </c>
      <c r="R48" s="352">
        <v>149058.98000000001</v>
      </c>
      <c r="S48" s="354">
        <v>454.37</v>
      </c>
      <c r="T48" s="348"/>
      <c r="U48" s="43"/>
      <c r="V48" s="42"/>
      <c r="W48" s="43"/>
      <c r="X48" s="42"/>
      <c r="Y48" s="43"/>
      <c r="Z48" s="42"/>
      <c r="AA48" s="43"/>
      <c r="AB48" s="42"/>
      <c r="AC48" s="491"/>
      <c r="AD48" s="491"/>
      <c r="AE48" s="491"/>
      <c r="AF48" s="491"/>
      <c r="AG48" s="491"/>
      <c r="AH48" s="491"/>
      <c r="AI48" s="202"/>
      <c r="AP48" s="588"/>
      <c r="AQ48" s="491"/>
      <c r="AR48" s="202"/>
    </row>
    <row r="49" spans="2:44" ht="14.5" x14ac:dyDescent="0.35">
      <c r="B49" s="99">
        <f>'1. LDC Info'!$F$18-9</f>
        <v>2015</v>
      </c>
      <c r="C49" s="371" t="s">
        <v>74</v>
      </c>
      <c r="D49" s="358">
        <v>6414033.7095282152</v>
      </c>
      <c r="E49" s="348"/>
      <c r="F49" s="351">
        <v>1198659.3246993525</v>
      </c>
      <c r="G49" s="348"/>
      <c r="H49" s="351">
        <v>20673</v>
      </c>
      <c r="I49" s="348"/>
      <c r="J49" s="350"/>
      <c r="K49" s="348"/>
      <c r="L49" s="351">
        <v>1403303.6725254396</v>
      </c>
      <c r="M49" s="200">
        <v>4008.7</v>
      </c>
      <c r="N49" s="348"/>
      <c r="O49" s="366">
        <v>275412.58</v>
      </c>
      <c r="P49" s="200">
        <v>483.1</v>
      </c>
      <c r="Q49" s="348">
        <v>1</v>
      </c>
      <c r="R49" s="352">
        <v>175668.52</v>
      </c>
      <c r="S49" s="354">
        <v>460.77</v>
      </c>
      <c r="T49" s="348"/>
      <c r="U49" s="43"/>
      <c r="V49" s="42"/>
      <c r="W49" s="43"/>
      <c r="X49" s="42"/>
      <c r="Y49" s="43"/>
      <c r="Z49" s="42"/>
      <c r="AA49" s="43"/>
      <c r="AB49" s="42"/>
      <c r="AC49" s="491"/>
      <c r="AD49" s="491"/>
      <c r="AE49" s="491"/>
      <c r="AF49" s="491"/>
      <c r="AG49" s="491"/>
      <c r="AH49" s="491"/>
      <c r="AI49" s="202"/>
      <c r="AP49" s="588"/>
      <c r="AQ49" s="491"/>
      <c r="AR49" s="202"/>
    </row>
    <row r="50" spans="2:44" ht="14.5" x14ac:dyDescent="0.35">
      <c r="B50" s="99">
        <f>'1. LDC Info'!$F$18-9</f>
        <v>2015</v>
      </c>
      <c r="C50" s="371" t="s">
        <v>75</v>
      </c>
      <c r="D50" s="352">
        <v>6615515.6891766889</v>
      </c>
      <c r="E50" s="348"/>
      <c r="F50" s="351">
        <v>1176302.3219241444</v>
      </c>
      <c r="G50" s="348"/>
      <c r="H50" s="351">
        <v>20673</v>
      </c>
      <c r="I50" s="348"/>
      <c r="J50" s="350"/>
      <c r="K50" s="348"/>
      <c r="L50" s="351">
        <v>1218320.6845513415</v>
      </c>
      <c r="M50" s="200">
        <v>3239.5</v>
      </c>
      <c r="N50" s="348"/>
      <c r="O50" s="366">
        <v>263454.69</v>
      </c>
      <c r="P50" s="200">
        <v>504.6</v>
      </c>
      <c r="Q50" s="348">
        <v>1</v>
      </c>
      <c r="R50" s="352">
        <v>190451.8</v>
      </c>
      <c r="S50" s="354">
        <v>460.77</v>
      </c>
      <c r="T50" s="348"/>
      <c r="U50" s="43"/>
      <c r="V50" s="42"/>
      <c r="W50" s="43"/>
      <c r="X50" s="42"/>
      <c r="Y50" s="43"/>
      <c r="Z50" s="42"/>
      <c r="AA50" s="43"/>
      <c r="AB50" s="42"/>
      <c r="AC50" s="491"/>
      <c r="AD50" s="491"/>
      <c r="AE50" s="491"/>
      <c r="AF50" s="491"/>
      <c r="AG50" s="491"/>
      <c r="AH50" s="491"/>
      <c r="AI50" s="202"/>
      <c r="AP50" s="588"/>
      <c r="AQ50" s="491"/>
      <c r="AR50" s="202"/>
    </row>
    <row r="51" spans="2:44" ht="14.5" x14ac:dyDescent="0.35">
      <c r="B51" s="99">
        <f>'1. LDC Info'!$F$18-9</f>
        <v>2015</v>
      </c>
      <c r="C51" s="371" t="s">
        <v>72</v>
      </c>
      <c r="D51" s="352">
        <v>7722462.3681776142</v>
      </c>
      <c r="E51" s="348">
        <v>12350</v>
      </c>
      <c r="F51" s="351">
        <v>1310103.8297872341</v>
      </c>
      <c r="G51" s="348">
        <v>785</v>
      </c>
      <c r="H51" s="351">
        <v>20298</v>
      </c>
      <c r="I51" s="348">
        <v>41</v>
      </c>
      <c r="J51" s="350"/>
      <c r="K51" s="348"/>
      <c r="L51" s="351">
        <v>1322221.4153561515</v>
      </c>
      <c r="M51" s="200">
        <v>3412.1</v>
      </c>
      <c r="N51" s="348">
        <v>37</v>
      </c>
      <c r="O51" s="366">
        <v>268967.2</v>
      </c>
      <c r="P51" s="200">
        <v>475.48</v>
      </c>
      <c r="Q51" s="348">
        <v>1</v>
      </c>
      <c r="R51" s="352">
        <v>160448.01</v>
      </c>
      <c r="S51" s="354">
        <v>464.8</v>
      </c>
      <c r="T51" s="348">
        <v>2899</v>
      </c>
      <c r="U51" s="43"/>
      <c r="V51" s="42"/>
      <c r="W51" s="43"/>
      <c r="X51" s="42"/>
      <c r="Y51" s="43"/>
      <c r="Z51" s="42"/>
      <c r="AA51" s="43"/>
      <c r="AB51" s="42"/>
      <c r="AC51" s="491"/>
      <c r="AD51" s="491"/>
      <c r="AE51" s="491"/>
      <c r="AF51" s="491"/>
      <c r="AG51" s="491"/>
      <c r="AH51" s="491"/>
      <c r="AI51" s="202"/>
      <c r="AP51" s="588"/>
      <c r="AQ51" s="491"/>
      <c r="AR51" s="202"/>
    </row>
    <row r="52" spans="2:44" ht="14.5" x14ac:dyDescent="0.35">
      <c r="B52" s="99">
        <f>'1. LDC Info'!$F$18-8</f>
        <v>2016</v>
      </c>
      <c r="C52" s="371" t="s">
        <v>76</v>
      </c>
      <c r="D52" s="352">
        <v>8687331.2395929694</v>
      </c>
      <c r="E52" s="348">
        <v>12350</v>
      </c>
      <c r="F52" s="349">
        <v>1488181.3135985199</v>
      </c>
      <c r="G52" s="348">
        <v>785</v>
      </c>
      <c r="H52" s="351">
        <v>19485</v>
      </c>
      <c r="I52" s="348">
        <v>41</v>
      </c>
      <c r="J52" s="350"/>
      <c r="K52" s="348"/>
      <c r="L52" s="351">
        <v>1414812.9139685475</v>
      </c>
      <c r="M52" s="200">
        <v>3245</v>
      </c>
      <c r="N52" s="348">
        <v>37</v>
      </c>
      <c r="O52" s="366">
        <v>252265.87</v>
      </c>
      <c r="P52" s="200">
        <v>432.3</v>
      </c>
      <c r="Q52" s="348">
        <v>1</v>
      </c>
      <c r="R52" s="352">
        <v>120639.7</v>
      </c>
      <c r="S52" s="354">
        <v>360.76</v>
      </c>
      <c r="T52" s="348">
        <v>2899</v>
      </c>
      <c r="U52" s="43"/>
      <c r="V52" s="42"/>
      <c r="W52" s="43"/>
      <c r="X52" s="42"/>
      <c r="Y52" s="43"/>
      <c r="Z52" s="42"/>
      <c r="AA52" s="43"/>
      <c r="AB52" s="42"/>
      <c r="AC52" s="491"/>
      <c r="AD52" s="491"/>
      <c r="AE52" s="491"/>
      <c r="AF52" s="491"/>
      <c r="AG52" s="491"/>
      <c r="AH52" s="491"/>
      <c r="AI52" s="202"/>
      <c r="AP52" s="588"/>
      <c r="AQ52" s="491"/>
      <c r="AR52" s="202"/>
    </row>
    <row r="53" spans="2:44" ht="14.5" x14ac:dyDescent="0.35">
      <c r="B53" s="99">
        <f>'1. LDC Info'!$F$18-8</f>
        <v>2016</v>
      </c>
      <c r="C53" s="371" t="s">
        <v>77</v>
      </c>
      <c r="D53" s="352">
        <v>8002540.1665124884</v>
      </c>
      <c r="E53" s="348"/>
      <c r="F53" s="351">
        <v>1398342.2386679002</v>
      </c>
      <c r="G53" s="348"/>
      <c r="H53" s="351">
        <v>19485</v>
      </c>
      <c r="I53" s="348"/>
      <c r="J53" s="350"/>
      <c r="K53" s="348"/>
      <c r="L53" s="351">
        <v>1355914.255319149</v>
      </c>
      <c r="M53" s="200">
        <v>3503.7</v>
      </c>
      <c r="N53" s="348"/>
      <c r="O53" s="366">
        <v>233705.77</v>
      </c>
      <c r="P53" s="200">
        <v>424.46</v>
      </c>
      <c r="Q53" s="348">
        <v>1</v>
      </c>
      <c r="R53" s="352">
        <v>111969.8</v>
      </c>
      <c r="S53" s="354">
        <v>360.76</v>
      </c>
      <c r="T53" s="348"/>
      <c r="U53" s="43"/>
      <c r="V53" s="42"/>
      <c r="W53" s="43"/>
      <c r="X53" s="42"/>
      <c r="Y53" s="43"/>
      <c r="Z53" s="42"/>
      <c r="AA53" s="43"/>
      <c r="AB53" s="42"/>
      <c r="AC53" s="491"/>
      <c r="AD53" s="491"/>
      <c r="AE53" s="491"/>
      <c r="AF53" s="491"/>
      <c r="AG53" s="491"/>
      <c r="AH53" s="491"/>
      <c r="AI53" s="202"/>
      <c r="AP53" s="588"/>
      <c r="AQ53" s="491"/>
      <c r="AR53" s="202"/>
    </row>
    <row r="54" spans="2:44" ht="14.5" x14ac:dyDescent="0.35">
      <c r="B54" s="99">
        <f>'1. LDC Info'!$F$18-8</f>
        <v>2016</v>
      </c>
      <c r="C54" s="371" t="s">
        <v>78</v>
      </c>
      <c r="D54" s="352">
        <v>7516984.3663274748</v>
      </c>
      <c r="E54" s="348"/>
      <c r="F54" s="351">
        <v>1358250.8603145236</v>
      </c>
      <c r="G54" s="348"/>
      <c r="H54" s="351">
        <v>19485</v>
      </c>
      <c r="I54" s="348"/>
      <c r="J54" s="350"/>
      <c r="K54" s="348"/>
      <c r="L54" s="351">
        <v>1344468.371877891</v>
      </c>
      <c r="M54" s="200">
        <v>3420.3000000000006</v>
      </c>
      <c r="N54" s="348"/>
      <c r="O54" s="366">
        <v>254694.03</v>
      </c>
      <c r="P54" s="200">
        <v>445.71</v>
      </c>
      <c r="Q54" s="348">
        <v>1</v>
      </c>
      <c r="R54" s="352">
        <v>96013.48</v>
      </c>
      <c r="S54" s="354">
        <v>275.11</v>
      </c>
      <c r="T54" s="348"/>
      <c r="U54" s="43"/>
      <c r="V54" s="42"/>
      <c r="W54" s="43"/>
      <c r="X54" s="42"/>
      <c r="Y54" s="43"/>
      <c r="Z54" s="42"/>
      <c r="AA54" s="43"/>
      <c r="AB54" s="42"/>
      <c r="AC54" s="491"/>
      <c r="AD54" s="491"/>
      <c r="AE54" s="491"/>
      <c r="AF54" s="491"/>
      <c r="AG54" s="491"/>
      <c r="AH54" s="491"/>
      <c r="AI54" s="202"/>
      <c r="AP54" s="588"/>
      <c r="AQ54" s="491"/>
      <c r="AR54" s="202"/>
    </row>
    <row r="55" spans="2:44" ht="14.5" x14ac:dyDescent="0.35">
      <c r="B55" s="99">
        <f>'1. LDC Info'!$F$18-8</f>
        <v>2016</v>
      </c>
      <c r="C55" s="371" t="s">
        <v>79</v>
      </c>
      <c r="D55" s="352">
        <v>6791889.3802035153</v>
      </c>
      <c r="E55" s="348"/>
      <c r="F55" s="351">
        <v>1265671.8778908418</v>
      </c>
      <c r="G55" s="348"/>
      <c r="H55" s="351">
        <v>19485</v>
      </c>
      <c r="I55" s="348"/>
      <c r="J55" s="350"/>
      <c r="K55" s="348"/>
      <c r="L55" s="351">
        <v>1248616.1887141536</v>
      </c>
      <c r="M55" s="200">
        <v>3383.9999999999995</v>
      </c>
      <c r="N55" s="348"/>
      <c r="O55" s="366">
        <v>240785.11</v>
      </c>
      <c r="P55" s="200">
        <v>442.72</v>
      </c>
      <c r="Q55" s="348">
        <v>1</v>
      </c>
      <c r="R55" s="352">
        <v>80332.14</v>
      </c>
      <c r="S55" s="354">
        <v>275.11</v>
      </c>
      <c r="T55" s="348"/>
      <c r="U55" s="43"/>
      <c r="V55" s="42"/>
      <c r="W55" s="43"/>
      <c r="X55" s="42"/>
      <c r="Y55" s="43"/>
      <c r="Z55" s="42"/>
      <c r="AA55" s="43"/>
      <c r="AB55" s="42"/>
      <c r="AC55" s="491"/>
      <c r="AD55" s="491"/>
      <c r="AE55" s="491"/>
      <c r="AF55" s="491"/>
      <c r="AG55" s="491"/>
      <c r="AH55" s="491"/>
      <c r="AI55" s="202"/>
      <c r="AP55" s="588"/>
      <c r="AQ55" s="491"/>
      <c r="AR55" s="202"/>
    </row>
    <row r="56" spans="2:44" ht="14.5" x14ac:dyDescent="0.35">
      <c r="B56" s="99">
        <f>'1. LDC Info'!$F$18-8</f>
        <v>2016</v>
      </c>
      <c r="C56" s="371" t="s">
        <v>80</v>
      </c>
      <c r="D56" s="352">
        <v>6366089.4278837247</v>
      </c>
      <c r="E56" s="348"/>
      <c r="F56" s="351">
        <v>1326372.551379374</v>
      </c>
      <c r="G56" s="348"/>
      <c r="H56" s="351">
        <v>19485</v>
      </c>
      <c r="I56" s="348"/>
      <c r="J56" s="350"/>
      <c r="K56" s="348"/>
      <c r="L56" s="351">
        <v>1402071.8015182372</v>
      </c>
      <c r="M56" s="200">
        <v>4178.4999999999991</v>
      </c>
      <c r="N56" s="348"/>
      <c r="O56" s="366">
        <v>267591.18</v>
      </c>
      <c r="P56" s="200">
        <v>566.4</v>
      </c>
      <c r="Q56" s="348">
        <v>1</v>
      </c>
      <c r="R56" s="352">
        <v>71803.839999999997</v>
      </c>
      <c r="S56" s="354">
        <v>275.11</v>
      </c>
      <c r="T56" s="348"/>
      <c r="U56" s="43"/>
      <c r="V56" s="42"/>
      <c r="W56" s="43"/>
      <c r="X56" s="42"/>
      <c r="Y56" s="43"/>
      <c r="Z56" s="42"/>
      <c r="AA56" s="43"/>
      <c r="AB56" s="42"/>
      <c r="AC56" s="491"/>
      <c r="AD56" s="491"/>
      <c r="AE56" s="491"/>
      <c r="AF56" s="491"/>
      <c r="AG56" s="491"/>
      <c r="AH56" s="491"/>
      <c r="AI56" s="202"/>
      <c r="AP56" s="588"/>
      <c r="AQ56" s="491"/>
      <c r="AR56" s="202"/>
    </row>
    <row r="57" spans="2:44" ht="14.5" x14ac:dyDescent="0.35">
      <c r="B57" s="99">
        <f>'1. LDC Info'!$F$18-8</f>
        <v>2016</v>
      </c>
      <c r="C57" s="371" t="s">
        <v>81</v>
      </c>
      <c r="D57" s="352">
        <v>6452021.5515645249</v>
      </c>
      <c r="E57" s="348"/>
      <c r="F57" s="351">
        <v>1420257.3597481947</v>
      </c>
      <c r="G57" s="348"/>
      <c r="H57" s="351">
        <v>12317</v>
      </c>
      <c r="I57" s="348"/>
      <c r="J57" s="350"/>
      <c r="K57" s="348"/>
      <c r="L57" s="351">
        <v>1457885.2897611551</v>
      </c>
      <c r="M57" s="200">
        <v>4403.6000000000004</v>
      </c>
      <c r="N57" s="348"/>
      <c r="O57" s="366">
        <v>280678.44</v>
      </c>
      <c r="P57" s="200">
        <v>579.5</v>
      </c>
      <c r="Q57" s="348">
        <v>1</v>
      </c>
      <c r="R57" s="352">
        <v>63343.98</v>
      </c>
      <c r="S57" s="354">
        <v>275.11</v>
      </c>
      <c r="T57" s="348"/>
      <c r="U57" s="43"/>
      <c r="V57" s="42"/>
      <c r="W57" s="43"/>
      <c r="X57" s="42"/>
      <c r="Y57" s="43"/>
      <c r="Z57" s="42"/>
      <c r="AA57" s="43"/>
      <c r="AB57" s="42"/>
      <c r="AC57" s="491"/>
      <c r="AD57" s="491"/>
      <c r="AE57" s="491"/>
      <c r="AF57" s="491"/>
      <c r="AG57" s="491"/>
      <c r="AH57" s="491"/>
      <c r="AI57" s="202"/>
      <c r="AP57" s="588"/>
      <c r="AQ57" s="491"/>
      <c r="AR57" s="202"/>
    </row>
    <row r="58" spans="2:44" ht="14.5" x14ac:dyDescent="0.35">
      <c r="B58" s="99">
        <f>'1. LDC Info'!$F$18-8</f>
        <v>2016</v>
      </c>
      <c r="C58" s="371" t="s">
        <v>82</v>
      </c>
      <c r="D58" s="352">
        <v>8792337.6596926488</v>
      </c>
      <c r="E58" s="348"/>
      <c r="F58" s="351">
        <v>1836012.7661544157</v>
      </c>
      <c r="G58" s="348"/>
      <c r="H58" s="351">
        <v>12321</v>
      </c>
      <c r="I58" s="348"/>
      <c r="J58" s="350"/>
      <c r="K58" s="348"/>
      <c r="L58" s="351">
        <v>1709707.5263840028</v>
      </c>
      <c r="M58" s="200">
        <v>4164.5</v>
      </c>
      <c r="N58" s="348"/>
      <c r="O58" s="366">
        <v>313232.06</v>
      </c>
      <c r="P58" s="200">
        <v>561</v>
      </c>
      <c r="Q58" s="348">
        <v>1</v>
      </c>
      <c r="R58" s="352">
        <v>46538.38</v>
      </c>
      <c r="S58" s="354">
        <v>184.86</v>
      </c>
      <c r="T58" s="348"/>
      <c r="U58" s="43"/>
      <c r="V58" s="42"/>
      <c r="W58" s="43"/>
      <c r="X58" s="42"/>
      <c r="Y58" s="43"/>
      <c r="Z58" s="42"/>
      <c r="AA58" s="43"/>
      <c r="AB58" s="42"/>
      <c r="AC58" s="491"/>
      <c r="AD58" s="491"/>
      <c r="AE58" s="491"/>
      <c r="AF58" s="491"/>
      <c r="AG58" s="491"/>
      <c r="AH58" s="491"/>
      <c r="AI58" s="202"/>
      <c r="AP58" s="588"/>
      <c r="AQ58" s="491"/>
      <c r="AR58" s="202"/>
    </row>
    <row r="59" spans="2:44" ht="14.5" x14ac:dyDescent="0.35">
      <c r="B59" s="99">
        <f>'1. LDC Info'!$F$18-8</f>
        <v>2016</v>
      </c>
      <c r="C59" s="371" t="s">
        <v>83</v>
      </c>
      <c r="D59" s="352">
        <v>9032001.5645250883</v>
      </c>
      <c r="E59" s="348"/>
      <c r="F59" s="351">
        <v>1852583.1142381041</v>
      </c>
      <c r="G59" s="348"/>
      <c r="H59" s="351">
        <v>12317</v>
      </c>
      <c r="I59" s="348"/>
      <c r="J59" s="350"/>
      <c r="K59" s="348"/>
      <c r="L59" s="351">
        <v>1712643.5289761154</v>
      </c>
      <c r="M59" s="200">
        <v>3184.2999999999997</v>
      </c>
      <c r="N59" s="348"/>
      <c r="O59" s="366">
        <v>325470.08000000002</v>
      </c>
      <c r="P59" s="200">
        <v>581.79999999999995</v>
      </c>
      <c r="Q59" s="348">
        <v>1</v>
      </c>
      <c r="R59" s="352">
        <v>53193.32</v>
      </c>
      <c r="S59" s="354">
        <v>184.86</v>
      </c>
      <c r="T59" s="348"/>
      <c r="U59" s="43"/>
      <c r="V59" s="42"/>
      <c r="W59" s="43"/>
      <c r="X59" s="42"/>
      <c r="Y59" s="43"/>
      <c r="Z59" s="42"/>
      <c r="AA59" s="43"/>
      <c r="AB59" s="42"/>
      <c r="AC59" s="491"/>
      <c r="AD59" s="491"/>
      <c r="AE59" s="491"/>
      <c r="AF59" s="491"/>
      <c r="AG59" s="491"/>
      <c r="AH59" s="491"/>
      <c r="AI59" s="202"/>
      <c r="AP59" s="588"/>
      <c r="AQ59" s="491"/>
      <c r="AR59" s="202"/>
    </row>
    <row r="60" spans="2:44" ht="14.5" x14ac:dyDescent="0.35">
      <c r="B60" s="99">
        <f>'1. LDC Info'!$F$18-8</f>
        <v>2016</v>
      </c>
      <c r="C60" s="371" t="s">
        <v>73</v>
      </c>
      <c r="D60" s="352">
        <v>6365486.826513608</v>
      </c>
      <c r="E60" s="348"/>
      <c r="F60" s="351">
        <v>1364343.112386595</v>
      </c>
      <c r="G60" s="348"/>
      <c r="H60" s="351">
        <v>12317</v>
      </c>
      <c r="I60" s="348"/>
      <c r="J60" s="355"/>
      <c r="K60" s="356"/>
      <c r="L60" s="351">
        <v>1441872.3569709312</v>
      </c>
      <c r="M60" s="200">
        <v>5082.7</v>
      </c>
      <c r="N60" s="348"/>
      <c r="O60" s="366">
        <v>286032.94</v>
      </c>
      <c r="P60" s="200">
        <v>563</v>
      </c>
      <c r="Q60" s="348">
        <v>1</v>
      </c>
      <c r="R60" s="352">
        <v>59802.07</v>
      </c>
      <c r="S60" s="354">
        <v>184.46</v>
      </c>
      <c r="T60" s="348"/>
      <c r="U60" s="43"/>
      <c r="V60" s="42"/>
      <c r="W60" s="43"/>
      <c r="X60" s="42"/>
      <c r="Y60" s="43"/>
      <c r="Z60" s="42"/>
      <c r="AA60" s="43"/>
      <c r="AB60" s="42"/>
      <c r="AC60" s="491"/>
      <c r="AD60" s="491"/>
      <c r="AE60" s="491"/>
      <c r="AF60" s="491"/>
      <c r="AG60" s="491"/>
      <c r="AH60" s="491"/>
      <c r="AI60" s="202"/>
      <c r="AP60" s="588"/>
      <c r="AQ60" s="491"/>
      <c r="AR60" s="202"/>
    </row>
    <row r="61" spans="2:44" ht="14.5" x14ac:dyDescent="0.35">
      <c r="B61" s="99">
        <f>'1. LDC Info'!$F$18-8</f>
        <v>2016</v>
      </c>
      <c r="C61" s="371" t="s">
        <v>74</v>
      </c>
      <c r="D61" s="352">
        <v>6334776.4580633212</v>
      </c>
      <c r="E61" s="348"/>
      <c r="F61" s="351">
        <v>1166009.9333456766</v>
      </c>
      <c r="G61" s="348"/>
      <c r="H61" s="351">
        <v>12317</v>
      </c>
      <c r="I61" s="348"/>
      <c r="J61" s="355"/>
      <c r="K61" s="356"/>
      <c r="L61" s="351">
        <v>1297154.0825773003</v>
      </c>
      <c r="M61" s="200">
        <v>4109.8999999999996</v>
      </c>
      <c r="N61" s="348"/>
      <c r="O61" s="366">
        <v>262157.65000000002</v>
      </c>
      <c r="P61" s="200">
        <v>531.79999999999995</v>
      </c>
      <c r="Q61" s="348">
        <v>1</v>
      </c>
      <c r="R61" s="352">
        <v>70477.710000000006</v>
      </c>
      <c r="S61" s="354">
        <v>184.86</v>
      </c>
      <c r="T61" s="348"/>
      <c r="U61" s="43"/>
      <c r="V61" s="42"/>
      <c r="W61" s="43"/>
      <c r="X61" s="42"/>
      <c r="Y61" s="43"/>
      <c r="Z61" s="42"/>
      <c r="AA61" s="43"/>
      <c r="AB61" s="42"/>
      <c r="AC61" s="491"/>
      <c r="AD61" s="491"/>
      <c r="AE61" s="491"/>
      <c r="AF61" s="491"/>
      <c r="AG61" s="491"/>
      <c r="AH61" s="491"/>
      <c r="AI61" s="202"/>
      <c r="AP61" s="588"/>
      <c r="AQ61" s="491"/>
      <c r="AR61" s="202"/>
    </row>
    <row r="62" spans="2:44" ht="14.5" x14ac:dyDescent="0.35">
      <c r="B62" s="99">
        <f>'1. LDC Info'!$F$18-8</f>
        <v>2016</v>
      </c>
      <c r="C62" s="371" t="s">
        <v>75</v>
      </c>
      <c r="D62" s="352">
        <v>6632337.5115719317</v>
      </c>
      <c r="E62" s="348"/>
      <c r="F62" s="351">
        <v>1211157.4615811887</v>
      </c>
      <c r="G62" s="348"/>
      <c r="H62" s="351">
        <v>12317</v>
      </c>
      <c r="I62" s="348"/>
      <c r="J62" s="355"/>
      <c r="K62" s="356"/>
      <c r="L62" s="351">
        <v>1190548.1577485651</v>
      </c>
      <c r="M62" s="200">
        <v>3290.6</v>
      </c>
      <c r="N62" s="348"/>
      <c r="O62" s="366">
        <v>234871.67999999999</v>
      </c>
      <c r="P62" s="200">
        <v>420</v>
      </c>
      <c r="Q62" s="348">
        <v>1</v>
      </c>
      <c r="R62" s="352">
        <v>76008.679999999993</v>
      </c>
      <c r="S62" s="354">
        <v>185.5</v>
      </c>
      <c r="T62" s="348"/>
      <c r="U62" s="43"/>
      <c r="V62" s="42"/>
      <c r="W62" s="43"/>
      <c r="X62" s="42"/>
      <c r="Y62" s="43"/>
      <c r="Z62" s="42"/>
      <c r="AA62" s="43"/>
      <c r="AB62" s="42"/>
      <c r="AC62" s="491"/>
      <c r="AD62" s="491"/>
      <c r="AE62" s="491"/>
      <c r="AF62" s="491"/>
      <c r="AG62" s="491"/>
      <c r="AH62" s="491"/>
      <c r="AI62" s="202"/>
      <c r="AP62" s="588"/>
      <c r="AQ62" s="491"/>
      <c r="AR62" s="202"/>
    </row>
    <row r="63" spans="2:44" ht="14.5" x14ac:dyDescent="0.35">
      <c r="B63" s="99">
        <f>'1. LDC Info'!$F$18-8</f>
        <v>2016</v>
      </c>
      <c r="C63" s="371" t="s">
        <v>72</v>
      </c>
      <c r="D63" s="352">
        <v>8569733</v>
      </c>
      <c r="E63" s="348">
        <v>12504</v>
      </c>
      <c r="F63" s="351">
        <v>1329968</v>
      </c>
      <c r="G63" s="348">
        <v>806</v>
      </c>
      <c r="H63" s="351">
        <v>12317</v>
      </c>
      <c r="I63" s="348">
        <v>32</v>
      </c>
      <c r="J63" s="355"/>
      <c r="K63" s="356"/>
      <c r="L63" s="351">
        <v>1452097</v>
      </c>
      <c r="M63" s="200">
        <v>3213</v>
      </c>
      <c r="N63" s="348">
        <v>35</v>
      </c>
      <c r="O63" s="366">
        <v>229271</v>
      </c>
      <c r="P63" s="200">
        <v>374</v>
      </c>
      <c r="Q63" s="348">
        <v>1</v>
      </c>
      <c r="R63" s="352">
        <v>82501</v>
      </c>
      <c r="S63" s="354">
        <v>186</v>
      </c>
      <c r="T63" s="348">
        <v>2997</v>
      </c>
      <c r="U63" s="43"/>
      <c r="V63" s="42"/>
      <c r="W63" s="43"/>
      <c r="X63" s="42"/>
      <c r="Y63" s="43"/>
      <c r="Z63" s="42"/>
      <c r="AA63" s="43"/>
      <c r="AB63" s="42"/>
      <c r="AC63" s="491"/>
      <c r="AD63" s="491"/>
      <c r="AE63" s="491"/>
      <c r="AF63" s="491"/>
      <c r="AG63" s="491"/>
      <c r="AH63" s="491"/>
      <c r="AI63" s="202"/>
      <c r="AP63" s="588"/>
      <c r="AQ63" s="491"/>
      <c r="AR63" s="202"/>
    </row>
    <row r="64" spans="2:44" ht="14.5" x14ac:dyDescent="0.35">
      <c r="B64" s="99">
        <f>'1. LDC Info'!$F$18-7</f>
        <v>2017</v>
      </c>
      <c r="C64" s="371" t="s">
        <v>76</v>
      </c>
      <c r="D64" s="352">
        <v>8444957</v>
      </c>
      <c r="E64" s="348">
        <v>12504</v>
      </c>
      <c r="F64" s="351">
        <v>1505714</v>
      </c>
      <c r="G64" s="348">
        <v>806</v>
      </c>
      <c r="H64" s="200">
        <v>12317</v>
      </c>
      <c r="I64" s="348">
        <v>32</v>
      </c>
      <c r="J64" s="350"/>
      <c r="K64" s="348"/>
      <c r="L64" s="351">
        <v>1357062</v>
      </c>
      <c r="M64" s="200">
        <v>3144</v>
      </c>
      <c r="N64" s="348">
        <v>35</v>
      </c>
      <c r="O64" s="366">
        <v>223597</v>
      </c>
      <c r="P64" s="200">
        <v>360</v>
      </c>
      <c r="Q64" s="348">
        <v>1</v>
      </c>
      <c r="R64" s="352">
        <v>80828</v>
      </c>
      <c r="S64" s="354">
        <v>186</v>
      </c>
      <c r="T64" s="348">
        <v>2997</v>
      </c>
      <c r="U64" s="43"/>
      <c r="V64" s="42"/>
      <c r="W64" s="43"/>
      <c r="X64" s="42"/>
      <c r="Y64" s="43"/>
      <c r="Z64" s="42"/>
      <c r="AA64" s="43"/>
      <c r="AB64" s="42"/>
      <c r="AC64" s="491"/>
      <c r="AD64" s="491"/>
      <c r="AE64" s="491"/>
      <c r="AF64" s="491"/>
      <c r="AG64" s="491"/>
      <c r="AH64" s="491"/>
      <c r="AI64" s="202"/>
      <c r="AP64" s="588"/>
      <c r="AQ64" s="491"/>
      <c r="AR64" s="202"/>
    </row>
    <row r="65" spans="2:44" ht="14.5" x14ac:dyDescent="0.35">
      <c r="B65" s="99">
        <f>'1. LDC Info'!$F$18-7</f>
        <v>2017</v>
      </c>
      <c r="C65" s="371" t="s">
        <v>77</v>
      </c>
      <c r="D65" s="352">
        <v>7266035</v>
      </c>
      <c r="E65" s="348"/>
      <c r="F65" s="351">
        <v>1300393</v>
      </c>
      <c r="G65" s="348"/>
      <c r="H65" s="200">
        <v>12317</v>
      </c>
      <c r="I65" s="348"/>
      <c r="J65" s="350"/>
      <c r="K65" s="348"/>
      <c r="L65" s="351">
        <v>1233220</v>
      </c>
      <c r="M65" s="200">
        <v>3376</v>
      </c>
      <c r="N65" s="348"/>
      <c r="O65" s="366">
        <v>197835</v>
      </c>
      <c r="P65" s="200">
        <v>385</v>
      </c>
      <c r="Q65" s="348"/>
      <c r="R65" s="352">
        <v>73285</v>
      </c>
      <c r="S65" s="354">
        <v>186</v>
      </c>
      <c r="T65" s="348"/>
      <c r="U65" s="43"/>
      <c r="V65" s="42"/>
      <c r="W65" s="43"/>
      <c r="X65" s="42"/>
      <c r="Y65" s="43"/>
      <c r="Z65" s="42"/>
      <c r="AA65" s="43"/>
      <c r="AB65" s="42"/>
      <c r="AC65" s="491"/>
      <c r="AD65" s="491"/>
      <c r="AE65" s="491"/>
      <c r="AF65" s="491"/>
      <c r="AG65" s="491"/>
      <c r="AH65" s="491"/>
      <c r="AI65" s="202"/>
      <c r="AP65" s="588"/>
      <c r="AQ65" s="491"/>
      <c r="AR65" s="202"/>
    </row>
    <row r="66" spans="2:44" ht="14.5" x14ac:dyDescent="0.35">
      <c r="B66" s="99">
        <f>'1. LDC Info'!$F$18-7</f>
        <v>2017</v>
      </c>
      <c r="C66" s="371" t="s">
        <v>78</v>
      </c>
      <c r="D66" s="352">
        <v>7899090</v>
      </c>
      <c r="E66" s="348"/>
      <c r="F66" s="351">
        <v>1452721</v>
      </c>
      <c r="G66" s="348"/>
      <c r="H66" s="200">
        <v>12317</v>
      </c>
      <c r="I66" s="348"/>
      <c r="J66" s="350"/>
      <c r="K66" s="348"/>
      <c r="L66" s="351">
        <v>1318022</v>
      </c>
      <c r="M66" s="200">
        <v>3084</v>
      </c>
      <c r="N66" s="348"/>
      <c r="O66" s="366">
        <v>217733</v>
      </c>
      <c r="P66" s="200">
        <v>363</v>
      </c>
      <c r="Q66" s="348"/>
      <c r="R66" s="352">
        <v>65181</v>
      </c>
      <c r="S66" s="354">
        <v>187</v>
      </c>
      <c r="T66" s="348"/>
      <c r="U66" s="43"/>
      <c r="V66" s="42"/>
      <c r="W66" s="43"/>
      <c r="X66" s="42"/>
      <c r="Y66" s="43"/>
      <c r="Z66" s="42"/>
      <c r="AA66" s="43"/>
      <c r="AB66" s="42"/>
      <c r="AC66" s="491"/>
      <c r="AD66" s="491"/>
      <c r="AE66" s="491"/>
      <c r="AF66" s="491"/>
      <c r="AG66" s="491"/>
      <c r="AH66" s="491"/>
      <c r="AI66" s="202"/>
      <c r="AP66" s="588"/>
      <c r="AQ66" s="491"/>
      <c r="AR66" s="202"/>
    </row>
    <row r="67" spans="2:44" ht="14.5" x14ac:dyDescent="0.35">
      <c r="B67" s="99">
        <f>'1. LDC Info'!$F$18-7</f>
        <v>2017</v>
      </c>
      <c r="C67" s="371" t="s">
        <v>79</v>
      </c>
      <c r="D67" s="352">
        <v>6387102</v>
      </c>
      <c r="E67" s="348"/>
      <c r="F67" s="351">
        <v>1173941</v>
      </c>
      <c r="G67" s="348"/>
      <c r="H67" s="200">
        <v>12317</v>
      </c>
      <c r="I67" s="348"/>
      <c r="J67" s="350"/>
      <c r="K67" s="348"/>
      <c r="L67" s="351">
        <v>1189224</v>
      </c>
      <c r="M67" s="200">
        <v>3326</v>
      </c>
      <c r="N67" s="348"/>
      <c r="O67" s="366">
        <v>216149</v>
      </c>
      <c r="P67" s="200">
        <v>470</v>
      </c>
      <c r="Q67" s="348"/>
      <c r="R67" s="352">
        <v>54639</v>
      </c>
      <c r="S67" s="354">
        <v>187</v>
      </c>
      <c r="T67" s="348"/>
      <c r="U67" s="43"/>
      <c r="V67" s="42"/>
      <c r="W67" s="43"/>
      <c r="X67" s="42"/>
      <c r="Y67" s="43"/>
      <c r="Z67" s="42"/>
      <c r="AA67" s="43"/>
      <c r="AB67" s="42"/>
      <c r="AC67" s="491"/>
      <c r="AD67" s="491"/>
      <c r="AE67" s="491"/>
      <c r="AF67" s="491"/>
      <c r="AG67" s="491"/>
      <c r="AH67" s="491"/>
      <c r="AI67" s="202"/>
      <c r="AP67" s="588"/>
      <c r="AQ67" s="491"/>
      <c r="AR67" s="202"/>
    </row>
    <row r="68" spans="2:44" ht="14.5" x14ac:dyDescent="0.35">
      <c r="B68" s="99">
        <f>'1. LDC Info'!$F$18-7</f>
        <v>2017</v>
      </c>
      <c r="C68" s="371" t="s">
        <v>80</v>
      </c>
      <c r="D68" s="352">
        <v>6309848</v>
      </c>
      <c r="E68" s="348"/>
      <c r="F68" s="351">
        <v>1300315</v>
      </c>
      <c r="G68" s="348"/>
      <c r="H68" s="200">
        <v>12317</v>
      </c>
      <c r="I68" s="348"/>
      <c r="J68" s="350"/>
      <c r="K68" s="348"/>
      <c r="L68" s="351">
        <v>1429646</v>
      </c>
      <c r="M68" s="200">
        <v>4140</v>
      </c>
      <c r="N68" s="348"/>
      <c r="O68" s="366">
        <v>230649</v>
      </c>
      <c r="P68" s="200">
        <v>526</v>
      </c>
      <c r="Q68" s="348"/>
      <c r="R68" s="352">
        <v>48838</v>
      </c>
      <c r="S68" s="354">
        <v>187</v>
      </c>
      <c r="T68" s="348"/>
      <c r="U68" s="43"/>
      <c r="V68" s="42"/>
      <c r="W68" s="43"/>
      <c r="X68" s="42"/>
      <c r="Y68" s="43"/>
      <c r="Z68" s="42"/>
      <c r="AA68" s="43"/>
      <c r="AB68" s="42"/>
      <c r="AC68" s="491"/>
      <c r="AD68" s="491"/>
      <c r="AE68" s="491"/>
      <c r="AF68" s="491"/>
      <c r="AG68" s="491"/>
      <c r="AH68" s="491"/>
      <c r="AI68" s="202"/>
      <c r="AP68" s="588"/>
      <c r="AQ68" s="491"/>
      <c r="AR68" s="202"/>
    </row>
    <row r="69" spans="2:44" ht="14.5" x14ac:dyDescent="0.35">
      <c r="B69" s="99">
        <f>'1. LDC Info'!$F$18-7</f>
        <v>2017</v>
      </c>
      <c r="C69" s="371" t="s">
        <v>81</v>
      </c>
      <c r="D69" s="352">
        <v>6446238</v>
      </c>
      <c r="E69" s="348"/>
      <c r="F69" s="351">
        <v>1395847</v>
      </c>
      <c r="G69" s="348"/>
      <c r="H69" s="200">
        <v>12317</v>
      </c>
      <c r="I69" s="348"/>
      <c r="J69" s="350"/>
      <c r="K69" s="348"/>
      <c r="L69" s="351">
        <v>1473481</v>
      </c>
      <c r="M69" s="200">
        <v>4228</v>
      </c>
      <c r="N69" s="348"/>
      <c r="O69" s="366">
        <v>249908</v>
      </c>
      <c r="P69" s="200">
        <v>551</v>
      </c>
      <c r="Q69" s="348"/>
      <c r="R69" s="352">
        <v>43084</v>
      </c>
      <c r="S69" s="354">
        <v>187</v>
      </c>
      <c r="T69" s="348"/>
      <c r="U69" s="43"/>
      <c r="V69" s="42"/>
      <c r="W69" s="43"/>
      <c r="X69" s="42"/>
      <c r="Y69" s="43"/>
      <c r="Z69" s="42"/>
      <c r="AA69" s="43"/>
      <c r="AB69" s="42"/>
      <c r="AC69" s="491"/>
      <c r="AD69" s="491"/>
      <c r="AE69" s="491"/>
      <c r="AF69" s="491"/>
      <c r="AG69" s="491"/>
      <c r="AH69" s="491"/>
      <c r="AI69" s="202"/>
      <c r="AP69" s="588"/>
      <c r="AQ69" s="491"/>
      <c r="AR69" s="202"/>
    </row>
    <row r="70" spans="2:44" ht="14.5" x14ac:dyDescent="0.35">
      <c r="B70" s="99">
        <f>'1. LDC Info'!$F$18-7</f>
        <v>2017</v>
      </c>
      <c r="C70" s="371" t="s">
        <v>82</v>
      </c>
      <c r="D70" s="352">
        <v>7919850</v>
      </c>
      <c r="E70" s="348"/>
      <c r="F70" s="351">
        <v>1724292</v>
      </c>
      <c r="G70" s="348"/>
      <c r="H70" s="200">
        <v>12317</v>
      </c>
      <c r="I70" s="348"/>
      <c r="J70" s="350"/>
      <c r="K70" s="348"/>
      <c r="L70" s="351">
        <v>1623698</v>
      </c>
      <c r="M70" s="200">
        <v>3799</v>
      </c>
      <c r="N70" s="348"/>
      <c r="O70" s="366">
        <v>278334</v>
      </c>
      <c r="P70" s="200">
        <v>532</v>
      </c>
      <c r="Q70" s="348"/>
      <c r="R70" s="352">
        <v>47107</v>
      </c>
      <c r="S70" s="354">
        <v>187</v>
      </c>
      <c r="T70" s="348"/>
      <c r="U70" s="43"/>
      <c r="V70" s="42"/>
      <c r="W70" s="43"/>
      <c r="X70" s="42"/>
      <c r="Y70" s="43"/>
      <c r="Z70" s="42"/>
      <c r="AA70" s="43"/>
      <c r="AB70" s="42"/>
      <c r="AC70" s="491"/>
      <c r="AD70" s="491"/>
      <c r="AE70" s="491"/>
      <c r="AF70" s="491"/>
      <c r="AG70" s="491"/>
      <c r="AH70" s="491"/>
      <c r="AI70" s="202"/>
      <c r="AP70" s="588"/>
      <c r="AQ70" s="491"/>
      <c r="AR70" s="202"/>
    </row>
    <row r="71" spans="2:44" ht="14.5" x14ac:dyDescent="0.35">
      <c r="B71" s="99">
        <f>'1. LDC Info'!$F$18-7</f>
        <v>2017</v>
      </c>
      <c r="C71" s="371" t="s">
        <v>83</v>
      </c>
      <c r="D71" s="352">
        <v>7479034</v>
      </c>
      <c r="E71" s="348"/>
      <c r="F71" s="351">
        <v>1657243</v>
      </c>
      <c r="G71" s="348"/>
      <c r="H71" s="357">
        <v>12343</v>
      </c>
      <c r="I71" s="348"/>
      <c r="J71" s="350"/>
      <c r="K71" s="348"/>
      <c r="L71" s="351">
        <v>1545944</v>
      </c>
      <c r="M71" s="200">
        <v>3760</v>
      </c>
      <c r="N71" s="348"/>
      <c r="O71" s="366">
        <v>271100</v>
      </c>
      <c r="P71" s="200">
        <v>527</v>
      </c>
      <c r="Q71" s="348"/>
      <c r="R71" s="352">
        <v>53844</v>
      </c>
      <c r="S71" s="354">
        <v>187</v>
      </c>
      <c r="T71" s="348"/>
      <c r="U71" s="43"/>
      <c r="V71" s="42"/>
      <c r="W71" s="43"/>
      <c r="X71" s="42"/>
      <c r="Y71" s="43"/>
      <c r="Z71" s="42"/>
      <c r="AA71" s="43"/>
      <c r="AB71" s="42"/>
      <c r="AC71" s="491"/>
      <c r="AD71" s="491"/>
      <c r="AE71" s="491"/>
      <c r="AF71" s="491"/>
      <c r="AG71" s="491"/>
      <c r="AH71" s="491"/>
      <c r="AI71" s="202"/>
      <c r="AP71" s="588"/>
      <c r="AQ71" s="491"/>
      <c r="AR71" s="202"/>
    </row>
    <row r="72" spans="2:44" ht="14.5" x14ac:dyDescent="0.35">
      <c r="B72" s="99">
        <f>'1. LDC Info'!$F$18-7</f>
        <v>2017</v>
      </c>
      <c r="C72" s="371" t="s">
        <v>73</v>
      </c>
      <c r="D72" s="360">
        <v>6767051</v>
      </c>
      <c r="E72" s="348"/>
      <c r="F72" s="373">
        <v>1404392</v>
      </c>
      <c r="G72" s="348"/>
      <c r="H72" s="200">
        <v>12343</v>
      </c>
      <c r="I72" s="348"/>
      <c r="J72" s="355"/>
      <c r="K72" s="356"/>
      <c r="L72" s="351">
        <v>1452372</v>
      </c>
      <c r="M72" s="200">
        <v>4027</v>
      </c>
      <c r="N72" s="348"/>
      <c r="O72" s="366">
        <v>254129</v>
      </c>
      <c r="P72" s="200">
        <v>574</v>
      </c>
      <c r="Q72" s="348"/>
      <c r="R72" s="352">
        <v>60533</v>
      </c>
      <c r="S72" s="354">
        <v>187</v>
      </c>
      <c r="T72" s="348"/>
      <c r="U72" s="43"/>
      <c r="V72" s="42"/>
      <c r="W72" s="43"/>
      <c r="X72" s="42"/>
      <c r="Y72" s="43"/>
      <c r="Z72" s="42"/>
      <c r="AA72" s="43"/>
      <c r="AB72" s="42"/>
      <c r="AC72" s="491"/>
      <c r="AD72" s="491"/>
      <c r="AE72" s="491"/>
      <c r="AF72" s="491"/>
      <c r="AG72" s="491"/>
      <c r="AH72" s="491"/>
      <c r="AI72" s="202"/>
      <c r="AP72" s="588"/>
      <c r="AQ72" s="491"/>
      <c r="AR72" s="202"/>
    </row>
    <row r="73" spans="2:44" ht="14.5" x14ac:dyDescent="0.35">
      <c r="B73" s="99">
        <f>'1. LDC Info'!$F$18-7</f>
        <v>2017</v>
      </c>
      <c r="C73" s="371" t="s">
        <v>74</v>
      </c>
      <c r="D73" s="352">
        <v>6279580</v>
      </c>
      <c r="E73" s="348"/>
      <c r="F73" s="351">
        <v>1207012</v>
      </c>
      <c r="G73" s="348"/>
      <c r="H73" s="200">
        <v>12343</v>
      </c>
      <c r="I73" s="348"/>
      <c r="J73" s="355"/>
      <c r="K73" s="356"/>
      <c r="L73" s="351">
        <v>1292233</v>
      </c>
      <c r="M73" s="200">
        <v>3666</v>
      </c>
      <c r="N73" s="348"/>
      <c r="O73" s="366">
        <v>241185</v>
      </c>
      <c r="P73" s="200">
        <v>527</v>
      </c>
      <c r="Q73" s="348"/>
      <c r="R73" s="352">
        <v>71340</v>
      </c>
      <c r="S73" s="354">
        <v>187</v>
      </c>
      <c r="T73" s="348"/>
      <c r="U73" s="43"/>
      <c r="V73" s="42"/>
      <c r="W73" s="43"/>
      <c r="X73" s="42"/>
      <c r="Y73" s="43"/>
      <c r="Z73" s="42"/>
      <c r="AA73" s="43"/>
      <c r="AB73" s="42"/>
      <c r="AC73" s="491"/>
      <c r="AD73" s="491"/>
      <c r="AE73" s="491"/>
      <c r="AF73" s="491"/>
      <c r="AG73" s="491"/>
      <c r="AH73" s="491"/>
      <c r="AI73" s="202"/>
      <c r="AP73" s="588"/>
      <c r="AQ73" s="491"/>
      <c r="AR73" s="202"/>
    </row>
    <row r="74" spans="2:44" ht="14.5" x14ac:dyDescent="0.35">
      <c r="B74" s="99">
        <f>'1. LDC Info'!$F$18-7</f>
        <v>2017</v>
      </c>
      <c r="C74" s="371" t="s">
        <v>75</v>
      </c>
      <c r="D74" s="352">
        <v>7307809</v>
      </c>
      <c r="E74" s="348"/>
      <c r="F74" s="351">
        <v>1320666</v>
      </c>
      <c r="G74" s="348"/>
      <c r="H74" s="357">
        <v>12730</v>
      </c>
      <c r="I74" s="348"/>
      <c r="J74" s="355"/>
      <c r="K74" s="356"/>
      <c r="L74" s="351">
        <v>1214294</v>
      </c>
      <c r="M74" s="200">
        <v>3185</v>
      </c>
      <c r="N74" s="348"/>
      <c r="O74" s="366">
        <v>210240</v>
      </c>
      <c r="P74" s="200">
        <v>378</v>
      </c>
      <c r="Q74" s="348"/>
      <c r="R74" s="352">
        <v>76742</v>
      </c>
      <c r="S74" s="354">
        <v>187</v>
      </c>
      <c r="T74" s="348"/>
      <c r="U74" s="43"/>
      <c r="V74" s="42"/>
      <c r="W74" s="43"/>
      <c r="X74" s="42"/>
      <c r="Y74" s="43"/>
      <c r="Z74" s="42"/>
      <c r="AA74" s="43"/>
      <c r="AB74" s="42"/>
      <c r="AC74" s="491"/>
      <c r="AD74" s="491"/>
      <c r="AE74" s="491"/>
      <c r="AF74" s="491"/>
      <c r="AG74" s="491"/>
      <c r="AH74" s="491"/>
      <c r="AI74" s="202"/>
      <c r="AP74" s="588"/>
      <c r="AQ74" s="491"/>
      <c r="AR74" s="202"/>
    </row>
    <row r="75" spans="2:44" ht="14.5" x14ac:dyDescent="0.35">
      <c r="B75" s="99">
        <f>'1. LDC Info'!$F$18-7</f>
        <v>2017</v>
      </c>
      <c r="C75" s="371" t="s">
        <v>72</v>
      </c>
      <c r="D75" s="352">
        <v>9332807</v>
      </c>
      <c r="E75" s="348">
        <v>12738</v>
      </c>
      <c r="F75" s="351">
        <v>1561102</v>
      </c>
      <c r="G75" s="348">
        <v>819</v>
      </c>
      <c r="H75" s="357">
        <v>12736</v>
      </c>
      <c r="I75" s="348">
        <v>34</v>
      </c>
      <c r="J75" s="355"/>
      <c r="K75" s="356"/>
      <c r="L75" s="351">
        <v>1345714</v>
      </c>
      <c r="M75" s="200">
        <v>3351.4</v>
      </c>
      <c r="N75" s="348">
        <v>34</v>
      </c>
      <c r="O75" s="366">
        <v>212344</v>
      </c>
      <c r="P75" s="200">
        <v>364.3</v>
      </c>
      <c r="Q75" s="348">
        <v>1</v>
      </c>
      <c r="R75" s="352">
        <v>83297</v>
      </c>
      <c r="S75" s="354">
        <v>187</v>
      </c>
      <c r="T75" s="348">
        <v>3029</v>
      </c>
      <c r="U75" s="43"/>
      <c r="V75" s="42"/>
      <c r="W75" s="43"/>
      <c r="X75" s="42"/>
      <c r="Y75" s="43"/>
      <c r="Z75" s="42"/>
      <c r="AA75" s="43"/>
      <c r="AB75" s="42"/>
      <c r="AC75" s="491"/>
      <c r="AD75" s="491"/>
      <c r="AE75" s="491"/>
      <c r="AF75" s="491"/>
      <c r="AG75" s="491"/>
      <c r="AH75" s="491"/>
      <c r="AI75" s="202"/>
      <c r="AP75" s="588"/>
      <c r="AQ75" s="491"/>
      <c r="AR75" s="202"/>
    </row>
    <row r="76" spans="2:44" ht="14.5" x14ac:dyDescent="0.35">
      <c r="B76" s="99">
        <f>'1. LDC Info'!$F$18-6</f>
        <v>2018</v>
      </c>
      <c r="C76" s="371" t="s">
        <v>76</v>
      </c>
      <c r="D76" s="377">
        <v>9524048</v>
      </c>
      <c r="E76" s="348">
        <v>12738</v>
      </c>
      <c r="F76" s="349">
        <v>1635088</v>
      </c>
      <c r="G76" s="348">
        <v>819</v>
      </c>
      <c r="H76" s="351">
        <v>12736</v>
      </c>
      <c r="I76" s="348">
        <v>34</v>
      </c>
      <c r="J76" s="350"/>
      <c r="K76" s="348"/>
      <c r="L76" s="351">
        <v>1434346</v>
      </c>
      <c r="M76" s="200">
        <v>3365.6</v>
      </c>
      <c r="N76" s="348">
        <v>34</v>
      </c>
      <c r="O76" s="366">
        <v>207205</v>
      </c>
      <c r="P76" s="200">
        <v>366.4</v>
      </c>
      <c r="Q76" s="348">
        <v>1</v>
      </c>
      <c r="R76" s="352">
        <v>81284</v>
      </c>
      <c r="S76" s="354">
        <v>187</v>
      </c>
      <c r="T76" s="348">
        <v>3029</v>
      </c>
      <c r="U76" s="43"/>
      <c r="V76" s="42"/>
      <c r="W76" s="43"/>
      <c r="X76" s="42"/>
      <c r="Y76" s="43"/>
      <c r="Z76" s="42"/>
      <c r="AA76" s="43"/>
      <c r="AB76" s="42"/>
      <c r="AC76" s="491"/>
      <c r="AD76" s="491"/>
      <c r="AE76" s="491"/>
      <c r="AF76" s="491"/>
      <c r="AG76" s="491"/>
      <c r="AH76" s="491"/>
      <c r="AI76" s="202"/>
      <c r="AP76" s="588"/>
      <c r="AQ76" s="491"/>
      <c r="AR76" s="202"/>
    </row>
    <row r="77" spans="2:44" ht="14.5" x14ac:dyDescent="0.35">
      <c r="B77" s="99">
        <f>'1. LDC Info'!$F$18-6</f>
        <v>2018</v>
      </c>
      <c r="C77" s="371" t="s">
        <v>77</v>
      </c>
      <c r="D77" s="352">
        <v>7793357</v>
      </c>
      <c r="E77" s="348"/>
      <c r="F77" s="351">
        <v>1387603</v>
      </c>
      <c r="G77" s="348"/>
      <c r="H77" s="351">
        <v>12732</v>
      </c>
      <c r="I77" s="348"/>
      <c r="J77" s="350"/>
      <c r="K77" s="348"/>
      <c r="L77" s="351">
        <v>1258096</v>
      </c>
      <c r="M77" s="200">
        <v>3250.7</v>
      </c>
      <c r="N77" s="348"/>
      <c r="O77" s="366">
        <v>184265</v>
      </c>
      <c r="P77" s="200">
        <v>360.6</v>
      </c>
      <c r="Q77" s="348"/>
      <c r="R77" s="352">
        <v>73698</v>
      </c>
      <c r="S77" s="354">
        <v>187</v>
      </c>
      <c r="T77" s="348"/>
      <c r="U77" s="43"/>
      <c r="V77" s="42"/>
      <c r="W77" s="43"/>
      <c r="X77" s="42"/>
      <c r="Y77" s="43"/>
      <c r="Z77" s="42"/>
      <c r="AA77" s="43"/>
      <c r="AB77" s="42"/>
      <c r="AC77" s="491"/>
      <c r="AD77" s="491"/>
      <c r="AE77" s="491"/>
      <c r="AF77" s="491"/>
      <c r="AG77" s="491"/>
      <c r="AH77" s="491"/>
      <c r="AI77" s="202"/>
      <c r="AP77" s="588"/>
      <c r="AQ77" s="491"/>
      <c r="AR77" s="202"/>
    </row>
    <row r="78" spans="2:44" ht="14.5" x14ac:dyDescent="0.35">
      <c r="B78" s="99">
        <f>'1. LDC Info'!$F$18-6</f>
        <v>2018</v>
      </c>
      <c r="C78" s="371" t="s">
        <v>78</v>
      </c>
      <c r="D78" s="352">
        <v>7969692</v>
      </c>
      <c r="E78" s="573"/>
      <c r="F78" s="351">
        <v>1417452</v>
      </c>
      <c r="G78" s="348"/>
      <c r="H78" s="351">
        <v>12736</v>
      </c>
      <c r="I78" s="348"/>
      <c r="J78" s="350"/>
      <c r="K78" s="348"/>
      <c r="L78" s="351">
        <v>1357983</v>
      </c>
      <c r="M78" s="200">
        <v>3134</v>
      </c>
      <c r="N78" s="348"/>
      <c r="O78" s="366">
        <v>204885</v>
      </c>
      <c r="P78" s="200">
        <v>354.9</v>
      </c>
      <c r="Q78" s="348"/>
      <c r="R78" s="352">
        <v>65364</v>
      </c>
      <c r="S78" s="354">
        <v>187</v>
      </c>
      <c r="T78" s="348"/>
      <c r="U78" s="43"/>
      <c r="V78" s="42"/>
      <c r="W78" s="43"/>
      <c r="X78" s="42"/>
      <c r="Y78" s="43"/>
      <c r="Z78" s="42"/>
      <c r="AA78" s="43"/>
      <c r="AB78" s="42"/>
      <c r="AC78" s="491"/>
      <c r="AD78" s="491"/>
      <c r="AE78" s="491"/>
      <c r="AF78" s="491"/>
      <c r="AG78" s="491"/>
      <c r="AH78" s="491"/>
      <c r="AI78" s="202"/>
      <c r="AP78" s="588"/>
      <c r="AQ78" s="491"/>
      <c r="AR78" s="202"/>
    </row>
    <row r="79" spans="2:44" ht="14.5" x14ac:dyDescent="0.35">
      <c r="B79" s="99">
        <f>'1. LDC Info'!$F$18-6</f>
        <v>2018</v>
      </c>
      <c r="C79" s="371" t="s">
        <v>79</v>
      </c>
      <c r="D79" s="352">
        <v>7462180</v>
      </c>
      <c r="E79" s="573"/>
      <c r="F79" s="351">
        <v>1318016</v>
      </c>
      <c r="G79" s="348"/>
      <c r="H79" s="351">
        <v>12733</v>
      </c>
      <c r="I79" s="348"/>
      <c r="J79" s="350"/>
      <c r="K79" s="348"/>
      <c r="L79" s="351">
        <v>1259940</v>
      </c>
      <c r="M79" s="200">
        <v>3304.1</v>
      </c>
      <c r="N79" s="348"/>
      <c r="O79" s="366">
        <v>197149</v>
      </c>
      <c r="P79" s="200">
        <v>363.5</v>
      </c>
      <c r="Q79" s="348"/>
      <c r="R79" s="352">
        <v>54688</v>
      </c>
      <c r="S79" s="354">
        <v>187</v>
      </c>
      <c r="T79" s="348"/>
      <c r="U79" s="43"/>
      <c r="V79" s="42"/>
      <c r="W79" s="43"/>
      <c r="X79" s="42"/>
      <c r="Y79" s="43"/>
      <c r="Z79" s="42"/>
      <c r="AA79" s="43"/>
      <c r="AB79" s="42"/>
      <c r="AC79" s="491"/>
      <c r="AD79" s="491"/>
      <c r="AE79" s="491"/>
      <c r="AF79" s="491"/>
      <c r="AG79" s="491"/>
      <c r="AH79" s="491"/>
      <c r="AI79" s="202"/>
      <c r="AP79" s="588"/>
      <c r="AQ79" s="491"/>
      <c r="AR79" s="202"/>
    </row>
    <row r="80" spans="2:44" ht="14.5" x14ac:dyDescent="0.35">
      <c r="B80" s="99">
        <f>'1. LDC Info'!$F$18-6</f>
        <v>2018</v>
      </c>
      <c r="C80" s="371" t="s">
        <v>80</v>
      </c>
      <c r="D80" s="352">
        <v>6585578</v>
      </c>
      <c r="E80" s="348"/>
      <c r="F80" s="351">
        <v>1296881</v>
      </c>
      <c r="G80" s="348"/>
      <c r="H80" s="351">
        <v>12868</v>
      </c>
      <c r="I80" s="348"/>
      <c r="J80" s="350"/>
      <c r="K80" s="348"/>
      <c r="L80" s="351">
        <v>1405413</v>
      </c>
      <c r="M80" s="200">
        <v>4329.3</v>
      </c>
      <c r="N80" s="348"/>
      <c r="O80" s="366">
        <v>233124</v>
      </c>
      <c r="P80" s="200">
        <v>521.1</v>
      </c>
      <c r="Q80" s="348"/>
      <c r="R80" s="352">
        <v>48883</v>
      </c>
      <c r="S80" s="354">
        <v>187</v>
      </c>
      <c r="T80" s="348"/>
      <c r="U80" s="43"/>
      <c r="V80" s="42"/>
      <c r="W80" s="43"/>
      <c r="X80" s="42"/>
      <c r="Y80" s="43"/>
      <c r="Z80" s="42"/>
      <c r="AA80" s="43"/>
      <c r="AB80" s="42"/>
      <c r="AC80" s="491"/>
      <c r="AD80" s="491"/>
      <c r="AE80" s="491"/>
      <c r="AF80" s="491"/>
      <c r="AG80" s="491"/>
      <c r="AH80" s="491"/>
      <c r="AI80" s="202"/>
      <c r="AP80" s="588"/>
      <c r="AQ80" s="491"/>
      <c r="AR80" s="202"/>
    </row>
    <row r="81" spans="2:44" ht="14.5" x14ac:dyDescent="0.35">
      <c r="B81" s="99">
        <f>'1. LDC Info'!$F$18-6</f>
        <v>2018</v>
      </c>
      <c r="C81" s="371" t="s">
        <v>81</v>
      </c>
      <c r="D81" s="352">
        <v>6814322</v>
      </c>
      <c r="E81" s="348"/>
      <c r="F81" s="351">
        <v>1428015</v>
      </c>
      <c r="G81" s="348"/>
      <c r="H81" s="351">
        <v>12872</v>
      </c>
      <c r="I81" s="348"/>
      <c r="J81" s="350"/>
      <c r="K81" s="348"/>
      <c r="L81" s="351">
        <v>1472723</v>
      </c>
      <c r="M81" s="200">
        <v>4621.5</v>
      </c>
      <c r="N81" s="348"/>
      <c r="O81" s="366">
        <v>238013</v>
      </c>
      <c r="P81" s="200">
        <v>576</v>
      </c>
      <c r="Q81" s="348"/>
      <c r="R81" s="352">
        <v>43123</v>
      </c>
      <c r="S81" s="354">
        <v>187</v>
      </c>
      <c r="T81" s="348"/>
      <c r="U81" s="43"/>
      <c r="V81" s="42"/>
      <c r="W81" s="43"/>
      <c r="X81" s="42"/>
      <c r="Y81" s="43"/>
      <c r="Z81" s="42"/>
      <c r="AA81" s="43"/>
      <c r="AB81" s="42"/>
      <c r="AC81" s="491"/>
      <c r="AD81" s="491"/>
      <c r="AE81" s="491"/>
      <c r="AF81" s="491"/>
      <c r="AG81" s="491"/>
      <c r="AH81" s="491"/>
      <c r="AI81" s="202"/>
      <c r="AP81" s="588"/>
      <c r="AQ81" s="491"/>
      <c r="AR81" s="202"/>
    </row>
    <row r="82" spans="2:44" ht="14.5" x14ac:dyDescent="0.35">
      <c r="B82" s="99">
        <f>'1. LDC Info'!$F$18-6</f>
        <v>2018</v>
      </c>
      <c r="C82" s="371" t="s">
        <v>82</v>
      </c>
      <c r="D82" s="352">
        <v>9344628</v>
      </c>
      <c r="E82" s="348"/>
      <c r="F82" s="351">
        <v>1829573</v>
      </c>
      <c r="G82" s="348"/>
      <c r="H82" s="351">
        <v>12874</v>
      </c>
      <c r="I82" s="348"/>
      <c r="J82" s="350"/>
      <c r="K82" s="348"/>
      <c r="L82" s="351">
        <v>1736936</v>
      </c>
      <c r="M82" s="200">
        <v>4632.3999999999996</v>
      </c>
      <c r="N82" s="348"/>
      <c r="O82" s="366">
        <v>276598</v>
      </c>
      <c r="P82" s="200">
        <v>577.70000000000005</v>
      </c>
      <c r="Q82" s="348"/>
      <c r="R82" s="352">
        <v>47248</v>
      </c>
      <c r="S82" s="354">
        <v>187</v>
      </c>
      <c r="T82" s="348"/>
      <c r="U82" s="43"/>
      <c r="V82" s="42"/>
      <c r="W82" s="43"/>
      <c r="X82" s="42"/>
      <c r="Y82" s="43"/>
      <c r="Z82" s="42"/>
      <c r="AA82" s="43"/>
      <c r="AB82" s="42"/>
      <c r="AC82" s="491"/>
      <c r="AD82" s="491"/>
      <c r="AE82" s="491"/>
      <c r="AF82" s="491"/>
      <c r="AG82" s="491"/>
      <c r="AH82" s="491"/>
      <c r="AI82" s="202"/>
      <c r="AP82" s="588"/>
      <c r="AQ82" s="491"/>
      <c r="AR82" s="202"/>
    </row>
    <row r="83" spans="2:44" ht="14.5" x14ac:dyDescent="0.35">
      <c r="B83" s="99">
        <f>'1. LDC Info'!$F$18-6</f>
        <v>2018</v>
      </c>
      <c r="C83" s="371" t="s">
        <v>83</v>
      </c>
      <c r="D83" s="352">
        <v>9269928</v>
      </c>
      <c r="E83" s="348"/>
      <c r="F83" s="351">
        <v>1799338</v>
      </c>
      <c r="G83" s="348"/>
      <c r="H83" s="351">
        <v>12874</v>
      </c>
      <c r="I83" s="348"/>
      <c r="J83" s="350"/>
      <c r="K83" s="348"/>
      <c r="L83" s="351">
        <v>1625380</v>
      </c>
      <c r="M83" s="200">
        <v>4336.8999999999996</v>
      </c>
      <c r="N83" s="348"/>
      <c r="O83" s="366">
        <v>278925</v>
      </c>
      <c r="P83" s="200">
        <v>530.5</v>
      </c>
      <c r="Q83" s="348"/>
      <c r="R83" s="352">
        <v>54005</v>
      </c>
      <c r="S83" s="354">
        <v>187</v>
      </c>
      <c r="T83" s="348"/>
      <c r="U83" s="43"/>
      <c r="V83" s="42"/>
      <c r="W83" s="43"/>
      <c r="X83" s="42"/>
      <c r="Y83" s="43"/>
      <c r="Z83" s="42"/>
      <c r="AA83" s="43"/>
      <c r="AB83" s="42"/>
      <c r="AC83" s="491"/>
      <c r="AD83" s="491"/>
      <c r="AE83" s="491"/>
      <c r="AF83" s="491"/>
      <c r="AG83" s="491"/>
      <c r="AH83" s="491"/>
      <c r="AI83" s="202"/>
      <c r="AP83" s="588"/>
      <c r="AQ83" s="491"/>
      <c r="AR83" s="202"/>
    </row>
    <row r="84" spans="2:44" ht="14.5" x14ac:dyDescent="0.35">
      <c r="B84" s="99">
        <f>'1. LDC Info'!$F$18-6</f>
        <v>2018</v>
      </c>
      <c r="C84" s="371" t="s">
        <v>73</v>
      </c>
      <c r="D84" s="352">
        <v>7282638</v>
      </c>
      <c r="E84" s="348"/>
      <c r="F84" s="351">
        <v>1404951</v>
      </c>
      <c r="G84" s="348"/>
      <c r="H84" s="351">
        <v>12873</v>
      </c>
      <c r="I84" s="348"/>
      <c r="J84" s="350"/>
      <c r="K84" s="348"/>
      <c r="L84" s="351">
        <v>1560980</v>
      </c>
      <c r="M84" s="200">
        <v>4638.8</v>
      </c>
      <c r="N84" s="348"/>
      <c r="O84" s="366">
        <v>242234</v>
      </c>
      <c r="P84" s="200">
        <v>541.79999999999995</v>
      </c>
      <c r="Q84" s="348"/>
      <c r="R84" s="352">
        <v>60886</v>
      </c>
      <c r="S84" s="354">
        <v>187</v>
      </c>
      <c r="T84" s="348"/>
      <c r="U84" s="43"/>
      <c r="V84" s="42"/>
      <c r="W84" s="43"/>
      <c r="X84" s="42"/>
      <c r="Y84" s="43"/>
      <c r="Z84" s="42"/>
      <c r="AA84" s="43"/>
      <c r="AB84" s="42"/>
      <c r="AC84" s="491"/>
      <c r="AD84" s="491"/>
      <c r="AE84" s="491"/>
      <c r="AF84" s="491"/>
      <c r="AG84" s="491"/>
      <c r="AH84" s="491"/>
      <c r="AI84" s="202"/>
      <c r="AP84" s="588"/>
      <c r="AQ84" s="491"/>
      <c r="AR84" s="202"/>
    </row>
    <row r="85" spans="2:44" ht="14.5" x14ac:dyDescent="0.35">
      <c r="B85" s="99">
        <f>'1. LDC Info'!$F$18-6</f>
        <v>2018</v>
      </c>
      <c r="C85" s="371" t="s">
        <v>74</v>
      </c>
      <c r="D85" s="358">
        <v>7105786</v>
      </c>
      <c r="E85" s="348"/>
      <c r="F85" s="351">
        <v>1262720</v>
      </c>
      <c r="G85" s="348"/>
      <c r="H85" s="351">
        <v>12877</v>
      </c>
      <c r="I85" s="348"/>
      <c r="J85" s="350"/>
      <c r="K85" s="348"/>
      <c r="L85" s="351">
        <v>1358932</v>
      </c>
      <c r="M85" s="200">
        <v>3883.6</v>
      </c>
      <c r="N85" s="348"/>
      <c r="O85" s="366">
        <v>214460.46</v>
      </c>
      <c r="P85" s="200">
        <v>497.4</v>
      </c>
      <c r="Q85" s="348"/>
      <c r="R85" s="352">
        <v>71755</v>
      </c>
      <c r="S85" s="354">
        <v>188.2</v>
      </c>
      <c r="T85" s="348"/>
      <c r="U85" s="43"/>
      <c r="V85" s="42"/>
      <c r="W85" s="43"/>
      <c r="X85" s="42"/>
      <c r="Y85" s="43"/>
      <c r="Z85" s="42"/>
      <c r="AA85" s="43"/>
      <c r="AB85" s="42"/>
      <c r="AC85" s="491"/>
      <c r="AD85" s="491"/>
      <c r="AE85" s="491"/>
      <c r="AF85" s="491"/>
      <c r="AG85" s="491"/>
      <c r="AH85" s="491"/>
      <c r="AI85" s="202"/>
      <c r="AP85" s="588"/>
      <c r="AQ85" s="491"/>
      <c r="AR85" s="202"/>
    </row>
    <row r="86" spans="2:44" ht="14.5" x14ac:dyDescent="0.35">
      <c r="B86" s="99">
        <f>'1. LDC Info'!$F$18-6</f>
        <v>2018</v>
      </c>
      <c r="C86" s="371" t="s">
        <v>75</v>
      </c>
      <c r="D86" s="352">
        <v>7792627</v>
      </c>
      <c r="E86" s="348"/>
      <c r="F86" s="351">
        <v>1389679</v>
      </c>
      <c r="G86" s="348"/>
      <c r="H86" s="351">
        <v>12878</v>
      </c>
      <c r="I86" s="348"/>
      <c r="J86" s="350"/>
      <c r="K86" s="348"/>
      <c r="L86" s="351">
        <v>1219986</v>
      </c>
      <c r="M86" s="200">
        <v>3200.2</v>
      </c>
      <c r="N86" s="348"/>
      <c r="O86" s="366">
        <v>198109.28</v>
      </c>
      <c r="P86" s="200">
        <v>356.9</v>
      </c>
      <c r="Q86" s="348"/>
      <c r="R86" s="352">
        <v>77119</v>
      </c>
      <c r="S86" s="354">
        <v>188.2</v>
      </c>
      <c r="T86" s="348"/>
      <c r="U86" s="43"/>
      <c r="V86" s="42"/>
      <c r="W86" s="43"/>
      <c r="X86" s="42"/>
      <c r="Y86" s="43"/>
      <c r="Z86" s="42"/>
      <c r="AA86" s="43"/>
      <c r="AB86" s="42"/>
      <c r="AC86" s="491"/>
      <c r="AD86" s="491"/>
      <c r="AE86" s="491"/>
      <c r="AF86" s="491"/>
      <c r="AG86" s="491"/>
      <c r="AH86" s="491"/>
      <c r="AI86" s="202"/>
      <c r="AP86" s="588"/>
      <c r="AQ86" s="491"/>
      <c r="AR86" s="202"/>
    </row>
    <row r="87" spans="2:44" ht="14.5" x14ac:dyDescent="0.35">
      <c r="B87" s="99">
        <f>'1. LDC Info'!$F$18-6</f>
        <v>2018</v>
      </c>
      <c r="C87" s="371" t="s">
        <v>72</v>
      </c>
      <c r="D87" s="352">
        <v>8952363</v>
      </c>
      <c r="E87" s="348">
        <v>12938</v>
      </c>
      <c r="F87" s="351">
        <v>1496907</v>
      </c>
      <c r="G87" s="348">
        <v>819</v>
      </c>
      <c r="H87" s="351">
        <v>12853</v>
      </c>
      <c r="I87" s="348">
        <v>35</v>
      </c>
      <c r="J87" s="350"/>
      <c r="K87" s="348"/>
      <c r="L87" s="351">
        <v>1380259</v>
      </c>
      <c r="M87" s="200">
        <f>3156+30</f>
        <v>3186</v>
      </c>
      <c r="N87" s="348">
        <v>33</v>
      </c>
      <c r="O87" s="366">
        <v>203709.57</v>
      </c>
      <c r="P87" s="200">
        <v>347.7</v>
      </c>
      <c r="Q87" s="348">
        <v>1</v>
      </c>
      <c r="R87" s="352">
        <v>83706</v>
      </c>
      <c r="S87" s="354">
        <v>188.2</v>
      </c>
      <c r="T87" s="348">
        <v>3044</v>
      </c>
      <c r="U87" s="43"/>
      <c r="V87" s="42"/>
      <c r="W87" s="43"/>
      <c r="X87" s="42"/>
      <c r="Y87" s="43"/>
      <c r="Z87" s="42"/>
      <c r="AA87" s="43"/>
      <c r="AB87" s="42"/>
      <c r="AC87" s="491"/>
      <c r="AD87" s="491"/>
      <c r="AE87" s="491"/>
      <c r="AF87" s="491"/>
      <c r="AG87" s="491"/>
      <c r="AH87" s="491"/>
      <c r="AI87" s="202"/>
      <c r="AP87" s="588"/>
      <c r="AQ87" s="491"/>
      <c r="AR87" s="202"/>
    </row>
    <row r="88" spans="2:44" ht="14.5" x14ac:dyDescent="0.35">
      <c r="B88" s="99">
        <f>'1. LDC Info'!$F$18-5</f>
        <v>2019</v>
      </c>
      <c r="C88" s="371" t="s">
        <v>76</v>
      </c>
      <c r="D88" s="352">
        <v>9606806</v>
      </c>
      <c r="E88" s="348">
        <v>12938</v>
      </c>
      <c r="F88" s="349">
        <v>1713906</v>
      </c>
      <c r="G88" s="348">
        <v>819</v>
      </c>
      <c r="H88" s="351">
        <v>12863</v>
      </c>
      <c r="I88" s="348">
        <v>35</v>
      </c>
      <c r="J88" s="350"/>
      <c r="K88" s="348"/>
      <c r="L88" s="716">
        <v>1442469</v>
      </c>
      <c r="M88" s="200">
        <v>3253.9</v>
      </c>
      <c r="N88" s="348">
        <v>33</v>
      </c>
      <c r="O88" s="366">
        <v>201892.3</v>
      </c>
      <c r="P88" s="200">
        <v>347.9</v>
      </c>
      <c r="Q88" s="348">
        <v>1</v>
      </c>
      <c r="R88" s="352">
        <v>81683</v>
      </c>
      <c r="S88" s="354">
        <v>188.2</v>
      </c>
      <c r="T88" s="348">
        <v>3044</v>
      </c>
      <c r="U88" s="44"/>
      <c r="V88" s="42"/>
      <c r="W88" s="44"/>
      <c r="X88" s="42"/>
      <c r="Y88" s="44"/>
      <c r="Z88" s="42"/>
      <c r="AA88" s="44"/>
      <c r="AB88" s="42"/>
      <c r="AC88" s="491"/>
      <c r="AD88" s="491"/>
      <c r="AE88" s="491"/>
      <c r="AF88" s="491"/>
      <c r="AG88" s="491"/>
      <c r="AH88" s="491"/>
      <c r="AI88" s="202"/>
      <c r="AP88" s="588"/>
      <c r="AQ88" s="491"/>
      <c r="AR88" s="202"/>
    </row>
    <row r="89" spans="2:44" ht="14.5" x14ac:dyDescent="0.35">
      <c r="B89" s="99">
        <f>'1. LDC Info'!$F$18-5</f>
        <v>2019</v>
      </c>
      <c r="C89" s="371" t="s">
        <v>77</v>
      </c>
      <c r="D89" s="352">
        <v>8347548</v>
      </c>
      <c r="E89" s="348"/>
      <c r="F89" s="351">
        <v>1508034</v>
      </c>
      <c r="G89" s="348"/>
      <c r="H89" s="351">
        <v>12879</v>
      </c>
      <c r="I89" s="348"/>
      <c r="J89" s="350"/>
      <c r="K89" s="348"/>
      <c r="L89" s="351">
        <v>1292758</v>
      </c>
      <c r="M89" s="200">
        <v>3159</v>
      </c>
      <c r="N89" s="348"/>
      <c r="O89" s="366">
        <v>184815.21</v>
      </c>
      <c r="P89" s="200">
        <v>356.2</v>
      </c>
      <c r="Q89" s="348"/>
      <c r="R89" s="352">
        <v>74061</v>
      </c>
      <c r="S89" s="354">
        <v>188.2</v>
      </c>
      <c r="T89" s="348"/>
      <c r="U89" s="44"/>
      <c r="V89" s="42"/>
      <c r="W89" s="44"/>
      <c r="X89" s="42"/>
      <c r="Y89" s="44"/>
      <c r="Z89" s="42"/>
      <c r="AA89" s="44"/>
      <c r="AB89" s="42"/>
      <c r="AC89" s="491"/>
      <c r="AD89" s="491"/>
      <c r="AE89" s="491"/>
      <c r="AF89" s="491"/>
      <c r="AG89" s="491"/>
      <c r="AH89" s="491"/>
      <c r="AI89" s="202"/>
      <c r="AP89" s="588"/>
      <c r="AQ89" s="491"/>
      <c r="AR89" s="202"/>
    </row>
    <row r="90" spans="2:44" ht="14.5" x14ac:dyDescent="0.35">
      <c r="B90" s="99">
        <f>'1. LDC Info'!$F$18-5</f>
        <v>2019</v>
      </c>
      <c r="C90" s="371" t="s">
        <v>78</v>
      </c>
      <c r="D90" s="352">
        <v>8421809</v>
      </c>
      <c r="E90" s="348"/>
      <c r="F90" s="351">
        <v>1528040</v>
      </c>
      <c r="G90" s="348"/>
      <c r="H90" s="351">
        <v>12919</v>
      </c>
      <c r="I90" s="348"/>
      <c r="J90" s="350"/>
      <c r="K90" s="348"/>
      <c r="L90" s="351">
        <v>1390577</v>
      </c>
      <c r="M90" s="200">
        <v>3265.5</v>
      </c>
      <c r="N90" s="348"/>
      <c r="O90" s="366">
        <v>204751.52</v>
      </c>
      <c r="P90" s="200">
        <v>338.7</v>
      </c>
      <c r="Q90" s="348"/>
      <c r="R90" s="352">
        <v>65685</v>
      </c>
      <c r="S90" s="354">
        <v>188.2</v>
      </c>
      <c r="T90" s="348"/>
      <c r="U90" s="44"/>
      <c r="V90" s="42"/>
      <c r="W90" s="44"/>
      <c r="X90" s="42"/>
      <c r="Y90" s="44"/>
      <c r="Z90" s="42"/>
      <c r="AA90" s="44"/>
      <c r="AB90" s="42"/>
      <c r="AC90" s="491"/>
      <c r="AD90" s="491"/>
      <c r="AE90" s="491"/>
      <c r="AF90" s="491"/>
      <c r="AG90" s="491"/>
      <c r="AH90" s="491"/>
      <c r="AI90" s="202"/>
      <c r="AP90" s="588"/>
      <c r="AQ90" s="491"/>
      <c r="AR90" s="202"/>
    </row>
    <row r="91" spans="2:44" ht="14.5" x14ac:dyDescent="0.35">
      <c r="B91" s="99">
        <f>'1. LDC Info'!$F$18-5</f>
        <v>2019</v>
      </c>
      <c r="C91" s="371" t="s">
        <v>79</v>
      </c>
      <c r="D91" s="352">
        <v>7132988</v>
      </c>
      <c r="E91" s="348"/>
      <c r="F91" s="351">
        <v>1264236</v>
      </c>
      <c r="G91" s="348"/>
      <c r="H91" s="351">
        <v>12604</v>
      </c>
      <c r="I91" s="348"/>
      <c r="J91" s="350"/>
      <c r="K91" s="348"/>
      <c r="L91" s="351">
        <v>1303547</v>
      </c>
      <c r="M91" s="200">
        <v>3281.1</v>
      </c>
      <c r="N91" s="348"/>
      <c r="O91" s="366">
        <v>203573.05</v>
      </c>
      <c r="P91" s="200">
        <v>319.89999999999998</v>
      </c>
      <c r="Q91" s="348"/>
      <c r="R91" s="352">
        <v>55468</v>
      </c>
      <c r="S91" s="354">
        <v>190</v>
      </c>
      <c r="T91" s="348"/>
      <c r="U91" s="44"/>
      <c r="V91" s="42"/>
      <c r="W91" s="44"/>
      <c r="X91" s="42"/>
      <c r="Y91" s="44"/>
      <c r="Z91" s="42"/>
      <c r="AA91" s="44"/>
      <c r="AB91" s="42"/>
      <c r="AC91" s="491"/>
      <c r="AD91" s="491"/>
      <c r="AE91" s="491"/>
      <c r="AF91" s="491"/>
      <c r="AG91" s="491"/>
      <c r="AH91" s="491"/>
      <c r="AI91" s="202"/>
      <c r="AP91" s="588"/>
      <c r="AQ91" s="491"/>
      <c r="AR91" s="202"/>
    </row>
    <row r="92" spans="2:44" ht="14.5" x14ac:dyDescent="0.35">
      <c r="B92" s="99">
        <f>'1. LDC Info'!$F$18-5</f>
        <v>2019</v>
      </c>
      <c r="C92" s="371" t="s">
        <v>80</v>
      </c>
      <c r="D92" s="352">
        <v>6705513</v>
      </c>
      <c r="E92" s="348"/>
      <c r="F92" s="351">
        <v>1307581</v>
      </c>
      <c r="G92" s="348"/>
      <c r="H92" s="351">
        <v>12880</v>
      </c>
      <c r="I92" s="348"/>
      <c r="J92" s="350"/>
      <c r="K92" s="348"/>
      <c r="L92" s="351">
        <v>1470520</v>
      </c>
      <c r="M92" s="200">
        <v>3878.8</v>
      </c>
      <c r="N92" s="348"/>
      <c r="O92" s="366">
        <v>217454.37</v>
      </c>
      <c r="P92" s="200">
        <v>448.66</v>
      </c>
      <c r="Q92" s="348"/>
      <c r="R92" s="352">
        <v>49580</v>
      </c>
      <c r="S92" s="354">
        <v>190</v>
      </c>
      <c r="T92" s="348"/>
      <c r="U92" s="44"/>
      <c r="V92" s="42"/>
      <c r="W92" s="44"/>
      <c r="X92" s="42"/>
      <c r="Y92" s="44"/>
      <c r="Z92" s="42"/>
      <c r="AA92" s="44"/>
      <c r="AB92" s="42"/>
      <c r="AC92" s="491"/>
      <c r="AD92" s="491"/>
      <c r="AE92" s="491"/>
      <c r="AF92" s="491"/>
      <c r="AG92" s="491"/>
      <c r="AH92" s="491"/>
      <c r="AI92" s="202"/>
      <c r="AP92" s="588"/>
      <c r="AQ92" s="491"/>
      <c r="AR92" s="202"/>
    </row>
    <row r="93" spans="2:44" ht="14.5" x14ac:dyDescent="0.35">
      <c r="B93" s="99">
        <f>'1. LDC Info'!$F$18-5</f>
        <v>2019</v>
      </c>
      <c r="C93" s="371" t="s">
        <v>81</v>
      </c>
      <c r="D93" s="352">
        <v>6548881</v>
      </c>
      <c r="E93" s="348"/>
      <c r="F93" s="351">
        <v>1345163</v>
      </c>
      <c r="G93" s="348"/>
      <c r="H93" s="351">
        <v>12462</v>
      </c>
      <c r="I93" s="348"/>
      <c r="J93" s="350"/>
      <c r="K93" s="348"/>
      <c r="L93" s="351">
        <v>1485004</v>
      </c>
      <c r="M93" s="200">
        <v>4053.4</v>
      </c>
      <c r="N93" s="348"/>
      <c r="O93" s="366">
        <v>229161.73</v>
      </c>
      <c r="P93" s="200">
        <v>509.2</v>
      </c>
      <c r="Q93" s="348"/>
      <c r="R93" s="352">
        <v>43738</v>
      </c>
      <c r="S93" s="354">
        <v>190</v>
      </c>
      <c r="T93" s="348"/>
      <c r="U93" s="44"/>
      <c r="V93" s="42"/>
      <c r="W93" s="44"/>
      <c r="X93" s="42"/>
      <c r="Y93" s="44"/>
      <c r="Z93" s="42"/>
      <c r="AA93" s="44"/>
      <c r="AB93" s="42"/>
      <c r="AC93" s="491"/>
      <c r="AD93" s="491"/>
      <c r="AE93" s="491"/>
      <c r="AF93" s="491"/>
      <c r="AG93" s="491"/>
      <c r="AH93" s="491"/>
      <c r="AI93" s="202"/>
      <c r="AP93" s="588"/>
      <c r="AQ93" s="491"/>
      <c r="AR93" s="202"/>
    </row>
    <row r="94" spans="2:44" ht="14.5" x14ac:dyDescent="0.35">
      <c r="B94" s="99">
        <f>'1. LDC Info'!$F$18-5</f>
        <v>2019</v>
      </c>
      <c r="C94" s="371" t="s">
        <v>82</v>
      </c>
      <c r="D94" s="352">
        <v>9498790</v>
      </c>
      <c r="E94" s="348"/>
      <c r="F94" s="351">
        <v>1803782</v>
      </c>
      <c r="G94" s="348"/>
      <c r="H94" s="351">
        <v>12590</v>
      </c>
      <c r="I94" s="348"/>
      <c r="J94" s="350"/>
      <c r="K94" s="348"/>
      <c r="L94" s="351">
        <v>1794025</v>
      </c>
      <c r="M94" s="200">
        <v>4287</v>
      </c>
      <c r="N94" s="348"/>
      <c r="O94" s="366">
        <v>275370.15000000002</v>
      </c>
      <c r="P94" s="200">
        <v>551</v>
      </c>
      <c r="Q94" s="348"/>
      <c r="R94" s="352">
        <v>47822</v>
      </c>
      <c r="S94" s="354">
        <v>190</v>
      </c>
      <c r="T94" s="348"/>
      <c r="U94" s="44"/>
      <c r="V94" s="42"/>
      <c r="W94" s="44"/>
      <c r="X94" s="42"/>
      <c r="Y94" s="44"/>
      <c r="Z94" s="42"/>
      <c r="AA94" s="44"/>
      <c r="AB94" s="42"/>
      <c r="AC94" s="491"/>
      <c r="AD94" s="491"/>
      <c r="AE94" s="491"/>
      <c r="AF94" s="491"/>
      <c r="AG94" s="491"/>
      <c r="AH94" s="491"/>
      <c r="AI94" s="202"/>
      <c r="AP94" s="588"/>
      <c r="AQ94" s="491"/>
      <c r="AR94" s="202"/>
    </row>
    <row r="95" spans="2:44" ht="14.5" x14ac:dyDescent="0.35">
      <c r="B95" s="99">
        <f>'1. LDC Info'!$F$18-5</f>
        <v>2019</v>
      </c>
      <c r="C95" s="371" t="s">
        <v>83</v>
      </c>
      <c r="D95" s="352">
        <v>8270744</v>
      </c>
      <c r="E95" s="348"/>
      <c r="F95" s="351">
        <v>1685855</v>
      </c>
      <c r="G95" s="348"/>
      <c r="H95" s="351">
        <v>13406</v>
      </c>
      <c r="I95" s="348"/>
      <c r="J95" s="350"/>
      <c r="K95" s="348"/>
      <c r="L95" s="351">
        <v>1657788</v>
      </c>
      <c r="M95" s="200">
        <v>4112.3</v>
      </c>
      <c r="N95" s="348"/>
      <c r="O95" s="366">
        <v>268373.45</v>
      </c>
      <c r="P95" s="200">
        <v>517.9</v>
      </c>
      <c r="Q95" s="348"/>
      <c r="R95" s="352">
        <v>54661</v>
      </c>
      <c r="S95" s="354">
        <v>190</v>
      </c>
      <c r="T95" s="348"/>
      <c r="U95" s="44"/>
      <c r="V95" s="42"/>
      <c r="W95" s="44"/>
      <c r="X95" s="42"/>
      <c r="Y95" s="44"/>
      <c r="Z95" s="42"/>
      <c r="AA95" s="44"/>
      <c r="AB95" s="42"/>
      <c r="AC95" s="491"/>
      <c r="AD95" s="491"/>
      <c r="AE95" s="491"/>
      <c r="AF95" s="491"/>
      <c r="AG95" s="491"/>
      <c r="AH95" s="491"/>
      <c r="AI95" s="202"/>
      <c r="AP95" s="588"/>
      <c r="AQ95" s="491"/>
      <c r="AR95" s="202"/>
    </row>
    <row r="96" spans="2:44" ht="14.5" x14ac:dyDescent="0.35">
      <c r="B96" s="99">
        <f>'1. LDC Info'!$F$18-5</f>
        <v>2019</v>
      </c>
      <c r="C96" s="371" t="s">
        <v>73</v>
      </c>
      <c r="D96" s="352">
        <v>6328603</v>
      </c>
      <c r="E96" s="348"/>
      <c r="F96" s="351">
        <v>1305489</v>
      </c>
      <c r="G96" s="348"/>
      <c r="H96" s="351">
        <v>13231</v>
      </c>
      <c r="I96" s="348"/>
      <c r="J96" s="355"/>
      <c r="K96" s="356"/>
      <c r="L96" s="351">
        <v>1404835</v>
      </c>
      <c r="M96" s="200">
        <v>3768.7</v>
      </c>
      <c r="N96" s="348"/>
      <c r="O96" s="366">
        <v>242728.61</v>
      </c>
      <c r="P96" s="200">
        <v>521.1</v>
      </c>
      <c r="Q96" s="348"/>
      <c r="R96" s="352">
        <v>61536</v>
      </c>
      <c r="S96" s="354">
        <v>190.2</v>
      </c>
      <c r="T96" s="348"/>
      <c r="U96" s="44"/>
      <c r="V96" s="42"/>
      <c r="W96" s="44"/>
      <c r="X96" s="42"/>
      <c r="Y96" s="44"/>
      <c r="Z96" s="42"/>
      <c r="AA96" s="44"/>
      <c r="AB96" s="42"/>
      <c r="AC96" s="491"/>
      <c r="AD96" s="491"/>
      <c r="AE96" s="491"/>
      <c r="AF96" s="491"/>
      <c r="AG96" s="491"/>
      <c r="AH96" s="491"/>
      <c r="AI96" s="202"/>
      <c r="AP96" s="588"/>
      <c r="AQ96" s="491"/>
      <c r="AR96" s="202"/>
    </row>
    <row r="97" spans="1:47" ht="14.5" x14ac:dyDescent="0.35">
      <c r="B97" s="99">
        <f>'1. LDC Info'!$F$18-5</f>
        <v>2019</v>
      </c>
      <c r="C97" s="371" t="s">
        <v>74</v>
      </c>
      <c r="D97" s="352">
        <v>6768785</v>
      </c>
      <c r="E97" s="348"/>
      <c r="F97" s="351">
        <v>1207180</v>
      </c>
      <c r="G97" s="348"/>
      <c r="H97" s="351">
        <f>12752+11</f>
        <v>12763</v>
      </c>
      <c r="I97" s="348"/>
      <c r="J97" s="355"/>
      <c r="K97" s="356"/>
      <c r="L97" s="351">
        <v>1383386</v>
      </c>
      <c r="M97" s="200">
        <v>3851.4</v>
      </c>
      <c r="N97" s="348"/>
      <c r="O97" s="366">
        <v>219808.02</v>
      </c>
      <c r="P97" s="200">
        <v>531.70000000000005</v>
      </c>
      <c r="Q97" s="348"/>
      <c r="R97" s="352">
        <f>73951-10</f>
        <v>73941</v>
      </c>
      <c r="S97" s="354">
        <v>194</v>
      </c>
      <c r="T97" s="348"/>
      <c r="U97" s="44"/>
      <c r="V97" s="42"/>
      <c r="W97" s="44"/>
      <c r="X97" s="42"/>
      <c r="Y97" s="44"/>
      <c r="Z97" s="42"/>
      <c r="AA97" s="44"/>
      <c r="AB97" s="42"/>
      <c r="AC97" s="491"/>
      <c r="AD97" s="491"/>
      <c r="AE97" s="491"/>
      <c r="AF97" s="491"/>
      <c r="AG97" s="491"/>
      <c r="AH97" s="491"/>
      <c r="AI97" s="202"/>
      <c r="AP97" s="588"/>
      <c r="AQ97" s="491"/>
      <c r="AR97" s="202"/>
    </row>
    <row r="98" spans="1:47" ht="14.5" x14ac:dyDescent="0.35">
      <c r="B98" s="99">
        <f>'1. LDC Info'!$F$18-5</f>
        <v>2019</v>
      </c>
      <c r="C98" s="371" t="s">
        <v>75</v>
      </c>
      <c r="D98" s="352">
        <v>8117528</v>
      </c>
      <c r="E98" s="348"/>
      <c r="F98" s="351">
        <v>1388335</v>
      </c>
      <c r="G98" s="348"/>
      <c r="H98" s="351">
        <v>12776</v>
      </c>
      <c r="I98" s="348"/>
      <c r="J98" s="355"/>
      <c r="K98" s="356"/>
      <c r="L98" s="351">
        <v>1350330</v>
      </c>
      <c r="M98" s="200">
        <v>3386.7</v>
      </c>
      <c r="N98" s="348"/>
      <c r="O98" s="366">
        <v>203492.75</v>
      </c>
      <c r="P98" s="200">
        <v>376.9</v>
      </c>
      <c r="Q98" s="348"/>
      <c r="R98" s="352">
        <v>79479</v>
      </c>
      <c r="S98" s="354">
        <v>194</v>
      </c>
      <c r="T98" s="348"/>
      <c r="U98" s="44"/>
      <c r="V98" s="42"/>
      <c r="W98" s="44"/>
      <c r="X98" s="42"/>
      <c r="Y98" s="44"/>
      <c r="Z98" s="42"/>
      <c r="AA98" s="44"/>
      <c r="AB98" s="42"/>
      <c r="AC98" s="491"/>
      <c r="AD98" s="491"/>
      <c r="AE98" s="491"/>
      <c r="AF98" s="491"/>
      <c r="AG98" s="491"/>
      <c r="AH98" s="491"/>
      <c r="AI98" s="202"/>
      <c r="AP98" s="588"/>
      <c r="AQ98" s="491"/>
      <c r="AR98" s="202"/>
    </row>
    <row r="99" spans="1:47" ht="14.5" x14ac:dyDescent="0.35">
      <c r="B99" s="99">
        <f>'1. LDC Info'!$F$18-5</f>
        <v>2019</v>
      </c>
      <c r="C99" s="371" t="s">
        <v>72</v>
      </c>
      <c r="D99" s="352">
        <f>9299778-824</f>
        <v>9298954</v>
      </c>
      <c r="E99" s="348">
        <v>13133</v>
      </c>
      <c r="F99" s="351">
        <f>1548122-5707</f>
        <v>1542415</v>
      </c>
      <c r="G99" s="348">
        <v>834</v>
      </c>
      <c r="H99" s="351">
        <v>12785</v>
      </c>
      <c r="I99" s="348">
        <v>35</v>
      </c>
      <c r="J99" s="355"/>
      <c r="K99" s="356"/>
      <c r="L99" s="351">
        <v>1435868</v>
      </c>
      <c r="M99" s="200">
        <f>3356.1+72</f>
        <v>3428.1</v>
      </c>
      <c r="N99" s="348">
        <v>35</v>
      </c>
      <c r="O99" s="366">
        <v>216822.84</v>
      </c>
      <c r="P99" s="200">
        <v>372.6</v>
      </c>
      <c r="Q99" s="348">
        <v>1</v>
      </c>
      <c r="R99" s="352">
        <v>86268</v>
      </c>
      <c r="S99" s="354">
        <v>194</v>
      </c>
      <c r="T99" s="348">
        <v>3111</v>
      </c>
      <c r="U99" s="44"/>
      <c r="V99" s="42"/>
      <c r="W99" s="44"/>
      <c r="X99" s="42"/>
      <c r="Y99" s="44"/>
      <c r="Z99" s="42"/>
      <c r="AA99" s="44"/>
      <c r="AB99" s="42"/>
      <c r="AC99" s="491"/>
      <c r="AD99" s="491"/>
      <c r="AE99" s="491"/>
      <c r="AF99" s="491"/>
      <c r="AG99" s="491"/>
      <c r="AH99" s="491"/>
      <c r="AI99" s="490"/>
      <c r="AJ99" s="490"/>
      <c r="AP99" s="588"/>
      <c r="AQ99" s="491"/>
      <c r="AR99" s="202"/>
    </row>
    <row r="100" spans="1:47" ht="14.5" x14ac:dyDescent="0.35">
      <c r="B100" s="99">
        <f>'1. LDC Info'!$F$18-4</f>
        <v>2020</v>
      </c>
      <c r="C100" s="371" t="s">
        <v>76</v>
      </c>
      <c r="D100" s="352">
        <v>9015483</v>
      </c>
      <c r="E100" s="348">
        <v>13133</v>
      </c>
      <c r="F100" s="351">
        <v>1576730</v>
      </c>
      <c r="G100" s="348">
        <v>834</v>
      </c>
      <c r="H100" s="200">
        <v>12787</v>
      </c>
      <c r="I100" s="348">
        <v>35</v>
      </c>
      <c r="J100" s="350"/>
      <c r="K100" s="348"/>
      <c r="L100" s="351">
        <v>1327972</v>
      </c>
      <c r="M100" s="200">
        <v>3385</v>
      </c>
      <c r="N100" s="348">
        <v>35</v>
      </c>
      <c r="O100" s="366">
        <v>212478.33</v>
      </c>
      <c r="P100" s="200">
        <v>374.6</v>
      </c>
      <c r="Q100" s="348">
        <v>1</v>
      </c>
      <c r="R100" s="352">
        <v>84183</v>
      </c>
      <c r="S100" s="354">
        <v>194</v>
      </c>
      <c r="T100" s="348">
        <v>3111</v>
      </c>
      <c r="U100" s="44"/>
      <c r="V100" s="42"/>
      <c r="W100" s="44"/>
      <c r="X100" s="42"/>
      <c r="Y100" s="44"/>
      <c r="Z100" s="42"/>
      <c r="AA100" s="44"/>
      <c r="AB100" s="42"/>
      <c r="AC100" s="491"/>
      <c r="AD100" s="491"/>
      <c r="AE100" s="491"/>
      <c r="AF100" s="491"/>
      <c r="AG100" s="491"/>
      <c r="AH100" s="491"/>
      <c r="AI100" s="490"/>
      <c r="AJ100" s="490"/>
      <c r="AK100" s="491"/>
      <c r="AL100" s="202"/>
      <c r="AM100" s="202"/>
      <c r="AO100" s="589"/>
      <c r="AP100" s="588"/>
      <c r="AQ100" s="491"/>
      <c r="AR100" s="202"/>
      <c r="AT100" s="202"/>
      <c r="AU100" s="491"/>
    </row>
    <row r="101" spans="1:47" ht="14.5" x14ac:dyDescent="0.35">
      <c r="B101" s="99">
        <f>'1. LDC Info'!$F$18-4</f>
        <v>2020</v>
      </c>
      <c r="C101" s="371" t="s">
        <v>77</v>
      </c>
      <c r="D101" s="352">
        <v>8438403</v>
      </c>
      <c r="E101" s="348"/>
      <c r="F101" s="351">
        <v>1495099</v>
      </c>
      <c r="G101" s="348"/>
      <c r="H101" s="200">
        <v>12786</v>
      </c>
      <c r="I101" s="348"/>
      <c r="J101" s="350"/>
      <c r="K101" s="348"/>
      <c r="L101" s="351">
        <v>1350360</v>
      </c>
      <c r="M101" s="200">
        <v>3271.4</v>
      </c>
      <c r="N101" s="348"/>
      <c r="O101" s="366">
        <v>196247.52</v>
      </c>
      <c r="P101" s="200">
        <v>357.2</v>
      </c>
      <c r="Q101" s="348"/>
      <c r="R101" s="352">
        <v>78946</v>
      </c>
      <c r="S101" s="354">
        <v>194</v>
      </c>
      <c r="T101" s="348"/>
      <c r="U101" s="44"/>
      <c r="V101" s="42"/>
      <c r="W101" s="44"/>
      <c r="X101" s="42"/>
      <c r="Y101" s="44"/>
      <c r="Z101" s="42"/>
      <c r="AA101" s="44"/>
      <c r="AB101" s="42"/>
      <c r="AC101" s="491"/>
      <c r="AD101" s="491"/>
      <c r="AE101" s="491"/>
      <c r="AF101" s="491"/>
      <c r="AG101" s="491"/>
      <c r="AH101" s="491"/>
      <c r="AI101" s="490"/>
      <c r="AJ101" s="490"/>
      <c r="AK101" s="491"/>
      <c r="AL101" s="202"/>
      <c r="AO101" s="589"/>
      <c r="AP101" s="588"/>
      <c r="AQ101" s="491"/>
      <c r="AR101" s="202"/>
      <c r="AT101" s="202"/>
      <c r="AU101" s="491"/>
    </row>
    <row r="102" spans="1:47" ht="14.5" x14ac:dyDescent="0.35">
      <c r="B102" s="99">
        <f>'1. LDC Info'!$F$18-4</f>
        <v>2020</v>
      </c>
      <c r="C102" s="371" t="s">
        <v>78</v>
      </c>
      <c r="D102" s="352">
        <v>8335459</v>
      </c>
      <c r="E102" s="348"/>
      <c r="F102" s="351">
        <v>1357866</v>
      </c>
      <c r="G102" s="348"/>
      <c r="H102" s="200">
        <v>12772</v>
      </c>
      <c r="I102" s="348"/>
      <c r="J102" s="350"/>
      <c r="K102" s="348"/>
      <c r="L102" s="351">
        <v>1304084</v>
      </c>
      <c r="M102" s="200">
        <v>3274.1</v>
      </c>
      <c r="N102" s="348"/>
      <c r="O102" s="366">
        <v>207493.16</v>
      </c>
      <c r="P102" s="200">
        <v>355.6</v>
      </c>
      <c r="Q102" s="348"/>
      <c r="R102" s="352">
        <v>67695</v>
      </c>
      <c r="S102" s="354">
        <v>194</v>
      </c>
      <c r="T102" s="348"/>
      <c r="U102" s="44"/>
      <c r="V102" s="42"/>
      <c r="W102" s="44"/>
      <c r="X102" s="42"/>
      <c r="Y102" s="44"/>
      <c r="Z102" s="42"/>
      <c r="AA102" s="44"/>
      <c r="AB102" s="42"/>
      <c r="AC102" s="491"/>
      <c r="AD102" s="491"/>
      <c r="AE102" s="491"/>
      <c r="AF102" s="491"/>
      <c r="AG102" s="491"/>
      <c r="AH102" s="491"/>
      <c r="AI102" s="490"/>
      <c r="AJ102" s="490"/>
      <c r="AK102" s="491"/>
      <c r="AL102" s="202"/>
      <c r="AO102" s="589"/>
      <c r="AP102" s="588"/>
      <c r="AQ102" s="491"/>
      <c r="AR102" s="202"/>
      <c r="AT102" s="202"/>
      <c r="AU102" s="491"/>
    </row>
    <row r="103" spans="1:47" ht="14.5" x14ac:dyDescent="0.35">
      <c r="B103" s="99">
        <f>'1. LDC Info'!$F$18-4</f>
        <v>2020</v>
      </c>
      <c r="C103" s="371" t="s">
        <v>79</v>
      </c>
      <c r="D103" s="352">
        <v>7833573</v>
      </c>
      <c r="E103" s="348"/>
      <c r="F103" s="351">
        <v>1107351</v>
      </c>
      <c r="G103" s="348"/>
      <c r="H103" s="200">
        <v>12764</v>
      </c>
      <c r="I103" s="348"/>
      <c r="J103" s="350"/>
      <c r="K103" s="348"/>
      <c r="L103" s="351">
        <v>1159768</v>
      </c>
      <c r="M103" s="200">
        <v>2932.1</v>
      </c>
      <c r="N103" s="348"/>
      <c r="O103" s="366">
        <v>196988.14</v>
      </c>
      <c r="P103" s="200">
        <v>386.5</v>
      </c>
      <c r="Q103" s="348"/>
      <c r="R103" s="352">
        <v>69819</v>
      </c>
      <c r="S103" s="354">
        <v>194</v>
      </c>
      <c r="T103" s="348"/>
      <c r="U103" s="44"/>
      <c r="V103" s="42"/>
      <c r="W103" s="44"/>
      <c r="X103" s="42"/>
      <c r="Y103" s="44"/>
      <c r="Z103" s="42"/>
      <c r="AA103" s="44"/>
      <c r="AB103" s="42"/>
      <c r="AC103" s="491"/>
      <c r="AD103" s="491"/>
      <c r="AE103" s="491"/>
      <c r="AF103" s="491"/>
      <c r="AG103" s="491"/>
      <c r="AH103" s="491"/>
      <c r="AI103" s="490"/>
      <c r="AJ103" s="490"/>
      <c r="AK103" s="491"/>
      <c r="AL103" s="202"/>
      <c r="AO103" s="589"/>
      <c r="AP103" s="588"/>
      <c r="AQ103" s="491"/>
      <c r="AR103" s="202"/>
      <c r="AT103" s="202"/>
      <c r="AU103" s="491"/>
    </row>
    <row r="104" spans="1:47" ht="14.5" x14ac:dyDescent="0.35">
      <c r="B104" s="99">
        <f>'1. LDC Info'!$F$18-4</f>
        <v>2020</v>
      </c>
      <c r="C104" s="371" t="s">
        <v>80</v>
      </c>
      <c r="D104" s="352">
        <v>7780133</v>
      </c>
      <c r="E104" s="348"/>
      <c r="F104" s="351">
        <v>1151116</v>
      </c>
      <c r="G104" s="348"/>
      <c r="H104" s="200">
        <v>12758</v>
      </c>
      <c r="I104" s="348"/>
      <c r="J104" s="350"/>
      <c r="K104" s="348"/>
      <c r="L104" s="351">
        <v>1199335</v>
      </c>
      <c r="M104" s="200">
        <v>3468.8</v>
      </c>
      <c r="N104" s="348"/>
      <c r="O104" s="366">
        <v>226185.9</v>
      </c>
      <c r="P104" s="200">
        <v>543</v>
      </c>
      <c r="Q104" s="348"/>
      <c r="R104" s="352">
        <v>50626</v>
      </c>
      <c r="S104" s="354">
        <v>194</v>
      </c>
      <c r="T104" s="348"/>
      <c r="U104" s="44"/>
      <c r="V104" s="42"/>
      <c r="W104" s="44"/>
      <c r="X104" s="42"/>
      <c r="Y104" s="44"/>
      <c r="Z104" s="42"/>
      <c r="AA104" s="44"/>
      <c r="AB104" s="42"/>
      <c r="AC104" s="491"/>
      <c r="AD104" s="491"/>
      <c r="AE104" s="491"/>
      <c r="AF104" s="491"/>
      <c r="AG104" s="491"/>
      <c r="AH104" s="491"/>
      <c r="AI104" s="490"/>
      <c r="AJ104" s="490"/>
      <c r="AK104" s="491"/>
      <c r="AL104" s="202"/>
      <c r="AM104" s="202"/>
      <c r="AN104" s="491"/>
      <c r="AO104" s="589"/>
      <c r="AQ104" s="491"/>
      <c r="AR104" s="202"/>
      <c r="AT104" s="202"/>
      <c r="AU104" s="491"/>
    </row>
    <row r="105" spans="1:47" ht="14.5" x14ac:dyDescent="0.35">
      <c r="B105" s="99">
        <f>'1. LDC Info'!$F$18-4</f>
        <v>2020</v>
      </c>
      <c r="C105" s="371" t="s">
        <v>81</v>
      </c>
      <c r="D105" s="352">
        <v>8079433</v>
      </c>
      <c r="E105" s="348"/>
      <c r="F105" s="351">
        <v>1347755</v>
      </c>
      <c r="G105" s="348"/>
      <c r="H105" s="200">
        <v>12749</v>
      </c>
      <c r="I105" s="348"/>
      <c r="J105" s="350"/>
      <c r="K105" s="348"/>
      <c r="L105" s="351">
        <v>1409882</v>
      </c>
      <c r="M105" s="200">
        <v>3865.5</v>
      </c>
      <c r="N105" s="348"/>
      <c r="O105" s="366">
        <v>249449.17</v>
      </c>
      <c r="P105" s="200">
        <v>580.4</v>
      </c>
      <c r="Q105" s="348"/>
      <c r="R105" s="352">
        <v>44661</v>
      </c>
      <c r="S105" s="354">
        <v>194</v>
      </c>
      <c r="T105" s="348"/>
      <c r="U105" s="44"/>
      <c r="V105" s="42"/>
      <c r="W105" s="44"/>
      <c r="X105" s="42"/>
      <c r="Y105" s="44"/>
      <c r="Z105" s="42"/>
      <c r="AA105" s="44"/>
      <c r="AB105" s="42"/>
      <c r="AC105" s="491"/>
      <c r="AD105" s="491"/>
      <c r="AE105" s="491"/>
      <c r="AF105" s="491"/>
      <c r="AG105" s="491"/>
      <c r="AH105" s="491"/>
      <c r="AI105" s="490"/>
      <c r="AJ105" s="490"/>
      <c r="AK105" s="491"/>
      <c r="AL105" s="202"/>
      <c r="AM105" s="202"/>
      <c r="AN105" s="491"/>
      <c r="AO105" s="589"/>
      <c r="AQ105" s="491"/>
      <c r="AR105" s="202"/>
      <c r="AT105" s="202"/>
      <c r="AU105" s="491"/>
    </row>
    <row r="106" spans="1:47" ht="14.5" x14ac:dyDescent="0.35">
      <c r="B106" s="99">
        <f>'1. LDC Info'!$F$18-4</f>
        <v>2020</v>
      </c>
      <c r="C106" s="371" t="s">
        <v>82</v>
      </c>
      <c r="D106" s="352">
        <v>10974707</v>
      </c>
      <c r="E106" s="348"/>
      <c r="F106" s="351">
        <v>1780990</v>
      </c>
      <c r="G106" s="348"/>
      <c r="H106" s="200">
        <v>12752</v>
      </c>
      <c r="I106" s="348"/>
      <c r="J106" s="350"/>
      <c r="K106" s="348"/>
      <c r="L106" s="351">
        <v>1709099</v>
      </c>
      <c r="M106" s="200">
        <v>4187</v>
      </c>
      <c r="N106" s="348"/>
      <c r="O106" s="366">
        <v>300371.11</v>
      </c>
      <c r="P106" s="200">
        <v>598.1</v>
      </c>
      <c r="Q106" s="348"/>
      <c r="R106" s="352">
        <v>48832</v>
      </c>
      <c r="S106" s="354">
        <v>194</v>
      </c>
      <c r="T106" s="348"/>
      <c r="U106" s="44"/>
      <c r="V106" s="42"/>
      <c r="W106" s="44"/>
      <c r="X106" s="42"/>
      <c r="Y106" s="44"/>
      <c r="Z106" s="42"/>
      <c r="AA106" s="44"/>
      <c r="AB106" s="42"/>
      <c r="AC106" s="491"/>
      <c r="AD106" s="491"/>
      <c r="AE106" s="491"/>
      <c r="AF106" s="491"/>
      <c r="AG106" s="491"/>
      <c r="AH106" s="491"/>
      <c r="AI106" s="490"/>
      <c r="AJ106" s="490"/>
      <c r="AK106" s="491"/>
      <c r="AL106" s="202"/>
      <c r="AM106" s="202"/>
      <c r="AN106" s="491"/>
      <c r="AO106" s="589"/>
      <c r="AQ106" s="491"/>
      <c r="AR106" s="202"/>
      <c r="AT106" s="202"/>
      <c r="AU106" s="491"/>
    </row>
    <row r="107" spans="1:47" ht="14.5" x14ac:dyDescent="0.35">
      <c r="B107" s="99">
        <f>'1. LDC Info'!$F$18-4</f>
        <v>2020</v>
      </c>
      <c r="C107" s="371" t="s">
        <v>83</v>
      </c>
      <c r="D107" s="352">
        <v>9609862</v>
      </c>
      <c r="E107" s="348"/>
      <c r="F107" s="351">
        <v>1680105</v>
      </c>
      <c r="G107" s="348"/>
      <c r="H107" s="357">
        <v>12752</v>
      </c>
      <c r="I107" s="348"/>
      <c r="J107" s="350"/>
      <c r="K107" s="348"/>
      <c r="L107" s="351">
        <v>1644044</v>
      </c>
      <c r="M107" s="200">
        <v>4089.1999999999994</v>
      </c>
      <c r="N107" s="348"/>
      <c r="O107" s="366">
        <v>280947.03000000003</v>
      </c>
      <c r="P107" s="200">
        <v>548.29999999999995</v>
      </c>
      <c r="Q107" s="348"/>
      <c r="R107" s="352">
        <v>55815</v>
      </c>
      <c r="S107" s="354">
        <v>194</v>
      </c>
      <c r="T107" s="348"/>
      <c r="U107" s="44"/>
      <c r="V107" s="42"/>
      <c r="W107" s="44"/>
      <c r="X107" s="42"/>
      <c r="Y107" s="44"/>
      <c r="Z107" s="42"/>
      <c r="AA107" s="44"/>
      <c r="AB107" s="42"/>
      <c r="AC107" s="491"/>
      <c r="AD107" s="491"/>
      <c r="AE107" s="491"/>
      <c r="AF107" s="491"/>
      <c r="AG107" s="491"/>
      <c r="AH107" s="491"/>
      <c r="AI107" s="490"/>
      <c r="AJ107" s="490"/>
      <c r="AK107" s="491"/>
      <c r="AL107" s="202"/>
      <c r="AM107" s="202"/>
      <c r="AN107" s="491"/>
      <c r="AO107" s="589"/>
      <c r="AQ107" s="491"/>
      <c r="AR107" s="202"/>
      <c r="AT107" s="202"/>
      <c r="AU107" s="491"/>
    </row>
    <row r="108" spans="1:47" ht="14.5" x14ac:dyDescent="0.35">
      <c r="B108" s="99">
        <f>'1. LDC Info'!$F$18-4</f>
        <v>2020</v>
      </c>
      <c r="C108" s="371" t="s">
        <v>73</v>
      </c>
      <c r="D108" s="360">
        <v>7120955</v>
      </c>
      <c r="E108" s="348"/>
      <c r="F108" s="373">
        <v>1333752</v>
      </c>
      <c r="G108" s="348"/>
      <c r="H108" s="200">
        <v>12750</v>
      </c>
      <c r="I108" s="348"/>
      <c r="J108" s="355"/>
      <c r="K108" s="356"/>
      <c r="L108" s="351">
        <v>1409658</v>
      </c>
      <c r="M108" s="200">
        <v>3778.9</v>
      </c>
      <c r="N108" s="348"/>
      <c r="O108" s="366">
        <v>233218.7</v>
      </c>
      <c r="P108" s="200">
        <v>493.7</v>
      </c>
      <c r="Q108" s="348"/>
      <c r="R108" s="352">
        <v>62749</v>
      </c>
      <c r="S108" s="354">
        <v>194</v>
      </c>
      <c r="T108" s="348"/>
      <c r="U108" s="44"/>
      <c r="V108" s="42"/>
      <c r="W108" s="44"/>
      <c r="X108" s="42"/>
      <c r="Y108" s="44"/>
      <c r="Z108" s="42"/>
      <c r="AA108" s="44"/>
      <c r="AB108" s="42"/>
      <c r="AC108" s="491"/>
      <c r="AD108" s="491"/>
      <c r="AE108" s="491"/>
      <c r="AF108" s="491"/>
      <c r="AG108" s="491"/>
      <c r="AH108" s="491"/>
      <c r="AI108" s="490"/>
      <c r="AJ108" s="490"/>
      <c r="AK108" s="491"/>
      <c r="AL108" s="202"/>
      <c r="AM108" s="202"/>
      <c r="AN108" s="491"/>
      <c r="AO108" s="589"/>
      <c r="AQ108" s="491"/>
      <c r="AR108" s="202"/>
      <c r="AT108" s="202"/>
      <c r="AU108" s="491"/>
    </row>
    <row r="109" spans="1:47" ht="14.5" x14ac:dyDescent="0.35">
      <c r="B109" s="99">
        <f>'1. LDC Info'!$F$18-4</f>
        <v>2020</v>
      </c>
      <c r="C109" s="371" t="s">
        <v>74</v>
      </c>
      <c r="D109" s="352">
        <v>7566996</v>
      </c>
      <c r="E109" s="348"/>
      <c r="F109" s="351">
        <v>1241968</v>
      </c>
      <c r="G109" s="348"/>
      <c r="H109" s="200">
        <v>12629</v>
      </c>
      <c r="I109" s="348"/>
      <c r="J109" s="355"/>
      <c r="K109" s="356"/>
      <c r="L109" s="351">
        <v>1357948</v>
      </c>
      <c r="M109" s="200">
        <v>3854.5</v>
      </c>
      <c r="N109" s="348"/>
      <c r="O109" s="366">
        <v>213043.64</v>
      </c>
      <c r="P109" s="200">
        <v>466.3</v>
      </c>
      <c r="Q109" s="348"/>
      <c r="R109" s="352">
        <v>73951</v>
      </c>
      <c r="S109" s="354">
        <v>194</v>
      </c>
      <c r="T109" s="348"/>
      <c r="U109" s="44"/>
      <c r="V109" s="42"/>
      <c r="W109" s="44"/>
      <c r="X109" s="42"/>
      <c r="Y109" s="44"/>
      <c r="Z109" s="42"/>
      <c r="AA109" s="44"/>
      <c r="AB109" s="42"/>
      <c r="AC109" s="491"/>
      <c r="AD109" s="491"/>
      <c r="AE109" s="491"/>
      <c r="AF109" s="491"/>
      <c r="AG109" s="491"/>
      <c r="AH109" s="491"/>
      <c r="AI109" s="490"/>
      <c r="AJ109" s="490"/>
      <c r="AK109" s="491"/>
      <c r="AL109" s="202"/>
      <c r="AM109" s="202"/>
      <c r="AN109" s="491"/>
      <c r="AO109" s="589"/>
      <c r="AQ109" s="491"/>
      <c r="AR109" s="202"/>
      <c r="AT109" s="202"/>
      <c r="AU109" s="491"/>
    </row>
    <row r="110" spans="1:47" ht="14.5" x14ac:dyDescent="0.35">
      <c r="B110" s="99">
        <f>'1. LDC Info'!$F$18-4</f>
        <v>2020</v>
      </c>
      <c r="C110" s="371" t="s">
        <v>75</v>
      </c>
      <c r="D110" s="352">
        <v>7872664</v>
      </c>
      <c r="E110" s="348"/>
      <c r="F110" s="351">
        <v>1252001</v>
      </c>
      <c r="G110" s="348"/>
      <c r="H110" s="357">
        <v>12636</v>
      </c>
      <c r="I110" s="348"/>
      <c r="J110" s="355"/>
      <c r="K110" s="356"/>
      <c r="L110" s="594">
        <v>1215270</v>
      </c>
      <c r="M110" s="200">
        <v>3174.1000000000004</v>
      </c>
      <c r="N110" s="348"/>
      <c r="O110" s="366">
        <v>210669.65</v>
      </c>
      <c r="P110" s="200">
        <v>473</v>
      </c>
      <c r="Q110" s="348"/>
      <c r="R110" s="352">
        <v>79479</v>
      </c>
      <c r="S110" s="354">
        <v>194</v>
      </c>
      <c r="T110" s="348"/>
      <c r="U110" s="44"/>
      <c r="V110" s="42"/>
      <c r="W110" s="44"/>
      <c r="X110" s="42"/>
      <c r="Y110" s="44"/>
      <c r="Z110" s="42"/>
      <c r="AA110" s="44"/>
      <c r="AB110" s="42"/>
      <c r="AC110" s="491"/>
      <c r="AD110" s="491"/>
      <c r="AE110" s="491"/>
      <c r="AF110" s="491"/>
      <c r="AG110" s="491"/>
      <c r="AH110" s="491"/>
      <c r="AI110" s="490"/>
      <c r="AJ110" s="490"/>
      <c r="AK110" s="491"/>
      <c r="AL110" s="202"/>
      <c r="AM110" s="202"/>
      <c r="AN110" s="491"/>
      <c r="AO110" s="589"/>
      <c r="AQ110" s="491"/>
      <c r="AR110" s="202"/>
      <c r="AT110" s="202"/>
      <c r="AU110" s="491"/>
    </row>
    <row r="111" spans="1:47" ht="14.5" x14ac:dyDescent="0.35">
      <c r="A111" s="202"/>
      <c r="B111" s="99">
        <f>'1. LDC Info'!$F$18-4</f>
        <v>2020</v>
      </c>
      <c r="C111" s="371" t="s">
        <v>72</v>
      </c>
      <c r="D111" s="352">
        <v>9940250</v>
      </c>
      <c r="E111" s="348">
        <v>13393</v>
      </c>
      <c r="F111" s="351">
        <v>1495966</v>
      </c>
      <c r="G111" s="348">
        <v>831</v>
      </c>
      <c r="H111" s="357">
        <v>12987</v>
      </c>
      <c r="I111" s="348">
        <v>35</v>
      </c>
      <c r="J111" s="355"/>
      <c r="K111" s="356"/>
      <c r="L111" s="351">
        <f>1314540+1</f>
        <v>1314541</v>
      </c>
      <c r="M111" s="200">
        <v>3246.9</v>
      </c>
      <c r="N111" s="348">
        <v>33</v>
      </c>
      <c r="O111" s="366">
        <v>207777.22</v>
      </c>
      <c r="P111" s="200">
        <v>349.4</v>
      </c>
      <c r="Q111" s="348">
        <v>1</v>
      </c>
      <c r="R111" s="352">
        <v>86268</v>
      </c>
      <c r="S111" s="354">
        <v>194</v>
      </c>
      <c r="T111" s="348">
        <v>3111</v>
      </c>
      <c r="U111" s="44"/>
      <c r="V111" s="42"/>
      <c r="W111" s="44"/>
      <c r="X111" s="42"/>
      <c r="Y111" s="44"/>
      <c r="Z111" s="42"/>
      <c r="AA111" s="44"/>
      <c r="AB111" s="42"/>
      <c r="AC111" s="491"/>
      <c r="AD111" s="491"/>
      <c r="AE111" s="491"/>
      <c r="AF111" s="491"/>
      <c r="AG111" s="491"/>
      <c r="AH111" s="491"/>
      <c r="AI111" s="490"/>
      <c r="AJ111" s="490"/>
      <c r="AK111" s="491"/>
      <c r="AL111" s="202"/>
      <c r="AM111" s="202"/>
      <c r="AN111" s="491"/>
      <c r="AO111" s="589"/>
      <c r="AQ111" s="491"/>
      <c r="AR111" s="202"/>
      <c r="AT111" s="202"/>
    </row>
    <row r="112" spans="1:47" ht="14.5" x14ac:dyDescent="0.35">
      <c r="A112" s="202"/>
      <c r="B112" s="99">
        <f>'1. LDC Info'!$F$18-3</f>
        <v>2021</v>
      </c>
      <c r="C112" s="371" t="s">
        <v>76</v>
      </c>
      <c r="D112" s="377">
        <v>10104058</v>
      </c>
      <c r="E112" s="348">
        <v>13393</v>
      </c>
      <c r="F112" s="349">
        <v>1533731</v>
      </c>
      <c r="G112" s="348">
        <v>831</v>
      </c>
      <c r="H112" s="351">
        <v>12789</v>
      </c>
      <c r="I112" s="348">
        <v>35</v>
      </c>
      <c r="J112" s="355"/>
      <c r="K112" s="356"/>
      <c r="L112" s="351">
        <v>1339407</v>
      </c>
      <c r="M112" s="200">
        <v>3204.8</v>
      </c>
      <c r="N112" s="348">
        <v>33</v>
      </c>
      <c r="O112" s="352">
        <v>201299.4</v>
      </c>
      <c r="P112" s="200">
        <v>340.5</v>
      </c>
      <c r="Q112" s="348">
        <v>1</v>
      </c>
      <c r="R112" s="352">
        <v>84526</v>
      </c>
      <c r="S112" s="200">
        <v>194.8</v>
      </c>
      <c r="T112" s="348">
        <v>3111</v>
      </c>
      <c r="U112" s="43"/>
      <c r="V112" s="42"/>
      <c r="W112" s="43"/>
      <c r="X112" s="42"/>
      <c r="Y112" s="43"/>
      <c r="Z112" s="42"/>
      <c r="AA112" s="43"/>
      <c r="AB112" s="42"/>
      <c r="AC112" s="491"/>
      <c r="AD112" s="491"/>
      <c r="AE112" s="491"/>
      <c r="AF112" s="491"/>
      <c r="AG112" s="491"/>
      <c r="AH112" s="491"/>
      <c r="AI112" s="490"/>
      <c r="AJ112" s="490"/>
      <c r="AK112" s="490"/>
      <c r="AL112" s="202"/>
      <c r="AM112" s="202"/>
      <c r="AN112" s="491"/>
      <c r="AO112" s="589"/>
      <c r="AQ112" s="491"/>
      <c r="AR112" s="202"/>
      <c r="AT112" s="202"/>
    </row>
    <row r="113" spans="1:46" ht="14.5" x14ac:dyDescent="0.35">
      <c r="A113" s="202"/>
      <c r="B113" s="99">
        <f>'1. LDC Info'!$F$18-3</f>
        <v>2021</v>
      </c>
      <c r="C113" s="371" t="s">
        <v>77</v>
      </c>
      <c r="D113" s="352">
        <v>9469582</v>
      </c>
      <c r="E113" s="348"/>
      <c r="F113" s="349">
        <v>1478985</v>
      </c>
      <c r="G113" s="348"/>
      <c r="H113" s="351">
        <v>12783</v>
      </c>
      <c r="I113" s="348"/>
      <c r="J113" s="355"/>
      <c r="K113" s="356"/>
      <c r="L113" s="351">
        <v>1274947</v>
      </c>
      <c r="M113" s="200">
        <v>3423.7</v>
      </c>
      <c r="N113" s="348"/>
      <c r="O113" s="352">
        <v>178935.21</v>
      </c>
      <c r="P113" s="200">
        <v>337.7</v>
      </c>
      <c r="Q113" s="348"/>
      <c r="R113" s="352">
        <v>76638</v>
      </c>
      <c r="S113" s="200">
        <v>194.8</v>
      </c>
      <c r="T113" s="348"/>
      <c r="U113" s="43"/>
      <c r="V113" s="42"/>
      <c r="W113" s="43"/>
      <c r="X113" s="42"/>
      <c r="Y113" s="43"/>
      <c r="Z113" s="42"/>
      <c r="AA113" s="43"/>
      <c r="AB113" s="42"/>
      <c r="AC113" s="491"/>
      <c r="AD113" s="491"/>
      <c r="AE113" s="491"/>
      <c r="AF113" s="491"/>
      <c r="AG113" s="491"/>
      <c r="AH113" s="491"/>
      <c r="AI113" s="490"/>
      <c r="AJ113" s="490"/>
      <c r="AL113" s="202"/>
      <c r="AM113" s="202"/>
      <c r="AN113" s="491"/>
      <c r="AO113" s="589"/>
      <c r="AQ113" s="491"/>
      <c r="AR113" s="202"/>
      <c r="AT113" s="202"/>
    </row>
    <row r="114" spans="1:46" ht="14.5" x14ac:dyDescent="0.35">
      <c r="A114" s="202"/>
      <c r="B114" s="99">
        <f>'1. LDC Info'!$F$18-3</f>
        <v>2021</v>
      </c>
      <c r="C114" s="371" t="s">
        <v>78</v>
      </c>
      <c r="D114" s="352">
        <v>8843472</v>
      </c>
      <c r="E114" s="573"/>
      <c r="F114" s="349">
        <v>1424839</v>
      </c>
      <c r="G114" s="348"/>
      <c r="H114" s="351">
        <v>12777</v>
      </c>
      <c r="I114" s="348"/>
      <c r="J114" s="355"/>
      <c r="K114" s="356"/>
      <c r="L114" s="351">
        <v>1352669</v>
      </c>
      <c r="M114" s="200">
        <v>3425.2999999999997</v>
      </c>
      <c r="N114" s="348"/>
      <c r="O114" s="352">
        <v>205201.67</v>
      </c>
      <c r="P114" s="200">
        <v>392.3</v>
      </c>
      <c r="Q114" s="348"/>
      <c r="R114" s="352">
        <v>68556</v>
      </c>
      <c r="S114" s="200">
        <v>194.8</v>
      </c>
      <c r="T114" s="348"/>
      <c r="U114" s="43"/>
      <c r="V114" s="42"/>
      <c r="W114" s="43"/>
      <c r="X114" s="42"/>
      <c r="Y114" s="43"/>
      <c r="Z114" s="42"/>
      <c r="AA114" s="43"/>
      <c r="AB114" s="42"/>
      <c r="AC114" s="491"/>
      <c r="AD114" s="491"/>
      <c r="AE114" s="491"/>
      <c r="AF114" s="491"/>
      <c r="AG114" s="491"/>
      <c r="AH114" s="491"/>
      <c r="AI114" s="490"/>
      <c r="AJ114" s="490"/>
      <c r="AL114" s="202"/>
      <c r="AM114" s="202"/>
      <c r="AN114" s="491"/>
      <c r="AO114" s="589"/>
      <c r="AQ114" s="491"/>
      <c r="AR114" s="202"/>
    </row>
    <row r="115" spans="1:46" ht="14.5" x14ac:dyDescent="0.35">
      <c r="A115" s="202"/>
      <c r="B115" s="99">
        <f>'1. LDC Info'!$F$18-3</f>
        <v>2021</v>
      </c>
      <c r="C115" s="371" t="s">
        <v>79</v>
      </c>
      <c r="D115" s="352">
        <v>7571195</v>
      </c>
      <c r="E115" s="573"/>
      <c r="F115" s="349">
        <v>1210587</v>
      </c>
      <c r="G115" s="348"/>
      <c r="H115" s="351">
        <v>12761</v>
      </c>
      <c r="I115" s="348"/>
      <c r="J115" s="355"/>
      <c r="K115" s="356"/>
      <c r="L115" s="351">
        <v>1201400</v>
      </c>
      <c r="M115" s="200">
        <v>3161.5</v>
      </c>
      <c r="N115" s="348"/>
      <c r="O115" s="352">
        <v>207001.49</v>
      </c>
      <c r="P115" s="200">
        <v>429</v>
      </c>
      <c r="Q115" s="348"/>
      <c r="R115" s="352">
        <v>56870</v>
      </c>
      <c r="S115" s="200">
        <v>194.8</v>
      </c>
      <c r="T115" s="348"/>
      <c r="U115" s="43"/>
      <c r="V115" s="42"/>
      <c r="W115" s="43"/>
      <c r="X115" s="42"/>
      <c r="Y115" s="43"/>
      <c r="Z115" s="42"/>
      <c r="AA115" s="43"/>
      <c r="AB115" s="42"/>
      <c r="AC115" s="491"/>
      <c r="AD115" s="491"/>
      <c r="AE115" s="491"/>
      <c r="AF115" s="491"/>
      <c r="AG115" s="491"/>
      <c r="AH115" s="491"/>
      <c r="AI115" s="490"/>
      <c r="AJ115" s="490"/>
      <c r="AL115" s="202"/>
      <c r="AM115" s="202"/>
      <c r="AN115" s="491"/>
      <c r="AO115" s="589"/>
      <c r="AQ115" s="491"/>
      <c r="AR115" s="202"/>
    </row>
    <row r="116" spans="1:46" ht="14.5" x14ac:dyDescent="0.35">
      <c r="A116" s="202"/>
      <c r="B116" s="99">
        <f>'1. LDC Info'!$F$18-3</f>
        <v>2021</v>
      </c>
      <c r="C116" s="371" t="s">
        <v>80</v>
      </c>
      <c r="D116" s="352">
        <v>7620296</v>
      </c>
      <c r="E116" s="348"/>
      <c r="F116" s="349">
        <v>1268965</v>
      </c>
      <c r="G116" s="348"/>
      <c r="H116" s="351">
        <v>12752</v>
      </c>
      <c r="I116" s="348"/>
      <c r="J116" s="355"/>
      <c r="K116" s="356"/>
      <c r="L116" s="351">
        <v>1363148</v>
      </c>
      <c r="M116" s="200">
        <v>3763.6000000000004</v>
      </c>
      <c r="N116" s="348"/>
      <c r="O116" s="352">
        <v>230199.33</v>
      </c>
      <c r="P116" s="200">
        <v>506.8</v>
      </c>
      <c r="Q116" s="348"/>
      <c r="R116" s="352">
        <v>50832</v>
      </c>
      <c r="S116" s="200">
        <v>194.8</v>
      </c>
      <c r="T116" s="348"/>
      <c r="U116" s="43"/>
      <c r="V116" s="42"/>
      <c r="W116" s="43"/>
      <c r="X116" s="42"/>
      <c r="Y116" s="43"/>
      <c r="Z116" s="42"/>
      <c r="AA116" s="43"/>
      <c r="AB116" s="42"/>
      <c r="AC116" s="491"/>
      <c r="AD116" s="491"/>
      <c r="AE116" s="491"/>
      <c r="AF116" s="491"/>
      <c r="AG116" s="491"/>
      <c r="AH116" s="491"/>
      <c r="AI116" s="490"/>
      <c r="AJ116" s="490"/>
      <c r="AL116" s="202"/>
      <c r="AM116" s="202"/>
      <c r="AN116" s="491"/>
      <c r="AO116" s="589"/>
      <c r="AQ116" s="491"/>
      <c r="AR116" s="202"/>
    </row>
    <row r="117" spans="1:46" ht="14.5" x14ac:dyDescent="0.35">
      <c r="A117" s="202"/>
      <c r="B117" s="99">
        <f>'1. LDC Info'!$F$18-3</f>
        <v>2021</v>
      </c>
      <c r="C117" s="371" t="s">
        <v>81</v>
      </c>
      <c r="D117" s="352">
        <v>8808975</v>
      </c>
      <c r="E117" s="348"/>
      <c r="F117" s="349">
        <v>1478971</v>
      </c>
      <c r="G117" s="348"/>
      <c r="H117" s="351">
        <v>12749</v>
      </c>
      <c r="I117" s="348"/>
      <c r="J117" s="355"/>
      <c r="K117" s="356"/>
      <c r="L117" s="351">
        <v>1523524</v>
      </c>
      <c r="M117" s="200">
        <v>4103.7</v>
      </c>
      <c r="N117" s="348"/>
      <c r="O117" s="352">
        <v>257441.96</v>
      </c>
      <c r="P117" s="200">
        <v>523.29999999999995</v>
      </c>
      <c r="Q117" s="348"/>
      <c r="R117" s="352">
        <v>44843</v>
      </c>
      <c r="S117" s="200">
        <v>194.8</v>
      </c>
      <c r="T117" s="348"/>
      <c r="U117" s="43"/>
      <c r="V117" s="42"/>
      <c r="W117" s="43"/>
      <c r="X117" s="42"/>
      <c r="Y117" s="43"/>
      <c r="Z117" s="42"/>
      <c r="AA117" s="43"/>
      <c r="AB117" s="42"/>
      <c r="AC117" s="491"/>
      <c r="AD117" s="491"/>
      <c r="AE117" s="491"/>
      <c r="AF117" s="491"/>
      <c r="AG117" s="491"/>
      <c r="AH117" s="491"/>
      <c r="AI117" s="490"/>
      <c r="AJ117" s="490"/>
      <c r="AL117" s="202"/>
      <c r="AM117" s="202"/>
      <c r="AN117" s="491"/>
      <c r="AO117" s="589"/>
      <c r="AQ117" s="491"/>
      <c r="AR117" s="202"/>
    </row>
    <row r="118" spans="1:46" ht="14.5" x14ac:dyDescent="0.35">
      <c r="A118" s="202"/>
      <c r="B118" s="99">
        <f>'1. LDC Info'!$F$18-3</f>
        <v>2021</v>
      </c>
      <c r="C118" s="371" t="s">
        <v>82</v>
      </c>
      <c r="D118" s="352">
        <v>9218829</v>
      </c>
      <c r="E118" s="348"/>
      <c r="F118" s="349">
        <v>1664525</v>
      </c>
      <c r="G118" s="348"/>
      <c r="H118" s="351">
        <v>12750</v>
      </c>
      <c r="I118" s="348"/>
      <c r="J118" s="355"/>
      <c r="K118" s="356"/>
      <c r="L118" s="351">
        <v>1625378</v>
      </c>
      <c r="M118" s="200">
        <v>3875.7</v>
      </c>
      <c r="N118" s="348"/>
      <c r="O118" s="352">
        <v>270720.65000000002</v>
      </c>
      <c r="P118" s="200">
        <v>491.1</v>
      </c>
      <c r="Q118" s="348"/>
      <c r="R118" s="352">
        <v>49031</v>
      </c>
      <c r="S118" s="200">
        <v>194.8</v>
      </c>
      <c r="T118" s="348"/>
      <c r="U118" s="43"/>
      <c r="V118" s="42"/>
      <c r="W118" s="43"/>
      <c r="X118" s="42"/>
      <c r="Y118" s="43"/>
      <c r="Z118" s="42"/>
      <c r="AA118" s="43"/>
      <c r="AB118" s="42"/>
      <c r="AC118" s="491"/>
      <c r="AD118" s="491"/>
      <c r="AE118" s="491"/>
      <c r="AF118" s="491"/>
      <c r="AG118" s="491"/>
      <c r="AH118" s="491"/>
      <c r="AI118" s="490"/>
      <c r="AJ118" s="490"/>
      <c r="AL118" s="202"/>
      <c r="AM118" s="202"/>
      <c r="AN118" s="491"/>
      <c r="AO118" s="589"/>
      <c r="AQ118" s="491"/>
      <c r="AR118" s="202"/>
    </row>
    <row r="119" spans="1:46" ht="14.5" x14ac:dyDescent="0.35">
      <c r="A119" s="202"/>
      <c r="B119" s="99">
        <f>'1. LDC Info'!$F$18-3</f>
        <v>2021</v>
      </c>
      <c r="C119" s="371" t="s">
        <v>83</v>
      </c>
      <c r="D119" s="352">
        <v>10797697</v>
      </c>
      <c r="E119" s="348"/>
      <c r="F119" s="349">
        <v>1855171</v>
      </c>
      <c r="G119" s="348"/>
      <c r="H119" s="349">
        <v>12751</v>
      </c>
      <c r="I119" s="348"/>
      <c r="J119" s="355"/>
      <c r="K119" s="356"/>
      <c r="L119" s="351">
        <v>1773680</v>
      </c>
      <c r="M119" s="200">
        <v>4314.3</v>
      </c>
      <c r="N119" s="348"/>
      <c r="O119" s="352">
        <v>289570.98</v>
      </c>
      <c r="P119" s="200">
        <v>556.20000000000005</v>
      </c>
      <c r="Q119" s="348"/>
      <c r="R119" s="352">
        <v>56042</v>
      </c>
      <c r="S119" s="200">
        <v>194.8</v>
      </c>
      <c r="T119" s="348"/>
      <c r="U119" s="43"/>
      <c r="V119" s="42"/>
      <c r="W119" s="43"/>
      <c r="X119" s="42"/>
      <c r="Y119" s="43"/>
      <c r="Z119" s="42"/>
      <c r="AA119" s="43"/>
      <c r="AB119" s="42"/>
      <c r="AC119" s="491"/>
      <c r="AD119" s="491"/>
      <c r="AE119" s="491"/>
      <c r="AF119" s="491"/>
      <c r="AG119" s="491"/>
      <c r="AH119" s="491"/>
      <c r="AI119" s="490"/>
      <c r="AJ119" s="490"/>
      <c r="AL119" s="202"/>
      <c r="AM119" s="202"/>
      <c r="AN119" s="491"/>
      <c r="AO119" s="589"/>
      <c r="AQ119" s="491"/>
      <c r="AR119" s="202"/>
    </row>
    <row r="120" spans="1:46" ht="14.5" x14ac:dyDescent="0.35">
      <c r="A120" s="202"/>
      <c r="B120" s="99">
        <f>'1. LDC Info'!$F$18-3</f>
        <v>2021</v>
      </c>
      <c r="C120" s="371" t="s">
        <v>73</v>
      </c>
      <c r="D120" s="352">
        <v>7198878</v>
      </c>
      <c r="E120" s="348"/>
      <c r="F120" s="349">
        <v>1402174</v>
      </c>
      <c r="G120" s="348"/>
      <c r="H120" s="349">
        <v>12749</v>
      </c>
      <c r="I120" s="348"/>
      <c r="J120" s="355"/>
      <c r="K120" s="356"/>
      <c r="L120" s="351">
        <v>1490917</v>
      </c>
      <c r="M120" s="200">
        <v>4070.7000000000003</v>
      </c>
      <c r="N120" s="348"/>
      <c r="O120" s="352">
        <v>243251.37</v>
      </c>
      <c r="P120" s="200">
        <v>519.6</v>
      </c>
      <c r="Q120" s="348"/>
      <c r="R120" s="352">
        <v>63005</v>
      </c>
      <c r="S120" s="200">
        <v>194.8</v>
      </c>
      <c r="T120" s="348"/>
      <c r="U120" s="43"/>
      <c r="V120" s="42"/>
      <c r="W120" s="43"/>
      <c r="X120" s="42"/>
      <c r="Y120" s="43"/>
      <c r="Z120" s="42"/>
      <c r="AA120" s="43"/>
      <c r="AB120" s="42"/>
      <c r="AC120" s="491"/>
      <c r="AD120" s="491"/>
      <c r="AE120" s="491"/>
      <c r="AF120" s="491"/>
      <c r="AG120" s="491"/>
      <c r="AH120" s="491"/>
      <c r="AI120" s="490"/>
      <c r="AJ120" s="490"/>
      <c r="AL120" s="202"/>
      <c r="AM120" s="202"/>
      <c r="AN120" s="491"/>
      <c r="AO120" s="589"/>
      <c r="AQ120" s="491"/>
      <c r="AR120" s="202"/>
    </row>
    <row r="121" spans="1:46" ht="14.5" x14ac:dyDescent="0.35">
      <c r="A121" s="202"/>
      <c r="B121" s="99">
        <f>'1. LDC Info'!$F$18-3</f>
        <v>2021</v>
      </c>
      <c r="C121" s="371" t="s">
        <v>74</v>
      </c>
      <c r="D121" s="352">
        <v>7424293</v>
      </c>
      <c r="E121" s="348"/>
      <c r="F121" s="351">
        <v>1257817</v>
      </c>
      <c r="G121" s="348"/>
      <c r="H121" s="351">
        <v>12952</v>
      </c>
      <c r="I121" s="348"/>
      <c r="J121" s="355"/>
      <c r="K121" s="356"/>
      <c r="L121" s="351">
        <v>1378064</v>
      </c>
      <c r="M121" s="200">
        <v>3551.1</v>
      </c>
      <c r="N121" s="348"/>
      <c r="O121" s="366">
        <v>239652.42</v>
      </c>
      <c r="P121" s="200">
        <v>470</v>
      </c>
      <c r="Q121" s="348"/>
      <c r="R121" s="352">
        <v>74252</v>
      </c>
      <c r="S121" s="354">
        <v>194.8</v>
      </c>
      <c r="T121" s="348"/>
      <c r="U121" s="43"/>
      <c r="V121" s="42"/>
      <c r="W121" s="43"/>
      <c r="X121" s="42"/>
      <c r="Y121" s="43"/>
      <c r="Z121" s="42"/>
      <c r="AA121" s="43"/>
      <c r="AB121" s="42"/>
      <c r="AC121" s="491"/>
      <c r="AD121" s="491"/>
      <c r="AE121" s="491"/>
      <c r="AF121" s="491"/>
      <c r="AG121" s="491"/>
      <c r="AH121" s="491"/>
      <c r="AI121" s="490"/>
      <c r="AJ121" s="490"/>
      <c r="AL121" s="202"/>
      <c r="AM121" s="202"/>
      <c r="AN121" s="491"/>
      <c r="AO121" s="589"/>
      <c r="AQ121" s="491"/>
      <c r="AR121" s="202"/>
    </row>
    <row r="122" spans="1:46" ht="14.5" x14ac:dyDescent="0.35">
      <c r="A122" s="202"/>
      <c r="B122" s="99">
        <f>'1. LDC Info'!$F$18-3</f>
        <v>2021</v>
      </c>
      <c r="C122" s="371" t="s">
        <v>75</v>
      </c>
      <c r="D122" s="352">
        <v>8187727</v>
      </c>
      <c r="E122" s="348"/>
      <c r="F122" s="351">
        <v>1365687</v>
      </c>
      <c r="G122" s="348"/>
      <c r="H122" s="351">
        <v>13960</v>
      </c>
      <c r="I122" s="348"/>
      <c r="J122" s="355"/>
      <c r="K122" s="356"/>
      <c r="L122" s="594">
        <v>1309036</v>
      </c>
      <c r="M122" s="200">
        <v>3254.2999999999997</v>
      </c>
      <c r="N122" s="348"/>
      <c r="O122" s="366">
        <v>204698.54</v>
      </c>
      <c r="P122" s="200">
        <v>369.6</v>
      </c>
      <c r="Q122" s="348"/>
      <c r="R122" s="352">
        <v>79803</v>
      </c>
      <c r="S122" s="354">
        <v>194.8</v>
      </c>
      <c r="T122" s="348"/>
      <c r="U122" s="43"/>
      <c r="V122" s="42"/>
      <c r="W122" s="43"/>
      <c r="X122" s="42"/>
      <c r="Y122" s="43"/>
      <c r="Z122" s="42"/>
      <c r="AA122" s="43"/>
      <c r="AB122" s="42"/>
      <c r="AC122" s="491"/>
      <c r="AD122" s="491"/>
      <c r="AE122" s="491"/>
      <c r="AF122" s="491"/>
      <c r="AG122" s="491"/>
      <c r="AH122" s="491"/>
      <c r="AI122" s="490"/>
      <c r="AJ122" s="490"/>
      <c r="AL122" s="202"/>
      <c r="AM122" s="202"/>
      <c r="AN122" s="491"/>
      <c r="AO122" s="589"/>
      <c r="AQ122" s="491"/>
      <c r="AR122" s="202"/>
    </row>
    <row r="123" spans="1:46" ht="14.5" x14ac:dyDescent="0.35">
      <c r="A123" s="202"/>
      <c r="B123" s="99">
        <f>'1. LDC Info'!$F$18-3</f>
        <v>2021</v>
      </c>
      <c r="C123" s="371" t="s">
        <v>72</v>
      </c>
      <c r="D123" s="352">
        <v>9600987</v>
      </c>
      <c r="E123" s="348">
        <v>13622</v>
      </c>
      <c r="F123" s="351">
        <v>1563139</v>
      </c>
      <c r="G123" s="348">
        <v>831</v>
      </c>
      <c r="H123" s="351">
        <v>13592</v>
      </c>
      <c r="I123" s="348">
        <v>37</v>
      </c>
      <c r="J123" s="355"/>
      <c r="K123" s="356"/>
      <c r="L123" s="351">
        <v>1435074</v>
      </c>
      <c r="M123" s="200">
        <v>3423.6</v>
      </c>
      <c r="N123" s="348">
        <v>34</v>
      </c>
      <c r="O123" s="366">
        <v>210866.97</v>
      </c>
      <c r="P123" s="200">
        <v>355.5</v>
      </c>
      <c r="Q123" s="348">
        <v>1</v>
      </c>
      <c r="R123" s="352">
        <v>86620</v>
      </c>
      <c r="S123" s="354">
        <v>194.8</v>
      </c>
      <c r="T123" s="348">
        <v>3153</v>
      </c>
      <c r="U123" s="43"/>
      <c r="V123" s="42"/>
      <c r="W123" s="43"/>
      <c r="X123" s="42"/>
      <c r="Y123" s="43"/>
      <c r="Z123" s="42"/>
      <c r="AA123" s="43"/>
      <c r="AB123" s="42"/>
      <c r="AC123" s="491"/>
      <c r="AD123" s="491"/>
      <c r="AE123" s="491"/>
      <c r="AF123" s="491"/>
      <c r="AG123" s="491"/>
      <c r="AH123" s="491"/>
      <c r="AI123" s="490"/>
      <c r="AJ123" s="490"/>
      <c r="AK123" s="491"/>
      <c r="AL123" s="202"/>
      <c r="AM123" s="202"/>
      <c r="AN123" s="491"/>
      <c r="AO123" s="589"/>
      <c r="AQ123" s="491"/>
      <c r="AR123" s="202"/>
    </row>
    <row r="124" spans="1:46" ht="14.5" x14ac:dyDescent="0.35">
      <c r="A124" s="202"/>
      <c r="B124" s="99">
        <f>'1. LDC Info'!$F$18-2</f>
        <v>2022</v>
      </c>
      <c r="C124" s="371" t="s">
        <v>76</v>
      </c>
      <c r="D124" s="377">
        <v>11206192</v>
      </c>
      <c r="E124" s="348">
        <v>13622</v>
      </c>
      <c r="F124" s="349">
        <v>1777861</v>
      </c>
      <c r="G124" s="348">
        <v>831</v>
      </c>
      <c r="H124" s="351">
        <v>13999</v>
      </c>
      <c r="I124" s="348">
        <v>37</v>
      </c>
      <c r="J124" s="355"/>
      <c r="K124" s="356"/>
      <c r="L124" s="351">
        <v>1506498</v>
      </c>
      <c r="M124" s="200">
        <v>3365.2</v>
      </c>
      <c r="N124" s="348">
        <v>34</v>
      </c>
      <c r="O124" s="352">
        <v>221620.23</v>
      </c>
      <c r="P124" s="200">
        <v>349.7</v>
      </c>
      <c r="Q124" s="348">
        <v>1</v>
      </c>
      <c r="R124" s="352">
        <v>85635</v>
      </c>
      <c r="S124" s="200">
        <v>197.6</v>
      </c>
      <c r="T124" s="348">
        <v>3153</v>
      </c>
      <c r="U124" s="43"/>
      <c r="V124" s="42"/>
      <c r="W124" s="43"/>
      <c r="X124" s="42"/>
      <c r="Y124" s="43"/>
      <c r="Z124" s="42"/>
      <c r="AA124" s="43"/>
      <c r="AB124" s="42"/>
      <c r="AC124" s="491"/>
      <c r="AD124" s="491"/>
      <c r="AE124" s="491"/>
      <c r="AF124" s="491"/>
      <c r="AG124" s="491"/>
      <c r="AH124" s="491"/>
      <c r="AI124" s="490"/>
      <c r="AJ124" s="490"/>
      <c r="AK124" s="490"/>
      <c r="AL124" s="202"/>
      <c r="AM124" s="202"/>
      <c r="AN124" s="491"/>
      <c r="AO124" s="589"/>
      <c r="AQ124" s="491"/>
      <c r="AR124" s="202"/>
    </row>
    <row r="125" spans="1:46" ht="14.5" x14ac:dyDescent="0.35">
      <c r="A125" s="202"/>
      <c r="B125" s="99">
        <f>'1. LDC Info'!$F$18-2</f>
        <v>2022</v>
      </c>
      <c r="C125" s="371" t="s">
        <v>77</v>
      </c>
      <c r="D125" s="352">
        <v>9560623</v>
      </c>
      <c r="E125" s="348"/>
      <c r="F125" s="349">
        <v>1653167</v>
      </c>
      <c r="G125" s="348"/>
      <c r="H125" s="351">
        <v>13844</v>
      </c>
      <c r="I125" s="348"/>
      <c r="J125" s="355"/>
      <c r="K125" s="356"/>
      <c r="L125" s="351">
        <v>1373934</v>
      </c>
      <c r="M125" s="200">
        <v>3343.4</v>
      </c>
      <c r="N125" s="348"/>
      <c r="O125" s="352">
        <v>202672.99</v>
      </c>
      <c r="P125" s="200">
        <v>368</v>
      </c>
      <c r="Q125" s="348"/>
      <c r="R125" s="352">
        <v>77756</v>
      </c>
      <c r="S125" s="200">
        <v>197.6</v>
      </c>
      <c r="T125" s="348"/>
      <c r="U125" s="43"/>
      <c r="V125" s="42"/>
      <c r="W125" s="43"/>
      <c r="X125" s="42"/>
      <c r="Y125" s="43"/>
      <c r="Z125" s="42"/>
      <c r="AA125" s="43"/>
      <c r="AB125" s="42"/>
      <c r="AC125" s="491"/>
      <c r="AD125" s="491"/>
      <c r="AE125" s="491"/>
      <c r="AF125" s="491"/>
      <c r="AG125" s="491"/>
      <c r="AH125" s="491"/>
      <c r="AI125" s="490"/>
      <c r="AJ125" s="490"/>
      <c r="AL125" s="202"/>
      <c r="AM125" s="202"/>
      <c r="AN125" s="491"/>
      <c r="AO125" s="589"/>
      <c r="AQ125" s="491"/>
      <c r="AR125" s="202"/>
    </row>
    <row r="126" spans="1:46" ht="14.5" x14ac:dyDescent="0.35">
      <c r="A126" s="202"/>
      <c r="B126" s="99">
        <f>'1. LDC Info'!$F$18-2</f>
        <v>2022</v>
      </c>
      <c r="C126" s="371" t="s">
        <v>78</v>
      </c>
      <c r="D126" s="352">
        <v>9306504</v>
      </c>
      <c r="E126" s="573"/>
      <c r="F126" s="349">
        <v>1620939</v>
      </c>
      <c r="G126" s="348"/>
      <c r="H126" s="351">
        <v>14195</v>
      </c>
      <c r="I126" s="348"/>
      <c r="J126" s="355"/>
      <c r="K126" s="356"/>
      <c r="L126" s="351">
        <v>1467767</v>
      </c>
      <c r="M126" s="200">
        <v>3287.9</v>
      </c>
      <c r="N126" s="348"/>
      <c r="O126" s="352">
        <v>228573.65</v>
      </c>
      <c r="P126" s="200">
        <v>380.7</v>
      </c>
      <c r="Q126" s="348"/>
      <c r="R126" s="352">
        <v>69555</v>
      </c>
      <c r="S126" s="200">
        <v>197.6</v>
      </c>
      <c r="T126" s="348"/>
      <c r="U126" s="43"/>
      <c r="V126" s="42"/>
      <c r="W126" s="43"/>
      <c r="X126" s="42"/>
      <c r="Y126" s="43"/>
      <c r="Z126" s="42"/>
      <c r="AA126" s="43"/>
      <c r="AB126" s="42"/>
      <c r="AC126" s="491"/>
      <c r="AD126" s="491"/>
      <c r="AE126" s="491"/>
      <c r="AF126" s="491"/>
      <c r="AG126" s="491"/>
      <c r="AH126" s="491"/>
      <c r="AI126" s="490"/>
      <c r="AJ126" s="490"/>
      <c r="AL126" s="202"/>
      <c r="AM126" s="202"/>
      <c r="AN126" s="491"/>
      <c r="AO126" s="589"/>
      <c r="AQ126" s="491"/>
      <c r="AR126" s="202"/>
    </row>
    <row r="127" spans="1:46" ht="14.5" x14ac:dyDescent="0.35">
      <c r="A127" s="202"/>
      <c r="B127" s="99">
        <f>'1. LDC Info'!$F$18-2</f>
        <v>2022</v>
      </c>
      <c r="C127" s="371" t="s">
        <v>79</v>
      </c>
      <c r="D127" s="352">
        <v>7764136</v>
      </c>
      <c r="E127" s="573"/>
      <c r="F127" s="349">
        <v>1358857</v>
      </c>
      <c r="G127" s="348"/>
      <c r="H127" s="351">
        <v>14725</v>
      </c>
      <c r="I127" s="348"/>
      <c r="J127" s="355"/>
      <c r="K127" s="356"/>
      <c r="L127" s="351">
        <v>1324752</v>
      </c>
      <c r="M127" s="200">
        <v>3271.4</v>
      </c>
      <c r="N127" s="348"/>
      <c r="O127" s="352">
        <v>212541.61</v>
      </c>
      <c r="P127" s="200">
        <v>437.2</v>
      </c>
      <c r="Q127" s="348"/>
      <c r="R127" s="352">
        <v>57699</v>
      </c>
      <c r="S127" s="200">
        <v>197.6</v>
      </c>
      <c r="T127" s="348"/>
      <c r="U127" s="43"/>
      <c r="V127" s="42"/>
      <c r="W127" s="43"/>
      <c r="X127" s="42"/>
      <c r="Y127" s="43"/>
      <c r="Z127" s="42"/>
      <c r="AA127" s="43"/>
      <c r="AB127" s="42"/>
      <c r="AC127" s="491"/>
      <c r="AD127" s="491"/>
      <c r="AE127" s="491"/>
      <c r="AF127" s="491"/>
      <c r="AG127" s="491"/>
      <c r="AH127" s="491"/>
      <c r="AI127" s="490"/>
      <c r="AJ127" s="490"/>
      <c r="AL127" s="202"/>
      <c r="AM127" s="202"/>
      <c r="AN127" s="491"/>
      <c r="AO127" s="589"/>
      <c r="AQ127" s="491"/>
      <c r="AR127" s="202"/>
    </row>
    <row r="128" spans="1:46" ht="14.5" x14ac:dyDescent="0.35">
      <c r="A128" s="202"/>
      <c r="B128" s="99">
        <f>'1. LDC Info'!$F$18-2</f>
        <v>2022</v>
      </c>
      <c r="C128" s="371" t="s">
        <v>80</v>
      </c>
      <c r="D128" s="352">
        <v>7956077</v>
      </c>
      <c r="E128" s="348"/>
      <c r="F128" s="349">
        <v>1420207</v>
      </c>
      <c r="G128" s="348"/>
      <c r="H128" s="351">
        <v>15352</v>
      </c>
      <c r="I128" s="348"/>
      <c r="J128" s="355"/>
      <c r="K128" s="356"/>
      <c r="L128" s="351">
        <v>1467840</v>
      </c>
      <c r="M128" s="200">
        <v>3990.5</v>
      </c>
      <c r="N128" s="348"/>
      <c r="O128" s="352">
        <v>236246.23</v>
      </c>
      <c r="P128" s="200">
        <v>569.5</v>
      </c>
      <c r="Q128" s="348"/>
      <c r="R128" s="352">
        <v>51574</v>
      </c>
      <c r="S128" s="200">
        <v>197.6</v>
      </c>
      <c r="T128" s="348"/>
      <c r="U128" s="43"/>
      <c r="V128" s="42"/>
      <c r="W128" s="43"/>
      <c r="X128" s="42"/>
      <c r="Y128" s="43"/>
      <c r="Z128" s="42"/>
      <c r="AA128" s="43"/>
      <c r="AB128" s="42"/>
      <c r="AC128" s="491"/>
      <c r="AD128" s="491"/>
      <c r="AE128" s="491"/>
      <c r="AF128" s="491"/>
      <c r="AG128" s="491"/>
      <c r="AH128" s="491"/>
      <c r="AI128" s="490"/>
      <c r="AJ128" s="490"/>
      <c r="AL128" s="202"/>
      <c r="AM128" s="202"/>
      <c r="AN128" s="491"/>
      <c r="AO128" s="589"/>
      <c r="AQ128" s="491"/>
      <c r="AR128" s="202"/>
    </row>
    <row r="129" spans="1:44" ht="14.5" x14ac:dyDescent="0.35">
      <c r="A129" s="202"/>
      <c r="B129" s="99">
        <f>'1. LDC Info'!$F$18-2</f>
        <v>2022</v>
      </c>
      <c r="C129" s="371" t="s">
        <v>81</v>
      </c>
      <c r="D129" s="352">
        <v>7389129</v>
      </c>
      <c r="E129" s="348"/>
      <c r="F129" s="349">
        <v>1503272</v>
      </c>
      <c r="G129" s="348"/>
      <c r="H129" s="351">
        <v>15436</v>
      </c>
      <c r="I129" s="348"/>
      <c r="J129" s="355"/>
      <c r="K129" s="356"/>
      <c r="L129" s="351">
        <v>1531002</v>
      </c>
      <c r="M129" s="200">
        <v>4305.2</v>
      </c>
      <c r="N129" s="348"/>
      <c r="O129" s="352">
        <v>241643.37</v>
      </c>
      <c r="P129" s="200">
        <v>518</v>
      </c>
      <c r="Q129" s="348"/>
      <c r="R129" s="352">
        <v>45497</v>
      </c>
      <c r="S129" s="200">
        <v>197.6</v>
      </c>
      <c r="T129" s="348"/>
      <c r="U129" s="43"/>
      <c r="V129" s="42"/>
      <c r="W129" s="43"/>
      <c r="X129" s="42"/>
      <c r="Y129" s="43"/>
      <c r="Z129" s="42"/>
      <c r="AA129" s="43"/>
      <c r="AB129" s="42"/>
      <c r="AC129" s="491"/>
      <c r="AD129" s="491"/>
      <c r="AE129" s="491"/>
      <c r="AF129" s="491"/>
      <c r="AG129" s="491"/>
      <c r="AH129" s="491"/>
      <c r="AI129" s="490"/>
      <c r="AJ129" s="490"/>
      <c r="AL129" s="202"/>
      <c r="AM129" s="202"/>
      <c r="AN129" s="491"/>
      <c r="AO129" s="589"/>
      <c r="AQ129" s="491"/>
      <c r="AR129" s="202"/>
    </row>
    <row r="130" spans="1:44" ht="14.5" x14ac:dyDescent="0.35">
      <c r="A130" s="202"/>
      <c r="B130" s="99">
        <f>'1. LDC Info'!$F$18-2</f>
        <v>2022</v>
      </c>
      <c r="C130" s="371" t="s">
        <v>82</v>
      </c>
      <c r="D130" s="352">
        <v>9501529</v>
      </c>
      <c r="E130" s="348"/>
      <c r="F130" s="349">
        <v>1814392</v>
      </c>
      <c r="G130" s="348"/>
      <c r="H130" s="351">
        <v>15501</v>
      </c>
      <c r="I130" s="348"/>
      <c r="J130" s="355"/>
      <c r="K130" s="356"/>
      <c r="L130" s="351">
        <v>1687928</v>
      </c>
      <c r="M130" s="200">
        <v>3923.1</v>
      </c>
      <c r="N130" s="348"/>
      <c r="O130" s="352">
        <v>285107.88</v>
      </c>
      <c r="P130" s="200">
        <v>562.70000000000005</v>
      </c>
      <c r="Q130" s="348"/>
      <c r="R130" s="352">
        <v>49746</v>
      </c>
      <c r="S130" s="200">
        <v>197.6</v>
      </c>
      <c r="T130" s="348"/>
      <c r="U130" s="43"/>
      <c r="V130" s="42"/>
      <c r="W130" s="43"/>
      <c r="X130" s="42"/>
      <c r="Y130" s="43"/>
      <c r="Z130" s="42"/>
      <c r="AA130" s="43"/>
      <c r="AB130" s="42"/>
      <c r="AC130" s="491"/>
      <c r="AD130" s="491"/>
      <c r="AE130" s="491"/>
      <c r="AF130" s="491"/>
      <c r="AG130" s="491"/>
      <c r="AH130" s="491"/>
      <c r="AI130" s="490"/>
      <c r="AJ130" s="490"/>
      <c r="AL130" s="202"/>
      <c r="AM130" s="202"/>
      <c r="AN130" s="491"/>
      <c r="AO130" s="589"/>
      <c r="AQ130" s="491"/>
      <c r="AR130" s="202"/>
    </row>
    <row r="131" spans="1:44" ht="14.5" x14ac:dyDescent="0.35">
      <c r="A131" s="202"/>
      <c r="B131" s="99">
        <f>'1. LDC Info'!$F$18-2</f>
        <v>2022</v>
      </c>
      <c r="C131" s="371" t="s">
        <v>83</v>
      </c>
      <c r="D131" s="352">
        <v>9848179</v>
      </c>
      <c r="E131" s="348"/>
      <c r="F131" s="349">
        <v>1826959</v>
      </c>
      <c r="G131" s="348"/>
      <c r="H131" s="351">
        <v>15501</v>
      </c>
      <c r="I131" s="348"/>
      <c r="J131" s="355"/>
      <c r="K131" s="356"/>
      <c r="L131" s="351">
        <v>1736610</v>
      </c>
      <c r="M131" s="200">
        <v>4366.7</v>
      </c>
      <c r="N131" s="348"/>
      <c r="O131" s="352">
        <v>292429.07</v>
      </c>
      <c r="P131" s="200">
        <v>614.20000000000005</v>
      </c>
      <c r="Q131" s="348"/>
      <c r="R131" s="352">
        <v>56859</v>
      </c>
      <c r="S131" s="200">
        <v>197.6</v>
      </c>
      <c r="T131" s="348"/>
      <c r="U131" s="43"/>
      <c r="V131" s="42"/>
      <c r="W131" s="43"/>
      <c r="X131" s="42"/>
      <c r="Y131" s="43"/>
      <c r="Z131" s="42"/>
      <c r="AA131" s="43"/>
      <c r="AB131" s="42"/>
      <c r="AC131" s="491"/>
      <c r="AD131" s="491"/>
      <c r="AE131" s="491"/>
      <c r="AF131" s="491"/>
      <c r="AG131" s="491"/>
      <c r="AH131" s="491"/>
      <c r="AI131" s="490"/>
      <c r="AJ131" s="490"/>
      <c r="AL131" s="202"/>
      <c r="AM131" s="202"/>
      <c r="AN131" s="491"/>
      <c r="AO131" s="589"/>
      <c r="AQ131" s="491"/>
      <c r="AR131" s="202"/>
    </row>
    <row r="132" spans="1:44" ht="14.5" x14ac:dyDescent="0.35">
      <c r="A132" s="202"/>
      <c r="B132" s="99">
        <f>'1. LDC Info'!$F$18-2</f>
        <v>2022</v>
      </c>
      <c r="C132" s="371" t="s">
        <v>73</v>
      </c>
      <c r="D132" s="352">
        <v>7575937</v>
      </c>
      <c r="E132" s="348"/>
      <c r="F132" s="349">
        <v>1475008</v>
      </c>
      <c r="G132" s="348"/>
      <c r="H132" s="351">
        <v>15862</v>
      </c>
      <c r="I132" s="348"/>
      <c r="J132" s="355"/>
      <c r="K132" s="356"/>
      <c r="L132" s="351">
        <v>1520431</v>
      </c>
      <c r="M132" s="200">
        <v>4171.3</v>
      </c>
      <c r="N132" s="348"/>
      <c r="O132" s="352">
        <v>251379.35</v>
      </c>
      <c r="P132" s="200">
        <v>558.9</v>
      </c>
      <c r="Q132" s="348"/>
      <c r="R132" s="352">
        <v>63924</v>
      </c>
      <c r="S132" s="200">
        <v>197.6</v>
      </c>
      <c r="T132" s="348"/>
      <c r="U132" s="43"/>
      <c r="V132" s="42"/>
      <c r="W132" s="43"/>
      <c r="X132" s="42"/>
      <c r="Y132" s="43"/>
      <c r="Z132" s="42"/>
      <c r="AA132" s="43"/>
      <c r="AB132" s="42"/>
      <c r="AC132" s="491"/>
      <c r="AD132" s="491"/>
      <c r="AE132" s="491"/>
      <c r="AF132" s="491"/>
      <c r="AG132" s="491"/>
      <c r="AH132" s="491"/>
      <c r="AI132" s="490"/>
      <c r="AJ132" s="490"/>
      <c r="AL132" s="202"/>
      <c r="AM132" s="202"/>
      <c r="AN132" s="491"/>
      <c r="AO132" s="589"/>
      <c r="AQ132" s="491"/>
      <c r="AR132" s="202"/>
    </row>
    <row r="133" spans="1:44" ht="15" customHeight="1" x14ac:dyDescent="0.35">
      <c r="A133" s="202"/>
      <c r="B133" s="99">
        <f>'1. LDC Info'!$F$18-2</f>
        <v>2022</v>
      </c>
      <c r="C133" s="371" t="s">
        <v>74</v>
      </c>
      <c r="D133" s="352">
        <v>7380281</v>
      </c>
      <c r="E133" s="348"/>
      <c r="F133" s="351">
        <v>1319887</v>
      </c>
      <c r="G133" s="348"/>
      <c r="H133" s="200">
        <v>16737</v>
      </c>
      <c r="I133" s="348"/>
      <c r="J133" s="355"/>
      <c r="K133" s="356"/>
      <c r="L133" s="351">
        <v>1467165</v>
      </c>
      <c r="M133" s="200">
        <v>3833</v>
      </c>
      <c r="N133" s="348"/>
      <c r="O133" s="366">
        <v>225716.73</v>
      </c>
      <c r="P133" s="200">
        <v>450.8</v>
      </c>
      <c r="Q133" s="348"/>
      <c r="R133" s="352">
        <v>75335</v>
      </c>
      <c r="S133" s="354">
        <v>197.6</v>
      </c>
      <c r="T133" s="348"/>
      <c r="U133" s="43"/>
      <c r="V133" s="42"/>
      <c r="W133" s="43"/>
      <c r="X133" s="42"/>
      <c r="Y133" s="43"/>
      <c r="Z133" s="42"/>
      <c r="AA133" s="43"/>
      <c r="AB133" s="42"/>
      <c r="AC133" s="491"/>
      <c r="AD133" s="491"/>
      <c r="AE133" s="491"/>
      <c r="AF133" s="491"/>
      <c r="AG133" s="491"/>
      <c r="AH133" s="491"/>
      <c r="AI133" s="490"/>
      <c r="AJ133" s="490"/>
      <c r="AL133" s="202"/>
      <c r="AM133" s="202"/>
      <c r="AN133" s="491"/>
      <c r="AO133" s="589"/>
      <c r="AQ133" s="491"/>
      <c r="AR133" s="202"/>
    </row>
    <row r="134" spans="1:44" ht="15" customHeight="1" x14ac:dyDescent="0.35">
      <c r="A134" s="202"/>
      <c r="B134" s="99">
        <f>'1. LDC Info'!$F$18-2</f>
        <v>2022</v>
      </c>
      <c r="C134" s="371" t="s">
        <v>75</v>
      </c>
      <c r="D134" s="352">
        <v>7896365</v>
      </c>
      <c r="E134" s="348"/>
      <c r="F134" s="351">
        <v>1394903</v>
      </c>
      <c r="G134" s="348"/>
      <c r="H134" s="357">
        <v>16737</v>
      </c>
      <c r="I134" s="348"/>
      <c r="J134" s="355"/>
      <c r="K134" s="356"/>
      <c r="L134" s="594">
        <v>1404405</v>
      </c>
      <c r="M134" s="200">
        <v>3507.3</v>
      </c>
      <c r="N134" s="348"/>
      <c r="O134" s="366">
        <v>213971.39</v>
      </c>
      <c r="P134" s="200">
        <v>483.5</v>
      </c>
      <c r="Q134" s="348"/>
      <c r="R134" s="352">
        <v>80967</v>
      </c>
      <c r="S134" s="354">
        <v>197.6</v>
      </c>
      <c r="T134" s="348"/>
      <c r="U134" s="43"/>
      <c r="V134" s="42"/>
      <c r="W134" s="43"/>
      <c r="X134" s="42"/>
      <c r="Y134" s="43"/>
      <c r="Z134" s="42"/>
      <c r="AA134" s="43"/>
      <c r="AB134" s="42"/>
      <c r="AC134" s="491"/>
      <c r="AD134" s="491"/>
      <c r="AE134" s="491"/>
      <c r="AF134" s="491"/>
      <c r="AG134" s="491"/>
      <c r="AH134" s="491"/>
      <c r="AI134" s="490"/>
      <c r="AJ134" s="490"/>
      <c r="AL134" s="202"/>
      <c r="AM134" s="202"/>
      <c r="AN134" s="491"/>
      <c r="AO134" s="589"/>
      <c r="AQ134" s="491"/>
      <c r="AR134" s="202"/>
    </row>
    <row r="135" spans="1:44" ht="15" customHeight="1" x14ac:dyDescent="0.35">
      <c r="A135" s="202"/>
      <c r="B135" s="99">
        <f>'1. LDC Info'!$F$18-2</f>
        <v>2022</v>
      </c>
      <c r="C135" s="371" t="s">
        <v>72</v>
      </c>
      <c r="D135" s="352">
        <v>9827733</v>
      </c>
      <c r="E135" s="348">
        <v>13978</v>
      </c>
      <c r="F135" s="351">
        <v>1653113</v>
      </c>
      <c r="G135" s="348">
        <v>849</v>
      </c>
      <c r="H135" s="357">
        <v>16670</v>
      </c>
      <c r="I135" s="348">
        <v>45</v>
      </c>
      <c r="J135" s="355"/>
      <c r="K135" s="356"/>
      <c r="L135" s="351">
        <v>1549144</v>
      </c>
      <c r="M135" s="200">
        <v>3655.9</v>
      </c>
      <c r="N135" s="348">
        <v>35</v>
      </c>
      <c r="O135" s="366">
        <v>209970.95</v>
      </c>
      <c r="P135" s="200">
        <v>364.3</v>
      </c>
      <c r="Q135" s="348">
        <v>1</v>
      </c>
      <c r="R135" s="352">
        <v>87883</v>
      </c>
      <c r="S135" s="354">
        <v>197.6</v>
      </c>
      <c r="T135" s="348">
        <v>3202</v>
      </c>
      <c r="U135" s="43"/>
      <c r="V135" s="42"/>
      <c r="W135" s="43"/>
      <c r="X135" s="42"/>
      <c r="Y135" s="43"/>
      <c r="Z135" s="42"/>
      <c r="AA135" s="43"/>
      <c r="AB135" s="42"/>
      <c r="AC135" s="491">
        <f>+T135+Q135+N135+I135+G135+E135-12472-789-38-40-2819</f>
        <v>1952</v>
      </c>
      <c r="AD135" s="491"/>
      <c r="AE135" s="491"/>
      <c r="AF135" s="491"/>
      <c r="AG135" s="491"/>
      <c r="AH135" s="491"/>
      <c r="AI135" s="490"/>
      <c r="AJ135" s="490"/>
      <c r="AK135" s="491"/>
      <c r="AL135" s="202"/>
      <c r="AM135" s="202"/>
      <c r="AN135" s="491"/>
      <c r="AO135" s="589"/>
      <c r="AQ135" s="491"/>
      <c r="AR135" s="202"/>
    </row>
    <row r="136" spans="1:44" ht="15" customHeight="1" x14ac:dyDescent="0.25">
      <c r="B136" s="99">
        <f>'1. LDC Info'!$F$18-1</f>
        <v>2023</v>
      </c>
      <c r="C136" s="371" t="s">
        <v>76</v>
      </c>
      <c r="D136" s="377"/>
      <c r="E136" s="348"/>
      <c r="F136" s="349"/>
      <c r="G136" s="348"/>
      <c r="H136" s="351"/>
      <c r="I136" s="348"/>
      <c r="J136" s="355"/>
      <c r="K136" s="356"/>
      <c r="L136" s="351"/>
      <c r="M136" s="200"/>
      <c r="N136" s="348"/>
      <c r="O136" s="352"/>
      <c r="P136" s="200"/>
      <c r="Q136" s="348"/>
      <c r="R136" s="352"/>
      <c r="S136" s="200"/>
      <c r="T136" s="348"/>
      <c r="U136" s="43"/>
      <c r="V136" s="42"/>
      <c r="W136" s="43"/>
      <c r="X136" s="42"/>
      <c r="Y136" s="43"/>
      <c r="Z136" s="42"/>
      <c r="AA136" s="43"/>
      <c r="AB136" s="42"/>
      <c r="AK136" s="490"/>
      <c r="AL136" s="202"/>
    </row>
    <row r="137" spans="1:44" ht="15" customHeight="1" x14ac:dyDescent="0.25">
      <c r="B137" s="99">
        <f>'1. LDC Info'!$F$18-1</f>
        <v>2023</v>
      </c>
      <c r="C137" s="371" t="s">
        <v>77</v>
      </c>
      <c r="D137" s="352"/>
      <c r="E137" s="348"/>
      <c r="F137" s="349"/>
      <c r="G137" s="348"/>
      <c r="H137" s="351"/>
      <c r="I137" s="348"/>
      <c r="J137" s="355"/>
      <c r="K137" s="356"/>
      <c r="L137" s="351"/>
      <c r="M137" s="200"/>
      <c r="N137" s="348"/>
      <c r="O137" s="352"/>
      <c r="P137" s="200"/>
      <c r="Q137" s="348"/>
      <c r="R137" s="352"/>
      <c r="S137" s="200"/>
      <c r="T137" s="348"/>
      <c r="U137" s="43"/>
      <c r="V137" s="42"/>
      <c r="W137" s="43"/>
      <c r="X137" s="42"/>
      <c r="Y137" s="43"/>
      <c r="Z137" s="42"/>
      <c r="AA137" s="43"/>
      <c r="AB137" s="42"/>
      <c r="AL137" s="202"/>
    </row>
    <row r="138" spans="1:44" ht="15" customHeight="1" x14ac:dyDescent="0.25">
      <c r="B138" s="99">
        <f>'1. LDC Info'!$F$18-1</f>
        <v>2023</v>
      </c>
      <c r="C138" s="371" t="s">
        <v>78</v>
      </c>
      <c r="D138" s="352"/>
      <c r="E138" s="573"/>
      <c r="F138" s="349"/>
      <c r="G138" s="348"/>
      <c r="H138" s="351"/>
      <c r="I138" s="348"/>
      <c r="J138" s="355"/>
      <c r="K138" s="356"/>
      <c r="L138" s="351"/>
      <c r="M138" s="200"/>
      <c r="N138" s="348"/>
      <c r="O138" s="352"/>
      <c r="P138" s="200"/>
      <c r="Q138" s="348"/>
      <c r="R138" s="352"/>
      <c r="S138" s="200"/>
      <c r="T138" s="348"/>
      <c r="U138" s="43"/>
      <c r="V138" s="42"/>
      <c r="W138" s="43"/>
      <c r="X138" s="42"/>
      <c r="Y138" s="43"/>
      <c r="Z138" s="42"/>
      <c r="AA138" s="43"/>
      <c r="AB138" s="42"/>
      <c r="AL138" s="491"/>
    </row>
    <row r="139" spans="1:44" ht="15" customHeight="1" x14ac:dyDescent="0.25">
      <c r="B139" s="99">
        <f>'1. LDC Info'!$F$18-1</f>
        <v>2023</v>
      </c>
      <c r="C139" s="371" t="s">
        <v>79</v>
      </c>
      <c r="D139" s="352"/>
      <c r="E139" s="573"/>
      <c r="F139" s="349"/>
      <c r="G139" s="348"/>
      <c r="H139" s="351"/>
      <c r="I139" s="348"/>
      <c r="J139" s="355"/>
      <c r="K139" s="356"/>
      <c r="L139" s="351"/>
      <c r="M139" s="200"/>
      <c r="N139" s="348"/>
      <c r="O139" s="352"/>
      <c r="P139" s="200"/>
      <c r="Q139" s="348"/>
      <c r="R139" s="352"/>
      <c r="S139" s="200"/>
      <c r="T139" s="348"/>
      <c r="U139" s="43"/>
      <c r="V139" s="42"/>
      <c r="W139" s="43"/>
      <c r="X139" s="42"/>
      <c r="Y139" s="43"/>
      <c r="Z139" s="42"/>
      <c r="AA139" s="43"/>
      <c r="AB139" s="42"/>
    </row>
    <row r="140" spans="1:44" ht="15" customHeight="1" x14ac:dyDescent="0.25">
      <c r="B140" s="99">
        <f>'1. LDC Info'!$F$18-1</f>
        <v>2023</v>
      </c>
      <c r="C140" s="371" t="s">
        <v>80</v>
      </c>
      <c r="D140" s="352"/>
      <c r="E140" s="348"/>
      <c r="F140" s="349"/>
      <c r="G140" s="348"/>
      <c r="H140" s="351"/>
      <c r="I140" s="348"/>
      <c r="J140" s="355"/>
      <c r="K140" s="356"/>
      <c r="L140" s="351"/>
      <c r="M140" s="200"/>
      <c r="N140" s="348"/>
      <c r="O140" s="352"/>
      <c r="P140" s="200"/>
      <c r="Q140" s="348"/>
      <c r="R140" s="352"/>
      <c r="S140" s="200"/>
      <c r="T140" s="348"/>
      <c r="U140" s="43"/>
      <c r="V140" s="42"/>
      <c r="W140" s="43"/>
      <c r="X140" s="42"/>
      <c r="Y140" s="43"/>
      <c r="Z140" s="42"/>
      <c r="AA140" s="43"/>
      <c r="AB140" s="42"/>
      <c r="AI140" s="202"/>
    </row>
    <row r="141" spans="1:44" ht="15" customHeight="1" x14ac:dyDescent="0.25">
      <c r="B141" s="99">
        <f>'1. LDC Info'!$F$18-1</f>
        <v>2023</v>
      </c>
      <c r="C141" s="371" t="s">
        <v>81</v>
      </c>
      <c r="D141" s="352"/>
      <c r="E141" s="348"/>
      <c r="F141" s="349"/>
      <c r="G141" s="348"/>
      <c r="H141" s="351"/>
      <c r="I141" s="348"/>
      <c r="J141" s="355"/>
      <c r="K141" s="356"/>
      <c r="L141" s="351"/>
      <c r="M141" s="200"/>
      <c r="N141" s="348"/>
      <c r="O141" s="352"/>
      <c r="P141" s="200"/>
      <c r="Q141" s="348"/>
      <c r="R141" s="352"/>
      <c r="S141" s="200"/>
      <c r="T141" s="348"/>
      <c r="U141" s="43"/>
      <c r="V141" s="42"/>
      <c r="W141" s="43"/>
      <c r="X141" s="42"/>
      <c r="Y141" s="43"/>
      <c r="Z141" s="42"/>
      <c r="AA141" s="43"/>
      <c r="AB141" s="42"/>
      <c r="AI141" s="491"/>
    </row>
    <row r="142" spans="1:44" ht="15" customHeight="1" x14ac:dyDescent="0.25">
      <c r="B142" s="99">
        <f>'1. LDC Info'!$F$18-1</f>
        <v>2023</v>
      </c>
      <c r="C142" s="371" t="s">
        <v>82</v>
      </c>
      <c r="D142" s="352"/>
      <c r="E142" s="348"/>
      <c r="F142" s="349"/>
      <c r="G142" s="348"/>
      <c r="H142" s="351"/>
      <c r="I142" s="348"/>
      <c r="J142" s="355"/>
      <c r="K142" s="356"/>
      <c r="L142" s="351"/>
      <c r="M142" s="200"/>
      <c r="N142" s="348"/>
      <c r="O142" s="352"/>
      <c r="P142" s="200"/>
      <c r="Q142" s="348"/>
      <c r="R142" s="352"/>
      <c r="S142" s="200"/>
      <c r="T142" s="348"/>
      <c r="U142" s="43"/>
      <c r="V142" s="42"/>
      <c r="W142" s="43"/>
      <c r="X142" s="42"/>
      <c r="Y142" s="43"/>
      <c r="Z142" s="42"/>
      <c r="AA142" s="43"/>
      <c r="AB142" s="42"/>
      <c r="AI142" s="491"/>
    </row>
    <row r="143" spans="1:44" ht="15" customHeight="1" x14ac:dyDescent="0.25">
      <c r="B143" s="99">
        <f>'1. LDC Info'!$F$18-1</f>
        <v>2023</v>
      </c>
      <c r="C143" s="371" t="s">
        <v>83</v>
      </c>
      <c r="D143" s="352"/>
      <c r="E143" s="348"/>
      <c r="F143" s="349"/>
      <c r="G143" s="348"/>
      <c r="H143" s="351"/>
      <c r="I143" s="348"/>
      <c r="J143" s="355"/>
      <c r="K143" s="356"/>
      <c r="L143" s="351"/>
      <c r="M143" s="200"/>
      <c r="N143" s="348"/>
      <c r="O143" s="352"/>
      <c r="P143" s="200"/>
      <c r="Q143" s="348"/>
      <c r="R143" s="352"/>
      <c r="S143" s="200"/>
      <c r="T143" s="348"/>
      <c r="U143" s="43"/>
      <c r="V143" s="42"/>
      <c r="W143" s="43"/>
      <c r="X143" s="42"/>
      <c r="Y143" s="43"/>
      <c r="Z143" s="42"/>
      <c r="AA143" s="43"/>
      <c r="AB143" s="42"/>
    </row>
    <row r="144" spans="1:44" ht="15" customHeight="1" x14ac:dyDescent="0.25">
      <c r="B144" s="99">
        <f>'1. LDC Info'!$F$18-1</f>
        <v>2023</v>
      </c>
      <c r="C144" s="371" t="s">
        <v>73</v>
      </c>
      <c r="D144" s="352"/>
      <c r="E144" s="348"/>
      <c r="F144" s="349"/>
      <c r="G144" s="348"/>
      <c r="H144" s="351"/>
      <c r="I144" s="348"/>
      <c r="J144" s="355"/>
      <c r="K144" s="356"/>
      <c r="L144" s="351"/>
      <c r="M144" s="200"/>
      <c r="N144" s="348"/>
      <c r="O144" s="352"/>
      <c r="P144" s="200"/>
      <c r="Q144" s="348"/>
      <c r="R144" s="352"/>
      <c r="S144" s="200"/>
      <c r="T144" s="348"/>
      <c r="U144" s="43"/>
      <c r="V144" s="42"/>
      <c r="W144" s="43"/>
      <c r="X144" s="42"/>
      <c r="Y144" s="43"/>
      <c r="Z144" s="42"/>
      <c r="AA144" s="43"/>
      <c r="AB144" s="42"/>
    </row>
    <row r="145" spans="2:28" ht="15" customHeight="1" x14ac:dyDescent="0.25">
      <c r="B145" s="99">
        <f>'1. LDC Info'!$F$18-1</f>
        <v>2023</v>
      </c>
      <c r="C145" s="371" t="s">
        <v>74</v>
      </c>
      <c r="D145" s="352"/>
      <c r="E145" s="348"/>
      <c r="F145" s="349"/>
      <c r="G145" s="348"/>
      <c r="H145" s="351"/>
      <c r="I145" s="348"/>
      <c r="J145" s="355"/>
      <c r="K145" s="356"/>
      <c r="L145" s="351"/>
      <c r="M145" s="200"/>
      <c r="N145" s="348"/>
      <c r="O145" s="352"/>
      <c r="P145" s="200"/>
      <c r="Q145" s="348"/>
      <c r="R145" s="352"/>
      <c r="S145" s="200"/>
      <c r="T145" s="348"/>
      <c r="U145" s="43"/>
      <c r="V145" s="42"/>
      <c r="W145" s="43"/>
      <c r="X145" s="42"/>
      <c r="Y145" s="43"/>
      <c r="Z145" s="42"/>
      <c r="AA145" s="43"/>
      <c r="AB145" s="42"/>
    </row>
    <row r="146" spans="2:28" ht="15" customHeight="1" x14ac:dyDescent="0.25">
      <c r="B146" s="99">
        <f>'1. LDC Info'!$F$18-1</f>
        <v>2023</v>
      </c>
      <c r="C146" s="371" t="s">
        <v>75</v>
      </c>
      <c r="D146" s="352"/>
      <c r="E146" s="348"/>
      <c r="F146" s="349"/>
      <c r="G146" s="348"/>
      <c r="H146" s="351"/>
      <c r="I146" s="348"/>
      <c r="J146" s="355"/>
      <c r="K146" s="356"/>
      <c r="L146" s="351"/>
      <c r="M146" s="200"/>
      <c r="N146" s="348"/>
      <c r="O146" s="352"/>
      <c r="P146" s="200"/>
      <c r="Q146" s="348"/>
      <c r="R146" s="352"/>
      <c r="S146" s="200"/>
      <c r="T146" s="348"/>
      <c r="U146" s="43"/>
      <c r="V146" s="42"/>
      <c r="W146" s="43"/>
      <c r="X146" s="42"/>
      <c r="Y146" s="43"/>
      <c r="Z146" s="42"/>
      <c r="AA146" s="43"/>
      <c r="AB146" s="42"/>
    </row>
    <row r="147" spans="2:28" ht="15" customHeight="1" x14ac:dyDescent="0.25">
      <c r="B147" s="99">
        <f>'1. LDC Info'!$F$18-1</f>
        <v>2023</v>
      </c>
      <c r="C147" s="371" t="s">
        <v>72</v>
      </c>
      <c r="D147" s="352"/>
      <c r="E147" s="348"/>
      <c r="F147" s="349"/>
      <c r="G147" s="348"/>
      <c r="H147" s="351"/>
      <c r="I147" s="348"/>
      <c r="J147" s="355"/>
      <c r="K147" s="356"/>
      <c r="L147" s="351"/>
      <c r="M147" s="200"/>
      <c r="N147" s="348"/>
      <c r="O147" s="352"/>
      <c r="P147" s="200"/>
      <c r="Q147" s="348"/>
      <c r="R147" s="352"/>
      <c r="S147" s="200"/>
      <c r="T147" s="348"/>
      <c r="U147" s="43"/>
      <c r="V147" s="42"/>
      <c r="W147" s="43"/>
      <c r="X147" s="42"/>
      <c r="Y147" s="43"/>
      <c r="Z147" s="42"/>
      <c r="AA147" s="43"/>
      <c r="AB147" s="42"/>
    </row>
    <row r="148" spans="2:28" ht="15" customHeight="1" x14ac:dyDescent="0.25">
      <c r="B148" s="99" t="str">
        <f>'1. LDC Info'!$F$18</f>
        <v>2024</v>
      </c>
      <c r="C148" s="371" t="s">
        <v>76</v>
      </c>
      <c r="D148" s="352"/>
      <c r="E148" s="348"/>
      <c r="F148" s="351"/>
      <c r="G148" s="348"/>
      <c r="H148" s="351"/>
      <c r="I148" s="348"/>
      <c r="J148" s="355"/>
      <c r="K148" s="356"/>
      <c r="L148" s="351"/>
      <c r="M148" s="200"/>
      <c r="N148" s="348"/>
      <c r="O148" s="352"/>
      <c r="P148" s="200"/>
      <c r="Q148" s="348"/>
      <c r="R148" s="352"/>
      <c r="S148" s="200"/>
      <c r="T148" s="348"/>
      <c r="U148" s="43"/>
      <c r="V148" s="42"/>
      <c r="W148" s="43"/>
      <c r="X148" s="42"/>
      <c r="Y148" s="43"/>
      <c r="Z148" s="42"/>
      <c r="AA148" s="43"/>
      <c r="AB148" s="42"/>
    </row>
    <row r="149" spans="2:28" ht="15" customHeight="1" x14ac:dyDescent="0.25">
      <c r="B149" s="99" t="str">
        <f>'1. LDC Info'!$F$18</f>
        <v>2024</v>
      </c>
      <c r="C149" s="371" t="s">
        <v>77</v>
      </c>
      <c r="D149" s="352"/>
      <c r="E149" s="348"/>
      <c r="F149" s="351"/>
      <c r="G149" s="348"/>
      <c r="H149" s="351"/>
      <c r="I149" s="348"/>
      <c r="J149" s="355"/>
      <c r="K149" s="356"/>
      <c r="L149" s="351"/>
      <c r="M149" s="200"/>
      <c r="N149" s="348"/>
      <c r="O149" s="352"/>
      <c r="P149" s="200"/>
      <c r="Q149" s="348"/>
      <c r="R149" s="352"/>
      <c r="S149" s="200"/>
      <c r="T149" s="348"/>
      <c r="U149" s="43"/>
      <c r="V149" s="42"/>
      <c r="W149" s="43"/>
      <c r="X149" s="42"/>
      <c r="Y149" s="43"/>
      <c r="Z149" s="42"/>
      <c r="AA149" s="43"/>
      <c r="AB149" s="42"/>
    </row>
    <row r="150" spans="2:28" ht="15" customHeight="1" x14ac:dyDescent="0.25">
      <c r="B150" s="99" t="str">
        <f>'1. LDC Info'!$F$18</f>
        <v>2024</v>
      </c>
      <c r="C150" s="371" t="s">
        <v>78</v>
      </c>
      <c r="D150" s="352"/>
      <c r="E150" s="348"/>
      <c r="F150" s="387"/>
      <c r="G150" s="348"/>
      <c r="H150" s="351"/>
      <c r="I150" s="348"/>
      <c r="J150" s="355"/>
      <c r="K150" s="356"/>
      <c r="L150" s="351"/>
      <c r="M150" s="200"/>
      <c r="N150" s="348"/>
      <c r="O150" s="352"/>
      <c r="P150" s="200"/>
      <c r="Q150" s="348"/>
      <c r="R150" s="359"/>
      <c r="S150" s="200"/>
      <c r="T150" s="348"/>
      <c r="U150" s="43"/>
      <c r="V150" s="42"/>
      <c r="W150" s="43"/>
      <c r="X150" s="42"/>
      <c r="Y150" s="43"/>
      <c r="Z150" s="42"/>
      <c r="AA150" s="43"/>
      <c r="AB150" s="42"/>
    </row>
    <row r="151" spans="2:28" ht="15" customHeight="1" x14ac:dyDescent="0.25">
      <c r="B151" s="99" t="str">
        <f>'1. LDC Info'!$F$18</f>
        <v>2024</v>
      </c>
      <c r="C151" s="371" t="s">
        <v>79</v>
      </c>
      <c r="D151" s="352"/>
      <c r="E151" s="348"/>
      <c r="F151" s="351"/>
      <c r="G151" s="348"/>
      <c r="H151" s="351"/>
      <c r="I151" s="348"/>
      <c r="J151" s="355"/>
      <c r="K151" s="356"/>
      <c r="L151" s="351"/>
      <c r="M151" s="200"/>
      <c r="N151" s="348"/>
      <c r="O151" s="352"/>
      <c r="P151" s="200"/>
      <c r="Q151" s="348"/>
      <c r="R151" s="352"/>
      <c r="S151" s="200"/>
      <c r="T151" s="348"/>
      <c r="U151" s="43"/>
      <c r="V151" s="42"/>
      <c r="W151" s="43"/>
      <c r="X151" s="42"/>
      <c r="Y151" s="43"/>
      <c r="Z151" s="42"/>
      <c r="AA151" s="43"/>
      <c r="AB151" s="42"/>
    </row>
    <row r="152" spans="2:28" ht="15" customHeight="1" x14ac:dyDescent="0.25">
      <c r="B152" s="99" t="str">
        <f>'1. LDC Info'!$F$18</f>
        <v>2024</v>
      </c>
      <c r="C152" s="371" t="s">
        <v>80</v>
      </c>
      <c r="D152" s="352"/>
      <c r="E152" s="348"/>
      <c r="F152" s="351"/>
      <c r="G152" s="348"/>
      <c r="H152" s="351"/>
      <c r="I152" s="348"/>
      <c r="J152" s="355"/>
      <c r="K152" s="356"/>
      <c r="L152" s="351"/>
      <c r="M152" s="200"/>
      <c r="N152" s="348"/>
      <c r="O152" s="352"/>
      <c r="P152" s="200"/>
      <c r="Q152" s="348"/>
      <c r="R152" s="352"/>
      <c r="S152" s="200"/>
      <c r="T152" s="348"/>
      <c r="U152" s="43"/>
      <c r="V152" s="42"/>
      <c r="W152" s="43"/>
      <c r="X152" s="42"/>
      <c r="Y152" s="43"/>
      <c r="Z152" s="42"/>
      <c r="AA152" s="43"/>
      <c r="AB152" s="42"/>
    </row>
    <row r="153" spans="2:28" ht="15" customHeight="1" x14ac:dyDescent="0.25">
      <c r="B153" s="99" t="str">
        <f>'1. LDC Info'!$F$18</f>
        <v>2024</v>
      </c>
      <c r="C153" s="371" t="s">
        <v>81</v>
      </c>
      <c r="D153" s="352"/>
      <c r="E153" s="348"/>
      <c r="F153" s="351"/>
      <c r="G153" s="348"/>
      <c r="H153" s="351"/>
      <c r="I153" s="348"/>
      <c r="J153" s="355"/>
      <c r="K153" s="356"/>
      <c r="L153" s="351"/>
      <c r="M153" s="200"/>
      <c r="N153" s="348"/>
      <c r="O153" s="352"/>
      <c r="P153" s="200"/>
      <c r="Q153" s="348"/>
      <c r="R153" s="352"/>
      <c r="S153" s="200"/>
      <c r="T153" s="348"/>
      <c r="U153" s="43"/>
      <c r="V153" s="42"/>
      <c r="W153" s="43"/>
      <c r="X153" s="42"/>
      <c r="Y153" s="43"/>
      <c r="Z153" s="42"/>
      <c r="AA153" s="43"/>
      <c r="AB153" s="42"/>
    </row>
    <row r="154" spans="2:28" ht="15" customHeight="1" x14ac:dyDescent="0.25">
      <c r="B154" s="99" t="str">
        <f>'1. LDC Info'!$F$18</f>
        <v>2024</v>
      </c>
      <c r="C154" s="371" t="s">
        <v>82</v>
      </c>
      <c r="D154" s="352"/>
      <c r="E154" s="348"/>
      <c r="F154" s="351"/>
      <c r="G154" s="348"/>
      <c r="H154" s="351"/>
      <c r="I154" s="348"/>
      <c r="J154" s="355"/>
      <c r="K154" s="356"/>
      <c r="L154" s="351"/>
      <c r="M154" s="200"/>
      <c r="N154" s="348"/>
      <c r="O154" s="352"/>
      <c r="P154" s="200"/>
      <c r="Q154" s="348"/>
      <c r="R154" s="352"/>
      <c r="S154" s="200"/>
      <c r="T154" s="348"/>
      <c r="U154" s="43"/>
      <c r="V154" s="42"/>
      <c r="W154" s="43"/>
      <c r="X154" s="42"/>
      <c r="Y154" s="43"/>
      <c r="Z154" s="42"/>
      <c r="AA154" s="43"/>
      <c r="AB154" s="42"/>
    </row>
    <row r="155" spans="2:28" ht="15" customHeight="1" x14ac:dyDescent="0.25">
      <c r="B155" s="99" t="str">
        <f>'1. LDC Info'!$F$18</f>
        <v>2024</v>
      </c>
      <c r="C155" s="371" t="s">
        <v>83</v>
      </c>
      <c r="D155" s="352"/>
      <c r="E155" s="348"/>
      <c r="F155" s="351"/>
      <c r="G155" s="348"/>
      <c r="H155" s="351"/>
      <c r="I155" s="348"/>
      <c r="J155" s="355"/>
      <c r="K155" s="356"/>
      <c r="L155" s="351"/>
      <c r="M155" s="200"/>
      <c r="N155" s="348"/>
      <c r="O155" s="352"/>
      <c r="P155" s="200"/>
      <c r="Q155" s="348"/>
      <c r="R155" s="352"/>
      <c r="S155" s="200"/>
      <c r="T155" s="348"/>
      <c r="U155" s="43"/>
      <c r="V155" s="42"/>
      <c r="W155" s="43"/>
      <c r="X155" s="42"/>
      <c r="Y155" s="43"/>
      <c r="Z155" s="42"/>
      <c r="AA155" s="43"/>
      <c r="AB155" s="42"/>
    </row>
    <row r="156" spans="2:28" ht="15" customHeight="1" x14ac:dyDescent="0.25">
      <c r="B156" s="99" t="str">
        <f>'1. LDC Info'!$F$18</f>
        <v>2024</v>
      </c>
      <c r="C156" s="371" t="s">
        <v>73</v>
      </c>
      <c r="D156" s="360"/>
      <c r="E156" s="348"/>
      <c r="F156" s="373"/>
      <c r="G156" s="348"/>
      <c r="H156" s="351"/>
      <c r="I156" s="348"/>
      <c r="J156" s="355"/>
      <c r="K156" s="356"/>
      <c r="L156" s="351"/>
      <c r="M156" s="200"/>
      <c r="N156" s="348"/>
      <c r="O156" s="352"/>
      <c r="P156" s="200"/>
      <c r="Q156" s="348"/>
      <c r="R156" s="360"/>
      <c r="S156" s="200"/>
      <c r="T156" s="348"/>
      <c r="U156" s="43"/>
      <c r="V156" s="42"/>
      <c r="W156" s="43"/>
      <c r="X156" s="42"/>
      <c r="Y156" s="43"/>
      <c r="Z156" s="42"/>
      <c r="AA156" s="43"/>
      <c r="AB156" s="42"/>
    </row>
    <row r="157" spans="2:28" x14ac:dyDescent="0.25">
      <c r="B157" s="99" t="str">
        <f>'1. LDC Info'!$F$18</f>
        <v>2024</v>
      </c>
      <c r="C157" s="371" t="s">
        <v>74</v>
      </c>
      <c r="D157" s="352"/>
      <c r="E157" s="348"/>
      <c r="F157" s="351"/>
      <c r="G157" s="348"/>
      <c r="H157" s="351"/>
      <c r="I157" s="348"/>
      <c r="J157" s="355"/>
      <c r="K157" s="356"/>
      <c r="L157" s="351"/>
      <c r="M157" s="200"/>
      <c r="N157" s="348"/>
      <c r="O157" s="352"/>
      <c r="P157" s="200"/>
      <c r="Q157" s="348"/>
      <c r="R157" s="352"/>
      <c r="S157" s="200"/>
      <c r="T157" s="348"/>
      <c r="U157" s="43"/>
      <c r="V157" s="42"/>
      <c r="W157" s="43"/>
      <c r="X157" s="42"/>
      <c r="Y157" s="43"/>
      <c r="Z157" s="42"/>
      <c r="AA157" s="43"/>
      <c r="AB157" s="42"/>
    </row>
    <row r="158" spans="2:28" x14ac:dyDescent="0.25">
      <c r="B158" s="99" t="str">
        <f>'1. LDC Info'!$F$18</f>
        <v>2024</v>
      </c>
      <c r="C158" s="371" t="s">
        <v>75</v>
      </c>
      <c r="D158" s="352"/>
      <c r="E158" s="348"/>
      <c r="F158" s="351"/>
      <c r="G158" s="348"/>
      <c r="H158" s="351"/>
      <c r="I158" s="348"/>
      <c r="J158" s="355"/>
      <c r="K158" s="356"/>
      <c r="L158" s="351"/>
      <c r="M158" s="200"/>
      <c r="N158" s="348"/>
      <c r="O158" s="352"/>
      <c r="P158" s="200"/>
      <c r="Q158" s="348"/>
      <c r="R158" s="352"/>
      <c r="S158" s="200"/>
      <c r="T158" s="348"/>
      <c r="U158" s="43"/>
      <c r="V158" s="42"/>
      <c r="W158" s="43"/>
      <c r="X158" s="42"/>
      <c r="Y158" s="43"/>
      <c r="Z158" s="42"/>
      <c r="AA158" s="43"/>
      <c r="AB158" s="42"/>
    </row>
    <row r="159" spans="2:28" ht="13" thickBot="1" x14ac:dyDescent="0.3">
      <c r="B159" s="99" t="str">
        <f>'1. LDC Info'!$F$18</f>
        <v>2024</v>
      </c>
      <c r="C159" s="370" t="s">
        <v>72</v>
      </c>
      <c r="D159" s="361"/>
      <c r="E159" s="362"/>
      <c r="F159" s="363"/>
      <c r="G159" s="362"/>
      <c r="H159" s="363"/>
      <c r="I159" s="362"/>
      <c r="J159" s="364"/>
      <c r="K159" s="365"/>
      <c r="L159" s="363"/>
      <c r="M159" s="201"/>
      <c r="N159" s="362"/>
      <c r="O159" s="361"/>
      <c r="P159" s="201"/>
      <c r="Q159" s="362"/>
      <c r="R159" s="361"/>
      <c r="S159" s="201"/>
      <c r="T159" s="362"/>
      <c r="U159" s="46"/>
      <c r="V159" s="45"/>
      <c r="W159" s="46"/>
      <c r="X159" s="45"/>
      <c r="Y159" s="46"/>
      <c r="Z159" s="45"/>
      <c r="AA159" s="46"/>
      <c r="AB159" s="45"/>
    </row>
    <row r="160" spans="2:28" x14ac:dyDescent="0.25">
      <c r="O160" s="47"/>
      <c r="P160" s="47"/>
      <c r="R160" s="47"/>
      <c r="S160" s="47"/>
    </row>
    <row r="161" spans="4:20" x14ac:dyDescent="0.25">
      <c r="D161" s="47"/>
    </row>
    <row r="162" spans="4:20" x14ac:dyDescent="0.25">
      <c r="D162" s="135"/>
      <c r="E162" s="136"/>
      <c r="F162" s="135"/>
      <c r="G162" s="136"/>
      <c r="H162" s="135"/>
      <c r="I162" s="604"/>
      <c r="J162" s="136"/>
      <c r="K162" s="136"/>
      <c r="L162" s="135"/>
      <c r="M162" s="135"/>
      <c r="N162" s="136"/>
      <c r="O162" s="135"/>
      <c r="P162" s="135"/>
      <c r="Q162" s="136"/>
      <c r="R162" s="135"/>
      <c r="S162" s="135"/>
      <c r="T162" s="136"/>
    </row>
    <row r="163" spans="4:20" x14ac:dyDescent="0.25">
      <c r="D163" s="135"/>
      <c r="E163" s="136"/>
      <c r="F163" s="135"/>
      <c r="G163" s="136"/>
      <c r="H163" s="135"/>
      <c r="I163" s="600"/>
      <c r="J163" s="136"/>
      <c r="K163" s="136"/>
      <c r="L163" s="135"/>
      <c r="M163" s="135"/>
      <c r="N163" s="136"/>
      <c r="O163" s="135"/>
      <c r="P163" s="135"/>
      <c r="Q163" s="136"/>
      <c r="R163" s="135"/>
      <c r="S163" s="135"/>
      <c r="T163" s="136"/>
    </row>
    <row r="164" spans="4:20" x14ac:dyDescent="0.25">
      <c r="D164" s="135"/>
      <c r="E164" s="136"/>
      <c r="F164" s="135"/>
      <c r="G164" s="136"/>
      <c r="H164" s="601"/>
      <c r="I164" s="604"/>
      <c r="J164" s="602"/>
      <c r="K164" s="602"/>
      <c r="L164" s="601"/>
      <c r="M164" s="135"/>
      <c r="N164" s="136"/>
      <c r="O164" s="135"/>
      <c r="P164" s="135"/>
      <c r="Q164" s="136"/>
      <c r="R164" s="135"/>
      <c r="S164" s="135"/>
      <c r="T164" s="136"/>
    </row>
    <row r="165" spans="4:20" ht="13" x14ac:dyDescent="0.3">
      <c r="D165" s="135"/>
      <c r="E165" s="136"/>
      <c r="F165" s="135"/>
      <c r="G165" s="136"/>
      <c r="H165" s="135"/>
      <c r="I165" s="603"/>
      <c r="J165" s="136"/>
      <c r="K165" s="136"/>
      <c r="L165" s="135"/>
      <c r="M165" s="135"/>
      <c r="N165" s="136"/>
      <c r="O165" s="135"/>
      <c r="P165" s="135"/>
      <c r="Q165" s="136"/>
      <c r="R165" s="135"/>
      <c r="S165" s="135"/>
      <c r="T165" s="136"/>
    </row>
    <row r="169" spans="4:20" x14ac:dyDescent="0.25">
      <c r="K169" s="375"/>
    </row>
    <row r="173" spans="4:20" x14ac:dyDescent="0.25">
      <c r="K173" s="375"/>
    </row>
    <row r="174" spans="4:20" x14ac:dyDescent="0.25">
      <c r="K174" s="375"/>
    </row>
    <row r="175" spans="4:20" x14ac:dyDescent="0.25">
      <c r="K175" s="375"/>
    </row>
    <row r="176" spans="4:20" x14ac:dyDescent="0.25">
      <c r="K176" s="375"/>
    </row>
    <row r="177" spans="11:12" x14ac:dyDescent="0.25">
      <c r="K177" s="375"/>
      <c r="L177" s="376"/>
    </row>
    <row r="178" spans="11:12" x14ac:dyDescent="0.25">
      <c r="K178" s="375"/>
    </row>
  </sheetData>
  <mergeCells count="22">
    <mergeCell ref="L12:N12"/>
    <mergeCell ref="D11:E11"/>
    <mergeCell ref="F11:G11"/>
    <mergeCell ref="L11:N11"/>
    <mergeCell ref="H11:I11"/>
    <mergeCell ref="H12:I12"/>
    <mergeCell ref="J11:K11"/>
    <mergeCell ref="J12:K12"/>
    <mergeCell ref="D12:E12"/>
    <mergeCell ref="F12:G12"/>
    <mergeCell ref="R11:T11"/>
    <mergeCell ref="O11:Q11"/>
    <mergeCell ref="AA11:AB11"/>
    <mergeCell ref="Y12:Z12"/>
    <mergeCell ref="AA12:AB12"/>
    <mergeCell ref="U11:V11"/>
    <mergeCell ref="U12:V12"/>
    <mergeCell ref="W11:X11"/>
    <mergeCell ref="W12:X12"/>
    <mergeCell ref="Y11:Z11"/>
    <mergeCell ref="R12:T12"/>
    <mergeCell ref="O12:Q12"/>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B1:AA41"/>
  <sheetViews>
    <sheetView showGridLines="0" zoomScaleNormal="100" workbookViewId="0"/>
  </sheetViews>
  <sheetFormatPr defaultColWidth="9.296875" defaultRowHeight="12.5" x14ac:dyDescent="0.25"/>
  <cols>
    <col min="1" max="1" width="9.296875" style="1"/>
    <col min="2" max="2" width="20" style="1" bestFit="1" customWidth="1"/>
    <col min="3" max="10" width="13.296875" style="1" bestFit="1" customWidth="1"/>
    <col min="11" max="11" width="14.296875" style="1" bestFit="1" customWidth="1"/>
    <col min="12" max="12" width="13.296875" style="1" bestFit="1" customWidth="1"/>
    <col min="13" max="14" width="14" style="1" customWidth="1"/>
    <col min="15" max="16" width="13.296875" style="1" bestFit="1" customWidth="1"/>
    <col min="17" max="22" width="14" style="1" hidden="1" customWidth="1"/>
    <col min="23" max="23" width="9.296875" style="1"/>
    <col min="24" max="24" width="20.296875" style="1" customWidth="1"/>
    <col min="25" max="25" width="13.296875" style="1" bestFit="1" customWidth="1"/>
    <col min="26" max="16384" width="9.296875" style="1"/>
  </cols>
  <sheetData>
    <row r="1" spans="2:25" ht="13" thickBot="1" x14ac:dyDescent="0.3"/>
    <row r="2" spans="2:25" ht="23.5" thickBot="1" x14ac:dyDescent="0.3">
      <c r="B2" s="86" t="s">
        <v>53</v>
      </c>
      <c r="J2" s="204"/>
      <c r="K2" s="205" t="s">
        <v>137</v>
      </c>
    </row>
    <row r="3" spans="2:25" ht="23" x14ac:dyDescent="0.25">
      <c r="B3" s="86"/>
      <c r="J3" s="217"/>
      <c r="K3" s="205"/>
    </row>
    <row r="4" spans="2:25" ht="23" x14ac:dyDescent="0.25">
      <c r="B4" s="86"/>
      <c r="J4" s="217"/>
      <c r="K4" s="205"/>
    </row>
    <row r="5" spans="2:25" ht="23" x14ac:dyDescent="0.25">
      <c r="B5" s="86"/>
      <c r="J5" s="217"/>
      <c r="K5" s="205"/>
    </row>
    <row r="6" spans="2:25" ht="13" thickBot="1" x14ac:dyDescent="0.3"/>
    <row r="7" spans="2:25" ht="24.75" customHeight="1" thickBot="1" x14ac:dyDescent="0.3">
      <c r="B7" s="3"/>
      <c r="C7" s="807" t="str">
        <f>'2. Customer Classes'!B8</f>
        <v>Residential</v>
      </c>
      <c r="D7" s="806"/>
      <c r="E7" s="807" t="str">
        <f>'2. Customer Classes'!B9</f>
        <v>General Service &lt; 50 kW</v>
      </c>
      <c r="F7" s="806"/>
      <c r="G7" s="807" t="str">
        <f>'2. Customer Classes'!B10</f>
        <v>Unmetered Scattered Load</v>
      </c>
      <c r="H7" s="806"/>
      <c r="I7" s="807" t="str">
        <f>'2. Customer Classes'!B11</f>
        <v>Sentinel Lighting</v>
      </c>
      <c r="J7" s="806"/>
      <c r="K7" s="807" t="str">
        <f>'2. Customer Classes'!B12</f>
        <v>General Service &gt; 50 kW - 4999 kW - Excluding Wholesale Market Participant</v>
      </c>
      <c r="L7" s="806"/>
      <c r="M7" s="805" t="str">
        <f>'2. Customer Classes'!B13</f>
        <v>General Service &gt; 50 kW - 4999 kW - Wholesale Market Participant</v>
      </c>
      <c r="N7" s="806"/>
      <c r="O7" s="805" t="str">
        <f>'2. Customer Classes'!B14</f>
        <v>Streetlighting</v>
      </c>
      <c r="P7" s="806"/>
      <c r="Q7" s="804" t="str">
        <f>'2. Customer Classes'!B14</f>
        <v>Streetlighting</v>
      </c>
      <c r="R7" s="799"/>
      <c r="S7" s="798" t="str">
        <f>'2. Customer Classes'!B15</f>
        <v>N/A</v>
      </c>
      <c r="T7" s="799"/>
      <c r="U7" s="798" t="str">
        <f>'2. Customer Classes'!B16</f>
        <v>other</v>
      </c>
      <c r="V7" s="799"/>
      <c r="X7" s="798" t="s">
        <v>128</v>
      </c>
      <c r="Y7" s="799"/>
    </row>
    <row r="8" spans="2:25" ht="25.5" thickBot="1" x14ac:dyDescent="0.3">
      <c r="B8" s="4" t="s">
        <v>3</v>
      </c>
      <c r="C8" s="103" t="s">
        <v>84</v>
      </c>
      <c r="D8" s="5" t="s">
        <v>5</v>
      </c>
      <c r="E8" s="103" t="s">
        <v>84</v>
      </c>
      <c r="F8" s="5" t="s">
        <v>5</v>
      </c>
      <c r="G8" s="103" t="s">
        <v>84</v>
      </c>
      <c r="H8" s="5" t="s">
        <v>5</v>
      </c>
      <c r="I8" s="103" t="s">
        <v>84</v>
      </c>
      <c r="J8" s="5" t="s">
        <v>5</v>
      </c>
      <c r="K8" s="103" t="s">
        <v>84</v>
      </c>
      <c r="L8" s="4" t="s">
        <v>5</v>
      </c>
      <c r="M8" s="103" t="s">
        <v>84</v>
      </c>
      <c r="N8" s="4" t="s">
        <v>5</v>
      </c>
      <c r="O8" s="103" t="s">
        <v>84</v>
      </c>
      <c r="P8" s="6" t="s">
        <v>5</v>
      </c>
      <c r="Q8" s="659" t="s">
        <v>84</v>
      </c>
      <c r="R8" s="6" t="s">
        <v>5</v>
      </c>
      <c r="S8" s="103" t="s">
        <v>84</v>
      </c>
      <c r="T8" s="6" t="s">
        <v>5</v>
      </c>
      <c r="U8" s="103" t="s">
        <v>84</v>
      </c>
      <c r="V8" s="6" t="s">
        <v>5</v>
      </c>
      <c r="X8" s="103" t="s">
        <v>136</v>
      </c>
      <c r="Y8" s="6" t="s">
        <v>5</v>
      </c>
    </row>
    <row r="9" spans="2:25" x14ac:dyDescent="0.25">
      <c r="B9" s="7">
        <f>'1. LDC Info'!F16-10</f>
        <v>2013</v>
      </c>
      <c r="C9" s="124">
        <f>AVERAGE('3. Consumption by Rate Class'!E16,'3. Consumption by Rate Class'!E27)</f>
        <v>11857</v>
      </c>
      <c r="D9" s="102"/>
      <c r="E9" s="124">
        <f>AVERAGE('3. Consumption by Rate Class'!G16,'3. Consumption by Rate Class'!G27)</f>
        <v>784</v>
      </c>
      <c r="F9" s="102"/>
      <c r="G9" s="104">
        <f>AVERAGE('3. Consumption by Rate Class'!I16,'3. Consumption by Rate Class'!I27)</f>
        <v>42.5</v>
      </c>
      <c r="H9" s="102"/>
      <c r="I9" s="124">
        <f>IF(SUM('3. Consumption by Rate Class'!K16:K27)&gt;0,+AVERAGE('3. Consumption by Rate Class'!K16,'3. Consumption by Rate Class'!K27),0)</f>
        <v>0</v>
      </c>
      <c r="J9" s="102"/>
      <c r="K9" s="104">
        <f>AVERAGE('3. Consumption by Rate Class'!N16,'3. Consumption by Rate Class'!N27)</f>
        <v>35</v>
      </c>
      <c r="L9" s="102"/>
      <c r="M9" s="124">
        <f>IF(SUM('3. Consumption by Rate Class'!Q16:Q27)&gt;0,+AVERAGE('3. Consumption by Rate Class'!Q16,'3. Consumption by Rate Class'!Q27),0)</f>
        <v>1</v>
      </c>
      <c r="N9" s="102"/>
      <c r="O9" s="124">
        <f>AVERAGE('3. Consumption by Rate Class'!T16,'3. Consumption by Rate Class'!T27)</f>
        <v>2693.5</v>
      </c>
      <c r="P9" s="105"/>
      <c r="Q9" s="660" t="e">
        <f>AVERAGE('3. Consumption by Rate Class'!V16,'3. Consumption by Rate Class'!V27)</f>
        <v>#DIV/0!</v>
      </c>
      <c r="R9" s="105"/>
      <c r="S9" s="104" t="e">
        <f>AVERAGE('3. Consumption by Rate Class'!X16,'3. Consumption by Rate Class'!X27)</f>
        <v>#DIV/0!</v>
      </c>
      <c r="T9" s="105"/>
      <c r="U9" s="104" t="e">
        <f>AVERAGE('3. Consumption by Rate Class'!Z16,'3. Consumption by Rate Class'!Z27)</f>
        <v>#DIV/0!</v>
      </c>
      <c r="V9" s="105"/>
      <c r="X9" s="139">
        <f>+C9+E9+G9+I9+K9+M9+O9</f>
        <v>15413</v>
      </c>
      <c r="Y9" s="140"/>
    </row>
    <row r="10" spans="2:25" x14ac:dyDescent="0.25">
      <c r="B10" s="7">
        <f>'1. LDC Info'!F16-9</f>
        <v>2014</v>
      </c>
      <c r="C10" s="291">
        <f>AVERAGE('3. Consumption by Rate Class'!E28,'3. Consumption by Rate Class'!E39)</f>
        <v>12082</v>
      </c>
      <c r="D10" s="9">
        <f>C10/C9</f>
        <v>1.0189761322425572</v>
      </c>
      <c r="E10" s="291">
        <f>AVERAGE('3. Consumption by Rate Class'!G28,'3. Consumption by Rate Class'!G39)</f>
        <v>783</v>
      </c>
      <c r="F10" s="9">
        <f>E10/E9</f>
        <v>0.99872448979591832</v>
      </c>
      <c r="G10" s="17">
        <f>AVERAGE('3. Consumption by Rate Class'!I28,'3. Consumption by Rate Class'!I39)</f>
        <v>41</v>
      </c>
      <c r="H10" s="9">
        <f t="shared" ref="H10:H18" si="0">G10/G9</f>
        <v>0.96470588235294119</v>
      </c>
      <c r="I10" s="124">
        <f>IF(SUM('3. Consumption by Rate Class'!K28:K39)&gt;0,+AVERAGE('3. Consumption by Rate Class'!K28,'3. Consumption by Rate Class'!K39),0)</f>
        <v>0</v>
      </c>
      <c r="J10" s="9">
        <f>IF(I10&gt;0,+I10/I9,0)</f>
        <v>0</v>
      </c>
      <c r="K10" s="17">
        <f>AVERAGE('3. Consumption by Rate Class'!N28,'3. Consumption by Rate Class'!N39)</f>
        <v>36</v>
      </c>
      <c r="L10" s="9">
        <f t="shared" ref="L10:L18" si="1">K10/K9</f>
        <v>1.0285714285714285</v>
      </c>
      <c r="M10" s="124">
        <f>IF(SUM('3. Consumption by Rate Class'!Q28:Q39)&gt;0,+AVERAGE('3. Consumption by Rate Class'!Q28,'3. Consumption by Rate Class'!Q39),0)</f>
        <v>1</v>
      </c>
      <c r="N10" s="9">
        <f>IF(M10&gt;0,+M10/M9,0)</f>
        <v>1</v>
      </c>
      <c r="O10" s="291">
        <f>AVERAGE('3. Consumption by Rate Class'!T28,'3. Consumption by Rate Class'!T39)</f>
        <v>2738</v>
      </c>
      <c r="P10" s="10">
        <f>O10/O9</f>
        <v>1.016521254872842</v>
      </c>
      <c r="Q10" s="661" t="e">
        <f>AVERAGE('3. Consumption by Rate Class'!V28,'3. Consumption by Rate Class'!V39)</f>
        <v>#DIV/0!</v>
      </c>
      <c r="R10" s="10" t="e">
        <f t="shared" ref="R10:R18" si="2">Q10/Q9</f>
        <v>#DIV/0!</v>
      </c>
      <c r="S10" s="17" t="e">
        <f>AVERAGE('3. Consumption by Rate Class'!X28,'3. Consumption by Rate Class'!X39)</f>
        <v>#DIV/0!</v>
      </c>
      <c r="T10" s="10" t="e">
        <f t="shared" ref="T10:T18" si="3">S10/S9</f>
        <v>#DIV/0!</v>
      </c>
      <c r="U10" s="17" t="e">
        <f>AVERAGE('3. Consumption by Rate Class'!Z28,'3. Consumption by Rate Class'!Z39)</f>
        <v>#DIV/0!</v>
      </c>
      <c r="V10" s="10" t="e">
        <f t="shared" ref="V10:V18" si="4">U10/U9</f>
        <v>#DIV/0!</v>
      </c>
      <c r="X10" s="139">
        <f t="shared" ref="X10:X17" si="5">+C10+E10+G10+I10+K10+M10+O10</f>
        <v>15681</v>
      </c>
      <c r="Y10" s="138">
        <f t="shared" ref="Y10:Y18" si="6">X10/X9</f>
        <v>1.0173879192889119</v>
      </c>
    </row>
    <row r="11" spans="2:25" x14ac:dyDescent="0.25">
      <c r="B11" s="7">
        <f>'1. LDC Info'!F16-8</f>
        <v>2015</v>
      </c>
      <c r="C11" s="291">
        <f>AVERAGE('3. Consumption by Rate Class'!E40,'3. Consumption by Rate Class'!E51)</f>
        <v>12257.5</v>
      </c>
      <c r="D11" s="9">
        <f t="shared" ref="D11:F18" si="7">C11/C10</f>
        <v>1.0145257407713955</v>
      </c>
      <c r="E11" s="291">
        <f>AVERAGE('3. Consumption by Rate Class'!G40,'3. Consumption by Rate Class'!G51)</f>
        <v>785</v>
      </c>
      <c r="F11" s="9">
        <f t="shared" si="7"/>
        <v>1.0025542784163475</v>
      </c>
      <c r="G11" s="17">
        <f>AVERAGE('3. Consumption by Rate Class'!I40,'3. Consumption by Rate Class'!I51)</f>
        <v>40.5</v>
      </c>
      <c r="H11" s="9">
        <f t="shared" si="0"/>
        <v>0.98780487804878048</v>
      </c>
      <c r="I11" s="124">
        <f>IF(SUM('3. Consumption by Rate Class'!K40:K51)&gt;0,+AVERAGE('3. Consumption by Rate Class'!K40,'3. Consumption by Rate Class'!K51),0)</f>
        <v>0</v>
      </c>
      <c r="J11" s="9">
        <f t="shared" ref="J11:J18" si="8">IF(I11&gt;0,+I11/I10,0)</f>
        <v>0</v>
      </c>
      <c r="K11" s="17">
        <f>AVERAGE('3. Consumption by Rate Class'!N40,'3. Consumption by Rate Class'!N51)</f>
        <v>37</v>
      </c>
      <c r="L11" s="9">
        <f t="shared" si="1"/>
        <v>1.0277777777777777</v>
      </c>
      <c r="M11" s="124">
        <f>IF(SUM('3. Consumption by Rate Class'!Q40:Q51)&gt;0,+AVERAGE('3. Consumption by Rate Class'!Q40,'3. Consumption by Rate Class'!Q51),0)</f>
        <v>1</v>
      </c>
      <c r="N11" s="9">
        <f t="shared" ref="N11:N18" si="9">IF(M11&gt;0,+M11/M10,0)</f>
        <v>1</v>
      </c>
      <c r="O11" s="291">
        <f>AVERAGE('3. Consumption by Rate Class'!T40,'3. Consumption by Rate Class'!T51)</f>
        <v>2835</v>
      </c>
      <c r="P11" s="10">
        <f t="shared" ref="P11:P18" si="10">O11/O10</f>
        <v>1.035427319211103</v>
      </c>
      <c r="Q11" s="661" t="e">
        <f>AVERAGE('3. Consumption by Rate Class'!V40,'3. Consumption by Rate Class'!V51)</f>
        <v>#DIV/0!</v>
      </c>
      <c r="R11" s="10" t="e">
        <f t="shared" si="2"/>
        <v>#DIV/0!</v>
      </c>
      <c r="S11" s="17" t="e">
        <f>AVERAGE('3. Consumption by Rate Class'!X40,'3. Consumption by Rate Class'!X51)</f>
        <v>#DIV/0!</v>
      </c>
      <c r="T11" s="10" t="e">
        <f t="shared" si="3"/>
        <v>#DIV/0!</v>
      </c>
      <c r="U11" s="17" t="e">
        <f>AVERAGE('3. Consumption by Rate Class'!Z40,'3. Consumption by Rate Class'!Z51)</f>
        <v>#DIV/0!</v>
      </c>
      <c r="V11" s="10" t="e">
        <f t="shared" si="4"/>
        <v>#DIV/0!</v>
      </c>
      <c r="X11" s="139">
        <f t="shared" si="5"/>
        <v>15956</v>
      </c>
      <c r="Y11" s="138">
        <f t="shared" si="6"/>
        <v>1.0175371468656336</v>
      </c>
    </row>
    <row r="12" spans="2:25" x14ac:dyDescent="0.25">
      <c r="B12" s="7">
        <f>'1. LDC Info'!F16-7</f>
        <v>2016</v>
      </c>
      <c r="C12" s="291">
        <f>AVERAGE('3. Consumption by Rate Class'!E52,'3. Consumption by Rate Class'!E63)</f>
        <v>12427</v>
      </c>
      <c r="D12" s="9">
        <f t="shared" si="7"/>
        <v>1.0138282684070976</v>
      </c>
      <c r="E12" s="291">
        <f>AVERAGE('3. Consumption by Rate Class'!G52,'3. Consumption by Rate Class'!G63)</f>
        <v>795.5</v>
      </c>
      <c r="F12" s="9">
        <f t="shared" si="7"/>
        <v>1.0133757961783441</v>
      </c>
      <c r="G12" s="17">
        <f>AVERAGE('3. Consumption by Rate Class'!I52,'3. Consumption by Rate Class'!I63)</f>
        <v>36.5</v>
      </c>
      <c r="H12" s="9">
        <f t="shared" si="0"/>
        <v>0.90123456790123457</v>
      </c>
      <c r="I12" s="124">
        <f>IF(SUM('3. Consumption by Rate Class'!K52:K63)&gt;0,+AVERAGE('3. Consumption by Rate Class'!K52,'3. Consumption by Rate Class'!K63),0)</f>
        <v>0</v>
      </c>
      <c r="J12" s="9">
        <f t="shared" si="8"/>
        <v>0</v>
      </c>
      <c r="K12" s="17">
        <f>AVERAGE('3. Consumption by Rate Class'!N52,'3. Consumption by Rate Class'!N63)</f>
        <v>36</v>
      </c>
      <c r="L12" s="9">
        <f t="shared" si="1"/>
        <v>0.97297297297297303</v>
      </c>
      <c r="M12" s="124">
        <f>IF(SUM('3. Consumption by Rate Class'!Q52:Q63)&gt;0,+AVERAGE('3. Consumption by Rate Class'!Q52,'3. Consumption by Rate Class'!Q63),0)</f>
        <v>1</v>
      </c>
      <c r="N12" s="9">
        <f t="shared" si="9"/>
        <v>1</v>
      </c>
      <c r="O12" s="291">
        <f>AVERAGE('3. Consumption by Rate Class'!T52,'3. Consumption by Rate Class'!T63)</f>
        <v>2948</v>
      </c>
      <c r="P12" s="10">
        <f t="shared" si="10"/>
        <v>1.0398589065255732</v>
      </c>
      <c r="Q12" s="661" t="e">
        <f>AVERAGE('3. Consumption by Rate Class'!V52,'3. Consumption by Rate Class'!V63)</f>
        <v>#DIV/0!</v>
      </c>
      <c r="R12" s="10" t="e">
        <f t="shared" si="2"/>
        <v>#DIV/0!</v>
      </c>
      <c r="S12" s="17" t="e">
        <f>AVERAGE('3. Consumption by Rate Class'!X52,'3. Consumption by Rate Class'!X63)</f>
        <v>#DIV/0!</v>
      </c>
      <c r="T12" s="10" t="e">
        <f t="shared" si="3"/>
        <v>#DIV/0!</v>
      </c>
      <c r="U12" s="17" t="e">
        <f>AVERAGE('3. Consumption by Rate Class'!Z52,'3. Consumption by Rate Class'!Z63)</f>
        <v>#DIV/0!</v>
      </c>
      <c r="V12" s="10" t="e">
        <f t="shared" si="4"/>
        <v>#DIV/0!</v>
      </c>
      <c r="X12" s="139">
        <f t="shared" si="5"/>
        <v>16244</v>
      </c>
      <c r="Y12" s="138">
        <f t="shared" si="6"/>
        <v>1.0180496365003759</v>
      </c>
    </row>
    <row r="13" spans="2:25" x14ac:dyDescent="0.25">
      <c r="B13" s="7">
        <f>'1. LDC Info'!F16-6</f>
        <v>2017</v>
      </c>
      <c r="C13" s="291">
        <f>AVERAGE('3. Consumption by Rate Class'!E64,'3. Consumption by Rate Class'!E75)</f>
        <v>12621</v>
      </c>
      <c r="D13" s="9">
        <f t="shared" si="7"/>
        <v>1.0156111692282932</v>
      </c>
      <c r="E13" s="291">
        <f>AVERAGE('3. Consumption by Rate Class'!G64,'3. Consumption by Rate Class'!G75)</f>
        <v>812.5</v>
      </c>
      <c r="F13" s="9">
        <f t="shared" si="7"/>
        <v>1.021370207416719</v>
      </c>
      <c r="G13" s="17">
        <f>AVERAGE('3. Consumption by Rate Class'!I64,'3. Consumption by Rate Class'!I75)</f>
        <v>33</v>
      </c>
      <c r="H13" s="9">
        <f t="shared" si="0"/>
        <v>0.90410958904109584</v>
      </c>
      <c r="I13" s="124">
        <f>IF(SUM('3. Consumption by Rate Class'!K64:K75)&gt;0,+AVERAGE('3. Consumption by Rate Class'!K64,'3. Consumption by Rate Class'!K75),0)</f>
        <v>0</v>
      </c>
      <c r="J13" s="9">
        <f t="shared" si="8"/>
        <v>0</v>
      </c>
      <c r="K13" s="17">
        <f>AVERAGE('3. Consumption by Rate Class'!N64,'3. Consumption by Rate Class'!N75)</f>
        <v>34.5</v>
      </c>
      <c r="L13" s="9">
        <f t="shared" si="1"/>
        <v>0.95833333333333337</v>
      </c>
      <c r="M13" s="124">
        <f>IF(SUM('3. Consumption by Rate Class'!Q64:Q75)&gt;0,+AVERAGE('3. Consumption by Rate Class'!Q64,'3. Consumption by Rate Class'!Q75),0)</f>
        <v>1</v>
      </c>
      <c r="N13" s="9">
        <f t="shared" si="9"/>
        <v>1</v>
      </c>
      <c r="O13" s="291">
        <f>AVERAGE('3. Consumption by Rate Class'!T64,'3. Consumption by Rate Class'!T75)</f>
        <v>3013</v>
      </c>
      <c r="P13" s="10">
        <f t="shared" si="10"/>
        <v>1.0220488466757123</v>
      </c>
      <c r="Q13" s="661" t="e">
        <f>AVERAGE('3. Consumption by Rate Class'!V64,'3. Consumption by Rate Class'!V75)</f>
        <v>#DIV/0!</v>
      </c>
      <c r="R13" s="10" t="e">
        <f t="shared" si="2"/>
        <v>#DIV/0!</v>
      </c>
      <c r="S13" s="17" t="e">
        <f>AVERAGE('3. Consumption by Rate Class'!X64,'3. Consumption by Rate Class'!X75)</f>
        <v>#DIV/0!</v>
      </c>
      <c r="T13" s="10" t="e">
        <f t="shared" si="3"/>
        <v>#DIV/0!</v>
      </c>
      <c r="U13" s="17" t="e">
        <f>AVERAGE('3. Consumption by Rate Class'!Z64,'3. Consumption by Rate Class'!Z75)</f>
        <v>#DIV/0!</v>
      </c>
      <c r="V13" s="10" t="e">
        <f t="shared" si="4"/>
        <v>#DIV/0!</v>
      </c>
      <c r="X13" s="139">
        <f t="shared" si="5"/>
        <v>16515</v>
      </c>
      <c r="Y13" s="138">
        <f t="shared" si="6"/>
        <v>1.0166830829844866</v>
      </c>
    </row>
    <row r="14" spans="2:25" x14ac:dyDescent="0.25">
      <c r="B14" s="7">
        <f>'1. LDC Info'!F16-5</f>
        <v>2018</v>
      </c>
      <c r="C14" s="291">
        <f>AVERAGE('3. Consumption by Rate Class'!E76,'3. Consumption by Rate Class'!E87)</f>
        <v>12838</v>
      </c>
      <c r="D14" s="9">
        <f t="shared" si="7"/>
        <v>1.0171935662784248</v>
      </c>
      <c r="E14" s="291">
        <f>AVERAGE('3. Consumption by Rate Class'!G76,'3. Consumption by Rate Class'!G87)</f>
        <v>819</v>
      </c>
      <c r="F14" s="9">
        <f t="shared" si="7"/>
        <v>1.008</v>
      </c>
      <c r="G14" s="17">
        <f>AVERAGE('3. Consumption by Rate Class'!I76,'3. Consumption by Rate Class'!I87)</f>
        <v>34.5</v>
      </c>
      <c r="H14" s="9">
        <f t="shared" si="0"/>
        <v>1.0454545454545454</v>
      </c>
      <c r="I14" s="124">
        <f>IF(SUM('3. Consumption by Rate Class'!K76:K87)&gt;0,+AVERAGE('3. Consumption by Rate Class'!K76,'3. Consumption by Rate Class'!K87),0)</f>
        <v>0</v>
      </c>
      <c r="J14" s="9">
        <f t="shared" si="8"/>
        <v>0</v>
      </c>
      <c r="K14" s="17">
        <f>AVERAGE('3. Consumption by Rate Class'!N76,'3. Consumption by Rate Class'!N87)</f>
        <v>33.5</v>
      </c>
      <c r="L14" s="9">
        <f t="shared" si="1"/>
        <v>0.97101449275362317</v>
      </c>
      <c r="M14" s="124">
        <f>IF(SUM('3. Consumption by Rate Class'!Q76:Q87)&gt;0,+AVERAGE('3. Consumption by Rate Class'!Q76,'3. Consumption by Rate Class'!Q87),0)</f>
        <v>1</v>
      </c>
      <c r="N14" s="9">
        <f t="shared" si="9"/>
        <v>1</v>
      </c>
      <c r="O14" s="291">
        <f>AVERAGE('3. Consumption by Rate Class'!T76,'3. Consumption by Rate Class'!T87)</f>
        <v>3036.5</v>
      </c>
      <c r="P14" s="10">
        <f t="shared" si="10"/>
        <v>1.0077995353468303</v>
      </c>
      <c r="Q14" s="661" t="e">
        <f>AVERAGE('3. Consumption by Rate Class'!V76,'3. Consumption by Rate Class'!V81)</f>
        <v>#DIV/0!</v>
      </c>
      <c r="R14" s="10" t="e">
        <f t="shared" si="2"/>
        <v>#DIV/0!</v>
      </c>
      <c r="S14" s="17" t="e">
        <f>AVERAGE('3. Consumption by Rate Class'!X76,'3. Consumption by Rate Class'!X81)</f>
        <v>#DIV/0!</v>
      </c>
      <c r="T14" s="10" t="e">
        <f t="shared" si="3"/>
        <v>#DIV/0!</v>
      </c>
      <c r="U14" s="17" t="e">
        <f>AVERAGE('3. Consumption by Rate Class'!Z76,'3. Consumption by Rate Class'!Z81)</f>
        <v>#DIV/0!</v>
      </c>
      <c r="V14" s="10" t="e">
        <f t="shared" si="4"/>
        <v>#DIV/0!</v>
      </c>
      <c r="X14" s="139">
        <f t="shared" si="5"/>
        <v>16762.5</v>
      </c>
      <c r="Y14" s="138">
        <f t="shared" si="6"/>
        <v>1.0149863760217983</v>
      </c>
    </row>
    <row r="15" spans="2:25" x14ac:dyDescent="0.25">
      <c r="B15" s="7">
        <f>'1. LDC Info'!F16-4</f>
        <v>2019</v>
      </c>
      <c r="C15" s="291">
        <f>AVERAGE('3. Consumption by Rate Class'!E88,'3. Consumption by Rate Class'!E99)</f>
        <v>13035.5</v>
      </c>
      <c r="D15" s="9">
        <f t="shared" si="7"/>
        <v>1.0153840162019006</v>
      </c>
      <c r="E15" s="291">
        <f>AVERAGE('3. Consumption by Rate Class'!G88,'3. Consumption by Rate Class'!G99)</f>
        <v>826.5</v>
      </c>
      <c r="F15" s="9">
        <f t="shared" si="7"/>
        <v>1.0091575091575091</v>
      </c>
      <c r="G15" s="17">
        <f>AVERAGE('3. Consumption by Rate Class'!I88,'3. Consumption by Rate Class'!I99)</f>
        <v>35</v>
      </c>
      <c r="H15" s="9">
        <f t="shared" si="0"/>
        <v>1.0144927536231885</v>
      </c>
      <c r="I15" s="124">
        <f>IF(SUM('3. Consumption by Rate Class'!K88:K99)&gt;0,+AVERAGE('3. Consumption by Rate Class'!K88,'3. Consumption by Rate Class'!K99),0)</f>
        <v>0</v>
      </c>
      <c r="J15" s="9">
        <f t="shared" si="8"/>
        <v>0</v>
      </c>
      <c r="K15" s="17">
        <f>AVERAGE('3. Consumption by Rate Class'!N88,'3. Consumption by Rate Class'!N99)</f>
        <v>34</v>
      </c>
      <c r="L15" s="9">
        <f t="shared" si="1"/>
        <v>1.0149253731343284</v>
      </c>
      <c r="M15" s="124">
        <f>IF(SUM('3. Consumption by Rate Class'!Q88:Q99)&gt;0,+AVERAGE('3. Consumption by Rate Class'!Q88,'3. Consumption by Rate Class'!Q99),0)</f>
        <v>1</v>
      </c>
      <c r="N15" s="9">
        <f>IF(M15&gt;0,+M15/M14,0)</f>
        <v>1</v>
      </c>
      <c r="O15" s="291">
        <f>AVERAGE('3. Consumption by Rate Class'!T88,'3. Consumption by Rate Class'!T99)</f>
        <v>3077.5</v>
      </c>
      <c r="P15" s="10">
        <f t="shared" si="10"/>
        <v>1.0135023876173226</v>
      </c>
      <c r="Q15" s="661" t="e">
        <f>AVERAGE('3. Consumption by Rate Class'!V88,'3. Consumption by Rate Class'!V99)</f>
        <v>#DIV/0!</v>
      </c>
      <c r="R15" s="10" t="e">
        <f t="shared" si="2"/>
        <v>#DIV/0!</v>
      </c>
      <c r="S15" s="17" t="e">
        <f>AVERAGE('3. Consumption by Rate Class'!X88,'3. Consumption by Rate Class'!X99)</f>
        <v>#DIV/0!</v>
      </c>
      <c r="T15" s="10" t="e">
        <f t="shared" si="3"/>
        <v>#DIV/0!</v>
      </c>
      <c r="U15" s="17" t="e">
        <f>AVERAGE('3. Consumption by Rate Class'!Z88,'3. Consumption by Rate Class'!Z99)</f>
        <v>#DIV/0!</v>
      </c>
      <c r="V15" s="10" t="e">
        <f t="shared" si="4"/>
        <v>#DIV/0!</v>
      </c>
      <c r="X15" s="139">
        <f t="shared" si="5"/>
        <v>17009.5</v>
      </c>
      <c r="Y15" s="138">
        <f t="shared" si="6"/>
        <v>1.0147352721849365</v>
      </c>
    </row>
    <row r="16" spans="2:25" x14ac:dyDescent="0.25">
      <c r="B16" s="7">
        <f>'1. LDC Info'!F16-3</f>
        <v>2020</v>
      </c>
      <c r="C16" s="291">
        <f>AVERAGE('3. Consumption by Rate Class'!E100,'3. Consumption by Rate Class'!E111)</f>
        <v>13263</v>
      </c>
      <c r="D16" s="9">
        <f t="shared" si="7"/>
        <v>1.0174523416823291</v>
      </c>
      <c r="E16" s="291">
        <f>AVERAGE('3. Consumption by Rate Class'!G100,'3. Consumption by Rate Class'!G111)</f>
        <v>832.5</v>
      </c>
      <c r="F16" s="9">
        <f t="shared" si="7"/>
        <v>1.0072595281306715</v>
      </c>
      <c r="G16" s="17">
        <f>AVERAGE('3. Consumption by Rate Class'!I100,'3. Consumption by Rate Class'!I111)</f>
        <v>35</v>
      </c>
      <c r="H16" s="9">
        <f t="shared" si="0"/>
        <v>1</v>
      </c>
      <c r="I16" s="124">
        <f>IF(SUM('3. Consumption by Rate Class'!K100:K111)&gt;0,+AVERAGE('3. Consumption by Rate Class'!K100,'3. Consumption by Rate Class'!K111),0)</f>
        <v>0</v>
      </c>
      <c r="J16" s="9">
        <f t="shared" si="8"/>
        <v>0</v>
      </c>
      <c r="K16" s="17">
        <f>AVERAGE('3. Consumption by Rate Class'!N100,'3. Consumption by Rate Class'!N111)</f>
        <v>34</v>
      </c>
      <c r="L16" s="9">
        <f t="shared" si="1"/>
        <v>1</v>
      </c>
      <c r="M16" s="124">
        <f>IF(SUM('3. Consumption by Rate Class'!Q100:Q111)&gt;0,+AVERAGE('3. Consumption by Rate Class'!Q100,'3. Consumption by Rate Class'!Q111),0)</f>
        <v>1</v>
      </c>
      <c r="N16" s="9">
        <f>IF(M16&gt;0,+M16/M15,0)</f>
        <v>1</v>
      </c>
      <c r="O16" s="291">
        <f>AVERAGE('3. Consumption by Rate Class'!T100,'3. Consumption by Rate Class'!T111)</f>
        <v>3111</v>
      </c>
      <c r="P16" s="10">
        <f t="shared" si="10"/>
        <v>1.010885458976442</v>
      </c>
      <c r="Q16" s="661" t="e">
        <f>AVERAGE('3. Consumption by Rate Class'!V100,'3. Consumption by Rate Class'!V111)</f>
        <v>#DIV/0!</v>
      </c>
      <c r="R16" s="10" t="e">
        <f t="shared" si="2"/>
        <v>#DIV/0!</v>
      </c>
      <c r="S16" s="17" t="e">
        <f>AVERAGE('3. Consumption by Rate Class'!X100,'3. Consumption by Rate Class'!X111)</f>
        <v>#DIV/0!</v>
      </c>
      <c r="T16" s="10" t="e">
        <f t="shared" si="3"/>
        <v>#DIV/0!</v>
      </c>
      <c r="U16" s="17" t="e">
        <f>AVERAGE('3. Consumption by Rate Class'!Z100,'3. Consumption by Rate Class'!Z111)</f>
        <v>#DIV/0!</v>
      </c>
      <c r="V16" s="10" t="e">
        <f t="shared" si="4"/>
        <v>#DIV/0!</v>
      </c>
      <c r="X16" s="139">
        <f t="shared" si="5"/>
        <v>17276.5</v>
      </c>
      <c r="Y16" s="138">
        <f t="shared" si="6"/>
        <v>1.0156971104382846</v>
      </c>
    </row>
    <row r="17" spans="2:27" x14ac:dyDescent="0.25">
      <c r="B17" s="7">
        <f>'1. LDC Info'!F16-2</f>
        <v>2021</v>
      </c>
      <c r="C17" s="291">
        <f>AVERAGE('3. Consumption by Rate Class'!E112,'3. Consumption by Rate Class'!E123)</f>
        <v>13507.5</v>
      </c>
      <c r="D17" s="9">
        <f t="shared" si="7"/>
        <v>1.0184347432707532</v>
      </c>
      <c r="E17" s="291">
        <f>AVERAGE('3. Consumption by Rate Class'!G112,'3. Consumption by Rate Class'!G123)</f>
        <v>831</v>
      </c>
      <c r="F17" s="9">
        <f t="shared" si="7"/>
        <v>0.99819819819819822</v>
      </c>
      <c r="G17" s="17">
        <f>AVERAGE('3. Consumption by Rate Class'!I112,'3. Consumption by Rate Class'!I123)</f>
        <v>36</v>
      </c>
      <c r="H17" s="9">
        <f t="shared" si="0"/>
        <v>1.0285714285714285</v>
      </c>
      <c r="I17" s="124">
        <f>IF(SUM('3. Consumption by Rate Class'!K112:K123)&gt;0,+AVERAGE('3. Consumption by Rate Class'!K112,'3. Consumption by Rate Class'!K123),0)</f>
        <v>0</v>
      </c>
      <c r="J17" s="9">
        <f t="shared" si="8"/>
        <v>0</v>
      </c>
      <c r="K17" s="17">
        <f>AVERAGE('3. Consumption by Rate Class'!N112,'3. Consumption by Rate Class'!N123)</f>
        <v>33.5</v>
      </c>
      <c r="L17" s="9">
        <f t="shared" si="1"/>
        <v>0.98529411764705888</v>
      </c>
      <c r="M17" s="124">
        <f>IF(SUM('3. Consumption by Rate Class'!Q112:Q123)&gt;0,+AVERAGE('3. Consumption by Rate Class'!Q112,'3. Consumption by Rate Class'!Q123),0)</f>
        <v>1</v>
      </c>
      <c r="N17" s="9">
        <f t="shared" si="9"/>
        <v>1</v>
      </c>
      <c r="O17" s="291">
        <f>AVERAGE('3. Consumption by Rate Class'!T112,'3. Consumption by Rate Class'!T123)</f>
        <v>3132</v>
      </c>
      <c r="P17" s="10">
        <f t="shared" si="10"/>
        <v>1.0067502410800386</v>
      </c>
      <c r="Q17" s="661" t="e">
        <f>AVERAGE('3. Consumption by Rate Class'!V112,'3. Consumption by Rate Class'!V123)</f>
        <v>#DIV/0!</v>
      </c>
      <c r="R17" s="10" t="e">
        <f t="shared" si="2"/>
        <v>#DIV/0!</v>
      </c>
      <c r="S17" s="17" t="e">
        <f>AVERAGE('3. Consumption by Rate Class'!X112,'3. Consumption by Rate Class'!X123)</f>
        <v>#DIV/0!</v>
      </c>
      <c r="T17" s="10" t="e">
        <f t="shared" si="3"/>
        <v>#DIV/0!</v>
      </c>
      <c r="U17" s="17" t="e">
        <f>AVERAGE('3. Consumption by Rate Class'!Z112,'3. Consumption by Rate Class'!Z123)</f>
        <v>#DIV/0!</v>
      </c>
      <c r="V17" s="10" t="e">
        <f t="shared" si="4"/>
        <v>#DIV/0!</v>
      </c>
      <c r="X17" s="139">
        <f t="shared" si="5"/>
        <v>17541</v>
      </c>
      <c r="Y17" s="138">
        <f t="shared" si="6"/>
        <v>1.0153098139090673</v>
      </c>
    </row>
    <row r="18" spans="2:27" x14ac:dyDescent="0.25">
      <c r="B18" s="7">
        <f>'1. LDC Info'!F16-1</f>
        <v>2022</v>
      </c>
      <c r="C18" s="291">
        <f>AVERAGE('3. Consumption by Rate Class'!E124,'3. Consumption by Rate Class'!E135)</f>
        <v>13800</v>
      </c>
      <c r="D18" s="9">
        <f t="shared" si="7"/>
        <v>1.0216546363131593</v>
      </c>
      <c r="E18" s="291">
        <f>AVERAGE('3. Consumption by Rate Class'!G124,'3. Consumption by Rate Class'!G135)</f>
        <v>840</v>
      </c>
      <c r="F18" s="9">
        <f t="shared" si="7"/>
        <v>1.0108303249097472</v>
      </c>
      <c r="G18" s="17">
        <f>AVERAGE('3. Consumption by Rate Class'!I124,'3. Consumption by Rate Class'!I135)</f>
        <v>41</v>
      </c>
      <c r="H18" s="9">
        <f t="shared" si="0"/>
        <v>1.1388888888888888</v>
      </c>
      <c r="I18" s="124">
        <f>IF(SUM('3. Consumption by Rate Class'!K123:K135)&gt;0,+AVERAGE('3. Consumption by Rate Class'!K124,'3. Consumption by Rate Class'!K135),0)</f>
        <v>0</v>
      </c>
      <c r="J18" s="9">
        <f t="shared" si="8"/>
        <v>0</v>
      </c>
      <c r="K18" s="17">
        <f>AVERAGE('3. Consumption by Rate Class'!N124,'3. Consumption by Rate Class'!N135)</f>
        <v>34.5</v>
      </c>
      <c r="L18" s="9">
        <f t="shared" si="1"/>
        <v>1.0298507462686568</v>
      </c>
      <c r="M18" s="124">
        <f>IF(SUM('3. Consumption by Rate Class'!Q123:Q135)&gt;0,+AVERAGE('3. Consumption by Rate Class'!Q124,'3. Consumption by Rate Class'!Q135),0)</f>
        <v>1</v>
      </c>
      <c r="N18" s="9">
        <f t="shared" si="9"/>
        <v>1</v>
      </c>
      <c r="O18" s="291">
        <f>AVERAGE('3. Consumption by Rate Class'!T124,'3. Consumption by Rate Class'!T135)</f>
        <v>3177.5</v>
      </c>
      <c r="P18" s="10">
        <f t="shared" si="10"/>
        <v>1.0145274584929758</v>
      </c>
      <c r="Q18" s="661" t="e">
        <f>AVERAGE('3. Consumption by Rate Class'!V124,'3. Consumption by Rate Class'!V135)</f>
        <v>#DIV/0!</v>
      </c>
      <c r="R18" s="10" t="e">
        <f t="shared" si="2"/>
        <v>#DIV/0!</v>
      </c>
      <c r="S18" s="17" t="e">
        <f>AVERAGE('3. Consumption by Rate Class'!X124,'3. Consumption by Rate Class'!X135)</f>
        <v>#DIV/0!</v>
      </c>
      <c r="T18" s="10" t="e">
        <f t="shared" si="3"/>
        <v>#DIV/0!</v>
      </c>
      <c r="U18" s="17" t="e">
        <f>AVERAGE('3. Consumption by Rate Class'!Z124,'3. Consumption by Rate Class'!Z135)</f>
        <v>#DIV/0!</v>
      </c>
      <c r="V18" s="10" t="e">
        <f t="shared" si="4"/>
        <v>#DIV/0!</v>
      </c>
      <c r="X18" s="139">
        <f>+C18+E18+G18+I18+K18+M18+O18</f>
        <v>17894</v>
      </c>
      <c r="Y18" s="138">
        <f t="shared" si="6"/>
        <v>1.020124280257682</v>
      </c>
      <c r="AA18" s="202"/>
    </row>
    <row r="19" spans="2:27" x14ac:dyDescent="0.25">
      <c r="B19" s="11"/>
      <c r="C19" s="197"/>
      <c r="D19" s="9"/>
      <c r="E19" s="197"/>
      <c r="F19" s="9"/>
      <c r="G19" s="12"/>
      <c r="H19" s="9"/>
      <c r="I19" s="197"/>
      <c r="J19" s="9"/>
      <c r="K19" s="12"/>
      <c r="L19" s="9"/>
      <c r="M19" s="197"/>
      <c r="N19" s="9"/>
      <c r="O19" s="197"/>
      <c r="P19" s="10"/>
      <c r="Q19" s="662"/>
      <c r="R19" s="10"/>
      <c r="S19" s="12"/>
      <c r="T19" s="10"/>
      <c r="U19" s="12"/>
      <c r="V19" s="10"/>
      <c r="X19" s="139"/>
      <c r="Y19" s="140"/>
    </row>
    <row r="20" spans="2:27" ht="13" x14ac:dyDescent="0.3">
      <c r="B20" s="658" t="s">
        <v>4</v>
      </c>
      <c r="C20" s="655" t="s">
        <v>174</v>
      </c>
      <c r="D20" s="656">
        <f>GEOMEAN(D14:D18)</f>
        <v>1.0180217667513878</v>
      </c>
      <c r="E20" s="655" t="s">
        <v>174</v>
      </c>
      <c r="F20" s="656">
        <f>GEOMEAN(F14:F18)</f>
        <v>1.0066794039073257</v>
      </c>
      <c r="G20" s="655" t="s">
        <v>174</v>
      </c>
      <c r="H20" s="656">
        <f>GEOMEAN(H14:H18)</f>
        <v>1.0443690269023025</v>
      </c>
      <c r="I20" s="657"/>
      <c r="J20" s="656">
        <f>IF(SUM(J10:J18)&gt;0,+GEOMEAN(J10:J18),0)</f>
        <v>0</v>
      </c>
      <c r="K20" s="655" t="s">
        <v>174</v>
      </c>
      <c r="L20" s="656">
        <f>GEOMEAN(L14:L18)</f>
        <v>1</v>
      </c>
      <c r="M20" s="657"/>
      <c r="N20" s="656">
        <f>IF(SUM(N10:N18)&gt;0,+GEOMEAN(N10:N18),0)</f>
        <v>1</v>
      </c>
      <c r="O20" s="655" t="s">
        <v>289</v>
      </c>
      <c r="P20" s="665">
        <f>GEOMEAN(P14:P18)</f>
        <v>1.0106884100543982</v>
      </c>
      <c r="Q20" s="663"/>
      <c r="R20" s="16" t="e">
        <f>GEOMEAN(R10:R18)</f>
        <v>#DIV/0!</v>
      </c>
      <c r="S20" s="15"/>
      <c r="T20" s="16" t="e">
        <f>GEOMEAN(T10:T18)</f>
        <v>#DIV/0!</v>
      </c>
      <c r="U20" s="15"/>
      <c r="V20" s="16" t="e">
        <f>GEOMEAN(V10:V18)</f>
        <v>#DIV/0!</v>
      </c>
      <c r="X20" s="139"/>
      <c r="Y20" s="16">
        <f>GEOMEAN(Y10:Y18)</f>
        <v>1.0167220690991219</v>
      </c>
    </row>
    <row r="21" spans="2:27" ht="13" x14ac:dyDescent="0.3">
      <c r="B21" s="13"/>
      <c r="C21" s="197"/>
      <c r="D21" s="14"/>
      <c r="E21" s="199"/>
      <c r="F21" s="14"/>
      <c r="G21" s="15"/>
      <c r="H21" s="14"/>
      <c r="I21" s="199"/>
      <c r="J21" s="14"/>
      <c r="K21" s="15"/>
      <c r="L21" s="14"/>
      <c r="M21" s="199"/>
      <c r="N21" s="14"/>
      <c r="O21" s="199"/>
      <c r="P21" s="16"/>
      <c r="Q21" s="663"/>
      <c r="R21" s="16"/>
      <c r="S21" s="15"/>
      <c r="T21" s="16"/>
      <c r="U21" s="15"/>
      <c r="V21" s="16"/>
      <c r="X21" s="139"/>
      <c r="Y21" s="140"/>
    </row>
    <row r="22" spans="2:27" x14ac:dyDescent="0.25">
      <c r="B22" s="8" t="str">
        <f>'1. LDC Info'!F16</f>
        <v>2023</v>
      </c>
      <c r="C22" s="291">
        <f>ROUND(C18*D20,0)</f>
        <v>14049</v>
      </c>
      <c r="D22" s="9" t="s">
        <v>30</v>
      </c>
      <c r="E22" s="291">
        <f>ROUND(E18*F20,0)</f>
        <v>846</v>
      </c>
      <c r="F22" s="12"/>
      <c r="G22" s="17">
        <f>ROUND(G18*H20,0)</f>
        <v>43</v>
      </c>
      <c r="H22" s="12"/>
      <c r="I22" s="291">
        <f>I18*J20</f>
        <v>0</v>
      </c>
      <c r="J22" s="12"/>
      <c r="K22" s="17">
        <f>ROUND(K18*L20,0)</f>
        <v>35</v>
      </c>
      <c r="L22" s="12"/>
      <c r="M22" s="291">
        <f>ROUND(M18*N20,0)</f>
        <v>1</v>
      </c>
      <c r="N22" s="12"/>
      <c r="O22" s="291">
        <f>ROUND(O18*P20,0)</f>
        <v>3211</v>
      </c>
      <c r="P22" s="18"/>
      <c r="Q22" s="661" t="e">
        <f>Q18*R20</f>
        <v>#DIV/0!</v>
      </c>
      <c r="R22" s="18"/>
      <c r="S22" s="17" t="e">
        <f>S18*T20</f>
        <v>#DIV/0!</v>
      </c>
      <c r="T22" s="18"/>
      <c r="U22" s="17" t="e">
        <f>U18*V20</f>
        <v>#DIV/0!</v>
      </c>
      <c r="V22" s="18"/>
      <c r="X22" s="139">
        <f>+C22+E22+G22+I22+K22+M22+O22</f>
        <v>18185</v>
      </c>
      <c r="Y22" s="140"/>
    </row>
    <row r="23" spans="2:27" ht="13" thickBot="1" x14ac:dyDescent="0.3">
      <c r="B23" s="19" t="str">
        <f>'1. LDC Info'!F18</f>
        <v>2024</v>
      </c>
      <c r="C23" s="198">
        <f>ROUND(C22*D20,0)</f>
        <v>14302</v>
      </c>
      <c r="D23" s="21" t="s">
        <v>30</v>
      </c>
      <c r="E23" s="198">
        <f>ROUND(E22*F20,0)</f>
        <v>852</v>
      </c>
      <c r="F23" s="22"/>
      <c r="G23" s="20">
        <f>ROUND(G22*H20,0)</f>
        <v>45</v>
      </c>
      <c r="H23" s="22"/>
      <c r="I23" s="198">
        <f>I22*J20</f>
        <v>0</v>
      </c>
      <c r="J23" s="22"/>
      <c r="K23" s="20">
        <f>ROUND(K22*L20,0)</f>
        <v>35</v>
      </c>
      <c r="L23" s="22"/>
      <c r="M23" s="198">
        <f>ROUND(M22*N20,0)</f>
        <v>1</v>
      </c>
      <c r="N23" s="22"/>
      <c r="O23" s="198">
        <f>ROUND(O22*P20,0)</f>
        <v>3245</v>
      </c>
      <c r="P23" s="23"/>
      <c r="Q23" s="664" t="e">
        <f>Q22*R20</f>
        <v>#DIV/0!</v>
      </c>
      <c r="R23" s="23"/>
      <c r="S23" s="20" t="e">
        <f>S22*T20</f>
        <v>#DIV/0!</v>
      </c>
      <c r="T23" s="23"/>
      <c r="U23" s="20" t="e">
        <f>U22*V20</f>
        <v>#DIV/0!</v>
      </c>
      <c r="V23" s="23"/>
      <c r="X23" s="141">
        <f>+C23+E23+G23+I23+K23+M23+O23</f>
        <v>18480</v>
      </c>
      <c r="Y23" s="123"/>
    </row>
    <row r="24" spans="2:27" x14ac:dyDescent="0.25">
      <c r="C24" s="202"/>
      <c r="X24" s="137"/>
    </row>
    <row r="25" spans="2:27" ht="13" x14ac:dyDescent="0.3">
      <c r="B25" s="108" t="s">
        <v>139</v>
      </c>
      <c r="X25" s="137"/>
    </row>
    <row r="26" spans="2:27" ht="13" thickBot="1" x14ac:dyDescent="0.3">
      <c r="X26" s="137"/>
    </row>
    <row r="27" spans="2:27" ht="13" x14ac:dyDescent="0.3">
      <c r="B27" s="590" t="s">
        <v>31</v>
      </c>
      <c r="C27" s="24"/>
      <c r="D27" s="24"/>
      <c r="E27" s="24"/>
      <c r="F27" s="24"/>
      <c r="G27" s="24"/>
      <c r="H27" s="24"/>
      <c r="I27" s="24"/>
      <c r="J27" s="24"/>
      <c r="K27" s="24"/>
      <c r="L27" s="24"/>
      <c r="M27" s="24"/>
      <c r="N27" s="24"/>
      <c r="O27" s="24"/>
      <c r="P27" s="25"/>
      <c r="Q27" s="203"/>
      <c r="R27" s="25"/>
      <c r="S27" s="24"/>
      <c r="T27" s="25"/>
      <c r="U27" s="24"/>
      <c r="V27" s="25"/>
      <c r="X27" s="800"/>
      <c r="Y27" s="800"/>
    </row>
    <row r="28" spans="2:27" ht="13" x14ac:dyDescent="0.3">
      <c r="B28" s="101" t="str">
        <f>'1. LDC Info'!F16</f>
        <v>2023</v>
      </c>
      <c r="C28" s="655">
        <v>14154</v>
      </c>
      <c r="D28" s="9">
        <f>C28/C18</f>
        <v>1.0256521739130435</v>
      </c>
      <c r="E28" s="655">
        <v>852</v>
      </c>
      <c r="F28" s="9">
        <f>E28/E18</f>
        <v>1.0142857142857142</v>
      </c>
      <c r="G28" s="655">
        <v>46</v>
      </c>
      <c r="H28" s="9">
        <f>G28/G18</f>
        <v>1.1219512195121952</v>
      </c>
      <c r="I28" s="655"/>
      <c r="J28" s="9">
        <f>IF(I28&gt;0,+I28/I18,0)</f>
        <v>0</v>
      </c>
      <c r="K28" s="655">
        <v>36</v>
      </c>
      <c r="L28" s="9">
        <f>K28/K18</f>
        <v>1.0434782608695652</v>
      </c>
      <c r="M28" s="655"/>
      <c r="N28" s="9">
        <f>IF(M28&gt;0,+M28/M18,0)</f>
        <v>0</v>
      </c>
      <c r="O28" s="655"/>
      <c r="P28" s="10">
        <f>O28/O18</f>
        <v>0</v>
      </c>
      <c r="Q28" s="43"/>
      <c r="R28" s="10" t="e">
        <f>Q28/Q18</f>
        <v>#DIV/0!</v>
      </c>
      <c r="S28" s="26"/>
      <c r="T28" s="10" t="e">
        <f>S28/S18</f>
        <v>#DIV/0!</v>
      </c>
      <c r="U28" s="26"/>
      <c r="V28" s="10" t="e">
        <f>U28/U18</f>
        <v>#DIV/0!</v>
      </c>
      <c r="X28" s="587"/>
      <c r="Y28" s="667"/>
    </row>
    <row r="29" spans="2:27" ht="13.5" thickBot="1" x14ac:dyDescent="0.35">
      <c r="B29" s="100" t="str">
        <f>'1. LDC Info'!F18</f>
        <v>2024</v>
      </c>
      <c r="C29" s="666">
        <v>14408</v>
      </c>
      <c r="D29" s="21">
        <f>IF(C29&gt;0,+C29/C28,0)</f>
        <v>1.0179454571145965</v>
      </c>
      <c r="E29" s="666">
        <v>858</v>
      </c>
      <c r="F29" s="21">
        <f>IF(E29&gt;0,+E29/E28,0)</f>
        <v>1.0070422535211268</v>
      </c>
      <c r="G29" s="666">
        <v>48</v>
      </c>
      <c r="H29" s="21">
        <f>IF(G29&gt;0,+G29/G28,0)</f>
        <v>1.0434782608695652</v>
      </c>
      <c r="I29" s="666"/>
      <c r="J29" s="21">
        <f>IF(I29&gt;0,+I29/I28,0)</f>
        <v>0</v>
      </c>
      <c r="K29" s="666">
        <v>36</v>
      </c>
      <c r="L29" s="21">
        <f>IF(K29&gt;0,+K29/K28,0)</f>
        <v>1</v>
      </c>
      <c r="M29" s="666"/>
      <c r="N29" s="21">
        <f>IF(M29&gt;0,+M29/M28,0)</f>
        <v>0</v>
      </c>
      <c r="O29" s="666"/>
      <c r="P29" s="28">
        <f>IF(O29&gt;0,+O29/O28,0)</f>
        <v>0</v>
      </c>
      <c r="Q29" s="46"/>
      <c r="R29" s="28" t="e">
        <f>Q29/Q28</f>
        <v>#DIV/0!</v>
      </c>
      <c r="S29" s="27"/>
      <c r="T29" s="28" t="e">
        <f>S29/S28</f>
        <v>#DIV/0!</v>
      </c>
      <c r="U29" s="27"/>
      <c r="V29" s="28" t="e">
        <f>U29/U28</f>
        <v>#DIV/0!</v>
      </c>
      <c r="X29" s="587"/>
      <c r="Y29" s="667"/>
    </row>
    <row r="30" spans="2:27" x14ac:dyDescent="0.25">
      <c r="C30" s="113"/>
      <c r="X30" s="137"/>
    </row>
    <row r="31" spans="2:27" x14ac:dyDescent="0.25">
      <c r="B31" s="1" t="s">
        <v>93</v>
      </c>
      <c r="X31" s="137"/>
    </row>
    <row r="32" spans="2:27" ht="13" thickBot="1" x14ac:dyDescent="0.3">
      <c r="X32" s="137"/>
    </row>
    <row r="33" spans="2:25" ht="13.5" thickBot="1" x14ac:dyDescent="0.35">
      <c r="B33" s="801" t="s">
        <v>122</v>
      </c>
      <c r="C33" s="802"/>
      <c r="D33" s="802"/>
      <c r="E33" s="802"/>
      <c r="F33" s="802"/>
      <c r="G33" s="802"/>
      <c r="H33" s="802"/>
      <c r="I33" s="802"/>
      <c r="J33" s="802"/>
      <c r="K33" s="802"/>
      <c r="L33" s="802"/>
      <c r="M33" s="802"/>
      <c r="N33" s="802"/>
      <c r="O33" s="802"/>
      <c r="P33" s="803"/>
      <c r="X33" s="808" t="s">
        <v>274</v>
      </c>
      <c r="Y33" s="809"/>
    </row>
    <row r="34" spans="2:25" ht="13.5" thickBot="1" x14ac:dyDescent="0.35">
      <c r="B34" s="595" t="str">
        <f>+B28</f>
        <v>2023</v>
      </c>
      <c r="C34" s="196">
        <f>IF(C28&gt;0,+C28,ROUND(C22,0))</f>
        <v>14154</v>
      </c>
      <c r="D34" s="133">
        <f>IF(D28&gt;0,+D28,D20)</f>
        <v>1.0256521739130435</v>
      </c>
      <c r="E34" s="196">
        <f>IF(E28&gt;0,+E28,ROUND(E22,0))</f>
        <v>852</v>
      </c>
      <c r="F34" s="133">
        <f>IF(F28&gt;0,+F28,F20)</f>
        <v>1.0142857142857142</v>
      </c>
      <c r="G34" s="196">
        <f>IF(G28&gt;0,+G28,ROUND(G22,0))</f>
        <v>46</v>
      </c>
      <c r="H34" s="133">
        <f>IF(H28&gt;0,+H28,H20)</f>
        <v>1.1219512195121952</v>
      </c>
      <c r="I34" s="196">
        <f>IF(I28&gt;0,+I28,ROUND(I22,0))</f>
        <v>0</v>
      </c>
      <c r="J34" s="133">
        <f>IF(J28&gt;0,+J28,J20)</f>
        <v>0</v>
      </c>
      <c r="K34" s="196">
        <f>IF(K28&gt;0,+K28,ROUND(K22,0))</f>
        <v>36</v>
      </c>
      <c r="L34" s="133">
        <f>IF(L28&gt;0,+L28,L20)</f>
        <v>1.0434782608695652</v>
      </c>
      <c r="M34" s="196">
        <f>IF(M28&gt;0,+M28,ROUND(M22,0))</f>
        <v>1</v>
      </c>
      <c r="N34" s="133">
        <f>IF(N28&gt;0,+N28,N20)</f>
        <v>1</v>
      </c>
      <c r="O34" s="196">
        <f>IF(O28&gt;0,+O28,ROUND(O22,0))</f>
        <v>3211</v>
      </c>
      <c r="P34" s="133">
        <f>IF(P28&gt;0,+P28,P20)</f>
        <v>1.0106884100543982</v>
      </c>
      <c r="X34" s="139">
        <f>+C34+E34+G34+I34+K34+M34+O34</f>
        <v>18300</v>
      </c>
      <c r="Y34" s="158">
        <f>+X34/X18</f>
        <v>1.0226891695540405</v>
      </c>
    </row>
    <row r="35" spans="2:25" ht="13.5" thickBot="1" x14ac:dyDescent="0.35">
      <c r="B35" s="595" t="str">
        <f>+B29</f>
        <v>2024</v>
      </c>
      <c r="C35" s="196">
        <f>IF(C29&gt;0,+C29,ROUND(C23,0))</f>
        <v>14408</v>
      </c>
      <c r="D35" s="133">
        <f>IF(D29&gt;0,+D29,D20)</f>
        <v>1.0179454571145965</v>
      </c>
      <c r="E35" s="196">
        <f>IF(E29&gt;0,+E29,ROUND(E23,0))</f>
        <v>858</v>
      </c>
      <c r="F35" s="133">
        <f>IF(F29&gt;0,+F29,F20)</f>
        <v>1.0070422535211268</v>
      </c>
      <c r="G35" s="196">
        <f>IF(G29&gt;0,+G29,ROUND(G23,0))</f>
        <v>48</v>
      </c>
      <c r="H35" s="133">
        <f>IF(H29&gt;0,+H29,H20)</f>
        <v>1.0434782608695652</v>
      </c>
      <c r="I35" s="196">
        <f>IF(I29&gt;0,+I29,ROUND(I23,0))</f>
        <v>0</v>
      </c>
      <c r="J35" s="133">
        <f>IF(J29&gt;0,+J29,J20)</f>
        <v>0</v>
      </c>
      <c r="K35" s="196">
        <f>IF(K29&gt;0,+K29,ROUND(K23,0))</f>
        <v>36</v>
      </c>
      <c r="L35" s="133">
        <f>IF(L29&gt;0,+L29,L20)</f>
        <v>1</v>
      </c>
      <c r="M35" s="196">
        <f>IF(M29&gt;0,+M29,ROUND(M23,0))</f>
        <v>1</v>
      </c>
      <c r="N35" s="133">
        <f>IF(N29&gt;0,+N29,N20)</f>
        <v>1</v>
      </c>
      <c r="O35" s="196">
        <f>IF(O29&gt;0,+O29,ROUND(O23,0))</f>
        <v>3245</v>
      </c>
      <c r="P35" s="133">
        <f>IF(P29&gt;0,+P29,P20)</f>
        <v>1.0106884100543982</v>
      </c>
      <c r="X35" s="141">
        <f>+C35+E35+G35+I35+K35+M35+O35</f>
        <v>18596</v>
      </c>
      <c r="Y35" s="159">
        <f>+X35/X34</f>
        <v>1.0161748633879781</v>
      </c>
    </row>
    <row r="38" spans="2:25" x14ac:dyDescent="0.25">
      <c r="G38" s="202"/>
    </row>
    <row r="40" spans="2:25" x14ac:dyDescent="0.25">
      <c r="C40" s="202"/>
    </row>
    <row r="41" spans="2:25" x14ac:dyDescent="0.25">
      <c r="C41" s="202"/>
    </row>
  </sheetData>
  <mergeCells count="14">
    <mergeCell ref="X7:Y7"/>
    <mergeCell ref="X27:Y27"/>
    <mergeCell ref="B33:P33"/>
    <mergeCell ref="Q7:R7"/>
    <mergeCell ref="S7:T7"/>
    <mergeCell ref="U7:V7"/>
    <mergeCell ref="O7:P7"/>
    <mergeCell ref="C7:D7"/>
    <mergeCell ref="E7:F7"/>
    <mergeCell ref="G7:H7"/>
    <mergeCell ref="K7:L7"/>
    <mergeCell ref="I7:J7"/>
    <mergeCell ref="X33:Y33"/>
    <mergeCell ref="M7:N7"/>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AI126"/>
  <sheetViews>
    <sheetView showGridLines="0" zoomScale="90" zoomScaleNormal="90" zoomScaleSheetLayoutView="100" workbookViewId="0"/>
  </sheetViews>
  <sheetFormatPr defaultColWidth="9.296875" defaultRowHeight="12.5" x14ac:dyDescent="0.25"/>
  <cols>
    <col min="1" max="1" width="9.296875" style="1"/>
    <col min="2" max="2" width="24.796875" style="30" customWidth="1"/>
    <col min="3" max="14" width="14.796875" style="30" customWidth="1"/>
    <col min="15" max="15" width="16.69921875" style="1" customWidth="1"/>
    <col min="16" max="16" width="10" style="1" bestFit="1" customWidth="1"/>
    <col min="17" max="17" width="11" style="1" customWidth="1"/>
    <col min="18" max="18" width="9.796875" style="1" customWidth="1"/>
    <col min="19" max="19" width="10" style="1" customWidth="1"/>
    <col min="20" max="25" width="9.296875" style="1"/>
    <col min="26" max="27" width="9.19921875" style="1" customWidth="1"/>
    <col min="28" max="16384" width="9.296875" style="1"/>
  </cols>
  <sheetData>
    <row r="1" spans="1:16" x14ac:dyDescent="0.25">
      <c r="A1" s="143"/>
      <c r="B1" s="144"/>
      <c r="C1" s="144"/>
      <c r="D1" s="144"/>
      <c r="E1" s="144"/>
      <c r="F1" s="144"/>
      <c r="G1" s="144"/>
      <c r="H1" s="144"/>
      <c r="I1" s="144"/>
      <c r="J1" s="144"/>
      <c r="K1" s="144"/>
      <c r="L1" s="144"/>
      <c r="M1" s="144"/>
      <c r="N1" s="144"/>
      <c r="O1" s="143"/>
    </row>
    <row r="2" spans="1:16" ht="13" thickBot="1" x14ac:dyDescent="0.3">
      <c r="A2" s="143"/>
      <c r="B2" s="144"/>
      <c r="C2" s="144"/>
      <c r="D2" s="144"/>
      <c r="E2" s="144"/>
      <c r="F2" s="144"/>
      <c r="G2" s="144"/>
      <c r="H2" s="144"/>
      <c r="I2" s="144"/>
      <c r="J2" s="144"/>
      <c r="K2" s="144"/>
      <c r="L2" s="144"/>
      <c r="M2" s="144"/>
      <c r="N2" s="144"/>
      <c r="O2" s="143"/>
    </row>
    <row r="3" spans="1:16" ht="23.5" thickBot="1" x14ac:dyDescent="0.55000000000000004">
      <c r="A3" s="143"/>
      <c r="B3" s="145" t="s">
        <v>113</v>
      </c>
      <c r="C3" s="144"/>
      <c r="D3" s="144"/>
      <c r="E3" s="144"/>
      <c r="F3" s="144"/>
      <c r="G3" s="144"/>
      <c r="H3" s="144"/>
      <c r="I3" s="144"/>
      <c r="J3" s="144"/>
      <c r="K3" s="144"/>
      <c r="L3" s="204"/>
      <c r="M3" s="205" t="s">
        <v>137</v>
      </c>
      <c r="N3" s="144"/>
      <c r="O3" s="143"/>
    </row>
    <row r="4" spans="1:16" x14ac:dyDescent="0.25">
      <c r="A4" s="143"/>
      <c r="B4" s="144"/>
      <c r="C4" s="144"/>
      <c r="D4" s="144"/>
      <c r="E4" s="144"/>
      <c r="F4" s="144"/>
      <c r="G4" s="144"/>
      <c r="H4" s="144"/>
      <c r="I4" s="144"/>
      <c r="J4" s="144"/>
      <c r="K4" s="144"/>
      <c r="L4" s="144"/>
      <c r="M4" s="144"/>
      <c r="N4" s="144"/>
      <c r="O4" s="143"/>
    </row>
    <row r="5" spans="1:16" x14ac:dyDescent="0.25">
      <c r="A5" s="143"/>
      <c r="B5" s="144"/>
      <c r="C5" s="144"/>
      <c r="D5" s="144"/>
      <c r="E5" s="144"/>
      <c r="F5" s="144"/>
      <c r="G5" s="144"/>
      <c r="H5" s="144"/>
      <c r="I5" s="144"/>
      <c r="J5" s="144"/>
      <c r="K5" s="144"/>
      <c r="L5" s="144"/>
      <c r="M5" s="144"/>
      <c r="N5" s="144"/>
      <c r="O5" s="143"/>
    </row>
    <row r="6" spans="1:16" x14ac:dyDescent="0.25">
      <c r="A6" s="143"/>
      <c r="B6" s="144"/>
      <c r="C6" s="144"/>
      <c r="D6" s="144"/>
      <c r="E6" s="144"/>
      <c r="F6" s="144"/>
      <c r="G6" s="144"/>
      <c r="H6" s="144"/>
      <c r="I6" s="144"/>
      <c r="J6" s="144"/>
      <c r="K6" s="144"/>
      <c r="L6" s="144"/>
      <c r="M6" s="144"/>
      <c r="N6" s="144"/>
      <c r="O6" s="143"/>
    </row>
    <row r="7" spans="1:16" x14ac:dyDescent="0.25">
      <c r="A7" s="143"/>
      <c r="B7" s="144"/>
      <c r="C7" s="144"/>
      <c r="D7" s="144"/>
      <c r="E7" s="144"/>
      <c r="F7" s="144"/>
      <c r="G7" s="144"/>
      <c r="H7" s="144"/>
      <c r="I7" s="144"/>
      <c r="J7" s="144"/>
      <c r="K7" s="144"/>
      <c r="L7" s="144"/>
      <c r="M7" s="144"/>
      <c r="N7" s="144"/>
      <c r="O7" s="143"/>
    </row>
    <row r="8" spans="1:16" x14ac:dyDescent="0.25">
      <c r="A8" s="143"/>
      <c r="B8" s="144"/>
      <c r="C8" s="144"/>
      <c r="D8" s="144"/>
      <c r="E8" s="144"/>
      <c r="F8" s="144"/>
      <c r="G8" s="144"/>
      <c r="H8" s="144"/>
      <c r="I8" s="144"/>
      <c r="J8" s="144"/>
      <c r="K8" s="144"/>
      <c r="L8" s="144"/>
      <c r="M8" s="144"/>
      <c r="N8" s="144"/>
      <c r="O8" s="143"/>
    </row>
    <row r="9" spans="1:16" x14ac:dyDescent="0.25">
      <c r="A9" s="143"/>
      <c r="B9" s="144"/>
      <c r="C9" s="144"/>
      <c r="D9" s="144"/>
      <c r="E9" s="144"/>
      <c r="F9" s="144"/>
      <c r="G9" s="144"/>
      <c r="H9" s="144"/>
      <c r="I9" s="144"/>
      <c r="J9" s="144"/>
      <c r="K9" s="144"/>
      <c r="L9" s="144"/>
      <c r="M9" s="144"/>
      <c r="N9" s="144"/>
      <c r="O9" s="143"/>
    </row>
    <row r="10" spans="1:16" ht="13" x14ac:dyDescent="0.3">
      <c r="A10" s="143"/>
      <c r="B10" s="142" t="s">
        <v>1</v>
      </c>
      <c r="C10" s="144"/>
      <c r="D10" s="144"/>
      <c r="E10" s="144"/>
      <c r="F10" s="144"/>
      <c r="G10" s="144"/>
      <c r="H10" s="144"/>
      <c r="I10" s="144"/>
      <c r="J10" s="144"/>
      <c r="K10" s="144"/>
      <c r="L10" s="144"/>
      <c r="M10" s="144"/>
      <c r="N10" s="144"/>
      <c r="O10" s="143"/>
    </row>
    <row r="11" spans="1:16" ht="13" x14ac:dyDescent="0.3">
      <c r="A11" s="143"/>
      <c r="B11" s="146"/>
      <c r="C11" s="147" t="s">
        <v>101</v>
      </c>
      <c r="D11" s="147" t="s">
        <v>102</v>
      </c>
      <c r="E11" s="147" t="s">
        <v>103</v>
      </c>
      <c r="F11" s="147" t="s">
        <v>104</v>
      </c>
      <c r="G11" s="147" t="s">
        <v>80</v>
      </c>
      <c r="H11" s="147" t="s">
        <v>105</v>
      </c>
      <c r="I11" s="147" t="s">
        <v>106</v>
      </c>
      <c r="J11" s="147" t="s">
        <v>107</v>
      </c>
      <c r="K11" s="147" t="s">
        <v>108</v>
      </c>
      <c r="L11" s="147" t="s">
        <v>111</v>
      </c>
      <c r="M11" s="147" t="s">
        <v>109</v>
      </c>
      <c r="N11" s="147" t="s">
        <v>110</v>
      </c>
      <c r="O11" s="143"/>
    </row>
    <row r="12" spans="1:16" ht="12" customHeight="1" x14ac:dyDescent="0.25">
      <c r="A12" s="143"/>
      <c r="B12" s="148">
        <f>'1. LDC Info'!F18-20</f>
        <v>2004</v>
      </c>
      <c r="C12" s="149">
        <v>865.2</v>
      </c>
      <c r="D12" s="149">
        <v>652.20000000000005</v>
      </c>
      <c r="E12" s="149">
        <v>525</v>
      </c>
      <c r="F12" s="149">
        <v>371.4</v>
      </c>
      <c r="G12" s="149">
        <v>205.5</v>
      </c>
      <c r="H12" s="149">
        <v>64.2</v>
      </c>
      <c r="I12" s="149">
        <v>14</v>
      </c>
      <c r="J12" s="149">
        <v>22.9</v>
      </c>
      <c r="K12" s="149">
        <v>49.7</v>
      </c>
      <c r="L12" s="149">
        <v>223.9</v>
      </c>
      <c r="M12" s="149">
        <v>394.8</v>
      </c>
      <c r="N12" s="149">
        <v>664.1</v>
      </c>
      <c r="O12" s="143"/>
    </row>
    <row r="13" spans="1:16" ht="12" customHeight="1" x14ac:dyDescent="0.25">
      <c r="A13" s="143"/>
      <c r="B13" s="148">
        <f>'1. LDC Info'!F18-19</f>
        <v>2005</v>
      </c>
      <c r="C13" s="149">
        <v>780.6</v>
      </c>
      <c r="D13" s="149">
        <v>627.9</v>
      </c>
      <c r="E13" s="149">
        <v>646.4</v>
      </c>
      <c r="F13" s="149">
        <v>358.2</v>
      </c>
      <c r="G13" s="149">
        <v>234.3</v>
      </c>
      <c r="H13" s="149">
        <v>18.5</v>
      </c>
      <c r="I13" s="149">
        <v>1.6</v>
      </c>
      <c r="J13" s="149">
        <v>3.7</v>
      </c>
      <c r="K13" s="149">
        <v>30.2</v>
      </c>
      <c r="L13" s="149">
        <v>214.8</v>
      </c>
      <c r="M13" s="149">
        <v>392.5</v>
      </c>
      <c r="N13" s="149">
        <v>658.5</v>
      </c>
      <c r="O13" s="143"/>
    </row>
    <row r="14" spans="1:16" ht="12" customHeight="1" x14ac:dyDescent="0.25">
      <c r="A14" s="143"/>
      <c r="B14" s="148">
        <f>'1. LDC Info'!F18-18</f>
        <v>2006</v>
      </c>
      <c r="C14" s="149">
        <v>573.5</v>
      </c>
      <c r="D14" s="149">
        <v>630.6</v>
      </c>
      <c r="E14" s="149">
        <v>555.29999999999995</v>
      </c>
      <c r="F14" s="149">
        <v>323.8</v>
      </c>
      <c r="G14" s="149">
        <v>160.9</v>
      </c>
      <c r="H14" s="149">
        <v>46.1</v>
      </c>
      <c r="I14" s="149">
        <v>2.5</v>
      </c>
      <c r="J14" s="149">
        <v>12.1</v>
      </c>
      <c r="K14" s="149">
        <v>98.2</v>
      </c>
      <c r="L14" s="149">
        <v>287.7</v>
      </c>
      <c r="M14" s="149">
        <v>367.5</v>
      </c>
      <c r="N14" s="149">
        <v>503.7</v>
      </c>
      <c r="O14" s="143"/>
    </row>
    <row r="15" spans="1:16" ht="12" customHeight="1" x14ac:dyDescent="0.25">
      <c r="A15" s="143"/>
      <c r="B15" s="148">
        <f>'1. LDC Info'!F18-17</f>
        <v>2007</v>
      </c>
      <c r="C15" s="149">
        <v>668.8</v>
      </c>
      <c r="D15" s="149">
        <v>729.3</v>
      </c>
      <c r="E15" s="149">
        <v>559.9</v>
      </c>
      <c r="F15" s="149">
        <v>402.3</v>
      </c>
      <c r="G15" s="149">
        <v>185.5</v>
      </c>
      <c r="H15" s="149">
        <v>45.6</v>
      </c>
      <c r="I15" s="149">
        <v>13.4</v>
      </c>
      <c r="J15" s="149">
        <v>17.5</v>
      </c>
      <c r="K15" s="149">
        <v>50.4</v>
      </c>
      <c r="L15" s="149">
        <v>141.9</v>
      </c>
      <c r="M15" s="149">
        <v>466.3</v>
      </c>
      <c r="N15" s="149">
        <v>654.1</v>
      </c>
      <c r="O15" s="143"/>
      <c r="P15" s="606"/>
    </row>
    <row r="16" spans="1:16" ht="12" customHeight="1" x14ac:dyDescent="0.3">
      <c r="A16" s="143"/>
      <c r="B16" s="148">
        <f>'1. LDC Info'!F18-16</f>
        <v>2008</v>
      </c>
      <c r="C16" s="149">
        <v>622.1</v>
      </c>
      <c r="D16" s="149">
        <v>688.6</v>
      </c>
      <c r="E16" s="149">
        <v>630.20000000000005</v>
      </c>
      <c r="F16" s="149">
        <v>280.39999999999998</v>
      </c>
      <c r="G16" s="149">
        <v>238.1</v>
      </c>
      <c r="H16" s="149">
        <v>35.200000000000003</v>
      </c>
      <c r="I16" s="149">
        <v>9.5</v>
      </c>
      <c r="J16" s="149">
        <v>19.399999999999999</v>
      </c>
      <c r="K16" s="149">
        <v>72.7</v>
      </c>
      <c r="L16" s="149">
        <v>273</v>
      </c>
      <c r="M16" s="149">
        <v>444.3</v>
      </c>
      <c r="N16" s="149">
        <v>668.4</v>
      </c>
      <c r="O16" s="143"/>
      <c r="P16" s="691" t="s">
        <v>249</v>
      </c>
    </row>
    <row r="17" spans="1:26" ht="12" customHeight="1" x14ac:dyDescent="0.25">
      <c r="A17" s="143"/>
      <c r="B17" s="148">
        <f>'1. LDC Info'!F18-15</f>
        <v>2009</v>
      </c>
      <c r="C17" s="149">
        <v>816.5</v>
      </c>
      <c r="D17" s="149">
        <v>620.1</v>
      </c>
      <c r="E17" s="149">
        <v>556.5</v>
      </c>
      <c r="F17" s="149">
        <v>352</v>
      </c>
      <c r="G17" s="149">
        <v>232.5</v>
      </c>
      <c r="H17" s="149">
        <v>98.2</v>
      </c>
      <c r="I17" s="149">
        <v>21.5</v>
      </c>
      <c r="J17" s="149">
        <v>20</v>
      </c>
      <c r="K17" s="149">
        <v>75.8</v>
      </c>
      <c r="L17" s="149">
        <v>296.5</v>
      </c>
      <c r="M17" s="149">
        <v>351.5</v>
      </c>
      <c r="N17" s="149">
        <v>619</v>
      </c>
      <c r="O17" s="143"/>
      <c r="P17" s="607" t="s">
        <v>251</v>
      </c>
    </row>
    <row r="18" spans="1:26" ht="12" customHeight="1" x14ac:dyDescent="0.25">
      <c r="A18" s="143"/>
      <c r="B18" s="148">
        <f>'1. LDC Info'!F18-14</f>
        <v>2010</v>
      </c>
      <c r="C18" s="149">
        <v>725.8</v>
      </c>
      <c r="D18" s="149">
        <v>625.29999999999995</v>
      </c>
      <c r="E18" s="149">
        <v>485</v>
      </c>
      <c r="F18" s="149">
        <v>265</v>
      </c>
      <c r="G18" s="149">
        <v>139</v>
      </c>
      <c r="H18" s="149">
        <v>51.7</v>
      </c>
      <c r="I18" s="149">
        <v>7.7</v>
      </c>
      <c r="J18" s="149">
        <v>6</v>
      </c>
      <c r="K18" s="149">
        <v>93.2</v>
      </c>
      <c r="L18" s="149">
        <v>238.8</v>
      </c>
      <c r="M18" s="149">
        <v>410</v>
      </c>
      <c r="N18" s="149">
        <v>668.7</v>
      </c>
      <c r="O18" s="143"/>
      <c r="P18" s="606"/>
    </row>
    <row r="19" spans="1:26" ht="12" customHeight="1" x14ac:dyDescent="0.25">
      <c r="A19" s="143"/>
      <c r="B19" s="148">
        <f>'1. LDC Info'!F18-13</f>
        <v>2011</v>
      </c>
      <c r="C19" s="149">
        <v>777.5</v>
      </c>
      <c r="D19" s="149">
        <v>645.29999999999995</v>
      </c>
      <c r="E19" s="149">
        <v>610.79999999999995</v>
      </c>
      <c r="F19" s="149">
        <v>334.7</v>
      </c>
      <c r="G19" s="149">
        <v>175.6</v>
      </c>
      <c r="H19" s="149">
        <v>58.4</v>
      </c>
      <c r="I19" s="149">
        <v>0.7</v>
      </c>
      <c r="J19" s="149">
        <v>2.7</v>
      </c>
      <c r="K19" s="149">
        <v>72.3</v>
      </c>
      <c r="L19" s="149">
        <v>223</v>
      </c>
      <c r="M19" s="149">
        <v>336.2</v>
      </c>
      <c r="N19" s="149">
        <v>555.29999999999995</v>
      </c>
      <c r="O19" s="143"/>
      <c r="P19" s="606"/>
    </row>
    <row r="20" spans="1:26" ht="12" customHeight="1" x14ac:dyDescent="0.25">
      <c r="A20" s="143"/>
      <c r="B20" s="148">
        <f>'1. LDC Info'!F18-12</f>
        <v>2012</v>
      </c>
      <c r="C20" s="149">
        <v>633.70000000000005</v>
      </c>
      <c r="D20" s="149">
        <v>551.6</v>
      </c>
      <c r="E20" s="149">
        <v>362.4</v>
      </c>
      <c r="F20" s="149">
        <v>377.9</v>
      </c>
      <c r="G20" s="149">
        <v>133.5</v>
      </c>
      <c r="H20" s="149">
        <v>40.799999999999997</v>
      </c>
      <c r="I20" s="149">
        <v>0.2</v>
      </c>
      <c r="J20" s="149">
        <v>4.5</v>
      </c>
      <c r="K20" s="149">
        <v>90.2</v>
      </c>
      <c r="L20" s="149">
        <v>235.2</v>
      </c>
      <c r="M20" s="149">
        <v>446</v>
      </c>
      <c r="N20" s="149">
        <v>524</v>
      </c>
      <c r="O20" s="143"/>
      <c r="P20" s="606"/>
    </row>
    <row r="21" spans="1:26" x14ac:dyDescent="0.25">
      <c r="A21" s="143"/>
      <c r="B21" s="148">
        <f>'1. LDC Info'!F18-11</f>
        <v>2013</v>
      </c>
      <c r="C21" s="150">
        <v>638.9</v>
      </c>
      <c r="D21" s="150">
        <v>647.79999999999995</v>
      </c>
      <c r="E21" s="150">
        <v>582.20000000000005</v>
      </c>
      <c r="F21" s="150">
        <v>368.7</v>
      </c>
      <c r="G21" s="150">
        <v>163.69999999999999</v>
      </c>
      <c r="H21" s="150">
        <v>73.3</v>
      </c>
      <c r="I21" s="150">
        <v>6.3</v>
      </c>
      <c r="J21" s="150">
        <v>13.8</v>
      </c>
      <c r="K21" s="150">
        <v>103.5</v>
      </c>
      <c r="L21" s="150">
        <v>189.8</v>
      </c>
      <c r="M21" s="150">
        <v>476.7</v>
      </c>
      <c r="N21" s="150">
        <v>717.5</v>
      </c>
      <c r="O21" s="143"/>
      <c r="P21" s="606"/>
      <c r="Z21" s="130" t="str">
        <f>+$B$10</f>
        <v>HDD</v>
      </c>
    </row>
    <row r="22" spans="1:26" x14ac:dyDescent="0.25">
      <c r="A22" s="143"/>
      <c r="B22" s="148">
        <f>'1. LDC Info'!F18-10</f>
        <v>2014</v>
      </c>
      <c r="C22" s="150">
        <v>826.1</v>
      </c>
      <c r="D22" s="150">
        <v>740.1</v>
      </c>
      <c r="E22" s="150">
        <v>730</v>
      </c>
      <c r="F22" s="150">
        <v>389.7</v>
      </c>
      <c r="G22" s="150">
        <v>174.6</v>
      </c>
      <c r="H22" s="150">
        <v>57.2</v>
      </c>
      <c r="I22" s="150">
        <v>29.7</v>
      </c>
      <c r="J22" s="150">
        <v>24.1</v>
      </c>
      <c r="K22" s="150">
        <v>86.3</v>
      </c>
      <c r="L22" s="150">
        <v>238.8</v>
      </c>
      <c r="M22" s="150">
        <v>460.7</v>
      </c>
      <c r="N22" s="150">
        <v>537.70000000000005</v>
      </c>
      <c r="O22" s="143"/>
      <c r="P22" s="606"/>
      <c r="Z22" s="130" t="str">
        <f>+B34</f>
        <v>CDD</v>
      </c>
    </row>
    <row r="23" spans="1:26" x14ac:dyDescent="0.25">
      <c r="A23" s="143"/>
      <c r="B23" s="148">
        <f>'1. LDC Info'!F18-9</f>
        <v>2015</v>
      </c>
      <c r="C23" s="150">
        <v>854.9</v>
      </c>
      <c r="D23" s="150">
        <v>860.7</v>
      </c>
      <c r="E23" s="150">
        <v>646.70000000000005</v>
      </c>
      <c r="F23" s="150">
        <v>366.8</v>
      </c>
      <c r="G23" s="150">
        <v>156</v>
      </c>
      <c r="H23" s="150">
        <v>69.8</v>
      </c>
      <c r="I23" s="150">
        <v>17.399999999999999</v>
      </c>
      <c r="J23" s="150">
        <v>12.2</v>
      </c>
      <c r="K23" s="150">
        <v>27.6</v>
      </c>
      <c r="L23" s="150">
        <v>257.10000000000002</v>
      </c>
      <c r="M23" s="150">
        <v>323.8</v>
      </c>
      <c r="N23" s="150">
        <v>426</v>
      </c>
      <c r="O23" s="143"/>
      <c r="P23" s="606"/>
      <c r="Z23" s="130" t="str">
        <f>+B58</f>
        <v>Spring Fall Flag</v>
      </c>
    </row>
    <row r="24" spans="1:26" x14ac:dyDescent="0.25">
      <c r="A24" s="143"/>
      <c r="B24" s="148">
        <f>'1. LDC Info'!F18-8</f>
        <v>2016</v>
      </c>
      <c r="C24" s="150">
        <v>556.4</v>
      </c>
      <c r="D24" s="150">
        <v>623.5</v>
      </c>
      <c r="E24" s="150">
        <v>502.2</v>
      </c>
      <c r="F24" s="150">
        <v>387.4</v>
      </c>
      <c r="G24" s="150">
        <v>206</v>
      </c>
      <c r="H24" s="150">
        <v>58.3</v>
      </c>
      <c r="I24" s="150">
        <v>2.9</v>
      </c>
      <c r="J24" s="150">
        <v>0.4</v>
      </c>
      <c r="K24" s="150">
        <v>45.4</v>
      </c>
      <c r="L24" s="150">
        <v>198.3</v>
      </c>
      <c r="M24" s="150">
        <v>249.1</v>
      </c>
      <c r="N24" s="150">
        <v>596.4</v>
      </c>
      <c r="O24" s="143"/>
      <c r="P24" s="606"/>
      <c r="Q24" s="389"/>
      <c r="R24" s="389"/>
      <c r="S24" s="389"/>
      <c r="T24" s="389"/>
      <c r="U24" s="389"/>
      <c r="V24" s="389"/>
      <c r="W24" s="389"/>
      <c r="X24" s="389"/>
      <c r="Y24" s="389"/>
      <c r="Z24" s="130" t="str">
        <f>+B72</f>
        <v>Days in Month</v>
      </c>
    </row>
    <row r="25" spans="1:26" x14ac:dyDescent="0.25">
      <c r="A25" s="143"/>
      <c r="B25" s="148">
        <f>'1. LDC Info'!F18-7</f>
        <v>2017</v>
      </c>
      <c r="C25" s="150">
        <v>641</v>
      </c>
      <c r="D25" s="150">
        <v>512.4</v>
      </c>
      <c r="E25" s="150">
        <v>594.29999999999995</v>
      </c>
      <c r="F25" s="150">
        <v>298.89999999999998</v>
      </c>
      <c r="G25" s="150">
        <v>221</v>
      </c>
      <c r="H25" s="150">
        <v>59.8</v>
      </c>
      <c r="I25" s="150">
        <v>3.9</v>
      </c>
      <c r="J25" s="150">
        <v>19.3</v>
      </c>
      <c r="K25" s="150">
        <v>69</v>
      </c>
      <c r="L25" s="150">
        <v>158.19999999999999</v>
      </c>
      <c r="M25" s="150">
        <v>444.8</v>
      </c>
      <c r="N25" s="150">
        <v>668.9</v>
      </c>
      <c r="O25" s="143"/>
      <c r="P25" s="606"/>
      <c r="Q25" s="389"/>
      <c r="R25" s="389"/>
      <c r="S25" s="389"/>
      <c r="T25" s="389"/>
      <c r="U25" s="389"/>
      <c r="V25" s="389"/>
      <c r="W25" s="389"/>
      <c r="X25" s="389"/>
      <c r="Y25" s="389"/>
      <c r="Z25" s="130" t="str">
        <f>+B86</f>
        <v>Customer Count</v>
      </c>
    </row>
    <row r="26" spans="1:26" x14ac:dyDescent="0.25">
      <c r="A26" s="143"/>
      <c r="B26" s="148">
        <f>'1. LDC Info'!F18-6</f>
        <v>2018</v>
      </c>
      <c r="C26" s="150">
        <v>671.9</v>
      </c>
      <c r="D26" s="150">
        <v>554.20000000000005</v>
      </c>
      <c r="E26" s="150">
        <v>559.29999999999995</v>
      </c>
      <c r="F26" s="150">
        <v>472.4</v>
      </c>
      <c r="G26" s="150">
        <v>138.80000000000001</v>
      </c>
      <c r="H26" s="150">
        <v>66.400000000000006</v>
      </c>
      <c r="I26" s="150">
        <v>4.8</v>
      </c>
      <c r="J26" s="150">
        <v>3.7</v>
      </c>
      <c r="K26" s="150">
        <v>75.900000000000006</v>
      </c>
      <c r="L26" s="150">
        <v>279.5</v>
      </c>
      <c r="M26" s="150">
        <v>503</v>
      </c>
      <c r="N26" s="150">
        <v>588.29999999999995</v>
      </c>
      <c r="O26" s="143"/>
      <c r="P26" s="606"/>
      <c r="Q26" s="389"/>
      <c r="R26" s="389"/>
      <c r="S26" s="389"/>
      <c r="T26" s="389"/>
      <c r="U26" s="389"/>
      <c r="V26" s="389"/>
      <c r="W26" s="389"/>
      <c r="X26" s="389"/>
      <c r="Y26" s="389"/>
    </row>
    <row r="27" spans="1:26" x14ac:dyDescent="0.25">
      <c r="A27" s="143"/>
      <c r="B27" s="148">
        <f>'1. LDC Info'!F18-5</f>
        <v>2019</v>
      </c>
      <c r="C27" s="150">
        <v>777.9</v>
      </c>
      <c r="D27" s="150">
        <v>634.4</v>
      </c>
      <c r="E27" s="150">
        <v>585.70000000000005</v>
      </c>
      <c r="F27" s="150">
        <v>391.1</v>
      </c>
      <c r="G27" s="150">
        <v>237</v>
      </c>
      <c r="H27" s="150">
        <v>96.1</v>
      </c>
      <c r="I27" s="150">
        <v>4</v>
      </c>
      <c r="J27" s="150">
        <v>7.3</v>
      </c>
      <c r="K27" s="150">
        <v>61.6</v>
      </c>
      <c r="L27" s="150">
        <v>252.6</v>
      </c>
      <c r="M27" s="150">
        <v>523.20000000000005</v>
      </c>
      <c r="N27" s="150">
        <v>583.1</v>
      </c>
      <c r="O27" s="143"/>
      <c r="P27" s="606"/>
      <c r="Q27" s="389"/>
      <c r="R27" s="389"/>
      <c r="S27" s="389"/>
      <c r="T27" s="389"/>
      <c r="U27" s="389"/>
      <c r="V27" s="389"/>
      <c r="W27" s="389"/>
      <c r="X27" s="389"/>
      <c r="Y27" s="389"/>
    </row>
    <row r="28" spans="1:26" x14ac:dyDescent="0.25">
      <c r="A28" s="143"/>
      <c r="B28" s="148">
        <f>'1. LDC Info'!F18-4</f>
        <v>2020</v>
      </c>
      <c r="C28" s="150">
        <v>613.79999999999995</v>
      </c>
      <c r="D28" s="150">
        <v>621.70000000000005</v>
      </c>
      <c r="E28" s="150">
        <v>486.1</v>
      </c>
      <c r="F28" s="150">
        <v>398.6</v>
      </c>
      <c r="G28" s="150">
        <v>246.2</v>
      </c>
      <c r="H28" s="150">
        <v>56.1</v>
      </c>
      <c r="I28" s="150">
        <v>0</v>
      </c>
      <c r="J28" s="150">
        <v>3.4</v>
      </c>
      <c r="K28" s="150">
        <v>84.6</v>
      </c>
      <c r="L28" s="150">
        <v>279.89999999999998</v>
      </c>
      <c r="M28" s="150">
        <v>296.10000000000002</v>
      </c>
      <c r="N28" s="150">
        <v>554.70000000000005</v>
      </c>
      <c r="O28" s="143"/>
      <c r="P28" s="606"/>
    </row>
    <row r="29" spans="1:26" x14ac:dyDescent="0.25">
      <c r="A29" s="143"/>
      <c r="B29" s="148">
        <f>'1. LDC Info'!F18-3</f>
        <v>2021</v>
      </c>
      <c r="C29" s="150">
        <v>636.70000000000005</v>
      </c>
      <c r="D29" s="150">
        <v>639.6</v>
      </c>
      <c r="E29" s="150">
        <v>460.9</v>
      </c>
      <c r="F29" s="150">
        <v>315.10000000000002</v>
      </c>
      <c r="G29" s="150">
        <v>206</v>
      </c>
      <c r="H29" s="150">
        <v>22.7</v>
      </c>
      <c r="I29" s="150">
        <v>14.2</v>
      </c>
      <c r="J29" s="150">
        <v>3.5</v>
      </c>
      <c r="K29" s="150">
        <v>52.9</v>
      </c>
      <c r="L29" s="150">
        <v>137.30000000000001</v>
      </c>
      <c r="M29" s="150">
        <v>412.5</v>
      </c>
      <c r="N29" s="150">
        <v>511.6</v>
      </c>
      <c r="O29" s="143"/>
      <c r="P29" s="606"/>
    </row>
    <row r="30" spans="1:26" x14ac:dyDescent="0.25">
      <c r="A30" s="143"/>
      <c r="B30" s="148">
        <f>'1. LDC Info'!F18-2</f>
        <v>2022</v>
      </c>
      <c r="C30" s="150">
        <v>827</v>
      </c>
      <c r="D30" s="150">
        <v>642.1</v>
      </c>
      <c r="E30" s="150">
        <v>539.9</v>
      </c>
      <c r="F30" s="150">
        <v>373.5</v>
      </c>
      <c r="G30" s="150">
        <v>144.1</v>
      </c>
      <c r="H30" s="150">
        <v>50.9</v>
      </c>
      <c r="I30" s="150">
        <v>10.5</v>
      </c>
      <c r="J30" s="150">
        <v>5.0999999999999996</v>
      </c>
      <c r="K30" s="150">
        <v>67.599999999999994</v>
      </c>
      <c r="L30" s="150">
        <v>237.9</v>
      </c>
      <c r="M30" s="150">
        <v>365</v>
      </c>
      <c r="N30" s="150">
        <v>554.6</v>
      </c>
      <c r="O30" s="143"/>
      <c r="P30" s="606"/>
    </row>
    <row r="31" spans="1:26" x14ac:dyDescent="0.25">
      <c r="A31" s="143"/>
      <c r="B31" s="151"/>
      <c r="C31" s="144"/>
      <c r="D31" s="144"/>
      <c r="E31" s="144"/>
      <c r="F31" s="144"/>
      <c r="G31" s="144"/>
      <c r="H31" s="144"/>
      <c r="I31" s="144"/>
      <c r="J31" s="144"/>
      <c r="K31" s="144"/>
      <c r="L31" s="144"/>
      <c r="M31" s="144"/>
      <c r="N31" s="144"/>
      <c r="O31" s="143"/>
      <c r="P31" s="606"/>
    </row>
    <row r="32" spans="1:26" x14ac:dyDescent="0.25">
      <c r="A32" s="143"/>
      <c r="B32" s="147" t="str">
        <f>+B118</f>
        <v>HDD  - Normalized</v>
      </c>
      <c r="C32" s="617">
        <f>AVERAGE(C21:C30)</f>
        <v>704.45999999999992</v>
      </c>
      <c r="D32" s="617">
        <f t="shared" ref="D32:N32" si="0">AVERAGE(D21:D30)</f>
        <v>647.65000000000009</v>
      </c>
      <c r="E32" s="617">
        <f t="shared" si="0"/>
        <v>568.7299999999999</v>
      </c>
      <c r="F32" s="617">
        <f t="shared" si="0"/>
        <v>376.21999999999997</v>
      </c>
      <c r="G32" s="617">
        <f t="shared" si="0"/>
        <v>189.33999999999997</v>
      </c>
      <c r="H32" s="617">
        <f t="shared" si="0"/>
        <v>61.060000000000016</v>
      </c>
      <c r="I32" s="617">
        <f t="shared" si="0"/>
        <v>9.370000000000001</v>
      </c>
      <c r="J32" s="617">
        <f t="shared" si="0"/>
        <v>9.2800000000000011</v>
      </c>
      <c r="K32" s="617">
        <f t="shared" si="0"/>
        <v>67.440000000000012</v>
      </c>
      <c r="L32" s="617">
        <f t="shared" si="0"/>
        <v>222.93999999999997</v>
      </c>
      <c r="M32" s="617">
        <f t="shared" si="0"/>
        <v>405.49</v>
      </c>
      <c r="N32" s="617">
        <f t="shared" si="0"/>
        <v>573.88000000000011</v>
      </c>
      <c r="O32" s="143"/>
      <c r="P32" s="606" t="s">
        <v>302</v>
      </c>
    </row>
    <row r="33" spans="1:16" x14ac:dyDescent="0.25">
      <c r="A33" s="143"/>
      <c r="B33" s="151"/>
      <c r="C33" s="144"/>
      <c r="D33" s="144"/>
      <c r="E33" s="144"/>
      <c r="F33" s="144"/>
      <c r="G33" s="144"/>
      <c r="H33" s="144"/>
      <c r="I33" s="144"/>
      <c r="J33" s="144"/>
      <c r="K33" s="144"/>
      <c r="L33" s="144"/>
      <c r="M33" s="144"/>
      <c r="N33" s="144"/>
      <c r="O33" s="143"/>
      <c r="P33" s="606"/>
    </row>
    <row r="34" spans="1:16" ht="13" x14ac:dyDescent="0.3">
      <c r="A34" s="143"/>
      <c r="B34" s="142" t="s">
        <v>2</v>
      </c>
      <c r="C34" s="144"/>
      <c r="D34" s="144"/>
      <c r="E34" s="144"/>
      <c r="F34" s="144"/>
      <c r="G34" s="144"/>
      <c r="H34" s="144"/>
      <c r="I34" s="144"/>
      <c r="J34" s="144"/>
      <c r="K34" s="144"/>
      <c r="L34" s="144"/>
      <c r="M34" s="144"/>
      <c r="N34" s="144"/>
      <c r="O34" s="143"/>
      <c r="P34" s="606"/>
    </row>
    <row r="35" spans="1:16" x14ac:dyDescent="0.25">
      <c r="A35" s="143"/>
      <c r="B35" s="170"/>
      <c r="C35" s="147" t="s">
        <v>101</v>
      </c>
      <c r="D35" s="147" t="s">
        <v>102</v>
      </c>
      <c r="E35" s="147" t="s">
        <v>103</v>
      </c>
      <c r="F35" s="147" t="s">
        <v>104</v>
      </c>
      <c r="G35" s="147" t="s">
        <v>80</v>
      </c>
      <c r="H35" s="147" t="s">
        <v>105</v>
      </c>
      <c r="I35" s="147" t="s">
        <v>106</v>
      </c>
      <c r="J35" s="147" t="s">
        <v>107</v>
      </c>
      <c r="K35" s="147" t="s">
        <v>108</v>
      </c>
      <c r="L35" s="147" t="s">
        <v>111</v>
      </c>
      <c r="M35" s="147" t="s">
        <v>109</v>
      </c>
      <c r="N35" s="147" t="s">
        <v>110</v>
      </c>
      <c r="O35" s="143"/>
      <c r="P35" s="606"/>
    </row>
    <row r="36" spans="1:16" x14ac:dyDescent="0.25">
      <c r="A36" s="143"/>
      <c r="B36" s="152">
        <f t="shared" ref="B36:B54" si="1">B12</f>
        <v>2004</v>
      </c>
      <c r="C36" s="149">
        <v>0</v>
      </c>
      <c r="D36" s="149">
        <v>0</v>
      </c>
      <c r="E36" s="149">
        <v>0</v>
      </c>
      <c r="F36" s="149">
        <v>0</v>
      </c>
      <c r="G36" s="149">
        <v>7.2</v>
      </c>
      <c r="H36" s="149">
        <v>25.3</v>
      </c>
      <c r="I36" s="149">
        <v>63.9</v>
      </c>
      <c r="J36" s="149">
        <v>54.2</v>
      </c>
      <c r="K36" s="149">
        <v>49.4</v>
      </c>
      <c r="L36" s="149">
        <v>1.3</v>
      </c>
      <c r="M36" s="149">
        <v>0</v>
      </c>
      <c r="N36" s="149">
        <v>0</v>
      </c>
      <c r="O36" s="143"/>
      <c r="P36" s="606"/>
    </row>
    <row r="37" spans="1:16" x14ac:dyDescent="0.25">
      <c r="A37" s="143"/>
      <c r="B37" s="152">
        <f t="shared" si="1"/>
        <v>2005</v>
      </c>
      <c r="C37" s="149">
        <v>0</v>
      </c>
      <c r="D37" s="149">
        <v>0</v>
      </c>
      <c r="E37" s="149">
        <v>0</v>
      </c>
      <c r="F37" s="149">
        <v>1.1000000000000001</v>
      </c>
      <c r="G37" s="149">
        <v>1.4</v>
      </c>
      <c r="H37" s="149">
        <v>102.4</v>
      </c>
      <c r="I37" s="149">
        <v>132.5</v>
      </c>
      <c r="J37" s="149">
        <v>106.4</v>
      </c>
      <c r="K37" s="149">
        <v>57.5</v>
      </c>
      <c r="L37" s="149">
        <v>20</v>
      </c>
      <c r="M37" s="149">
        <v>0</v>
      </c>
      <c r="N37" s="149">
        <v>0</v>
      </c>
      <c r="O37" s="143"/>
      <c r="P37" s="606"/>
    </row>
    <row r="38" spans="1:16" x14ac:dyDescent="0.25">
      <c r="A38" s="143"/>
      <c r="B38" s="152">
        <f t="shared" si="1"/>
        <v>2006</v>
      </c>
      <c r="C38" s="149">
        <v>0</v>
      </c>
      <c r="D38" s="149">
        <v>0</v>
      </c>
      <c r="E38" s="149">
        <v>0</v>
      </c>
      <c r="F38" s="149">
        <v>0</v>
      </c>
      <c r="G38" s="149">
        <v>15.6</v>
      </c>
      <c r="H38" s="149">
        <v>44.9</v>
      </c>
      <c r="I38" s="149">
        <v>141.4</v>
      </c>
      <c r="J38" s="149">
        <v>73.599999999999994</v>
      </c>
      <c r="K38" s="149">
        <v>9.1999999999999993</v>
      </c>
      <c r="L38" s="149">
        <v>0.6</v>
      </c>
      <c r="M38" s="149">
        <v>0</v>
      </c>
      <c r="N38" s="149">
        <v>0</v>
      </c>
      <c r="O38" s="143"/>
      <c r="P38" s="606"/>
    </row>
    <row r="39" spans="1:16" x14ac:dyDescent="0.25">
      <c r="A39" s="143"/>
      <c r="B39" s="152">
        <f t="shared" si="1"/>
        <v>2007</v>
      </c>
      <c r="C39" s="149">
        <v>0</v>
      </c>
      <c r="D39" s="149">
        <v>0</v>
      </c>
      <c r="E39" s="149">
        <v>0</v>
      </c>
      <c r="F39" s="149">
        <v>0</v>
      </c>
      <c r="G39" s="149">
        <v>18</v>
      </c>
      <c r="H39" s="149">
        <v>59.8</v>
      </c>
      <c r="I39" s="149">
        <v>64.400000000000006</v>
      </c>
      <c r="J39" s="149">
        <v>88.7</v>
      </c>
      <c r="K39" s="149">
        <v>40.9</v>
      </c>
      <c r="L39" s="149">
        <v>22.2</v>
      </c>
      <c r="M39" s="149">
        <v>0</v>
      </c>
      <c r="N39" s="149">
        <v>0</v>
      </c>
      <c r="O39" s="143"/>
      <c r="P39" s="606" t="s">
        <v>250</v>
      </c>
    </row>
    <row r="40" spans="1:16" x14ac:dyDescent="0.25">
      <c r="A40" s="143"/>
      <c r="B40" s="152">
        <f t="shared" si="1"/>
        <v>2008</v>
      </c>
      <c r="C40" s="149">
        <v>0</v>
      </c>
      <c r="D40" s="149">
        <v>0</v>
      </c>
      <c r="E40" s="149">
        <v>0</v>
      </c>
      <c r="F40" s="149">
        <v>0.9</v>
      </c>
      <c r="G40" s="149">
        <v>0</v>
      </c>
      <c r="H40" s="149">
        <v>49.6</v>
      </c>
      <c r="I40" s="149">
        <v>87.9</v>
      </c>
      <c r="J40" s="149">
        <v>50.5</v>
      </c>
      <c r="K40" s="149">
        <v>21.6</v>
      </c>
      <c r="L40" s="149">
        <v>3.7</v>
      </c>
      <c r="M40" s="149">
        <v>0</v>
      </c>
      <c r="N40" s="149">
        <v>0</v>
      </c>
      <c r="O40" s="143"/>
      <c r="P40" s="607" t="s">
        <v>251</v>
      </c>
    </row>
    <row r="41" spans="1:16" x14ac:dyDescent="0.25">
      <c r="A41" s="143"/>
      <c r="B41" s="152">
        <f t="shared" si="1"/>
        <v>2009</v>
      </c>
      <c r="C41" s="149">
        <v>0</v>
      </c>
      <c r="D41" s="149">
        <v>0</v>
      </c>
      <c r="E41" s="149">
        <v>0</v>
      </c>
      <c r="F41" s="149">
        <v>0.5</v>
      </c>
      <c r="G41" s="149">
        <v>2.8</v>
      </c>
      <c r="H41" s="149">
        <v>16.899999999999999</v>
      </c>
      <c r="I41" s="149">
        <v>26.6</v>
      </c>
      <c r="J41" s="149">
        <v>69.099999999999994</v>
      </c>
      <c r="K41" s="149">
        <v>10.7</v>
      </c>
      <c r="L41" s="149">
        <v>0</v>
      </c>
      <c r="M41" s="149">
        <v>0</v>
      </c>
      <c r="N41" s="149">
        <v>0</v>
      </c>
      <c r="O41" s="143"/>
      <c r="P41" s="606"/>
    </row>
    <row r="42" spans="1:16" x14ac:dyDescent="0.25">
      <c r="A42" s="143"/>
      <c r="B42" s="152">
        <f t="shared" si="1"/>
        <v>2010</v>
      </c>
      <c r="C42" s="149">
        <v>0</v>
      </c>
      <c r="D42" s="149">
        <v>0</v>
      </c>
      <c r="E42" s="149">
        <v>0</v>
      </c>
      <c r="F42" s="149">
        <v>3</v>
      </c>
      <c r="G42" s="149">
        <v>20.7</v>
      </c>
      <c r="H42" s="149">
        <v>21.9</v>
      </c>
      <c r="I42" s="149">
        <v>136</v>
      </c>
      <c r="J42" s="149">
        <v>129.80000000000001</v>
      </c>
      <c r="K42" s="149">
        <v>26.8</v>
      </c>
      <c r="L42" s="149">
        <v>0</v>
      </c>
      <c r="M42" s="149">
        <v>0</v>
      </c>
      <c r="N42" s="149">
        <v>0</v>
      </c>
      <c r="O42" s="143"/>
      <c r="P42" s="606"/>
    </row>
    <row r="43" spans="1:16" x14ac:dyDescent="0.25">
      <c r="A43" s="143"/>
      <c r="B43" s="152">
        <f t="shared" si="1"/>
        <v>2011</v>
      </c>
      <c r="C43" s="149">
        <v>0</v>
      </c>
      <c r="D43" s="149">
        <v>0</v>
      </c>
      <c r="E43" s="149">
        <v>0</v>
      </c>
      <c r="F43" s="149">
        <v>0</v>
      </c>
      <c r="G43" s="149">
        <v>14.1</v>
      </c>
      <c r="H43" s="149">
        <v>20.7</v>
      </c>
      <c r="I43" s="149">
        <v>139.9</v>
      </c>
      <c r="J43" s="149">
        <v>88.2</v>
      </c>
      <c r="K43" s="149">
        <v>21.2</v>
      </c>
      <c r="L43" s="149">
        <v>2.8</v>
      </c>
      <c r="M43" s="149">
        <v>0</v>
      </c>
      <c r="N43" s="149">
        <v>0</v>
      </c>
      <c r="O43" s="143"/>
      <c r="P43" s="606"/>
    </row>
    <row r="44" spans="1:16" x14ac:dyDescent="0.25">
      <c r="A44" s="143"/>
      <c r="B44" s="152">
        <f t="shared" si="1"/>
        <v>2012</v>
      </c>
      <c r="C44" s="149">
        <v>0</v>
      </c>
      <c r="D44" s="149">
        <v>0</v>
      </c>
      <c r="E44" s="149">
        <v>2.8</v>
      </c>
      <c r="F44" s="149">
        <v>0</v>
      </c>
      <c r="G44" s="149">
        <v>24.4</v>
      </c>
      <c r="H44" s="149">
        <v>77.8</v>
      </c>
      <c r="I44" s="149">
        <v>125.7</v>
      </c>
      <c r="J44" s="149">
        <v>84</v>
      </c>
      <c r="K44" s="149">
        <v>24.4</v>
      </c>
      <c r="L44" s="149">
        <v>0.1</v>
      </c>
      <c r="M44" s="149">
        <v>0</v>
      </c>
      <c r="N44" s="149">
        <v>0</v>
      </c>
      <c r="O44" s="143"/>
      <c r="P44" s="606"/>
    </row>
    <row r="45" spans="1:16" x14ac:dyDescent="0.25">
      <c r="A45" s="143"/>
      <c r="B45" s="152">
        <f t="shared" si="1"/>
        <v>2013</v>
      </c>
      <c r="C45" s="149">
        <v>0</v>
      </c>
      <c r="D45" s="149">
        <v>0</v>
      </c>
      <c r="E45" s="149">
        <v>0</v>
      </c>
      <c r="F45" s="149">
        <v>0</v>
      </c>
      <c r="G45" s="149">
        <v>15.7</v>
      </c>
      <c r="H45" s="149">
        <v>41</v>
      </c>
      <c r="I45" s="149">
        <v>96.7</v>
      </c>
      <c r="J45" s="149">
        <v>63.9</v>
      </c>
      <c r="K45" s="149">
        <v>24.1</v>
      </c>
      <c r="L45" s="149">
        <v>0.1</v>
      </c>
      <c r="M45" s="149">
        <v>0</v>
      </c>
      <c r="N45" s="149">
        <v>0</v>
      </c>
      <c r="O45" s="143"/>
      <c r="P45" s="606"/>
    </row>
    <row r="46" spans="1:16" x14ac:dyDescent="0.25">
      <c r="A46" s="143"/>
      <c r="B46" s="152">
        <f t="shared" si="1"/>
        <v>2014</v>
      </c>
      <c r="C46" s="149">
        <v>0</v>
      </c>
      <c r="D46" s="149">
        <v>0</v>
      </c>
      <c r="E46" s="149">
        <v>0</v>
      </c>
      <c r="F46" s="149">
        <v>0</v>
      </c>
      <c r="G46" s="149">
        <v>4.0999999999999996</v>
      </c>
      <c r="H46" s="149">
        <v>41.5</v>
      </c>
      <c r="I46" s="149">
        <v>50.3</v>
      </c>
      <c r="J46" s="149">
        <v>45.9</v>
      </c>
      <c r="K46" s="149">
        <v>21.4</v>
      </c>
      <c r="L46" s="149">
        <v>1.2</v>
      </c>
      <c r="M46" s="149">
        <v>0</v>
      </c>
      <c r="N46" s="149">
        <v>0</v>
      </c>
      <c r="O46" s="143"/>
      <c r="P46" s="606"/>
    </row>
    <row r="47" spans="1:16" x14ac:dyDescent="0.25">
      <c r="A47" s="143"/>
      <c r="B47" s="152">
        <f t="shared" si="1"/>
        <v>2015</v>
      </c>
      <c r="C47" s="150">
        <v>0</v>
      </c>
      <c r="D47" s="150">
        <v>0</v>
      </c>
      <c r="E47" s="150">
        <v>0</v>
      </c>
      <c r="F47" s="150">
        <v>0</v>
      </c>
      <c r="G47" s="150">
        <v>19.8</v>
      </c>
      <c r="H47" s="150">
        <v>6</v>
      </c>
      <c r="I47" s="150">
        <v>76.3</v>
      </c>
      <c r="J47" s="150">
        <v>65.599999999999994</v>
      </c>
      <c r="K47" s="150">
        <v>69.5</v>
      </c>
      <c r="L47" s="150">
        <v>2.8</v>
      </c>
      <c r="M47" s="150">
        <v>1.5</v>
      </c>
      <c r="N47" s="150">
        <v>0</v>
      </c>
      <c r="O47" s="143"/>
      <c r="P47" s="606"/>
    </row>
    <row r="48" spans="1:16" x14ac:dyDescent="0.25">
      <c r="A48" s="143"/>
      <c r="B48" s="152">
        <f t="shared" si="1"/>
        <v>2016</v>
      </c>
      <c r="C48" s="149">
        <v>0</v>
      </c>
      <c r="D48" s="149">
        <v>0</v>
      </c>
      <c r="E48" s="149">
        <v>0</v>
      </c>
      <c r="F48" s="149">
        <v>0</v>
      </c>
      <c r="G48" s="149">
        <v>18.399999999999999</v>
      </c>
      <c r="H48" s="149">
        <v>34</v>
      </c>
      <c r="I48" s="149">
        <v>117.6</v>
      </c>
      <c r="J48" s="149">
        <v>125.8</v>
      </c>
      <c r="K48" s="149">
        <v>41.4</v>
      </c>
      <c r="L48" s="149">
        <v>4.5</v>
      </c>
      <c r="M48" s="149">
        <v>0</v>
      </c>
      <c r="N48" s="149">
        <v>0</v>
      </c>
      <c r="O48" s="143"/>
    </row>
    <row r="49" spans="1:16" x14ac:dyDescent="0.25">
      <c r="A49" s="143"/>
      <c r="B49" s="152">
        <f t="shared" si="1"/>
        <v>2017</v>
      </c>
      <c r="C49" s="149">
        <v>0</v>
      </c>
      <c r="D49" s="149">
        <v>0</v>
      </c>
      <c r="E49" s="149">
        <v>0</v>
      </c>
      <c r="F49" s="149">
        <v>0.5</v>
      </c>
      <c r="G49" s="149">
        <v>8.6</v>
      </c>
      <c r="H49" s="149">
        <v>40.9</v>
      </c>
      <c r="I49" s="149">
        <v>61.8</v>
      </c>
      <c r="J49" s="149">
        <v>44.6</v>
      </c>
      <c r="K49" s="149">
        <v>52</v>
      </c>
      <c r="L49" s="149">
        <v>5.5</v>
      </c>
      <c r="M49" s="149">
        <v>0</v>
      </c>
      <c r="N49" s="149">
        <v>0</v>
      </c>
      <c r="O49" s="143"/>
    </row>
    <row r="50" spans="1:16" x14ac:dyDescent="0.25">
      <c r="A50" s="143"/>
      <c r="B50" s="152">
        <f t="shared" si="1"/>
        <v>2018</v>
      </c>
      <c r="C50" s="150">
        <v>0</v>
      </c>
      <c r="D50" s="150">
        <v>0</v>
      </c>
      <c r="E50" s="150">
        <v>0</v>
      </c>
      <c r="F50" s="150">
        <v>0</v>
      </c>
      <c r="G50" s="150">
        <v>26.8</v>
      </c>
      <c r="H50" s="150">
        <v>31.4</v>
      </c>
      <c r="I50" s="150">
        <v>109.3</v>
      </c>
      <c r="J50" s="150">
        <v>122.1</v>
      </c>
      <c r="K50" s="150">
        <v>54.8</v>
      </c>
      <c r="L50" s="150">
        <v>12.6</v>
      </c>
      <c r="M50" s="150">
        <v>0</v>
      </c>
      <c r="N50" s="150">
        <v>0</v>
      </c>
      <c r="O50" s="143"/>
    </row>
    <row r="51" spans="1:16" x14ac:dyDescent="0.25">
      <c r="A51" s="143"/>
      <c r="B51" s="152">
        <f t="shared" si="1"/>
        <v>2019</v>
      </c>
      <c r="C51" s="150">
        <v>0</v>
      </c>
      <c r="D51" s="150">
        <v>0</v>
      </c>
      <c r="E51" s="150">
        <v>0</v>
      </c>
      <c r="F51" s="150">
        <v>0</v>
      </c>
      <c r="G51" s="150">
        <v>0</v>
      </c>
      <c r="H51" s="150">
        <v>16.899999999999999</v>
      </c>
      <c r="I51" s="150">
        <v>93.9</v>
      </c>
      <c r="J51" s="150">
        <v>56.7</v>
      </c>
      <c r="K51" s="150">
        <v>14.8</v>
      </c>
      <c r="L51" s="150">
        <v>3.8</v>
      </c>
      <c r="M51" s="150">
        <v>0</v>
      </c>
      <c r="N51" s="150">
        <v>0</v>
      </c>
      <c r="O51" s="143"/>
    </row>
    <row r="52" spans="1:16" x14ac:dyDescent="0.25">
      <c r="A52" s="143"/>
      <c r="B52" s="152">
        <f t="shared" si="1"/>
        <v>2020</v>
      </c>
      <c r="C52" s="150">
        <v>0</v>
      </c>
      <c r="D52" s="150">
        <v>0</v>
      </c>
      <c r="E52" s="150">
        <v>0</v>
      </c>
      <c r="F52" s="150">
        <v>0</v>
      </c>
      <c r="G52" s="150">
        <v>19.399999999999999</v>
      </c>
      <c r="H52" s="150">
        <v>45.2</v>
      </c>
      <c r="I52" s="150">
        <v>139.4</v>
      </c>
      <c r="J52" s="150">
        <v>81.3</v>
      </c>
      <c r="K52" s="150">
        <v>23</v>
      </c>
      <c r="L52" s="150">
        <v>0</v>
      </c>
      <c r="M52" s="150">
        <v>5.4</v>
      </c>
      <c r="N52" s="150">
        <v>0</v>
      </c>
      <c r="O52" s="143"/>
    </row>
    <row r="53" spans="1:16" x14ac:dyDescent="0.25">
      <c r="A53" s="143"/>
      <c r="B53" s="152">
        <f t="shared" si="1"/>
        <v>2021</v>
      </c>
      <c r="C53" s="150">
        <v>0</v>
      </c>
      <c r="D53" s="150">
        <v>0</v>
      </c>
      <c r="E53" s="150">
        <v>0</v>
      </c>
      <c r="F53" s="150">
        <v>0.3</v>
      </c>
      <c r="G53" s="150">
        <v>16</v>
      </c>
      <c r="H53" s="150">
        <v>83</v>
      </c>
      <c r="I53" s="150">
        <v>57.2</v>
      </c>
      <c r="J53" s="150">
        <v>113.6</v>
      </c>
      <c r="K53" s="150">
        <v>18.899999999999999</v>
      </c>
      <c r="L53" s="150">
        <v>14.2</v>
      </c>
      <c r="M53" s="150">
        <v>0</v>
      </c>
      <c r="N53" s="150">
        <v>0</v>
      </c>
      <c r="O53" s="143"/>
    </row>
    <row r="54" spans="1:16" x14ac:dyDescent="0.25">
      <c r="A54" s="143"/>
      <c r="B54" s="152">
        <f t="shared" si="1"/>
        <v>2022</v>
      </c>
      <c r="C54" s="150">
        <v>0</v>
      </c>
      <c r="D54" s="150">
        <v>0</v>
      </c>
      <c r="E54" s="150">
        <v>0</v>
      </c>
      <c r="F54" s="150">
        <v>0</v>
      </c>
      <c r="G54" s="150">
        <v>29.9</v>
      </c>
      <c r="H54" s="150">
        <v>27.4</v>
      </c>
      <c r="I54" s="150">
        <v>74.599999999999994</v>
      </c>
      <c r="J54" s="150">
        <v>86</v>
      </c>
      <c r="K54" s="150">
        <v>37.9</v>
      </c>
      <c r="L54" s="150">
        <v>1.4</v>
      </c>
      <c r="M54" s="150">
        <v>5.0999999999999996</v>
      </c>
      <c r="N54" s="150">
        <v>0</v>
      </c>
      <c r="O54" s="143"/>
    </row>
    <row r="55" spans="1:16" x14ac:dyDescent="0.25">
      <c r="A55" s="143"/>
      <c r="B55" s="616"/>
      <c r="C55" s="582"/>
      <c r="D55" s="582"/>
      <c r="E55" s="582"/>
      <c r="F55" s="582"/>
      <c r="G55" s="582"/>
      <c r="H55" s="582"/>
      <c r="I55" s="582"/>
      <c r="J55" s="582"/>
      <c r="K55" s="582"/>
      <c r="L55" s="582"/>
      <c r="M55" s="582"/>
      <c r="N55" s="582"/>
      <c r="O55" s="143"/>
    </row>
    <row r="56" spans="1:16" x14ac:dyDescent="0.25">
      <c r="A56" s="143"/>
      <c r="B56" s="147" t="str">
        <f>+B119</f>
        <v>CDD - Normalized</v>
      </c>
      <c r="C56" s="617">
        <f>AVERAGE(C45:C54)</f>
        <v>0</v>
      </c>
      <c r="D56" s="617">
        <f t="shared" ref="D56:N56" si="2">AVERAGE(D45:D54)</f>
        <v>0</v>
      </c>
      <c r="E56" s="617">
        <f t="shared" si="2"/>
        <v>0</v>
      </c>
      <c r="F56" s="617">
        <f t="shared" si="2"/>
        <v>0.08</v>
      </c>
      <c r="G56" s="617">
        <f t="shared" si="2"/>
        <v>15.87</v>
      </c>
      <c r="H56" s="617">
        <f t="shared" si="2"/>
        <v>36.730000000000004</v>
      </c>
      <c r="I56" s="617">
        <f t="shared" si="2"/>
        <v>87.710000000000008</v>
      </c>
      <c r="J56" s="617">
        <f t="shared" si="2"/>
        <v>80.55</v>
      </c>
      <c r="K56" s="617">
        <f t="shared" si="2"/>
        <v>35.779999999999994</v>
      </c>
      <c r="L56" s="617">
        <f t="shared" si="2"/>
        <v>4.6100000000000003</v>
      </c>
      <c r="M56" s="617">
        <f t="shared" si="2"/>
        <v>1.2</v>
      </c>
      <c r="N56" s="617">
        <f t="shared" si="2"/>
        <v>0</v>
      </c>
      <c r="O56" s="143"/>
      <c r="P56" s="606" t="s">
        <v>302</v>
      </c>
    </row>
    <row r="57" spans="1:16" x14ac:dyDescent="0.25">
      <c r="A57" s="143"/>
      <c r="B57" s="144"/>
      <c r="C57" s="144"/>
      <c r="D57" s="144"/>
      <c r="E57" s="144"/>
      <c r="F57" s="144"/>
      <c r="G57" s="144"/>
      <c r="H57" s="144"/>
      <c r="I57" s="144"/>
      <c r="J57" s="144"/>
      <c r="K57" s="144"/>
      <c r="L57" s="144"/>
      <c r="M57" s="144"/>
      <c r="N57" s="144"/>
      <c r="O57" s="143"/>
    </row>
    <row r="58" spans="1:16" ht="13" x14ac:dyDescent="0.3">
      <c r="A58" s="143"/>
      <c r="B58" s="153" t="s">
        <v>96</v>
      </c>
      <c r="C58" s="144"/>
      <c r="D58" s="144"/>
      <c r="E58" s="144"/>
      <c r="F58" s="144"/>
      <c r="G58" s="144"/>
      <c r="H58" s="144"/>
      <c r="I58" s="144"/>
      <c r="J58" s="144"/>
      <c r="K58" s="144"/>
      <c r="L58" s="144"/>
      <c r="M58" s="144"/>
      <c r="N58" s="144"/>
      <c r="O58" s="143"/>
    </row>
    <row r="59" spans="1:16" x14ac:dyDescent="0.25">
      <c r="A59" s="143"/>
      <c r="B59" s="143"/>
      <c r="C59" s="147" t="s">
        <v>101</v>
      </c>
      <c r="D59" s="147" t="s">
        <v>102</v>
      </c>
      <c r="E59" s="147" t="s">
        <v>103</v>
      </c>
      <c r="F59" s="147" t="s">
        <v>104</v>
      </c>
      <c r="G59" s="147" t="s">
        <v>80</v>
      </c>
      <c r="H59" s="147" t="s">
        <v>105</v>
      </c>
      <c r="I59" s="147" t="s">
        <v>106</v>
      </c>
      <c r="J59" s="147" t="s">
        <v>107</v>
      </c>
      <c r="K59" s="147" t="s">
        <v>108</v>
      </c>
      <c r="L59" s="147" t="s">
        <v>111</v>
      </c>
      <c r="M59" s="147" t="s">
        <v>109</v>
      </c>
      <c r="N59" s="147" t="s">
        <v>110</v>
      </c>
      <c r="O59" s="143"/>
    </row>
    <row r="60" spans="1:16" x14ac:dyDescent="0.25">
      <c r="A60" s="143"/>
      <c r="B60" s="148">
        <f t="shared" ref="B60:B69" si="3">B45</f>
        <v>2013</v>
      </c>
      <c r="C60" s="150">
        <v>0</v>
      </c>
      <c r="D60" s="150">
        <v>0</v>
      </c>
      <c r="E60" s="150">
        <v>1</v>
      </c>
      <c r="F60" s="150">
        <v>1</v>
      </c>
      <c r="G60" s="150">
        <v>1</v>
      </c>
      <c r="H60" s="150">
        <v>0</v>
      </c>
      <c r="I60" s="150">
        <v>0</v>
      </c>
      <c r="J60" s="150">
        <v>0</v>
      </c>
      <c r="K60" s="150">
        <v>1</v>
      </c>
      <c r="L60" s="150">
        <v>1</v>
      </c>
      <c r="M60" s="150">
        <v>1</v>
      </c>
      <c r="N60" s="150">
        <v>0</v>
      </c>
      <c r="O60" s="143"/>
    </row>
    <row r="61" spans="1:16" x14ac:dyDescent="0.25">
      <c r="A61" s="143"/>
      <c r="B61" s="148">
        <f t="shared" si="3"/>
        <v>2014</v>
      </c>
      <c r="C61" s="150">
        <v>0</v>
      </c>
      <c r="D61" s="150">
        <v>0</v>
      </c>
      <c r="E61" s="150">
        <v>1</v>
      </c>
      <c r="F61" s="150">
        <v>1</v>
      </c>
      <c r="G61" s="150">
        <v>1</v>
      </c>
      <c r="H61" s="150">
        <v>0</v>
      </c>
      <c r="I61" s="150">
        <v>0</v>
      </c>
      <c r="J61" s="150">
        <v>0</v>
      </c>
      <c r="K61" s="150">
        <v>1</v>
      </c>
      <c r="L61" s="150">
        <v>1</v>
      </c>
      <c r="M61" s="150">
        <v>1</v>
      </c>
      <c r="N61" s="150">
        <v>0</v>
      </c>
      <c r="O61" s="143"/>
    </row>
    <row r="62" spans="1:16" x14ac:dyDescent="0.25">
      <c r="A62" s="143"/>
      <c r="B62" s="148">
        <f t="shared" si="3"/>
        <v>2015</v>
      </c>
      <c r="C62" s="150">
        <v>0</v>
      </c>
      <c r="D62" s="150">
        <v>0</v>
      </c>
      <c r="E62" s="150">
        <v>1</v>
      </c>
      <c r="F62" s="150">
        <v>1</v>
      </c>
      <c r="G62" s="150">
        <v>1</v>
      </c>
      <c r="H62" s="150">
        <v>0</v>
      </c>
      <c r="I62" s="150">
        <v>0</v>
      </c>
      <c r="J62" s="150">
        <v>0</v>
      </c>
      <c r="K62" s="150">
        <v>1</v>
      </c>
      <c r="L62" s="150">
        <v>1</v>
      </c>
      <c r="M62" s="150">
        <v>1</v>
      </c>
      <c r="N62" s="150">
        <v>0</v>
      </c>
      <c r="O62" s="143"/>
    </row>
    <row r="63" spans="1:16" x14ac:dyDescent="0.25">
      <c r="A63" s="143"/>
      <c r="B63" s="148">
        <f t="shared" si="3"/>
        <v>2016</v>
      </c>
      <c r="C63" s="150">
        <v>0</v>
      </c>
      <c r="D63" s="150">
        <v>0</v>
      </c>
      <c r="E63" s="150">
        <v>1</v>
      </c>
      <c r="F63" s="150">
        <v>1</v>
      </c>
      <c r="G63" s="150">
        <v>1</v>
      </c>
      <c r="H63" s="150">
        <v>0</v>
      </c>
      <c r="I63" s="150">
        <v>0</v>
      </c>
      <c r="J63" s="150">
        <v>0</v>
      </c>
      <c r="K63" s="150">
        <v>1</v>
      </c>
      <c r="L63" s="150">
        <v>1</v>
      </c>
      <c r="M63" s="150">
        <v>1</v>
      </c>
      <c r="N63" s="150">
        <v>0</v>
      </c>
      <c r="O63" s="143"/>
    </row>
    <row r="64" spans="1:16" x14ac:dyDescent="0.25">
      <c r="A64" s="143"/>
      <c r="B64" s="148">
        <f t="shared" si="3"/>
        <v>2017</v>
      </c>
      <c r="C64" s="150">
        <v>0</v>
      </c>
      <c r="D64" s="150">
        <v>0</v>
      </c>
      <c r="E64" s="150">
        <v>1</v>
      </c>
      <c r="F64" s="150">
        <v>1</v>
      </c>
      <c r="G64" s="150">
        <v>1</v>
      </c>
      <c r="H64" s="150">
        <v>0</v>
      </c>
      <c r="I64" s="150">
        <v>0</v>
      </c>
      <c r="J64" s="150">
        <v>0</v>
      </c>
      <c r="K64" s="150">
        <v>1</v>
      </c>
      <c r="L64" s="150">
        <v>1</v>
      </c>
      <c r="M64" s="150">
        <v>1</v>
      </c>
      <c r="N64" s="150">
        <v>0</v>
      </c>
      <c r="O64" s="143"/>
    </row>
    <row r="65" spans="1:15" x14ac:dyDescent="0.25">
      <c r="A65" s="143"/>
      <c r="B65" s="148">
        <f t="shared" si="3"/>
        <v>2018</v>
      </c>
      <c r="C65" s="150">
        <v>0</v>
      </c>
      <c r="D65" s="150">
        <v>0</v>
      </c>
      <c r="E65" s="150">
        <v>1</v>
      </c>
      <c r="F65" s="150">
        <v>1</v>
      </c>
      <c r="G65" s="150">
        <v>1</v>
      </c>
      <c r="H65" s="150">
        <v>0</v>
      </c>
      <c r="I65" s="150">
        <v>0</v>
      </c>
      <c r="J65" s="150">
        <v>0</v>
      </c>
      <c r="K65" s="150">
        <v>1</v>
      </c>
      <c r="L65" s="150">
        <v>1</v>
      </c>
      <c r="M65" s="150">
        <v>1</v>
      </c>
      <c r="N65" s="150">
        <v>0</v>
      </c>
      <c r="O65" s="143"/>
    </row>
    <row r="66" spans="1:15" x14ac:dyDescent="0.25">
      <c r="A66" s="143"/>
      <c r="B66" s="148">
        <f t="shared" si="3"/>
        <v>2019</v>
      </c>
      <c r="C66" s="150">
        <v>0</v>
      </c>
      <c r="D66" s="150">
        <v>0</v>
      </c>
      <c r="E66" s="150">
        <v>1</v>
      </c>
      <c r="F66" s="150">
        <v>1</v>
      </c>
      <c r="G66" s="150">
        <v>1</v>
      </c>
      <c r="H66" s="150">
        <v>0</v>
      </c>
      <c r="I66" s="150">
        <v>0</v>
      </c>
      <c r="J66" s="150">
        <v>0</v>
      </c>
      <c r="K66" s="150">
        <v>1</v>
      </c>
      <c r="L66" s="150">
        <v>1</v>
      </c>
      <c r="M66" s="150">
        <v>1</v>
      </c>
      <c r="N66" s="150">
        <v>0</v>
      </c>
      <c r="O66" s="143"/>
    </row>
    <row r="67" spans="1:15" x14ac:dyDescent="0.25">
      <c r="A67" s="143"/>
      <c r="B67" s="148">
        <f t="shared" si="3"/>
        <v>2020</v>
      </c>
      <c r="C67" s="150">
        <v>0</v>
      </c>
      <c r="D67" s="150">
        <v>0</v>
      </c>
      <c r="E67" s="150">
        <v>1</v>
      </c>
      <c r="F67" s="150">
        <v>1</v>
      </c>
      <c r="G67" s="150">
        <v>1</v>
      </c>
      <c r="H67" s="150">
        <v>0</v>
      </c>
      <c r="I67" s="150">
        <v>0</v>
      </c>
      <c r="J67" s="150">
        <v>0</v>
      </c>
      <c r="K67" s="150">
        <v>1</v>
      </c>
      <c r="L67" s="150">
        <v>1</v>
      </c>
      <c r="M67" s="150">
        <v>1</v>
      </c>
      <c r="N67" s="150">
        <v>0</v>
      </c>
      <c r="O67" s="143"/>
    </row>
    <row r="68" spans="1:15" x14ac:dyDescent="0.25">
      <c r="A68" s="143"/>
      <c r="B68" s="148">
        <f t="shared" si="3"/>
        <v>2021</v>
      </c>
      <c r="C68" s="150">
        <v>0</v>
      </c>
      <c r="D68" s="150">
        <v>0</v>
      </c>
      <c r="E68" s="150">
        <v>1</v>
      </c>
      <c r="F68" s="150">
        <v>1</v>
      </c>
      <c r="G68" s="150">
        <v>1</v>
      </c>
      <c r="H68" s="150">
        <v>0</v>
      </c>
      <c r="I68" s="150">
        <v>0</v>
      </c>
      <c r="J68" s="150">
        <v>0</v>
      </c>
      <c r="K68" s="150">
        <v>1</v>
      </c>
      <c r="L68" s="150">
        <v>1</v>
      </c>
      <c r="M68" s="150">
        <v>1</v>
      </c>
      <c r="N68" s="150">
        <v>0</v>
      </c>
      <c r="O68" s="143"/>
    </row>
    <row r="69" spans="1:15" x14ac:dyDescent="0.25">
      <c r="A69" s="143"/>
      <c r="B69" s="148">
        <f t="shared" si="3"/>
        <v>2022</v>
      </c>
      <c r="C69" s="150">
        <v>0</v>
      </c>
      <c r="D69" s="150">
        <v>0</v>
      </c>
      <c r="E69" s="150">
        <v>1</v>
      </c>
      <c r="F69" s="150">
        <v>1</v>
      </c>
      <c r="G69" s="150">
        <v>1</v>
      </c>
      <c r="H69" s="150">
        <v>0</v>
      </c>
      <c r="I69" s="150">
        <v>0</v>
      </c>
      <c r="J69" s="150">
        <v>0</v>
      </c>
      <c r="K69" s="150">
        <v>1</v>
      </c>
      <c r="L69" s="150">
        <v>1</v>
      </c>
      <c r="M69" s="150">
        <v>1</v>
      </c>
      <c r="N69" s="150">
        <v>0</v>
      </c>
      <c r="O69" s="143"/>
    </row>
    <row r="70" spans="1:15" x14ac:dyDescent="0.25">
      <c r="A70" s="143"/>
      <c r="B70" s="144"/>
      <c r="C70" s="144"/>
      <c r="D70" s="144"/>
      <c r="E70" s="144"/>
      <c r="F70" s="144"/>
      <c r="G70" s="144"/>
      <c r="H70" s="144"/>
      <c r="I70" s="144"/>
      <c r="J70" s="144"/>
      <c r="K70" s="144"/>
      <c r="L70" s="144"/>
      <c r="M70" s="144"/>
      <c r="N70" s="144"/>
      <c r="O70" s="143"/>
    </row>
    <row r="71" spans="1:15" x14ac:dyDescent="0.25">
      <c r="A71" s="143"/>
      <c r="B71" s="144"/>
      <c r="C71" s="144"/>
      <c r="D71" s="144"/>
      <c r="E71" s="144"/>
      <c r="F71" s="144"/>
      <c r="G71" s="144"/>
      <c r="H71" s="144"/>
      <c r="I71" s="144"/>
      <c r="J71" s="144"/>
      <c r="K71" s="144"/>
      <c r="L71" s="144"/>
      <c r="M71" s="144"/>
      <c r="N71" s="144"/>
      <c r="O71" s="143"/>
    </row>
    <row r="72" spans="1:15" ht="13" x14ac:dyDescent="0.3">
      <c r="A72" s="143"/>
      <c r="B72" s="153" t="s">
        <v>120</v>
      </c>
      <c r="C72" s="144"/>
      <c r="D72" s="144"/>
      <c r="E72" s="144"/>
      <c r="F72" s="144"/>
      <c r="G72" s="144"/>
      <c r="H72" s="144"/>
      <c r="I72" s="144"/>
      <c r="J72" s="144"/>
      <c r="K72" s="144"/>
      <c r="L72" s="144"/>
      <c r="M72" s="144"/>
      <c r="N72" s="144"/>
      <c r="O72" s="143"/>
    </row>
    <row r="73" spans="1:15" x14ac:dyDescent="0.25">
      <c r="A73" s="143"/>
      <c r="B73" s="143"/>
      <c r="C73" s="147" t="s">
        <v>101</v>
      </c>
      <c r="D73" s="147" t="s">
        <v>102</v>
      </c>
      <c r="E73" s="147" t="s">
        <v>103</v>
      </c>
      <c r="F73" s="147" t="s">
        <v>104</v>
      </c>
      <c r="G73" s="147" t="s">
        <v>80</v>
      </c>
      <c r="H73" s="147" t="s">
        <v>105</v>
      </c>
      <c r="I73" s="147" t="s">
        <v>106</v>
      </c>
      <c r="J73" s="147" t="s">
        <v>107</v>
      </c>
      <c r="K73" s="147" t="s">
        <v>108</v>
      </c>
      <c r="L73" s="147" t="s">
        <v>111</v>
      </c>
      <c r="M73" s="147" t="s">
        <v>109</v>
      </c>
      <c r="N73" s="147" t="s">
        <v>110</v>
      </c>
      <c r="O73" s="143"/>
    </row>
    <row r="74" spans="1:15" x14ac:dyDescent="0.25">
      <c r="A74" s="143"/>
      <c r="B74" s="148">
        <f t="shared" ref="B74:B82" si="4">B60</f>
        <v>2013</v>
      </c>
      <c r="C74" s="150">
        <v>31</v>
      </c>
      <c r="D74" s="150">
        <v>28</v>
      </c>
      <c r="E74" s="150">
        <v>31</v>
      </c>
      <c r="F74" s="150">
        <v>30</v>
      </c>
      <c r="G74" s="150">
        <v>31</v>
      </c>
      <c r="H74" s="150">
        <v>30</v>
      </c>
      <c r="I74" s="150">
        <v>31</v>
      </c>
      <c r="J74" s="150">
        <v>31</v>
      </c>
      <c r="K74" s="150">
        <v>30</v>
      </c>
      <c r="L74" s="150">
        <v>31</v>
      </c>
      <c r="M74" s="150">
        <v>30</v>
      </c>
      <c r="N74" s="150">
        <v>31</v>
      </c>
      <c r="O74" s="143"/>
    </row>
    <row r="75" spans="1:15" x14ac:dyDescent="0.25">
      <c r="A75" s="143"/>
      <c r="B75" s="148">
        <f t="shared" si="4"/>
        <v>2014</v>
      </c>
      <c r="C75" s="150">
        <v>31</v>
      </c>
      <c r="D75" s="150">
        <v>28</v>
      </c>
      <c r="E75" s="150">
        <v>31</v>
      </c>
      <c r="F75" s="150">
        <v>30</v>
      </c>
      <c r="G75" s="150">
        <v>31</v>
      </c>
      <c r="H75" s="150">
        <v>30</v>
      </c>
      <c r="I75" s="150">
        <v>31</v>
      </c>
      <c r="J75" s="150">
        <v>31</v>
      </c>
      <c r="K75" s="150">
        <v>30</v>
      </c>
      <c r="L75" s="150">
        <v>31</v>
      </c>
      <c r="M75" s="150">
        <v>30</v>
      </c>
      <c r="N75" s="150">
        <v>31</v>
      </c>
      <c r="O75" s="143"/>
    </row>
    <row r="76" spans="1:15" x14ac:dyDescent="0.25">
      <c r="A76" s="143"/>
      <c r="B76" s="148">
        <f t="shared" si="4"/>
        <v>2015</v>
      </c>
      <c r="C76" s="149">
        <v>31</v>
      </c>
      <c r="D76" s="150">
        <v>28</v>
      </c>
      <c r="E76" s="150">
        <v>31</v>
      </c>
      <c r="F76" s="150">
        <v>30</v>
      </c>
      <c r="G76" s="150">
        <v>31</v>
      </c>
      <c r="H76" s="150">
        <v>30</v>
      </c>
      <c r="I76" s="150">
        <v>31</v>
      </c>
      <c r="J76" s="150">
        <v>31</v>
      </c>
      <c r="K76" s="150">
        <v>30</v>
      </c>
      <c r="L76" s="150">
        <v>31</v>
      </c>
      <c r="M76" s="150">
        <v>30</v>
      </c>
      <c r="N76" s="150">
        <v>31</v>
      </c>
      <c r="O76" s="143"/>
    </row>
    <row r="77" spans="1:15" x14ac:dyDescent="0.25">
      <c r="A77" s="143"/>
      <c r="B77" s="148">
        <f t="shared" si="4"/>
        <v>2016</v>
      </c>
      <c r="C77" s="150">
        <v>31</v>
      </c>
      <c r="D77" s="150">
        <v>29</v>
      </c>
      <c r="E77" s="150">
        <v>31</v>
      </c>
      <c r="F77" s="150">
        <v>30</v>
      </c>
      <c r="G77" s="150">
        <v>31</v>
      </c>
      <c r="H77" s="150">
        <v>30</v>
      </c>
      <c r="I77" s="150">
        <v>31</v>
      </c>
      <c r="J77" s="150">
        <v>31</v>
      </c>
      <c r="K77" s="150">
        <v>30</v>
      </c>
      <c r="L77" s="150">
        <v>31</v>
      </c>
      <c r="M77" s="150">
        <v>30</v>
      </c>
      <c r="N77" s="150">
        <v>31</v>
      </c>
      <c r="O77" s="143"/>
    </row>
    <row r="78" spans="1:15" x14ac:dyDescent="0.25">
      <c r="A78" s="143"/>
      <c r="B78" s="148">
        <f t="shared" si="4"/>
        <v>2017</v>
      </c>
      <c r="C78" s="150">
        <v>31</v>
      </c>
      <c r="D78" s="150">
        <v>28</v>
      </c>
      <c r="E78" s="150">
        <v>31</v>
      </c>
      <c r="F78" s="150">
        <v>30</v>
      </c>
      <c r="G78" s="150">
        <v>31</v>
      </c>
      <c r="H78" s="150">
        <v>30</v>
      </c>
      <c r="I78" s="150">
        <v>31</v>
      </c>
      <c r="J78" s="150">
        <v>31</v>
      </c>
      <c r="K78" s="150">
        <v>30</v>
      </c>
      <c r="L78" s="150">
        <v>31</v>
      </c>
      <c r="M78" s="150">
        <v>30</v>
      </c>
      <c r="N78" s="150">
        <v>31</v>
      </c>
      <c r="O78" s="143"/>
    </row>
    <row r="79" spans="1:15" x14ac:dyDescent="0.25">
      <c r="A79" s="143"/>
      <c r="B79" s="148">
        <f t="shared" si="4"/>
        <v>2018</v>
      </c>
      <c r="C79" s="150">
        <v>31</v>
      </c>
      <c r="D79" s="150">
        <v>28</v>
      </c>
      <c r="E79" s="150">
        <v>31</v>
      </c>
      <c r="F79" s="150">
        <v>30</v>
      </c>
      <c r="G79" s="150">
        <v>31</v>
      </c>
      <c r="H79" s="150">
        <v>30</v>
      </c>
      <c r="I79" s="150">
        <v>31</v>
      </c>
      <c r="J79" s="150">
        <v>31</v>
      </c>
      <c r="K79" s="150">
        <v>30</v>
      </c>
      <c r="L79" s="150">
        <v>31</v>
      </c>
      <c r="M79" s="150">
        <v>30</v>
      </c>
      <c r="N79" s="150">
        <v>31</v>
      </c>
      <c r="O79" s="143"/>
    </row>
    <row r="80" spans="1:15" x14ac:dyDescent="0.25">
      <c r="A80" s="143"/>
      <c r="B80" s="148">
        <f t="shared" si="4"/>
        <v>2019</v>
      </c>
      <c r="C80" s="149">
        <v>31</v>
      </c>
      <c r="D80" s="150">
        <v>28</v>
      </c>
      <c r="E80" s="150">
        <v>31</v>
      </c>
      <c r="F80" s="150">
        <v>30</v>
      </c>
      <c r="G80" s="150">
        <v>31</v>
      </c>
      <c r="H80" s="150">
        <v>30</v>
      </c>
      <c r="I80" s="150">
        <v>31</v>
      </c>
      <c r="J80" s="150">
        <v>31</v>
      </c>
      <c r="K80" s="150">
        <v>30</v>
      </c>
      <c r="L80" s="150">
        <v>31</v>
      </c>
      <c r="M80" s="150">
        <v>30</v>
      </c>
      <c r="N80" s="150">
        <v>31</v>
      </c>
      <c r="O80" s="143"/>
    </row>
    <row r="81" spans="1:17" x14ac:dyDescent="0.25">
      <c r="A81" s="143"/>
      <c r="B81" s="148">
        <f t="shared" si="4"/>
        <v>2020</v>
      </c>
      <c r="C81" s="150">
        <v>31</v>
      </c>
      <c r="D81" s="150">
        <v>29</v>
      </c>
      <c r="E81" s="150">
        <v>31</v>
      </c>
      <c r="F81" s="150">
        <v>30</v>
      </c>
      <c r="G81" s="150">
        <v>31</v>
      </c>
      <c r="H81" s="150">
        <v>30</v>
      </c>
      <c r="I81" s="150">
        <v>31</v>
      </c>
      <c r="J81" s="150">
        <v>31</v>
      </c>
      <c r="K81" s="150">
        <v>30</v>
      </c>
      <c r="L81" s="150">
        <v>31</v>
      </c>
      <c r="M81" s="150">
        <v>30</v>
      </c>
      <c r="N81" s="150">
        <v>31</v>
      </c>
      <c r="O81" s="143"/>
    </row>
    <row r="82" spans="1:17" x14ac:dyDescent="0.25">
      <c r="A82" s="143"/>
      <c r="B82" s="148">
        <f t="shared" si="4"/>
        <v>2021</v>
      </c>
      <c r="C82" s="150">
        <v>31</v>
      </c>
      <c r="D82" s="150">
        <v>28</v>
      </c>
      <c r="E82" s="150">
        <v>31</v>
      </c>
      <c r="F82" s="150">
        <v>30</v>
      </c>
      <c r="G82" s="150">
        <v>31</v>
      </c>
      <c r="H82" s="150">
        <v>30</v>
      </c>
      <c r="I82" s="150">
        <v>31</v>
      </c>
      <c r="J82" s="150">
        <v>31</v>
      </c>
      <c r="K82" s="150">
        <v>30</v>
      </c>
      <c r="L82" s="150">
        <v>31</v>
      </c>
      <c r="M82" s="150">
        <v>30</v>
      </c>
      <c r="N82" s="150">
        <v>31</v>
      </c>
      <c r="O82" s="143"/>
    </row>
    <row r="83" spans="1:17" x14ac:dyDescent="0.25">
      <c r="A83" s="143"/>
      <c r="B83" s="148">
        <f>B69</f>
        <v>2022</v>
      </c>
      <c r="C83" s="150">
        <v>31</v>
      </c>
      <c r="D83" s="150">
        <v>28</v>
      </c>
      <c r="E83" s="150">
        <v>31</v>
      </c>
      <c r="F83" s="150">
        <v>30</v>
      </c>
      <c r="G83" s="150">
        <v>31</v>
      </c>
      <c r="H83" s="150">
        <v>30</v>
      </c>
      <c r="I83" s="150">
        <v>31</v>
      </c>
      <c r="J83" s="150">
        <v>31</v>
      </c>
      <c r="K83" s="150">
        <v>30</v>
      </c>
      <c r="L83" s="150">
        <v>31</v>
      </c>
      <c r="M83" s="150">
        <v>30</v>
      </c>
      <c r="N83" s="150">
        <v>31</v>
      </c>
      <c r="O83" s="143"/>
    </row>
    <row r="84" spans="1:17" x14ac:dyDescent="0.25">
      <c r="A84" s="143"/>
      <c r="B84" s="144"/>
      <c r="C84" s="144"/>
      <c r="D84" s="144"/>
      <c r="E84" s="144"/>
      <c r="F84" s="144"/>
      <c r="G84" s="144"/>
      <c r="H84" s="144"/>
      <c r="I84" s="144"/>
      <c r="J84" s="144"/>
      <c r="K84" s="144"/>
      <c r="L84" s="144"/>
      <c r="M84" s="144"/>
      <c r="N84" s="144"/>
      <c r="O84" s="143"/>
    </row>
    <row r="85" spans="1:17" x14ac:dyDescent="0.25">
      <c r="A85" s="143"/>
      <c r="B85" s="144"/>
      <c r="C85" s="144"/>
      <c r="D85" s="144"/>
      <c r="E85" s="144"/>
      <c r="F85" s="144"/>
      <c r="G85" s="144"/>
      <c r="H85" s="144"/>
      <c r="I85" s="144"/>
      <c r="J85" s="144"/>
      <c r="K85" s="144"/>
      <c r="L85" s="144"/>
      <c r="M85" s="144"/>
      <c r="N85" s="144"/>
      <c r="O85" s="143"/>
    </row>
    <row r="86" spans="1:17" ht="13" x14ac:dyDescent="0.3">
      <c r="A86" s="143"/>
      <c r="B86" s="153" t="s">
        <v>95</v>
      </c>
      <c r="C86" s="144"/>
      <c r="D86" s="144"/>
      <c r="E86" s="144"/>
      <c r="F86" s="144"/>
      <c r="G86" s="144"/>
      <c r="H86" s="144"/>
      <c r="I86" s="144"/>
      <c r="J86" s="144"/>
      <c r="K86" s="144"/>
      <c r="L86" s="144"/>
      <c r="M86" s="144"/>
      <c r="N86" s="144"/>
      <c r="O86" s="143"/>
    </row>
    <row r="87" spans="1:17" x14ac:dyDescent="0.25">
      <c r="A87" s="143"/>
      <c r="B87" s="143"/>
      <c r="C87" s="147" t="s">
        <v>101</v>
      </c>
      <c r="D87" s="147" t="s">
        <v>102</v>
      </c>
      <c r="E87" s="147" t="s">
        <v>103</v>
      </c>
      <c r="F87" s="147" t="s">
        <v>104</v>
      </c>
      <c r="G87" s="147" t="s">
        <v>80</v>
      </c>
      <c r="H87" s="147" t="s">
        <v>105</v>
      </c>
      <c r="I87" s="147" t="s">
        <v>106</v>
      </c>
      <c r="J87" s="147" t="s">
        <v>107</v>
      </c>
      <c r="K87" s="147" t="s">
        <v>108</v>
      </c>
      <c r="L87" s="147" t="s">
        <v>111</v>
      </c>
      <c r="M87" s="147" t="s">
        <v>109</v>
      </c>
      <c r="N87" s="147" t="s">
        <v>110</v>
      </c>
      <c r="O87" s="143"/>
    </row>
    <row r="88" spans="1:17" x14ac:dyDescent="0.25">
      <c r="A88" s="143"/>
      <c r="B88" s="148">
        <f t="shared" ref="B88:B96" si="5">B74</f>
        <v>2013</v>
      </c>
      <c r="C88" s="583">
        <v>12593</v>
      </c>
      <c r="D88" s="583">
        <v>12597</v>
      </c>
      <c r="E88" s="583">
        <v>12608</v>
      </c>
      <c r="F88" s="583">
        <v>12620</v>
      </c>
      <c r="G88" s="583">
        <v>12628</v>
      </c>
      <c r="H88" s="583">
        <v>12686</v>
      </c>
      <c r="I88" s="583">
        <v>12684</v>
      </c>
      <c r="J88" s="583">
        <v>12731</v>
      </c>
      <c r="K88" s="583">
        <v>12749</v>
      </c>
      <c r="L88" s="583">
        <v>12817</v>
      </c>
      <c r="M88" s="583">
        <v>12853</v>
      </c>
      <c r="N88" s="583">
        <v>12873</v>
      </c>
      <c r="O88" s="143"/>
    </row>
    <row r="89" spans="1:17" x14ac:dyDescent="0.25">
      <c r="A89" s="143"/>
      <c r="B89" s="148">
        <f t="shared" si="5"/>
        <v>2014</v>
      </c>
      <c r="C89" s="583">
        <v>12874</v>
      </c>
      <c r="D89" s="583">
        <v>12904</v>
      </c>
      <c r="E89" s="583">
        <v>12843</v>
      </c>
      <c r="F89" s="583">
        <v>12851</v>
      </c>
      <c r="G89" s="583">
        <v>12850</v>
      </c>
      <c r="H89" s="583">
        <v>12862</v>
      </c>
      <c r="I89" s="583">
        <v>12873</v>
      </c>
      <c r="J89" s="583">
        <v>12937</v>
      </c>
      <c r="K89" s="583">
        <v>12915</v>
      </c>
      <c r="L89" s="583">
        <v>12961</v>
      </c>
      <c r="M89" s="583">
        <v>12976</v>
      </c>
      <c r="N89" s="583">
        <v>13021</v>
      </c>
      <c r="O89" s="690"/>
    </row>
    <row r="90" spans="1:17" x14ac:dyDescent="0.25">
      <c r="A90" s="143"/>
      <c r="B90" s="148">
        <f t="shared" si="5"/>
        <v>2015</v>
      </c>
      <c r="C90" s="583">
        <v>13050</v>
      </c>
      <c r="D90" s="583">
        <v>13056</v>
      </c>
      <c r="E90" s="583">
        <v>13061</v>
      </c>
      <c r="F90" s="583">
        <v>13080</v>
      </c>
      <c r="G90" s="583">
        <v>13084</v>
      </c>
      <c r="H90" s="583">
        <v>13095</v>
      </c>
      <c r="I90" s="583">
        <v>13111</v>
      </c>
      <c r="J90" s="583">
        <v>13139</v>
      </c>
      <c r="K90" s="583">
        <v>13158</v>
      </c>
      <c r="L90" s="583">
        <v>13172</v>
      </c>
      <c r="M90" s="583">
        <v>13191</v>
      </c>
      <c r="N90" s="583">
        <v>13214</v>
      </c>
      <c r="O90" s="690"/>
      <c r="P90" s="591"/>
      <c r="Q90" s="188"/>
    </row>
    <row r="91" spans="1:17" x14ac:dyDescent="0.25">
      <c r="A91" s="143"/>
      <c r="B91" s="148">
        <f t="shared" si="5"/>
        <v>2016</v>
      </c>
      <c r="C91" s="584">
        <v>13218</v>
      </c>
      <c r="D91" s="584">
        <v>13226</v>
      </c>
      <c r="E91" s="584">
        <v>13227</v>
      </c>
      <c r="F91" s="584">
        <v>13242</v>
      </c>
      <c r="G91" s="584">
        <v>13242</v>
      </c>
      <c r="H91" s="584">
        <v>13260</v>
      </c>
      <c r="I91" s="584">
        <v>13259</v>
      </c>
      <c r="J91" s="584">
        <v>13292</v>
      </c>
      <c r="K91" s="584">
        <v>13310</v>
      </c>
      <c r="L91" s="584">
        <v>13308</v>
      </c>
      <c r="M91" s="584">
        <v>13359</v>
      </c>
      <c r="N91" s="584">
        <v>13379</v>
      </c>
      <c r="O91" s="690"/>
      <c r="P91" s="188"/>
      <c r="Q91" s="188"/>
    </row>
    <row r="92" spans="1:17" x14ac:dyDescent="0.25">
      <c r="A92" s="143"/>
      <c r="B92" s="148">
        <f t="shared" si="5"/>
        <v>2017</v>
      </c>
      <c r="C92" s="584">
        <v>13381</v>
      </c>
      <c r="D92" s="584">
        <v>13385</v>
      </c>
      <c r="E92" s="584">
        <v>13393</v>
      </c>
      <c r="F92" s="584">
        <v>13412</v>
      </c>
      <c r="G92" s="584">
        <v>13418</v>
      </c>
      <c r="H92" s="584">
        <v>13451</v>
      </c>
      <c r="I92" s="584">
        <v>13484</v>
      </c>
      <c r="J92" s="584">
        <v>13551</v>
      </c>
      <c r="K92" s="584">
        <v>13567</v>
      </c>
      <c r="L92" s="584">
        <v>13587</v>
      </c>
      <c r="M92" s="584">
        <v>13607</v>
      </c>
      <c r="N92" s="584">
        <v>13627</v>
      </c>
      <c r="O92" s="690"/>
      <c r="P92" s="188"/>
      <c r="Q92" s="188"/>
    </row>
    <row r="93" spans="1:17" x14ac:dyDescent="0.25">
      <c r="A93" s="143"/>
      <c r="B93" s="148">
        <f t="shared" si="5"/>
        <v>2018</v>
      </c>
      <c r="C93" s="583">
        <v>13641</v>
      </c>
      <c r="D93" s="583">
        <v>13645</v>
      </c>
      <c r="E93" s="583">
        <v>13654</v>
      </c>
      <c r="F93" s="583">
        <v>13692</v>
      </c>
      <c r="G93" s="583">
        <v>13724</v>
      </c>
      <c r="H93" s="583">
        <v>13761</v>
      </c>
      <c r="I93" s="583">
        <v>13761</v>
      </c>
      <c r="J93" s="583">
        <v>13773</v>
      </c>
      <c r="K93" s="583">
        <v>13798</v>
      </c>
      <c r="L93" s="583">
        <v>13814</v>
      </c>
      <c r="M93" s="583">
        <v>13812</v>
      </c>
      <c r="N93" s="583">
        <v>13827</v>
      </c>
      <c r="O93" s="690"/>
      <c r="P93" s="188"/>
      <c r="Q93" s="188"/>
    </row>
    <row r="94" spans="1:17" x14ac:dyDescent="0.25">
      <c r="A94" s="143"/>
      <c r="B94" s="148">
        <f t="shared" si="5"/>
        <v>2019</v>
      </c>
      <c r="C94" s="584">
        <v>13857</v>
      </c>
      <c r="D94" s="584">
        <v>13849</v>
      </c>
      <c r="E94" s="584">
        <v>13868</v>
      </c>
      <c r="F94" s="584">
        <v>13865</v>
      </c>
      <c r="G94" s="584">
        <v>13876</v>
      </c>
      <c r="H94" s="584">
        <v>13877</v>
      </c>
      <c r="I94" s="584">
        <v>13892</v>
      </c>
      <c r="J94" s="584">
        <v>13911</v>
      </c>
      <c r="K94" s="584">
        <v>13920</v>
      </c>
      <c r="L94" s="584">
        <v>13921</v>
      </c>
      <c r="M94" s="584">
        <v>14005</v>
      </c>
      <c r="N94" s="584">
        <v>14039</v>
      </c>
      <c r="O94" s="690"/>
      <c r="P94" s="188"/>
      <c r="Q94" s="188"/>
    </row>
    <row r="95" spans="1:17" x14ac:dyDescent="0.25">
      <c r="A95" s="143"/>
      <c r="B95" s="148">
        <f t="shared" si="5"/>
        <v>2020</v>
      </c>
      <c r="C95" s="584">
        <v>14084</v>
      </c>
      <c r="D95" s="584">
        <v>14104</v>
      </c>
      <c r="E95" s="584">
        <v>14121</v>
      </c>
      <c r="F95" s="584">
        <v>14142</v>
      </c>
      <c r="G95" s="584">
        <v>14173.5</v>
      </c>
      <c r="H95" s="584">
        <v>14205</v>
      </c>
      <c r="I95" s="584">
        <v>14219</v>
      </c>
      <c r="J95" s="584">
        <v>14249</v>
      </c>
      <c r="K95" s="584">
        <v>14271</v>
      </c>
      <c r="L95" s="584">
        <v>14279</v>
      </c>
      <c r="M95" s="584">
        <v>14280</v>
      </c>
      <c r="N95" s="584">
        <v>14294</v>
      </c>
      <c r="O95" s="690"/>
      <c r="P95" s="188"/>
      <c r="Q95" s="188"/>
    </row>
    <row r="96" spans="1:17" x14ac:dyDescent="0.25">
      <c r="A96" s="143"/>
      <c r="B96" s="148">
        <f t="shared" si="5"/>
        <v>2021</v>
      </c>
      <c r="C96" s="584">
        <v>14313</v>
      </c>
      <c r="D96" s="584">
        <v>14322</v>
      </c>
      <c r="E96" s="584">
        <v>14345</v>
      </c>
      <c r="F96" s="584">
        <v>14361</v>
      </c>
      <c r="G96" s="584">
        <v>14378</v>
      </c>
      <c r="H96" s="584">
        <v>14404</v>
      </c>
      <c r="I96" s="584">
        <v>14417</v>
      </c>
      <c r="J96" s="584">
        <v>14419</v>
      </c>
      <c r="K96" s="584">
        <v>14431</v>
      </c>
      <c r="L96" s="584">
        <v>14467</v>
      </c>
      <c r="M96" s="584">
        <v>14500</v>
      </c>
      <c r="N96" s="584">
        <v>14526</v>
      </c>
      <c r="O96" s="690"/>
      <c r="P96" s="188"/>
      <c r="Q96" s="188"/>
    </row>
    <row r="97" spans="1:35" x14ac:dyDescent="0.25">
      <c r="A97" s="143"/>
      <c r="B97" s="148">
        <f>B83</f>
        <v>2022</v>
      </c>
      <c r="C97" s="584">
        <v>14546</v>
      </c>
      <c r="D97" s="584">
        <v>14562</v>
      </c>
      <c r="E97" s="584">
        <v>14563</v>
      </c>
      <c r="F97" s="584">
        <v>14616</v>
      </c>
      <c r="G97" s="584">
        <v>14629</v>
      </c>
      <c r="H97" s="584">
        <v>14671</v>
      </c>
      <c r="I97" s="584">
        <v>14692</v>
      </c>
      <c r="J97" s="584">
        <v>14725</v>
      </c>
      <c r="K97" s="584">
        <v>14744</v>
      </c>
      <c r="L97" s="584">
        <v>14820</v>
      </c>
      <c r="M97" s="584">
        <v>14889</v>
      </c>
      <c r="N97" s="584">
        <v>14899</v>
      </c>
      <c r="O97" s="690"/>
      <c r="P97" s="188"/>
      <c r="Q97" s="188"/>
    </row>
    <row r="98" spans="1:35" x14ac:dyDescent="0.25">
      <c r="A98" s="143"/>
      <c r="B98" s="144"/>
      <c r="C98" s="592"/>
      <c r="D98" s="144"/>
      <c r="E98" s="144"/>
      <c r="F98" s="144"/>
      <c r="G98" s="144"/>
      <c r="H98" s="144"/>
      <c r="I98" s="144"/>
      <c r="J98" s="144"/>
      <c r="K98" s="144"/>
      <c r="L98" s="144"/>
      <c r="M98" s="144"/>
      <c r="N98" s="144"/>
      <c r="O98" s="143"/>
      <c r="P98" s="188"/>
      <c r="Q98" s="188"/>
    </row>
    <row r="99" spans="1:35" x14ac:dyDescent="0.25">
      <c r="A99" s="143"/>
      <c r="B99" s="144"/>
      <c r="C99" s="592"/>
      <c r="D99" s="144"/>
      <c r="E99" s="144"/>
      <c r="F99" s="144"/>
      <c r="G99" s="144"/>
      <c r="H99" s="593"/>
      <c r="I99" s="144"/>
      <c r="J99" s="144"/>
      <c r="K99" s="144"/>
      <c r="L99" s="144"/>
      <c r="M99" s="144"/>
      <c r="N99" s="144"/>
      <c r="O99" s="143"/>
      <c r="P99" s="188"/>
      <c r="Q99" s="188"/>
    </row>
    <row r="100" spans="1:35" ht="13" x14ac:dyDescent="0.3">
      <c r="A100" s="143"/>
      <c r="B100" s="153" t="s">
        <v>256</v>
      </c>
      <c r="C100" s="144"/>
      <c r="D100" s="144"/>
      <c r="E100" s="144"/>
      <c r="F100" s="144"/>
      <c r="G100" s="144"/>
      <c r="H100" s="144"/>
      <c r="I100" s="144"/>
      <c r="J100" s="144"/>
      <c r="K100" s="144"/>
      <c r="L100" s="144"/>
      <c r="M100" s="144"/>
      <c r="N100" s="144"/>
      <c r="O100" s="143"/>
      <c r="P100" s="188"/>
      <c r="Q100" s="188"/>
    </row>
    <row r="101" spans="1:35" x14ac:dyDescent="0.25">
      <c r="A101" s="143"/>
      <c r="B101" s="143"/>
      <c r="C101" s="147" t="s">
        <v>101</v>
      </c>
      <c r="D101" s="147" t="s">
        <v>102</v>
      </c>
      <c r="E101" s="147" t="s">
        <v>103</v>
      </c>
      <c r="F101" s="147" t="s">
        <v>104</v>
      </c>
      <c r="G101" s="147" t="s">
        <v>80</v>
      </c>
      <c r="H101" s="147" t="s">
        <v>105</v>
      </c>
      <c r="I101" s="147" t="s">
        <v>106</v>
      </c>
      <c r="J101" s="147" t="s">
        <v>107</v>
      </c>
      <c r="K101" s="147" t="s">
        <v>108</v>
      </c>
      <c r="L101" s="147" t="s">
        <v>111</v>
      </c>
      <c r="M101" s="147" t="s">
        <v>109</v>
      </c>
      <c r="N101" s="147" t="s">
        <v>110</v>
      </c>
      <c r="O101" s="143"/>
      <c r="P101" s="188"/>
      <c r="Q101" s="188"/>
    </row>
    <row r="102" spans="1:35" ht="14.5" x14ac:dyDescent="0.35">
      <c r="A102" s="143"/>
      <c r="B102" s="148">
        <f t="shared" ref="B102:B110" si="6">B88</f>
        <v>2013</v>
      </c>
      <c r="C102" s="609">
        <v>121.3</v>
      </c>
      <c r="D102" s="609">
        <v>122.8</v>
      </c>
      <c r="E102" s="609">
        <v>123.2</v>
      </c>
      <c r="F102" s="609">
        <v>122.9</v>
      </c>
      <c r="G102" s="609">
        <v>123</v>
      </c>
      <c r="H102" s="609">
        <v>123.2</v>
      </c>
      <c r="I102" s="609">
        <v>123.4</v>
      </c>
      <c r="J102" s="609">
        <v>123.4</v>
      </c>
      <c r="K102" s="609">
        <v>123.5</v>
      </c>
      <c r="L102" s="609">
        <v>123.3</v>
      </c>
      <c r="M102" s="609">
        <v>123.3</v>
      </c>
      <c r="N102" s="609">
        <v>123.1</v>
      </c>
      <c r="O102" s="143"/>
      <c r="P102" s="525"/>
      <c r="Q102" s="525"/>
      <c r="R102" s="525"/>
      <c r="S102" s="525"/>
      <c r="T102" s="525"/>
      <c r="U102" s="525"/>
      <c r="V102" s="525"/>
      <c r="W102" s="525"/>
      <c r="X102" s="525"/>
      <c r="Y102" s="525"/>
      <c r="Z102" s="525"/>
      <c r="AA102" s="525"/>
      <c r="AB102" s="389"/>
      <c r="AC102" s="389"/>
      <c r="AD102" s="389"/>
      <c r="AE102" s="389"/>
      <c r="AF102" s="389"/>
      <c r="AG102" s="389"/>
      <c r="AH102" s="389"/>
      <c r="AI102" s="389"/>
    </row>
    <row r="103" spans="1:35" ht="14.5" x14ac:dyDescent="0.35">
      <c r="A103" s="143"/>
      <c r="B103" s="148">
        <f t="shared" si="6"/>
        <v>2014</v>
      </c>
      <c r="C103" s="609">
        <v>123.3</v>
      </c>
      <c r="D103" s="609">
        <v>124.6</v>
      </c>
      <c r="E103" s="609">
        <v>125.1</v>
      </c>
      <c r="F103" s="609">
        <v>125.9</v>
      </c>
      <c r="G103" s="609">
        <v>126.5</v>
      </c>
      <c r="H103" s="609">
        <v>126.9</v>
      </c>
      <c r="I103" s="609">
        <v>126.5</v>
      </c>
      <c r="J103" s="609">
        <v>126.5</v>
      </c>
      <c r="K103" s="609">
        <v>126.7</v>
      </c>
      <c r="L103" s="609">
        <v>126.8</v>
      </c>
      <c r="M103" s="609">
        <v>126.3</v>
      </c>
      <c r="N103" s="609">
        <v>125.4</v>
      </c>
      <c r="O103" s="143"/>
      <c r="P103" s="526"/>
      <c r="Q103" s="526"/>
      <c r="R103" s="526"/>
      <c r="S103" s="526"/>
      <c r="T103" s="526"/>
      <c r="U103" s="526"/>
      <c r="V103" s="526"/>
      <c r="W103" s="526"/>
      <c r="X103" s="526"/>
      <c r="Y103" s="526"/>
      <c r="Z103" s="526"/>
      <c r="AA103" s="526"/>
    </row>
    <row r="104" spans="1:35" ht="14.5" x14ac:dyDescent="0.35">
      <c r="A104" s="143"/>
      <c r="B104" s="148">
        <f t="shared" si="6"/>
        <v>2015</v>
      </c>
      <c r="C104" s="609">
        <v>125.3</v>
      </c>
      <c r="D104" s="609">
        <v>126.2</v>
      </c>
      <c r="E104" s="609">
        <v>127.1</v>
      </c>
      <c r="F104" s="609">
        <v>126.9</v>
      </c>
      <c r="G104" s="609">
        <v>127.7</v>
      </c>
      <c r="H104" s="609">
        <v>128.19999999999999</v>
      </c>
      <c r="I104" s="609">
        <v>128.4</v>
      </c>
      <c r="J104" s="609">
        <v>128</v>
      </c>
      <c r="K104" s="609">
        <v>127.8</v>
      </c>
      <c r="L104" s="609">
        <v>127.9</v>
      </c>
      <c r="M104" s="609">
        <v>127.9</v>
      </c>
      <c r="N104" s="609">
        <v>127.5</v>
      </c>
      <c r="O104" s="489"/>
      <c r="P104" s="489"/>
      <c r="Q104" s="489"/>
      <c r="R104" s="489"/>
      <c r="S104" s="489"/>
      <c r="T104" s="489"/>
      <c r="U104" s="489"/>
      <c r="V104" s="489"/>
      <c r="W104" s="489"/>
      <c r="X104" s="489"/>
      <c r="Y104" s="489"/>
      <c r="Z104" s="489"/>
      <c r="AA104" s="489"/>
    </row>
    <row r="105" spans="1:35" ht="14.5" x14ac:dyDescent="0.35">
      <c r="A105" s="143"/>
      <c r="B105" s="148">
        <f t="shared" si="6"/>
        <v>2016</v>
      </c>
      <c r="C105" s="609">
        <v>127.8</v>
      </c>
      <c r="D105" s="609">
        <v>128.19999999999999</v>
      </c>
      <c r="E105" s="609">
        <v>129</v>
      </c>
      <c r="F105" s="609">
        <v>129.6</v>
      </c>
      <c r="G105" s="609">
        <v>130.1</v>
      </c>
      <c r="H105" s="609">
        <v>130.4</v>
      </c>
      <c r="I105" s="609">
        <v>130.30000000000001</v>
      </c>
      <c r="J105" s="609">
        <v>129.9</v>
      </c>
      <c r="K105" s="609">
        <v>130.1</v>
      </c>
      <c r="L105" s="609">
        <v>130.6</v>
      </c>
      <c r="M105" s="609">
        <v>130.19999999999999</v>
      </c>
      <c r="N105" s="609">
        <v>130</v>
      </c>
      <c r="O105" s="143"/>
      <c r="P105" s="527"/>
      <c r="Q105" s="527"/>
      <c r="R105" s="527"/>
      <c r="S105" s="527"/>
      <c r="T105" s="527"/>
      <c r="U105" s="527"/>
      <c r="V105" s="527"/>
      <c r="W105" s="527"/>
      <c r="X105" s="527"/>
      <c r="Y105" s="527"/>
      <c r="Z105" s="527"/>
      <c r="AA105" s="527"/>
    </row>
    <row r="106" spans="1:35" ht="14.5" x14ac:dyDescent="0.35">
      <c r="A106" s="143"/>
      <c r="B106" s="148">
        <f t="shared" si="6"/>
        <v>2017</v>
      </c>
      <c r="C106" s="609">
        <v>130.80000000000001</v>
      </c>
      <c r="D106" s="609">
        <v>131.19999999999999</v>
      </c>
      <c r="E106" s="609">
        <v>131.4</v>
      </c>
      <c r="F106" s="609">
        <v>132</v>
      </c>
      <c r="G106" s="609">
        <v>131.9</v>
      </c>
      <c r="H106" s="609">
        <v>132.1</v>
      </c>
      <c r="I106" s="609">
        <v>131.9</v>
      </c>
      <c r="J106" s="609">
        <v>131.80000000000001</v>
      </c>
      <c r="K106" s="609">
        <v>132.30000000000001</v>
      </c>
      <c r="L106" s="609">
        <v>132.30000000000001</v>
      </c>
      <c r="M106" s="609">
        <v>132.69999999999999</v>
      </c>
      <c r="N106" s="609">
        <v>132</v>
      </c>
      <c r="O106" s="686"/>
      <c r="P106" s="687"/>
      <c r="Q106" s="687"/>
      <c r="R106" s="687"/>
      <c r="S106" s="688"/>
      <c r="T106" s="689"/>
      <c r="U106" s="687"/>
      <c r="V106" s="687"/>
      <c r="W106" s="687"/>
      <c r="X106" s="528"/>
      <c r="Y106" s="528"/>
      <c r="Z106" s="528"/>
      <c r="AA106" s="528"/>
    </row>
    <row r="107" spans="1:35" ht="14.5" x14ac:dyDescent="0.35">
      <c r="A107" s="143"/>
      <c r="B107" s="148">
        <f t="shared" si="6"/>
        <v>2018</v>
      </c>
      <c r="C107" s="609">
        <v>133.19999999999999</v>
      </c>
      <c r="D107" s="609">
        <v>134</v>
      </c>
      <c r="E107" s="609">
        <v>134.6</v>
      </c>
      <c r="F107" s="609">
        <v>134.80000000000001</v>
      </c>
      <c r="G107" s="609">
        <v>134.9</v>
      </c>
      <c r="H107" s="609">
        <v>135.30000000000001</v>
      </c>
      <c r="I107" s="609">
        <v>136</v>
      </c>
      <c r="J107" s="609">
        <v>135.9</v>
      </c>
      <c r="K107" s="609">
        <v>135.19999999999999</v>
      </c>
      <c r="L107" s="609">
        <v>135.6</v>
      </c>
      <c r="M107" s="609">
        <v>135.1</v>
      </c>
      <c r="N107" s="609">
        <v>135</v>
      </c>
      <c r="O107" s="143"/>
      <c r="P107" s="529"/>
      <c r="Q107" s="529"/>
      <c r="R107" s="529"/>
      <c r="S107" s="529"/>
      <c r="U107" s="529"/>
      <c r="V107" s="529"/>
      <c r="W107" s="529"/>
      <c r="X107" s="529"/>
      <c r="Y107" s="529"/>
      <c r="Z107" s="529"/>
      <c r="AA107" s="529"/>
    </row>
    <row r="108" spans="1:35" ht="14.5" x14ac:dyDescent="0.35">
      <c r="A108" s="143"/>
      <c r="B108" s="148">
        <f t="shared" si="6"/>
        <v>2019</v>
      </c>
      <c r="C108" s="609">
        <v>135.19999999999999</v>
      </c>
      <c r="D108" s="609">
        <v>136</v>
      </c>
      <c r="E108" s="609">
        <v>137</v>
      </c>
      <c r="F108" s="609">
        <v>137.4</v>
      </c>
      <c r="G108" s="609">
        <v>138.1</v>
      </c>
      <c r="H108" s="609">
        <v>138</v>
      </c>
      <c r="I108" s="609">
        <v>138.80000000000001</v>
      </c>
      <c r="J108" s="609">
        <v>138.5</v>
      </c>
      <c r="K108" s="609">
        <v>137.5</v>
      </c>
      <c r="L108" s="609">
        <v>137.9</v>
      </c>
      <c r="M108" s="609">
        <v>137.69999999999999</v>
      </c>
      <c r="N108" s="609">
        <v>137.80000000000001</v>
      </c>
      <c r="O108" s="143"/>
      <c r="P108" s="530"/>
      <c r="Q108" s="530"/>
      <c r="R108" s="530"/>
      <c r="S108" s="530"/>
      <c r="T108" s="530"/>
      <c r="U108" s="530"/>
      <c r="V108" s="530"/>
      <c r="W108" s="530"/>
      <c r="X108" s="530"/>
      <c r="Y108" s="530"/>
      <c r="Z108" s="530"/>
      <c r="AA108" s="530"/>
    </row>
    <row r="109" spans="1:35" ht="14.5" x14ac:dyDescent="0.35">
      <c r="A109" s="143"/>
      <c r="B109" s="148">
        <f t="shared" si="6"/>
        <v>2020</v>
      </c>
      <c r="C109" s="609">
        <v>138</v>
      </c>
      <c r="D109" s="609">
        <v>138.69999999999999</v>
      </c>
      <c r="E109" s="609">
        <v>137.9</v>
      </c>
      <c r="F109" s="609">
        <v>137.30000000000001</v>
      </c>
      <c r="G109" s="609">
        <v>137.5</v>
      </c>
      <c r="H109" s="609">
        <v>138.6</v>
      </c>
      <c r="I109" s="609">
        <v>138.80000000000001</v>
      </c>
      <c r="J109" s="609">
        <v>138.6</v>
      </c>
      <c r="K109" s="609">
        <v>132.5</v>
      </c>
      <c r="L109" s="609">
        <v>137.9</v>
      </c>
      <c r="M109" s="609">
        <v>139</v>
      </c>
      <c r="N109" s="609">
        <v>138.80000000000001</v>
      </c>
      <c r="O109" s="143"/>
      <c r="P109" s="531"/>
      <c r="Q109" s="531"/>
      <c r="R109" s="531"/>
      <c r="S109" s="531"/>
      <c r="T109" s="531"/>
      <c r="U109" s="531"/>
      <c r="V109" s="531"/>
      <c r="W109" s="531"/>
      <c r="X109" s="531"/>
      <c r="Y109" s="531"/>
      <c r="Z109" s="531"/>
      <c r="AA109" s="531"/>
    </row>
    <row r="110" spans="1:35" ht="14.5" x14ac:dyDescent="0.35">
      <c r="A110" s="143"/>
      <c r="B110" s="148">
        <f t="shared" si="6"/>
        <v>2021</v>
      </c>
      <c r="C110" s="609">
        <v>139.5</v>
      </c>
      <c r="D110" s="609">
        <v>140.19999999999999</v>
      </c>
      <c r="E110" s="609">
        <v>141.1</v>
      </c>
      <c r="F110" s="609">
        <v>141.80000000000001</v>
      </c>
      <c r="G110" s="609">
        <v>142.6</v>
      </c>
      <c r="H110" s="609">
        <v>143.1</v>
      </c>
      <c r="I110" s="609">
        <v>143.69999999999999</v>
      </c>
      <c r="J110" s="609">
        <v>144.1</v>
      </c>
      <c r="K110" s="609">
        <v>144.4</v>
      </c>
      <c r="L110" s="609">
        <v>145.69999999999999</v>
      </c>
      <c r="M110" s="609">
        <v>146</v>
      </c>
      <c r="N110" s="609">
        <v>146</v>
      </c>
      <c r="O110" s="143"/>
      <c r="P110" s="532"/>
      <c r="Q110" s="532"/>
      <c r="R110" s="532"/>
      <c r="S110" s="532"/>
      <c r="T110" s="532"/>
      <c r="U110" s="532"/>
      <c r="V110" s="532"/>
      <c r="W110" s="532"/>
      <c r="X110" s="532"/>
      <c r="Y110" s="532"/>
      <c r="Z110" s="532"/>
      <c r="AA110" s="532"/>
    </row>
    <row r="111" spans="1:35" ht="14.5" x14ac:dyDescent="0.35">
      <c r="A111" s="143"/>
      <c r="B111" s="148">
        <f>B97</f>
        <v>2022</v>
      </c>
      <c r="C111" s="609">
        <v>147.4</v>
      </c>
      <c r="D111" s="609">
        <v>148.80000000000001</v>
      </c>
      <c r="E111" s="609">
        <v>150.80000000000001</v>
      </c>
      <c r="F111" s="609">
        <v>151.6</v>
      </c>
      <c r="G111" s="609">
        <v>153.69999999999999</v>
      </c>
      <c r="H111" s="609">
        <v>154.4</v>
      </c>
      <c r="I111" s="609">
        <v>154.6</v>
      </c>
      <c r="J111" s="609">
        <v>154.1</v>
      </c>
      <c r="K111" s="609">
        <v>154.1</v>
      </c>
      <c r="L111" s="609">
        <v>155.19999999999999</v>
      </c>
      <c r="M111" s="609">
        <v>155.4</v>
      </c>
      <c r="N111" s="609">
        <v>154.80000000000001</v>
      </c>
      <c r="O111" s="143"/>
      <c r="P111" s="533"/>
      <c r="Q111" s="533"/>
      <c r="R111" s="533"/>
      <c r="S111" s="533"/>
      <c r="T111" s="533"/>
      <c r="U111" s="533"/>
      <c r="V111" s="533"/>
      <c r="W111" s="533"/>
      <c r="X111" s="533"/>
      <c r="Y111" s="533"/>
      <c r="Z111" s="533"/>
      <c r="AA111" s="533"/>
    </row>
    <row r="112" spans="1:35" x14ac:dyDescent="0.25">
      <c r="A112" s="143"/>
      <c r="B112" s="144"/>
      <c r="C112" s="144"/>
      <c r="D112" s="144"/>
      <c r="E112" s="144"/>
      <c r="F112" s="144"/>
      <c r="G112" s="144"/>
      <c r="H112" s="144"/>
      <c r="I112" s="144"/>
      <c r="J112" s="144"/>
      <c r="K112" s="144"/>
      <c r="L112" s="144"/>
      <c r="M112" s="144"/>
      <c r="N112" s="144"/>
      <c r="O112" s="143"/>
    </row>
    <row r="113" spans="1:15" x14ac:dyDescent="0.25">
      <c r="A113" s="143"/>
      <c r="B113" s="144"/>
      <c r="C113" s="144"/>
      <c r="D113" s="144"/>
      <c r="E113" s="144"/>
      <c r="F113" s="144"/>
      <c r="G113" s="144"/>
      <c r="H113" s="144"/>
      <c r="I113" s="144"/>
      <c r="J113" s="144"/>
      <c r="K113" s="144"/>
      <c r="L113" s="144"/>
      <c r="M113" s="144"/>
      <c r="N113" s="144"/>
      <c r="O113" s="143"/>
    </row>
    <row r="114" spans="1:15" ht="13" x14ac:dyDescent="0.3">
      <c r="A114" s="143"/>
      <c r="B114" s="155" t="s">
        <v>97</v>
      </c>
      <c r="C114" s="144"/>
      <c r="D114" s="144"/>
      <c r="E114" s="144"/>
      <c r="F114" s="144"/>
      <c r="G114" s="144"/>
      <c r="H114" s="144"/>
      <c r="I114" s="144"/>
      <c r="J114" s="144"/>
      <c r="K114" s="144"/>
      <c r="L114" s="144"/>
      <c r="M114" s="144"/>
      <c r="N114" s="144"/>
      <c r="O114" s="143"/>
    </row>
    <row r="115" spans="1:15" x14ac:dyDescent="0.25">
      <c r="A115" s="143"/>
      <c r="B115" s="156"/>
      <c r="C115" s="144"/>
      <c r="D115" s="144"/>
      <c r="E115" s="144"/>
      <c r="F115" s="144"/>
      <c r="G115" s="144"/>
      <c r="H115" s="144"/>
      <c r="I115" s="144"/>
      <c r="J115" s="144"/>
      <c r="K115" s="144"/>
      <c r="L115" s="144"/>
      <c r="M115" s="144"/>
      <c r="N115" s="144"/>
      <c r="O115" s="143"/>
    </row>
    <row r="116" spans="1:15" x14ac:dyDescent="0.25">
      <c r="A116" s="143"/>
      <c r="B116" s="157" t="str">
        <f>Variable1</f>
        <v>HDD</v>
      </c>
      <c r="C116" s="144"/>
      <c r="D116" s="144"/>
      <c r="E116" s="144"/>
      <c r="F116" s="144"/>
      <c r="G116" s="144"/>
      <c r="H116" s="144"/>
      <c r="I116" s="144"/>
      <c r="J116" s="144"/>
      <c r="K116" s="144"/>
      <c r="L116" s="144"/>
      <c r="M116" s="144"/>
      <c r="N116" s="144"/>
      <c r="O116" s="143"/>
    </row>
    <row r="117" spans="1:15" x14ac:dyDescent="0.25">
      <c r="A117" s="143"/>
      <c r="B117" s="157" t="str">
        <f>Variable2</f>
        <v>CDD</v>
      </c>
      <c r="C117" s="144"/>
      <c r="D117" s="144"/>
      <c r="E117" s="144"/>
      <c r="F117" s="144"/>
      <c r="G117" s="144"/>
      <c r="H117" s="144"/>
      <c r="I117" s="144"/>
      <c r="J117" s="144"/>
      <c r="K117" s="144"/>
      <c r="L117" s="144"/>
      <c r="M117" s="144"/>
      <c r="N117" s="144"/>
      <c r="O117" s="143"/>
    </row>
    <row r="118" spans="1:15" x14ac:dyDescent="0.25">
      <c r="A118" s="143"/>
      <c r="B118" s="157" t="s">
        <v>259</v>
      </c>
      <c r="C118" s="144"/>
      <c r="D118" s="144"/>
      <c r="E118" s="144"/>
      <c r="F118" s="144"/>
      <c r="G118" s="144"/>
      <c r="H118" s="144"/>
      <c r="I118" s="144"/>
      <c r="J118" s="144"/>
      <c r="K118" s="144"/>
      <c r="L118" s="144"/>
      <c r="M118" s="144"/>
      <c r="N118" s="144"/>
      <c r="O118" s="143"/>
    </row>
    <row r="119" spans="1:15" x14ac:dyDescent="0.25">
      <c r="A119" s="143"/>
      <c r="B119" s="157" t="s">
        <v>260</v>
      </c>
      <c r="C119" s="144"/>
      <c r="D119" s="144"/>
      <c r="E119" s="144"/>
      <c r="F119" s="144"/>
      <c r="G119" s="144"/>
      <c r="H119" s="144"/>
      <c r="I119" s="144"/>
      <c r="J119" s="144"/>
      <c r="K119" s="144"/>
      <c r="L119" s="144"/>
      <c r="M119" s="144"/>
      <c r="N119" s="144"/>
      <c r="O119" s="143"/>
    </row>
    <row r="120" spans="1:15" x14ac:dyDescent="0.25">
      <c r="A120" s="143"/>
      <c r="B120" s="157" t="str">
        <f>Variable3</f>
        <v>Spring Fall Flag</v>
      </c>
      <c r="C120" s="144"/>
      <c r="D120" s="144"/>
      <c r="E120" s="144"/>
      <c r="F120" s="144"/>
      <c r="G120" s="144"/>
      <c r="H120" s="144"/>
      <c r="I120" s="144"/>
      <c r="J120" s="144"/>
      <c r="K120" s="144"/>
      <c r="L120" s="144"/>
      <c r="M120" s="144"/>
      <c r="N120" s="144"/>
      <c r="O120" s="143"/>
    </row>
    <row r="121" spans="1:15" x14ac:dyDescent="0.25">
      <c r="A121" s="143"/>
      <c r="B121" s="157" t="str">
        <f>B72</f>
        <v>Days in Month</v>
      </c>
      <c r="C121" s="144"/>
      <c r="D121" s="144"/>
      <c r="E121" s="144"/>
      <c r="F121" s="144"/>
      <c r="G121" s="144"/>
      <c r="H121" s="144"/>
      <c r="I121" s="144"/>
      <c r="J121" s="144"/>
      <c r="K121" s="144"/>
      <c r="L121" s="144"/>
      <c r="M121" s="144"/>
      <c r="N121" s="144"/>
      <c r="O121" s="143"/>
    </row>
    <row r="122" spans="1:15" x14ac:dyDescent="0.25">
      <c r="A122" s="143"/>
      <c r="B122" s="157" t="str">
        <f>Variable5</f>
        <v>Customer Count</v>
      </c>
      <c r="C122" s="144"/>
      <c r="D122" s="144"/>
      <c r="E122" s="144"/>
      <c r="F122" s="144"/>
      <c r="G122" s="144"/>
      <c r="H122" s="144"/>
      <c r="I122" s="144"/>
      <c r="J122" s="144"/>
      <c r="K122" s="144"/>
      <c r="L122" s="144"/>
      <c r="M122" s="144"/>
      <c r="N122" s="144"/>
      <c r="O122" s="143"/>
    </row>
    <row r="123" spans="1:15" x14ac:dyDescent="0.25">
      <c r="A123" s="143"/>
      <c r="B123" s="157" t="str">
        <f>Variable6</f>
        <v>CPI Index Ontario</v>
      </c>
      <c r="C123" s="144"/>
      <c r="D123" s="144"/>
      <c r="E123" s="144"/>
      <c r="F123" s="144"/>
      <c r="G123" s="144"/>
      <c r="H123" s="144"/>
      <c r="I123" s="144"/>
      <c r="J123" s="144"/>
      <c r="K123" s="144"/>
      <c r="L123" s="144"/>
      <c r="M123" s="144"/>
      <c r="N123" s="144"/>
      <c r="O123" s="143"/>
    </row>
    <row r="124" spans="1:15" x14ac:dyDescent="0.25">
      <c r="A124" s="143"/>
      <c r="B124" s="144"/>
      <c r="C124" s="144"/>
      <c r="D124" s="144"/>
      <c r="E124" s="144"/>
      <c r="F124" s="144"/>
      <c r="G124" s="144"/>
      <c r="H124" s="144"/>
      <c r="I124" s="144"/>
      <c r="J124" s="144"/>
      <c r="K124" s="144"/>
      <c r="L124" s="144"/>
      <c r="M124" s="144"/>
      <c r="N124" s="144"/>
      <c r="O124" s="143"/>
    </row>
    <row r="125" spans="1:15" x14ac:dyDescent="0.25">
      <c r="A125" s="143"/>
      <c r="B125" s="144"/>
      <c r="C125" s="144"/>
      <c r="D125" s="144"/>
      <c r="E125" s="144"/>
      <c r="F125" s="144"/>
      <c r="G125" s="144"/>
      <c r="H125" s="144"/>
      <c r="I125" s="144"/>
      <c r="J125" s="144"/>
      <c r="K125" s="144"/>
      <c r="L125" s="144"/>
      <c r="M125" s="144"/>
      <c r="N125" s="144"/>
      <c r="O125" s="143"/>
    </row>
    <row r="126" spans="1:15" x14ac:dyDescent="0.25">
      <c r="A126" s="143"/>
      <c r="B126" s="144"/>
      <c r="C126" s="144"/>
      <c r="D126" s="144"/>
      <c r="E126" s="144"/>
      <c r="F126" s="144"/>
      <c r="G126" s="144"/>
      <c r="H126" s="144"/>
      <c r="I126" s="144"/>
      <c r="J126" s="144"/>
      <c r="K126" s="144"/>
      <c r="L126" s="144"/>
      <c r="M126" s="144"/>
      <c r="N126" s="144"/>
      <c r="O126" s="143"/>
    </row>
  </sheetData>
  <hyperlinks>
    <hyperlink ref="P16" r:id="rId1" xr:uid="{912E120D-6251-445D-A4EF-D8A5D988B547}"/>
  </hyperlinks>
  <pageMargins left="0.7" right="0.7" top="0.75" bottom="0.75" header="0.3" footer="0.3"/>
  <pageSetup scale="42" fitToWidth="0"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1:AQ176"/>
  <sheetViews>
    <sheetView showGridLines="0" zoomScaleNormal="100" workbookViewId="0"/>
  </sheetViews>
  <sheetFormatPr defaultColWidth="9.296875" defaultRowHeight="13" x14ac:dyDescent="0.3"/>
  <cols>
    <col min="1" max="1" width="8.796875" customWidth="1"/>
    <col min="2" max="2" width="25.296875" style="30" customWidth="1"/>
    <col min="3" max="3" width="17.69921875" style="30" bestFit="1" customWidth="1"/>
    <col min="4" max="4" width="20.5" style="30" customWidth="1"/>
    <col min="5" max="5" width="18.19921875" style="30" bestFit="1" customWidth="1"/>
    <col min="6" max="6" width="19.5" style="30" bestFit="1" customWidth="1"/>
    <col min="7" max="7" width="16.5" style="30" customWidth="1"/>
    <col min="8" max="9" width="13.69921875" style="30" customWidth="1"/>
    <col min="10" max="10" width="16.296875" style="30" bestFit="1" customWidth="1"/>
    <col min="11" max="16" width="16" style="30" customWidth="1"/>
    <col min="17" max="17" width="5.69921875" style="1" customWidth="1"/>
    <col min="18" max="20" width="27.796875" style="1" customWidth="1"/>
    <col min="21" max="21" width="20.296875" style="30" bestFit="1" customWidth="1"/>
    <col min="22" max="22" width="21.69921875" style="1" bestFit="1" customWidth="1"/>
    <col min="23" max="23" width="6.796875" style="1" customWidth="1"/>
    <col min="24" max="24" width="38.296875" style="1" bestFit="1" customWidth="1"/>
    <col min="25" max="25" width="15.296875" style="1" customWidth="1"/>
    <col min="26" max="26" width="17.69921875" style="1" bestFit="1" customWidth="1"/>
    <col min="27" max="27" width="21" style="1" bestFit="1" customWidth="1"/>
    <col min="28" max="28" width="25" style="1" customWidth="1"/>
    <col min="29" max="29" width="18.19921875" style="1" customWidth="1"/>
    <col min="30" max="31" width="17.296875" style="1" customWidth="1"/>
    <col min="32" max="33" width="16.19921875" style="1" bestFit="1" customWidth="1"/>
    <col min="34" max="16384" width="9.296875" style="1"/>
  </cols>
  <sheetData>
    <row r="1" spans="1:43" ht="23.5" thickBot="1" x14ac:dyDescent="0.35">
      <c r="A1" s="160"/>
      <c r="B1" s="161" t="s">
        <v>66</v>
      </c>
      <c r="C1" s="144"/>
      <c r="D1" s="144"/>
      <c r="E1" s="144"/>
      <c r="F1" s="144"/>
      <c r="G1" s="144"/>
      <c r="H1" s="144"/>
      <c r="I1" s="144"/>
      <c r="J1" s="144"/>
      <c r="K1" s="144"/>
      <c r="L1" s="144"/>
      <c r="M1" s="144"/>
      <c r="N1" s="144"/>
      <c r="O1" s="144"/>
      <c r="P1" s="144"/>
      <c r="Q1" s="143"/>
      <c r="R1" s="143"/>
      <c r="S1" s="143"/>
      <c r="T1" s="143"/>
      <c r="U1" s="144"/>
      <c r="V1" s="143"/>
      <c r="W1" s="143"/>
      <c r="X1" s="143"/>
      <c r="Y1" s="143"/>
      <c r="Z1" s="143"/>
      <c r="AA1" s="143"/>
      <c r="AB1" s="143"/>
      <c r="AC1" s="143"/>
      <c r="AD1" s="143"/>
      <c r="AE1" s="143"/>
      <c r="AF1" s="143"/>
      <c r="AG1" s="143"/>
      <c r="AH1" s="143"/>
      <c r="AI1" s="143"/>
      <c r="AJ1" s="143"/>
      <c r="AK1" s="143"/>
      <c r="AL1" s="143"/>
      <c r="AM1" s="143"/>
      <c r="AN1" s="143"/>
      <c r="AO1" s="143"/>
      <c r="AP1" s="143"/>
      <c r="AQ1" s="143"/>
    </row>
    <row r="2" spans="1:43" ht="23.5" thickBot="1" x14ac:dyDescent="0.35">
      <c r="A2" s="160"/>
      <c r="B2" s="161"/>
      <c r="C2" s="144"/>
      <c r="D2" s="144"/>
      <c r="E2" s="144"/>
      <c r="F2" s="144"/>
      <c r="G2" s="144"/>
      <c r="H2" s="144"/>
      <c r="I2" s="144"/>
      <c r="J2" s="144"/>
      <c r="K2" s="144"/>
      <c r="L2" s="144"/>
      <c r="M2" s="204"/>
      <c r="N2" s="205" t="s">
        <v>137</v>
      </c>
      <c r="O2" s="144"/>
      <c r="P2" s="144"/>
      <c r="Q2" s="143"/>
      <c r="R2" s="143"/>
      <c r="S2" s="143"/>
      <c r="T2" s="143"/>
      <c r="U2" s="144"/>
      <c r="V2" s="143"/>
      <c r="W2" s="143"/>
      <c r="X2" s="143"/>
      <c r="Y2" s="143"/>
      <c r="Z2" s="143"/>
      <c r="AA2" s="143"/>
      <c r="AB2" s="143"/>
      <c r="AC2" s="143"/>
      <c r="AD2" s="143"/>
      <c r="AE2" s="143"/>
      <c r="AF2" s="143"/>
      <c r="AG2" s="143"/>
      <c r="AH2" s="143"/>
      <c r="AI2" s="143"/>
      <c r="AJ2" s="143"/>
      <c r="AK2" s="143"/>
      <c r="AL2" s="143"/>
      <c r="AM2" s="143"/>
      <c r="AN2" s="143"/>
      <c r="AO2" s="143"/>
      <c r="AP2" s="143"/>
      <c r="AQ2" s="143"/>
    </row>
    <row r="3" spans="1:43" ht="23" x14ac:dyDescent="0.3">
      <c r="A3" s="160"/>
      <c r="B3" s="161"/>
      <c r="C3" s="144"/>
      <c r="D3" s="144"/>
      <c r="E3" s="144"/>
      <c r="F3" s="144"/>
      <c r="G3" s="144"/>
      <c r="H3" s="144"/>
      <c r="I3" s="144"/>
      <c r="J3" s="144"/>
      <c r="K3" s="144"/>
      <c r="L3" s="144"/>
      <c r="M3" s="144"/>
      <c r="N3" s="144"/>
      <c r="O3" s="144"/>
      <c r="P3" s="144"/>
      <c r="Q3" s="143"/>
      <c r="R3" s="143"/>
      <c r="S3" s="143"/>
      <c r="T3" s="143"/>
      <c r="U3" s="144"/>
      <c r="V3" s="143"/>
      <c r="W3" s="143"/>
      <c r="X3" s="143"/>
      <c r="Y3" s="143"/>
      <c r="Z3" s="143"/>
      <c r="AA3" s="143"/>
      <c r="AB3" s="143"/>
      <c r="AC3" s="143"/>
      <c r="AD3" s="143"/>
      <c r="AE3" s="143"/>
      <c r="AF3" s="143"/>
      <c r="AG3" s="143"/>
      <c r="AH3" s="143"/>
      <c r="AI3" s="143"/>
      <c r="AJ3" s="143"/>
      <c r="AK3" s="143"/>
      <c r="AL3" s="143"/>
      <c r="AM3" s="143"/>
      <c r="AN3" s="143"/>
      <c r="AO3" s="143"/>
      <c r="AP3" s="143"/>
      <c r="AQ3" s="143"/>
    </row>
    <row r="4" spans="1:43" x14ac:dyDescent="0.3">
      <c r="A4" s="160"/>
      <c r="B4" s="144"/>
      <c r="C4" s="144"/>
      <c r="D4" s="144"/>
      <c r="E4" s="144"/>
      <c r="F4" s="144"/>
      <c r="G4" s="144"/>
      <c r="H4" s="144"/>
      <c r="I4" s="144"/>
      <c r="J4" s="144"/>
      <c r="K4" s="144"/>
      <c r="L4" s="144"/>
      <c r="M4" s="144"/>
      <c r="N4" s="144"/>
      <c r="O4" s="144"/>
      <c r="P4" s="144"/>
      <c r="Q4" s="143"/>
      <c r="R4" s="143"/>
      <c r="S4" s="143"/>
      <c r="T4" s="143"/>
      <c r="U4" s="144"/>
      <c r="V4" s="143"/>
      <c r="W4" s="143"/>
      <c r="X4" s="143"/>
      <c r="Y4" s="143"/>
      <c r="Z4" s="143"/>
      <c r="AA4" s="143"/>
      <c r="AB4" s="143"/>
      <c r="AC4" s="143"/>
      <c r="AD4" s="143"/>
      <c r="AE4" s="143"/>
      <c r="AF4" s="143"/>
      <c r="AG4" s="143"/>
      <c r="AH4" s="143"/>
      <c r="AI4" s="143"/>
      <c r="AJ4" s="143"/>
      <c r="AK4" s="143"/>
      <c r="AL4" s="143"/>
      <c r="AM4" s="143"/>
      <c r="AN4" s="143"/>
      <c r="AO4" s="143"/>
      <c r="AP4" s="143"/>
      <c r="AQ4" s="143"/>
    </row>
    <row r="5" spans="1:43" ht="23" x14ac:dyDescent="0.3">
      <c r="A5" s="160"/>
      <c r="C5" s="161"/>
      <c r="D5" s="161"/>
      <c r="E5" s="161"/>
      <c r="F5" s="161"/>
      <c r="G5" s="161"/>
      <c r="H5" s="161"/>
      <c r="I5" s="161"/>
      <c r="J5" s="144"/>
      <c r="K5" s="144"/>
      <c r="L5" s="144"/>
      <c r="M5" s="144"/>
      <c r="N5" s="144"/>
      <c r="O5" s="144"/>
      <c r="P5" s="144"/>
      <c r="Q5" s="143"/>
      <c r="R5" s="143"/>
      <c r="S5" s="143"/>
      <c r="T5" s="143"/>
      <c r="U5" s="144"/>
      <c r="V5" s="143"/>
      <c r="W5" s="143"/>
      <c r="X5" s="143"/>
      <c r="Y5" s="143"/>
      <c r="Z5" s="143"/>
      <c r="AA5" s="143"/>
      <c r="AB5" s="143"/>
      <c r="AC5" s="143"/>
      <c r="AD5" s="143"/>
      <c r="AE5" s="143"/>
      <c r="AF5" s="143"/>
      <c r="AG5" s="143"/>
      <c r="AH5" s="143"/>
      <c r="AI5" s="143"/>
      <c r="AJ5" s="143"/>
      <c r="AK5" s="143"/>
      <c r="AL5" s="143"/>
      <c r="AM5" s="143"/>
      <c r="AN5" s="143"/>
      <c r="AO5" s="143"/>
      <c r="AP5" s="143"/>
      <c r="AQ5" s="143"/>
    </row>
    <row r="6" spans="1:43" ht="23" x14ac:dyDescent="0.3">
      <c r="A6" s="160"/>
      <c r="C6" s="161"/>
      <c r="D6" s="161"/>
      <c r="E6" s="161"/>
      <c r="F6" s="161"/>
      <c r="G6" s="161"/>
      <c r="H6" s="161"/>
      <c r="I6" s="161"/>
      <c r="J6" s="144"/>
      <c r="K6" s="144"/>
      <c r="L6" s="144"/>
      <c r="M6" s="144"/>
      <c r="N6" s="144"/>
      <c r="O6" s="144"/>
      <c r="P6" s="144"/>
      <c r="Q6" s="143"/>
      <c r="R6" s="146"/>
      <c r="S6" s="146"/>
      <c r="T6" s="143"/>
      <c r="U6" s="144"/>
      <c r="V6" s="143"/>
      <c r="W6" s="143"/>
      <c r="X6" s="143"/>
      <c r="Y6" s="143"/>
      <c r="Z6" s="143"/>
      <c r="AA6" s="143"/>
      <c r="AB6" s="143"/>
      <c r="AC6" s="143"/>
      <c r="AD6" s="143"/>
      <c r="AE6" s="143"/>
      <c r="AF6" s="143"/>
      <c r="AG6" s="143"/>
      <c r="AH6" s="143"/>
      <c r="AI6" s="143"/>
      <c r="AJ6" s="143"/>
      <c r="AK6" s="143"/>
      <c r="AL6" s="143"/>
      <c r="AM6" s="143"/>
      <c r="AN6" s="143"/>
      <c r="AO6" s="143"/>
      <c r="AP6" s="143"/>
      <c r="AQ6" s="143"/>
    </row>
    <row r="7" spans="1:43" ht="23" x14ac:dyDescent="0.3">
      <c r="A7" s="160"/>
      <c r="C7" s="161"/>
      <c r="D7" s="161"/>
      <c r="E7" s="161"/>
      <c r="F7" s="161"/>
      <c r="G7" s="161"/>
      <c r="H7" s="161"/>
      <c r="I7" s="161"/>
      <c r="J7" s="144"/>
      <c r="K7" s="144"/>
      <c r="L7" s="144"/>
      <c r="M7" s="144"/>
      <c r="N7" s="144"/>
      <c r="O7" s="144"/>
      <c r="P7" s="144"/>
      <c r="Q7" s="143"/>
      <c r="R7" s="144" t="s">
        <v>455</v>
      </c>
      <c r="S7" s="143"/>
      <c r="T7" s="143"/>
      <c r="U7" s="144"/>
      <c r="V7" s="143"/>
      <c r="W7" s="143"/>
      <c r="X7" s="143"/>
      <c r="Y7"/>
      <c r="Z7"/>
      <c r="AA7"/>
      <c r="AB7"/>
      <c r="AC7"/>
      <c r="AD7"/>
      <c r="AE7"/>
      <c r="AF7"/>
      <c r="AG7"/>
      <c r="AH7" s="143"/>
      <c r="AI7" s="143"/>
      <c r="AJ7" s="143"/>
      <c r="AK7" s="143"/>
      <c r="AL7" s="143"/>
      <c r="AM7" s="143"/>
      <c r="AN7" s="143"/>
      <c r="AO7" s="143"/>
      <c r="AP7" s="143"/>
      <c r="AQ7" s="143"/>
    </row>
    <row r="8" spans="1:43" x14ac:dyDescent="0.3">
      <c r="A8" s="160"/>
      <c r="B8" s="144"/>
      <c r="C8" s="144"/>
      <c r="D8" s="810" t="s">
        <v>100</v>
      </c>
      <c r="E8" s="810"/>
      <c r="F8" s="810"/>
      <c r="G8" s="810"/>
      <c r="H8" s="810"/>
      <c r="I8" s="810"/>
      <c r="J8" s="144"/>
      <c r="K8" s="810" t="s">
        <v>88</v>
      </c>
      <c r="L8" s="810"/>
      <c r="M8" s="810"/>
      <c r="N8" s="810"/>
      <c r="O8" s="810"/>
      <c r="P8" s="810"/>
      <c r="Q8" s="143"/>
      <c r="R8" s="143"/>
      <c r="S8" s="143"/>
      <c r="T8" s="143"/>
      <c r="U8" s="144"/>
      <c r="V8" s="143"/>
      <c r="W8" s="143"/>
      <c r="X8" s="143"/>
      <c r="Y8"/>
      <c r="Z8"/>
      <c r="AA8"/>
      <c r="AB8"/>
      <c r="AC8"/>
      <c r="AD8"/>
      <c r="AE8"/>
      <c r="AF8"/>
      <c r="AG8"/>
      <c r="AH8" s="143"/>
      <c r="AI8" s="143"/>
      <c r="AJ8" s="143"/>
      <c r="AK8" s="143"/>
      <c r="AL8" s="143"/>
      <c r="AM8" s="143"/>
      <c r="AN8" s="143"/>
      <c r="AO8" s="143"/>
      <c r="AP8" s="143"/>
      <c r="AQ8" s="143"/>
    </row>
    <row r="9" spans="1:43" ht="91.5" customHeight="1" thickBot="1" x14ac:dyDescent="0.35">
      <c r="A9" s="160"/>
      <c r="B9" s="162"/>
      <c r="C9" s="163" t="s">
        <v>86</v>
      </c>
      <c r="D9" s="264"/>
      <c r="E9" s="264" t="s">
        <v>124</v>
      </c>
      <c r="F9" s="264" t="s">
        <v>125</v>
      </c>
      <c r="G9" s="264" t="s">
        <v>282</v>
      </c>
      <c r="H9" s="149" t="s">
        <v>98</v>
      </c>
      <c r="I9" s="149" t="s">
        <v>99</v>
      </c>
      <c r="J9" s="163" t="s">
        <v>262</v>
      </c>
      <c r="K9" s="183" t="s">
        <v>95</v>
      </c>
      <c r="L9" s="183" t="s">
        <v>96</v>
      </c>
      <c r="M9" s="183" t="s">
        <v>120</v>
      </c>
      <c r="N9" s="183" t="s">
        <v>1</v>
      </c>
      <c r="O9" s="183" t="s">
        <v>2</v>
      </c>
      <c r="P9" s="183"/>
      <c r="Q9" s="622"/>
      <c r="R9" s="623" t="s">
        <v>454</v>
      </c>
      <c r="S9" s="623" t="s">
        <v>266</v>
      </c>
      <c r="T9" s="163" t="s">
        <v>267</v>
      </c>
      <c r="U9" s="163" t="s">
        <v>263</v>
      </c>
      <c r="V9" s="163" t="s">
        <v>270</v>
      </c>
      <c r="W9" s="146"/>
      <c r="X9" t="s">
        <v>121</v>
      </c>
      <c r="Y9"/>
      <c r="Z9"/>
      <c r="AA9"/>
      <c r="AB9"/>
      <c r="AC9"/>
      <c r="AD9"/>
      <c r="AE9"/>
      <c r="AF9"/>
      <c r="AG9"/>
      <c r="AH9" s="143"/>
      <c r="AI9" s="143"/>
      <c r="AJ9" s="143"/>
      <c r="AK9" s="143"/>
      <c r="AL9" s="143"/>
      <c r="AM9" s="143"/>
      <c r="AN9" s="143"/>
      <c r="AO9" s="143"/>
      <c r="AP9" s="143"/>
      <c r="AQ9" s="143"/>
    </row>
    <row r="10" spans="1:43" ht="51.75" customHeight="1" thickBot="1" x14ac:dyDescent="0.35">
      <c r="A10" s="160"/>
      <c r="B10" s="165"/>
      <c r="C10" s="717" t="s">
        <v>172</v>
      </c>
      <c r="D10" s="717"/>
      <c r="E10" s="717" t="s">
        <v>257</v>
      </c>
      <c r="F10" s="369"/>
      <c r="G10" s="369"/>
      <c r="H10" s="814" t="s">
        <v>131</v>
      </c>
      <c r="I10" s="815"/>
      <c r="J10" s="816"/>
      <c r="K10" s="184" t="s">
        <v>134</v>
      </c>
      <c r="L10" s="184" t="s">
        <v>133</v>
      </c>
      <c r="M10" s="184" t="s">
        <v>133</v>
      </c>
      <c r="N10" s="184" t="s">
        <v>133</v>
      </c>
      <c r="O10" s="184" t="s">
        <v>133</v>
      </c>
      <c r="P10" s="184" t="s">
        <v>133</v>
      </c>
      <c r="Q10" s="811" t="s">
        <v>261</v>
      </c>
      <c r="R10" s="812"/>
      <c r="S10" s="812"/>
      <c r="T10" s="812"/>
      <c r="U10" s="812"/>
      <c r="V10" s="813"/>
      <c r="W10" s="620"/>
      <c r="X10"/>
      <c r="Y10"/>
      <c r="Z10"/>
      <c r="AA10"/>
      <c r="AB10"/>
      <c r="AC10"/>
      <c r="AD10"/>
      <c r="AE10"/>
      <c r="AF10"/>
      <c r="AG10"/>
      <c r="AH10" s="143"/>
      <c r="AI10" s="143"/>
      <c r="AJ10" s="143"/>
      <c r="AK10" s="143"/>
      <c r="AL10" s="143"/>
      <c r="AM10" s="143"/>
      <c r="AN10" s="143"/>
      <c r="AO10" s="143"/>
      <c r="AP10" s="143"/>
      <c r="AQ10" s="143"/>
    </row>
    <row r="11" spans="1:43" x14ac:dyDescent="0.3">
      <c r="A11" s="339">
        <v>1</v>
      </c>
      <c r="B11" s="166" t="str">
        <f>CONCATENATE('3. Consumption by Rate Class'!B16,"-",'3. Consumption by Rate Class'!C16)</f>
        <v>2013-January</v>
      </c>
      <c r="C11" s="169">
        <v>12427125.300000001</v>
      </c>
      <c r="D11" s="154"/>
      <c r="E11" s="366">
        <v>284454</v>
      </c>
      <c r="F11" s="154">
        <v>3020</v>
      </c>
      <c r="G11" s="154"/>
      <c r="H11" s="367"/>
      <c r="I11" s="367"/>
      <c r="J11" s="167">
        <f>SUM(C11:I11)</f>
        <v>12714599.300000001</v>
      </c>
      <c r="K11" s="167">
        <f>IF(K$9='5.Variables'!$B$10,+'5.Variables'!$C21,+IF(K$9='5.Variables'!$B$34,+'5.Variables'!$C45,+IF(K$9='5.Variables'!$B$58,+'5.Variables'!$C60,+IF(K$9='5.Variables'!$B$72,+'5.Variables'!$C74,+IF(K$9='5.Variables'!$B$86,+'5.Variables'!$C88,+IF(K$9='5.Variables'!$B$100,+'5.Variables'!$C102,IF(K$9='5.Variables'!$B$32,+'5.Variables'!$C32,IF(K$9='5.Variables'!$B$56,+'5.Variables'!$C56,0))))))))</f>
        <v>12593</v>
      </c>
      <c r="L11" s="292">
        <f>IF(L$9='5.Variables'!$B$10,+'5.Variables'!$C21,+IF(L$9='5.Variables'!$B$34,+'5.Variables'!$C45,+IF(L$9='5.Variables'!$B$58,+'5.Variables'!$C60,+IF(L$9='5.Variables'!$B$72,+'5.Variables'!$C74,+IF(L$9='5.Variables'!$B$86,+'5.Variables'!$C88,+IF(L$9='5.Variables'!$B$100,+'5.Variables'!$C102,IF(L$9='5.Variables'!$B$32,+'5.Variables'!$C32,IF(L$9='5.Variables'!$B$56,+'5.Variables'!$C56,0))))))))</f>
        <v>0</v>
      </c>
      <c r="M11" s="292">
        <f>IF(M$9='5.Variables'!$B$10,+'5.Variables'!$C21,+IF(M$9='5.Variables'!$B$34,+'5.Variables'!$C45,+IF(M$9='5.Variables'!$B$58,+'5.Variables'!$C60,+IF(M$9='5.Variables'!$B$72,+'5.Variables'!$C74,+IF(M$9='5.Variables'!$B$86,+'5.Variables'!$C88,+IF(M$9='5.Variables'!$B$100,+'5.Variables'!$C102,IF(M$9='5.Variables'!$B$32,+'5.Variables'!$C32,IF(M$9='5.Variables'!$B$56,+'5.Variables'!$C56,0))))))))</f>
        <v>31</v>
      </c>
      <c r="N11" s="292">
        <f>IF(N$9='5.Variables'!$B$10,+'5.Variables'!$C21,+IF(N$9='5.Variables'!$B$34,+'5.Variables'!$C45,+IF(N$9='5.Variables'!$B$58,+'5.Variables'!$C60,+IF(N$9='5.Variables'!$B$72,+'5.Variables'!$C74,+IF(N$9='5.Variables'!$B$86,+'5.Variables'!$C88,+IF(N$9='5.Variables'!$B$100,+'5.Variables'!$C102,IF(N$9='5.Variables'!$B$32,+'5.Variables'!$C32,IF(N$9='5.Variables'!$B$56,+'5.Variables'!$C56,0))))))))</f>
        <v>638.9</v>
      </c>
      <c r="O11" s="292">
        <f>IF(O$9='5.Variables'!$B$10,+'5.Variables'!$C21,+IF(O$9='5.Variables'!$B$34,+'5.Variables'!$C45,+IF(O$9='5.Variables'!$B$58,+'5.Variables'!$C60,+IF(O$9='5.Variables'!$B$72,+'5.Variables'!$C74,+IF(O$9='5.Variables'!$B$86,+'5.Variables'!$C88,+IF(O$9='5.Variables'!$B$100,+'5.Variables'!$C102,IF(O$9='5.Variables'!$B$32,+'5.Variables'!$C32,IF(O$9='5.Variables'!$B$56,+'5.Variables'!$C56,0))))))))</f>
        <v>0</v>
      </c>
      <c r="P11" s="292">
        <f>IF(P$9='5.Variables'!$B$10,+'5.Variables'!$C21,+IF(P$9='5.Variables'!$B$34,+'5.Variables'!$C45,+IF(P$9='5.Variables'!$B$58,+'5.Variables'!$C60,+IF(P$9='5.Variables'!$B$72,+'5.Variables'!$C74,+IF(P$9='5.Variables'!$B$86,+'5.Variables'!$C88,+IF(P$9='5.Variables'!$B$100,+'5.Variables'!$C102,IF(P$9='5.Variables'!$B$32,+'5.Variables'!$C32,IF(P$9='5.Variables'!$B$56,+'5.Variables'!$C56,0))))))))</f>
        <v>0</v>
      </c>
      <c r="Q11" s="143"/>
      <c r="R11" s="154">
        <v>13017835.934962705</v>
      </c>
      <c r="S11" s="167">
        <f>$Y$25+($K11*$Y$26)+($L11*$Y$27)+($M11*$Y$28)+($N11*$Y$29)+($O11*$Y$30)+($P11*$Y$31)</f>
        <v>12640161.171439372</v>
      </c>
      <c r="T11" s="624">
        <f>+R11/S11</f>
        <v>1.0298789515735522</v>
      </c>
      <c r="U11" s="167">
        <f>+T11*J11</f>
        <v>13094498.196761822</v>
      </c>
      <c r="V11" s="621"/>
      <c r="W11" s="143"/>
      <c r="X11" s="187" t="s">
        <v>7</v>
      </c>
      <c r="Y11" s="187"/>
      <c r="Z11"/>
      <c r="AA11"/>
      <c r="AB11"/>
      <c r="AC11"/>
      <c r="AD11"/>
      <c r="AE11"/>
      <c r="AF11"/>
      <c r="AG11"/>
      <c r="AH11" s="143"/>
      <c r="AI11" s="143"/>
      <c r="AJ11" s="143"/>
      <c r="AK11" s="143"/>
      <c r="AL11" s="143"/>
      <c r="AM11" s="143"/>
      <c r="AN11" s="143"/>
      <c r="AO11" s="143"/>
      <c r="AP11" s="143"/>
      <c r="AQ11" s="143"/>
    </row>
    <row r="12" spans="1:43" x14ac:dyDescent="0.3">
      <c r="A12" s="339">
        <f t="shared" ref="A12:A43" si="0">+A11+1</f>
        <v>2</v>
      </c>
      <c r="B12" s="166" t="str">
        <f>CONCATENATE('3. Consumption by Rate Class'!B17,"-",'3. Consumption by Rate Class'!C17)</f>
        <v>2013-February</v>
      </c>
      <c r="C12" s="169">
        <v>11414727.16</v>
      </c>
      <c r="D12" s="154"/>
      <c r="E12" s="366">
        <v>256457</v>
      </c>
      <c r="F12" s="154">
        <v>2961</v>
      </c>
      <c r="G12" s="154"/>
      <c r="H12" s="367"/>
      <c r="I12" s="367"/>
      <c r="J12" s="167">
        <f t="shared" ref="J12:J42" si="1">SUM(C12:I12)</f>
        <v>11674145.16</v>
      </c>
      <c r="K12" s="167">
        <f>IF(K$9='5.Variables'!$B$10,+'5.Variables'!$D21,+IF(K$9='5.Variables'!$B$34,+'5.Variables'!$D45,+IF(K$9='5.Variables'!$B$58,+'5.Variables'!$D60,+IF(K$9='5.Variables'!$B$72,+'5.Variables'!$D74,+IF(K$9='5.Variables'!$B$86,+'5.Variables'!$D88,+IF(K$9='5.Variables'!$B$100,+'5.Variables'!$D102,IF(K$9='5.Variables'!$B$32,+'5.Variables'!$D32,IF(K$9='5.Variables'!$B$56,+'5.Variables'!$D56,0))))))))</f>
        <v>12597</v>
      </c>
      <c r="L12" s="292">
        <f>IF(L$9='5.Variables'!$B$10,+'5.Variables'!$D21,+IF(L$9='5.Variables'!$B$34,+'5.Variables'!$D45,+IF(L$9='5.Variables'!$B$58,+'5.Variables'!$D60,+IF(L$9='5.Variables'!$B$72,+'5.Variables'!$D74,+IF(L$9='5.Variables'!$B$86,+'5.Variables'!$D88,+IF(L$9='5.Variables'!$B$100,+'5.Variables'!$D102,IF(L$9='5.Variables'!$B$32,+'5.Variables'!$D32,IF(L$9='5.Variables'!$B$56,+'5.Variables'!$D56,0))))))))</f>
        <v>0</v>
      </c>
      <c r="M12" s="292">
        <f>IF(M$9='5.Variables'!$B$10,+'5.Variables'!$D21,+IF(M$9='5.Variables'!$B$34,+'5.Variables'!$D45,+IF(M$9='5.Variables'!$B$58,+'5.Variables'!$D60,+IF(M$9='5.Variables'!$B$72,+'5.Variables'!$D74,+IF(M$9='5.Variables'!$B$86,+'5.Variables'!$D88,+IF(M$9='5.Variables'!$B$100,+'5.Variables'!$D102,IF(M$9='5.Variables'!$B$32,+'5.Variables'!$D32,IF(M$9='5.Variables'!$B$56,+'5.Variables'!$D56,0))))))))</f>
        <v>28</v>
      </c>
      <c r="N12" s="292">
        <f>IF(N$9='5.Variables'!$B$10,+'5.Variables'!$D21,+IF(N$9='5.Variables'!$B$34,+'5.Variables'!$D45,+IF(N$9='5.Variables'!$B$58,+'5.Variables'!$D60,+IF(N$9='5.Variables'!$B$72,+'5.Variables'!$D74,+IF(N$9='5.Variables'!$B$86,+'5.Variables'!$D88,+IF(N$9='5.Variables'!$B$100,+'5.Variables'!$D102,IF(N$9='5.Variables'!$B$32,+'5.Variables'!$D32,IF(N$9='5.Variables'!$B$56,+'5.Variables'!$D56,0))))))))</f>
        <v>647.79999999999995</v>
      </c>
      <c r="O12" s="292">
        <f>IF(O$9='5.Variables'!$B$10,+'5.Variables'!$D21,+IF(O$9='5.Variables'!$B$34,+'5.Variables'!$D45,+IF(O$9='5.Variables'!$B$58,+'5.Variables'!$D60,+IF(O$9='5.Variables'!$B$72,+'5.Variables'!$D74,+IF(O$9='5.Variables'!$B$86,+'5.Variables'!$D88,+IF(O$9='5.Variables'!$B$100,+'5.Variables'!$D102,IF(O$9='5.Variables'!$B$32,+'5.Variables'!$D32,IF(O$9='5.Variables'!$B$56,+'5.Variables'!$D56,0))))))))</f>
        <v>0</v>
      </c>
      <c r="P12" s="292">
        <f>IF(P$9='5.Variables'!$B$10,+'5.Variables'!$D21,+IF(P$9='5.Variables'!$B$34,+'5.Variables'!$D45,+IF(P$9='5.Variables'!$B$58,+'5.Variables'!$D60,+IF(P$9='5.Variables'!$B$72,+'5.Variables'!$D74,+IF(P$9='5.Variables'!$B$86,+'5.Variables'!$D88,+IF(P$9='5.Variables'!$B$100,+'5.Variables'!$D102,IF(P$9='5.Variables'!$B$32,+'5.Variables'!$D32,IF(P$9='5.Variables'!$B$56,+'5.Variables'!$D56,0))))))))</f>
        <v>0</v>
      </c>
      <c r="Q12" s="143"/>
      <c r="R12" s="154">
        <v>11424250.837253824</v>
      </c>
      <c r="S12" s="685">
        <f t="shared" ref="S12:S42" si="2">$Y$25+($K12*$Y$26)+($L12*$Y$27)+($M12*$Y$28)+($N12*$Y$29)+($O12*$Y$30)+($P12*$Y$31)</f>
        <v>11425114.949739004</v>
      </c>
      <c r="T12" s="624">
        <f t="shared" ref="T12:T42" si="3">+R12/S12</f>
        <v>0.99992436728304435</v>
      </c>
      <c r="U12" s="167">
        <f t="shared" ref="U12:U42" si="4">+T12*J12</f>
        <v>11673262.212683415</v>
      </c>
      <c r="V12" s="170"/>
      <c r="W12" s="143"/>
      <c r="X12" t="s">
        <v>8</v>
      </c>
      <c r="Y12">
        <v>0.96602179318143067</v>
      </c>
      <c r="Z12"/>
      <c r="AA12"/>
      <c r="AB12"/>
      <c r="AC12"/>
      <c r="AD12"/>
      <c r="AE12"/>
      <c r="AF12"/>
      <c r="AG12"/>
      <c r="AH12" s="143"/>
      <c r="AI12" s="143"/>
      <c r="AJ12" s="143"/>
      <c r="AK12" s="143"/>
      <c r="AL12" s="143"/>
      <c r="AM12" s="143"/>
      <c r="AN12" s="143"/>
      <c r="AO12" s="143"/>
      <c r="AP12" s="143"/>
      <c r="AQ12" s="143"/>
    </row>
    <row r="13" spans="1:43" x14ac:dyDescent="0.3">
      <c r="A13" s="339">
        <f t="shared" si="0"/>
        <v>3</v>
      </c>
      <c r="B13" s="166" t="str">
        <f>CONCATENATE('3. Consumption by Rate Class'!B18,"-",'3. Consumption by Rate Class'!C18)</f>
        <v>2013-March</v>
      </c>
      <c r="C13" s="169">
        <v>11410609.51</v>
      </c>
      <c r="D13" s="154"/>
      <c r="E13" s="366">
        <v>281842</v>
      </c>
      <c r="F13" s="154">
        <v>17416</v>
      </c>
      <c r="G13" s="154"/>
      <c r="H13" s="367"/>
      <c r="I13" s="367"/>
      <c r="J13" s="167">
        <f t="shared" si="1"/>
        <v>11709867.51</v>
      </c>
      <c r="K13" s="167">
        <f>IF(K$9='5.Variables'!$B$10,+'5.Variables'!$E21,+IF(K$9='5.Variables'!$B$34,+'5.Variables'!$E45,+IF(K$9='5.Variables'!$B$58,+'5.Variables'!$E60,+IF(K$9='5.Variables'!$B$72,+'5.Variables'!$E74,+IF(K$9='5.Variables'!$B$86,+'5.Variables'!$E88,+IF(K$9='5.Variables'!$B$100,+'5.Variables'!$E102,IF(K$9='5.Variables'!$B$32,+'5.Variables'!$E32,IF(K$9='5.Variables'!$B$56,+'5.Variables'!$E56,0))))))))</f>
        <v>12608</v>
      </c>
      <c r="L13" s="292">
        <f>IF(L$9='5.Variables'!$B$10,+'5.Variables'!$E21,+IF(L$9='5.Variables'!$B$34,+'5.Variables'!$E45,+IF(L$9='5.Variables'!$B$58,+'5.Variables'!$E60,+IF(L$9='5.Variables'!$B$72,+'5.Variables'!$E74,+IF(L$9='5.Variables'!$B$86,+'5.Variables'!$E88,+IF(L$9='5.Variables'!$B$100,+'5.Variables'!$E102,IF(L$9='5.Variables'!$B$32,+'5.Variables'!$E32,IF(L$9='5.Variables'!$B$56,+'5.Variables'!$E56,0))))))))</f>
        <v>1</v>
      </c>
      <c r="M13" s="292">
        <f>IF(M$9='5.Variables'!$B$10,+'5.Variables'!$E21,+IF(M$9='5.Variables'!$B$34,+'5.Variables'!$E45,+IF(M$9='5.Variables'!$B$58,+'5.Variables'!$E60,+IF(M$9='5.Variables'!$B$72,+'5.Variables'!$E74,+IF(M$9='5.Variables'!$B$86,+'5.Variables'!$E88,+IF(M$9='5.Variables'!$B$100,+'5.Variables'!$E102,IF(M$9='5.Variables'!$B$32,+'5.Variables'!$E32,IF(M$9='5.Variables'!$B$56,+'5.Variables'!$E56,0))))))))</f>
        <v>31</v>
      </c>
      <c r="N13" s="292">
        <f>IF(N$9='5.Variables'!$B$10,+'5.Variables'!$E21,+IF(N$9='5.Variables'!$B$34,+'5.Variables'!$E45,+IF(N$9='5.Variables'!$B$58,+'5.Variables'!$E60,+IF(N$9='5.Variables'!$B$72,+'5.Variables'!$E74,+IF(N$9='5.Variables'!$B$86,+'5.Variables'!$E88,+IF(N$9='5.Variables'!$B$100,+'5.Variables'!$E102,IF(N$9='5.Variables'!$B$32,+'5.Variables'!$E32,IF(N$9='5.Variables'!$B$56,+'5.Variables'!$E56,0))))))))</f>
        <v>582.20000000000005</v>
      </c>
      <c r="O13" s="292">
        <f>IF(O$9='5.Variables'!$B$10,+'5.Variables'!$E21,+IF(O$9='5.Variables'!$B$34,+'5.Variables'!$E45,+IF(O$9='5.Variables'!$B$58,+'5.Variables'!$E60,+IF(O$9='5.Variables'!$B$72,+'5.Variables'!$E74,+IF(O$9='5.Variables'!$B$86,+'5.Variables'!$E88,+IF(O$9='5.Variables'!$B$100,+'5.Variables'!$E102,IF(O$9='5.Variables'!$B$32,+'5.Variables'!$E32,IF(O$9='5.Variables'!$B$56,+'5.Variables'!$E56,0))))))))</f>
        <v>0</v>
      </c>
      <c r="P13" s="292">
        <f>IF(P$9='5.Variables'!$B$10,+'5.Variables'!$E21,+IF(P$9='5.Variables'!$B$34,+'5.Variables'!$E45,+IF(P$9='5.Variables'!$B$58,+'5.Variables'!$E60,+IF(P$9='5.Variables'!$B$72,+'5.Variables'!$E74,+IF(P$9='5.Variables'!$B$86,+'5.Variables'!$E88,+IF(P$9='5.Variables'!$B$100,+'5.Variables'!$E102,IF(P$9='5.Variables'!$B$32,+'5.Variables'!$E32,IF(P$9='5.Variables'!$B$56,+'5.Variables'!$E56,0))))))))</f>
        <v>0</v>
      </c>
      <c r="Q13" s="143"/>
      <c r="R13" s="154">
        <v>11389381.312996052</v>
      </c>
      <c r="S13" s="167">
        <f t="shared" si="2"/>
        <v>11466978.614165353</v>
      </c>
      <c r="T13" s="624">
        <f t="shared" si="3"/>
        <v>0.99323297759765217</v>
      </c>
      <c r="U13" s="167">
        <f t="shared" si="4"/>
        <v>11630626.574231304</v>
      </c>
      <c r="V13" s="171"/>
      <c r="W13" s="618"/>
      <c r="X13" t="s">
        <v>9</v>
      </c>
      <c r="Y13">
        <v>0.93319810490146682</v>
      </c>
      <c r="Z13"/>
      <c r="AA13"/>
      <c r="AB13"/>
      <c r="AC13"/>
      <c r="AD13"/>
      <c r="AE13"/>
      <c r="AF13"/>
      <c r="AG13"/>
      <c r="AH13" s="143"/>
      <c r="AI13" s="143"/>
      <c r="AJ13" s="143"/>
      <c r="AK13" s="143"/>
      <c r="AL13" s="143"/>
      <c r="AM13" s="143"/>
      <c r="AN13" s="143"/>
      <c r="AO13" s="143"/>
      <c r="AP13" s="143"/>
      <c r="AQ13" s="143"/>
    </row>
    <row r="14" spans="1:43" x14ac:dyDescent="0.3">
      <c r="A14" s="339">
        <f t="shared" si="0"/>
        <v>4</v>
      </c>
      <c r="B14" s="166" t="str">
        <f>CONCATENATE('3. Consumption by Rate Class'!B19,"-",'3. Consumption by Rate Class'!C19)</f>
        <v>2013-April</v>
      </c>
      <c r="C14" s="169">
        <v>9843368.6199999992</v>
      </c>
      <c r="D14" s="154"/>
      <c r="E14" s="366">
        <v>277471</v>
      </c>
      <c r="F14" s="154">
        <v>21274</v>
      </c>
      <c r="G14" s="154"/>
      <c r="H14" s="367"/>
      <c r="I14" s="367"/>
      <c r="J14" s="167">
        <f t="shared" si="1"/>
        <v>10142113.619999999</v>
      </c>
      <c r="K14" s="167">
        <f>IF(K$9='5.Variables'!$B$10,+'5.Variables'!$F21,+IF(K$9='5.Variables'!$B$34,+'5.Variables'!$F45,+IF(K$9='5.Variables'!$B$58,+'5.Variables'!$F60,+IF(K$9='5.Variables'!$B$72,+'5.Variables'!$F74,+IF(K$9='5.Variables'!$B$86,+'5.Variables'!$F88,+IF(K$9='5.Variables'!$B$100,+'5.Variables'!$F102,IF(K$9='5.Variables'!$B$32,+'5.Variables'!$F32,IF(K$9='5.Variables'!$B$56,+'5.Variables'!$F56,0))))))))</f>
        <v>12620</v>
      </c>
      <c r="L14" s="292">
        <f>IF(L$9='5.Variables'!$B$10,+'5.Variables'!$F21,+IF(L$9='5.Variables'!$B$34,+'5.Variables'!$F45,+IF(L$9='5.Variables'!$B$58,+'5.Variables'!$F60,+IF(L$9='5.Variables'!$B$72,+'5.Variables'!$F74,+IF(L$9='5.Variables'!$B$86,+'5.Variables'!$F88,+IF(L$9='5.Variables'!$B$100,+'5.Variables'!$F102,IF(L$9='5.Variables'!$B$32,+'5.Variables'!$F32,IF(L$9='5.Variables'!$B$56,+'5.Variables'!$F56,0))))))))</f>
        <v>1</v>
      </c>
      <c r="M14" s="292">
        <f>IF(M$9='5.Variables'!$B$10,+'5.Variables'!$F21,+IF(M$9='5.Variables'!$B$34,+'5.Variables'!$F45,+IF(M$9='5.Variables'!$B$58,+'5.Variables'!$F60,+IF(M$9='5.Variables'!$B$72,+'5.Variables'!$F74,+IF(M$9='5.Variables'!$B$86,+'5.Variables'!$F88,+IF(M$9='5.Variables'!$B$100,+'5.Variables'!$F102,IF(M$9='5.Variables'!$B$32,+'5.Variables'!$F32,IF(M$9='5.Variables'!$B$56,+'5.Variables'!$F56,0))))))))</f>
        <v>30</v>
      </c>
      <c r="N14" s="292">
        <f>IF(N$9='5.Variables'!$B$10,+'5.Variables'!$F21,+IF(N$9='5.Variables'!$B$34,+'5.Variables'!$F45,+IF(N$9='5.Variables'!$B$58,+'5.Variables'!$F60,+IF(N$9='5.Variables'!$B$72,+'5.Variables'!$F74,+IF(N$9='5.Variables'!$B$86,+'5.Variables'!$F88,+IF(N$9='5.Variables'!$B$100,+'5.Variables'!$F102,IF(N$9='5.Variables'!$B$32,+'5.Variables'!$F32,IF(N$9='5.Variables'!$B$56,+'5.Variables'!$F56,0))))))))</f>
        <v>368.7</v>
      </c>
      <c r="O14" s="292">
        <f>IF(O$9='5.Variables'!$B$10,+'5.Variables'!$F21,+IF(O$9='5.Variables'!$B$34,+'5.Variables'!$F45,+IF(O$9='5.Variables'!$B$58,+'5.Variables'!$F60,+IF(O$9='5.Variables'!$B$72,+'5.Variables'!$F74,+IF(O$9='5.Variables'!$B$86,+'5.Variables'!$F88,+IF(O$9='5.Variables'!$B$100,+'5.Variables'!$F102,IF(O$9='5.Variables'!$B$32,+'5.Variables'!$F32,IF(O$9='5.Variables'!$B$56,+'5.Variables'!$F56,0))))))))</f>
        <v>0</v>
      </c>
      <c r="P14" s="292">
        <f>IF(P$9='5.Variables'!$B$10,+'5.Variables'!$F21,+IF(P$9='5.Variables'!$B$34,+'5.Variables'!$F45,+IF(P$9='5.Variables'!$B$58,+'5.Variables'!$F60,+IF(P$9='5.Variables'!$B$72,+'5.Variables'!$F74,+IF(P$9='5.Variables'!$B$86,+'5.Variables'!$F88,+IF(P$9='5.Variables'!$B$100,+'5.Variables'!$F102,IF(P$9='5.Variables'!$B$32,+'5.Variables'!$F32,IF(P$9='5.Variables'!$B$56,+'5.Variables'!$F56,0))))))))</f>
        <v>0</v>
      </c>
      <c r="Q14" s="143"/>
      <c r="R14" s="154">
        <v>9871218.4075260721</v>
      </c>
      <c r="S14" s="167">
        <f t="shared" si="2"/>
        <v>9824756.2882467788</v>
      </c>
      <c r="T14" s="624">
        <f t="shared" si="3"/>
        <v>1.0047290861896365</v>
      </c>
      <c r="U14" s="167">
        <f t="shared" si="4"/>
        <v>10190076.549454065</v>
      </c>
      <c r="V14" s="171"/>
      <c r="W14" s="618"/>
      <c r="X14" t="s">
        <v>10</v>
      </c>
      <c r="Y14">
        <v>0.93026819722170651</v>
      </c>
      <c r="Z14"/>
      <c r="AA14"/>
      <c r="AB14"/>
      <c r="AC14"/>
      <c r="AD14"/>
      <c r="AE14"/>
      <c r="AF14"/>
      <c r="AG14"/>
      <c r="AH14" s="143"/>
      <c r="AI14" s="143"/>
      <c r="AJ14" s="143"/>
      <c r="AK14" s="143"/>
      <c r="AL14" s="143"/>
      <c r="AM14" s="143"/>
      <c r="AN14" s="143"/>
      <c r="AO14" s="143"/>
      <c r="AP14" s="143"/>
      <c r="AQ14" s="143"/>
    </row>
    <row r="15" spans="1:43" x14ac:dyDescent="0.3">
      <c r="A15" s="339">
        <f t="shared" si="0"/>
        <v>5</v>
      </c>
      <c r="B15" s="166" t="str">
        <f>CONCATENATE('3. Consumption by Rate Class'!B20,"-",'3. Consumption by Rate Class'!C20)</f>
        <v>2013-May</v>
      </c>
      <c r="C15" s="169">
        <v>9607315.9800000004</v>
      </c>
      <c r="D15" s="154"/>
      <c r="E15" s="366">
        <v>307911</v>
      </c>
      <c r="F15" s="154">
        <v>29336</v>
      </c>
      <c r="G15" s="154"/>
      <c r="H15" s="367"/>
      <c r="I15" s="367"/>
      <c r="J15" s="167">
        <f t="shared" si="1"/>
        <v>9944562.9800000004</v>
      </c>
      <c r="K15" s="167">
        <f>IF(K$9='5.Variables'!$B$10,+'5.Variables'!$G21,+IF(K$9='5.Variables'!$B$34,+'5.Variables'!$G45,+IF(K$9='5.Variables'!$B$58,+'5.Variables'!$G60,+IF(K$9='5.Variables'!$B$72,+'5.Variables'!$G74,+IF(K$9='5.Variables'!$B$86,+'5.Variables'!$G88,+IF(K$9='5.Variables'!$B$100,+'5.Variables'!$G102,IF(K$9='5.Variables'!$B$32,+'5.Variables'!$G32,IF(K$9='5.Variables'!$B$56,+'5.Variables'!$G56,0))))))))</f>
        <v>12628</v>
      </c>
      <c r="L15" s="292">
        <f>IF(L$9='5.Variables'!$B$10,+'5.Variables'!$G21,+IF(L$9='5.Variables'!$B$34,+'5.Variables'!$G45,+IF(L$9='5.Variables'!$B$58,+'5.Variables'!$G60,+IF(L$9='5.Variables'!$B$72,+'5.Variables'!$G74,+IF(L$9='5.Variables'!$B$86,+'5.Variables'!$G88,+IF(L$9='5.Variables'!$B$100,+'5.Variables'!$G102,IF(L$9='5.Variables'!$B$32,+'5.Variables'!$G32,IF(L$9='5.Variables'!$B$56,+'5.Variables'!$G56,0))))))))</f>
        <v>1</v>
      </c>
      <c r="M15" s="292">
        <f>IF(M$9='5.Variables'!$B$10,+'5.Variables'!$G21,+IF(M$9='5.Variables'!$B$34,+'5.Variables'!$G45,+IF(M$9='5.Variables'!$B$58,+'5.Variables'!$G60,+IF(M$9='5.Variables'!$B$72,+'5.Variables'!$G74,+IF(M$9='5.Variables'!$B$86,+'5.Variables'!$G88,+IF(M$9='5.Variables'!$B$100,+'5.Variables'!$G102,IF(M$9='5.Variables'!$B$32,+'5.Variables'!$G32,IF(M$9='5.Variables'!$B$56,+'5.Variables'!$G56,0))))))))</f>
        <v>31</v>
      </c>
      <c r="N15" s="292">
        <f>IF(N$9='5.Variables'!$B$10,+'5.Variables'!$G21,+IF(N$9='5.Variables'!$B$34,+'5.Variables'!$G45,+IF(N$9='5.Variables'!$B$58,+'5.Variables'!$G60,+IF(N$9='5.Variables'!$B$72,+'5.Variables'!$G74,+IF(N$9='5.Variables'!$B$86,+'5.Variables'!$G88,+IF(N$9='5.Variables'!$B$100,+'5.Variables'!$G102,IF(N$9='5.Variables'!$B$32,+'5.Variables'!$G32,IF(N$9='5.Variables'!$B$56,+'5.Variables'!$G56,0))))))))</f>
        <v>163.69999999999999</v>
      </c>
      <c r="O15" s="292">
        <f>IF(O$9='5.Variables'!$B$10,+'5.Variables'!$G21,+IF(O$9='5.Variables'!$B$34,+'5.Variables'!$G45,+IF(O$9='5.Variables'!$B$58,+'5.Variables'!$G60,+IF(O$9='5.Variables'!$B$72,+'5.Variables'!$G74,+IF(O$9='5.Variables'!$B$86,+'5.Variables'!$G88,+IF(O$9='5.Variables'!$B$100,+'5.Variables'!$G102,IF(O$9='5.Variables'!$B$32,+'5.Variables'!$G32,IF(O$9='5.Variables'!$B$56,+'5.Variables'!$G56,0))))))))</f>
        <v>15.7</v>
      </c>
      <c r="P15" s="292">
        <f>IF(P$9='5.Variables'!$B$10,+'5.Variables'!$G21,+IF(P$9='5.Variables'!$B$34,+'5.Variables'!$G45,+IF(P$9='5.Variables'!$B$58,+'5.Variables'!$G60,+IF(P$9='5.Variables'!$B$72,+'5.Variables'!$G74,+IF(P$9='5.Variables'!$B$86,+'5.Variables'!$G88,+IF(P$9='5.Variables'!$B$100,+'5.Variables'!$G102,IF(P$9='5.Variables'!$B$32,+'5.Variables'!$G32,IF(P$9='5.Variables'!$B$56,+'5.Variables'!$G56,0))))))))</f>
        <v>0</v>
      </c>
      <c r="Q15" s="143"/>
      <c r="R15" s="154">
        <v>9845343.225997515</v>
      </c>
      <c r="S15" s="167">
        <f t="shared" si="2"/>
        <v>9690962.378483329</v>
      </c>
      <c r="T15" s="624">
        <f t="shared" si="3"/>
        <v>1.0159303938540671</v>
      </c>
      <c r="U15" s="167">
        <f t="shared" si="4"/>
        <v>10102983.784977976</v>
      </c>
      <c r="V15" s="171"/>
      <c r="W15" s="618"/>
      <c r="X15" t="s">
        <v>11</v>
      </c>
      <c r="Y15">
        <v>408475.81594475411</v>
      </c>
      <c r="Z15"/>
      <c r="AA15"/>
      <c r="AB15"/>
      <c r="AC15"/>
      <c r="AD15"/>
      <c r="AE15"/>
      <c r="AF15"/>
      <c r="AG15"/>
      <c r="AH15" s="143"/>
      <c r="AI15" s="143"/>
      <c r="AJ15" s="143"/>
      <c r="AK15" s="143"/>
      <c r="AL15" s="143"/>
      <c r="AM15" s="143"/>
      <c r="AN15" s="143"/>
      <c r="AO15" s="143"/>
      <c r="AP15" s="143"/>
      <c r="AQ15" s="143"/>
    </row>
    <row r="16" spans="1:43" ht="13.5" thickBot="1" x14ac:dyDescent="0.35">
      <c r="A16" s="339">
        <f t="shared" si="0"/>
        <v>6</v>
      </c>
      <c r="B16" s="166" t="str">
        <f>CONCATENATE('3. Consumption by Rate Class'!B21,"-",'3. Consumption by Rate Class'!C21)</f>
        <v>2013-June</v>
      </c>
      <c r="C16" s="169">
        <v>10146122.73</v>
      </c>
      <c r="D16" s="154"/>
      <c r="E16" s="366">
        <v>318570</v>
      </c>
      <c r="F16" s="154">
        <v>27674</v>
      </c>
      <c r="G16" s="154"/>
      <c r="H16" s="367"/>
      <c r="I16" s="367"/>
      <c r="J16" s="167">
        <f t="shared" si="1"/>
        <v>10492366.73</v>
      </c>
      <c r="K16" s="167">
        <f>IF(K$9='5.Variables'!$B$10,+'5.Variables'!$H21,+IF(K$9='5.Variables'!$B$34,+'5.Variables'!$H45,+IF(K$9='5.Variables'!$B$58,+'5.Variables'!$H60,+IF(K$9='5.Variables'!$B$72,+'5.Variables'!$H74,+IF(K$9='5.Variables'!$B$86,+'5.Variables'!$H88,+IF(K$9='5.Variables'!$B$100,+'5.Variables'!$H102,IF(K$9='5.Variables'!$B$32,+'5.Variables'!$H32,IF(K$9='5.Variables'!$B$56,+'5.Variables'!$H56,0))))))))</f>
        <v>12686</v>
      </c>
      <c r="L16" s="292">
        <f>IF(L$9='5.Variables'!$B$10,+'5.Variables'!$H21,+IF(L$9='5.Variables'!$B$34,+'5.Variables'!$H45,+IF(L$9='5.Variables'!$B$58,+'5.Variables'!$H60,+IF(L$9='5.Variables'!$B$72,+'5.Variables'!$H74,+IF(L$9='5.Variables'!$B$86,+'5.Variables'!$H88,+IF(L$9='5.Variables'!$B$100,+'5.Variables'!$H102,IF(L$9='5.Variables'!$B$32,+'5.Variables'!$H32,IF(L$9='5.Variables'!$B$56,+'5.Variables'!$H56,0))))))))</f>
        <v>0</v>
      </c>
      <c r="M16" s="292">
        <f>IF(M$9='5.Variables'!$B$10,+'5.Variables'!$H21,+IF(M$9='5.Variables'!$B$34,+'5.Variables'!$H45,+IF(M$9='5.Variables'!$B$58,+'5.Variables'!$H60,+IF(M$9='5.Variables'!$B$72,+'5.Variables'!$H74,+IF(M$9='5.Variables'!$B$86,+'5.Variables'!$H88,+IF(M$9='5.Variables'!$B$100,+'5.Variables'!$H102,IF(M$9='5.Variables'!$B$32,+'5.Variables'!$H32,IF(M$9='5.Variables'!$B$56,+'5.Variables'!$H56,0))))))))</f>
        <v>30</v>
      </c>
      <c r="N16" s="292">
        <f>IF(N$9='5.Variables'!$B$10,+'5.Variables'!$H21,+IF(N$9='5.Variables'!$B$34,+'5.Variables'!$H45,+IF(N$9='5.Variables'!$B$58,+'5.Variables'!$H60,+IF(N$9='5.Variables'!$B$72,+'5.Variables'!$H74,+IF(N$9='5.Variables'!$B$86,+'5.Variables'!$H88,+IF(N$9='5.Variables'!$B$100,+'5.Variables'!$H102,IF(N$9='5.Variables'!$B$32,+'5.Variables'!$H32,IF(N$9='5.Variables'!$B$56,+'5.Variables'!$H56,0))))))))</f>
        <v>73.3</v>
      </c>
      <c r="O16" s="292">
        <f>IF(O$9='5.Variables'!$B$10,+'5.Variables'!$H21,+IF(O$9='5.Variables'!$B$34,+'5.Variables'!$H45,+IF(O$9='5.Variables'!$B$58,+'5.Variables'!$H60,+IF(O$9='5.Variables'!$B$72,+'5.Variables'!$H74,+IF(O$9='5.Variables'!$B$86,+'5.Variables'!$H88,+IF(O$9='5.Variables'!$B$100,+'5.Variables'!$H102,IF(O$9='5.Variables'!$B$32,+'5.Variables'!$H32,IF(O$9='5.Variables'!$B$56,+'5.Variables'!$H56,0))))))))</f>
        <v>41</v>
      </c>
      <c r="P16" s="292">
        <f>IF(P$9='5.Variables'!$B$10,+'5.Variables'!$H21,+IF(P$9='5.Variables'!$B$34,+'5.Variables'!$H45,+IF(P$9='5.Variables'!$B$58,+'5.Variables'!$H60,+IF(P$9='5.Variables'!$B$72,+'5.Variables'!$H74,+IF(P$9='5.Variables'!$B$86,+'5.Variables'!$H88,+IF(P$9='5.Variables'!$B$100,+'5.Variables'!$H102,IF(P$9='5.Variables'!$B$32,+'5.Variables'!$H32,IF(P$9='5.Variables'!$B$56,+'5.Variables'!$H56,0))))))))</f>
        <v>0</v>
      </c>
      <c r="Q16" s="143"/>
      <c r="R16" s="154">
        <v>10415752.060860362</v>
      </c>
      <c r="S16" s="167">
        <f t="shared" si="2"/>
        <v>10653929.460835714</v>
      </c>
      <c r="T16" s="624">
        <f t="shared" si="3"/>
        <v>0.97764417336806086</v>
      </c>
      <c r="U16" s="167">
        <f t="shared" si="4"/>
        <v>10257801.198425394</v>
      </c>
      <c r="V16" s="171"/>
      <c r="W16" s="618"/>
      <c r="X16" s="185" t="s">
        <v>12</v>
      </c>
      <c r="Y16" s="185">
        <v>120</v>
      </c>
      <c r="Z16"/>
      <c r="AA16"/>
      <c r="AB16"/>
      <c r="AC16"/>
      <c r="AD16"/>
      <c r="AE16"/>
      <c r="AF16"/>
      <c r="AG16"/>
      <c r="AH16" s="143"/>
      <c r="AI16" s="143"/>
      <c r="AJ16" s="143"/>
      <c r="AK16" s="143"/>
      <c r="AL16" s="143"/>
      <c r="AM16" s="143"/>
      <c r="AN16" s="143"/>
      <c r="AO16" s="143"/>
      <c r="AP16" s="143"/>
      <c r="AQ16" s="143"/>
    </row>
    <row r="17" spans="1:43" x14ac:dyDescent="0.3">
      <c r="A17" s="339">
        <f t="shared" si="0"/>
        <v>7</v>
      </c>
      <c r="B17" s="166" t="str">
        <f>CONCATENATE('3. Consumption by Rate Class'!B22,"-",'3. Consumption by Rate Class'!C22)</f>
        <v>2013-July</v>
      </c>
      <c r="C17" s="169">
        <v>12627370.01</v>
      </c>
      <c r="D17" s="154"/>
      <c r="E17" s="366">
        <v>345163</v>
      </c>
      <c r="F17" s="154">
        <v>27702</v>
      </c>
      <c r="G17" s="154"/>
      <c r="H17" s="367"/>
      <c r="I17" s="367"/>
      <c r="J17" s="167">
        <f t="shared" si="1"/>
        <v>13000235.01</v>
      </c>
      <c r="K17" s="167">
        <f>IF(K$9='5.Variables'!$B$10,+'5.Variables'!$I21,+IF(K$9='5.Variables'!$B$34,+'5.Variables'!$I45,+IF(K$9='5.Variables'!$B$58,+'5.Variables'!$I60,+IF(K$9='5.Variables'!$B$72,+'5.Variables'!$I74,+IF(K$9='5.Variables'!$B$86,+'5.Variables'!$I88,+IF(K$9='5.Variables'!$B$100,+'5.Variables'!$I102,IF(K$9='5.Variables'!$B$32,+'5.Variables'!$I32,IF(K$9='5.Variables'!$B$56,+'5.Variables'!$I56,0))))))))</f>
        <v>12684</v>
      </c>
      <c r="L17" s="292">
        <f>IF(L$9='5.Variables'!$B$10,+'5.Variables'!$I21,+IF(L$9='5.Variables'!$B$34,+'5.Variables'!$I45,+IF(L$9='5.Variables'!$B$58,+'5.Variables'!$I60,+IF(L$9='5.Variables'!$B$72,+'5.Variables'!$I74,+IF(L$9='5.Variables'!$B$86,+'5.Variables'!$I88,+IF(L$9='5.Variables'!$B$100,+'5.Variables'!$I102,IF(L$9='5.Variables'!$B$32,+'5.Variables'!$I32,IF(L$9='5.Variables'!$B$56,+'5.Variables'!$I56,0))))))))</f>
        <v>0</v>
      </c>
      <c r="M17" s="292">
        <f>IF(M$9='5.Variables'!$B$10,+'5.Variables'!$I21,+IF(M$9='5.Variables'!$B$34,+'5.Variables'!$I45,+IF(M$9='5.Variables'!$B$58,+'5.Variables'!$I60,+IF(M$9='5.Variables'!$B$72,+'5.Variables'!$I74,+IF(M$9='5.Variables'!$B$86,+'5.Variables'!$I88,+IF(M$9='5.Variables'!$B$100,+'5.Variables'!$I102,IF(M$9='5.Variables'!$B$32,+'5.Variables'!$I32,IF(M$9='5.Variables'!$B$56,+'5.Variables'!$I56,0))))))))</f>
        <v>31</v>
      </c>
      <c r="N17" s="292">
        <f>IF(N$9='5.Variables'!$B$10,+'5.Variables'!$I21,+IF(N$9='5.Variables'!$B$34,+'5.Variables'!$I45,+IF(N$9='5.Variables'!$B$58,+'5.Variables'!$I60,+IF(N$9='5.Variables'!$B$72,+'5.Variables'!$I74,+IF(N$9='5.Variables'!$B$86,+'5.Variables'!$I88,+IF(N$9='5.Variables'!$B$100,+'5.Variables'!$I102,IF(N$9='5.Variables'!$B$32,+'5.Variables'!$I32,IF(N$9='5.Variables'!$B$56,+'5.Variables'!$I56,0))))))))</f>
        <v>6.3</v>
      </c>
      <c r="O17" s="292">
        <f>IF(O$9='5.Variables'!$B$10,+'5.Variables'!$I21,+IF(O$9='5.Variables'!$B$34,+'5.Variables'!$I45,+IF(O$9='5.Variables'!$B$58,+'5.Variables'!$I60,+IF(O$9='5.Variables'!$B$72,+'5.Variables'!$I74,+IF(O$9='5.Variables'!$B$86,+'5.Variables'!$I88,+IF(O$9='5.Variables'!$B$100,+'5.Variables'!$I102,IF(O$9='5.Variables'!$B$32,+'5.Variables'!$I32,IF(O$9='5.Variables'!$B$56,+'5.Variables'!$I56,0))))))))</f>
        <v>96.7</v>
      </c>
      <c r="P17" s="292">
        <f>IF(P$9='5.Variables'!$B$10,+'5.Variables'!$I21,+IF(P$9='5.Variables'!$B$34,+'5.Variables'!$I45,+IF(P$9='5.Variables'!$B$58,+'5.Variables'!$I60,+IF(P$9='5.Variables'!$B$72,+'5.Variables'!$I74,+IF(P$9='5.Variables'!$B$86,+'5.Variables'!$I88,+IF(P$9='5.Variables'!$B$100,+'5.Variables'!$I102,IF(P$9='5.Variables'!$B$32,+'5.Variables'!$I32,IF(P$9='5.Variables'!$B$56,+'5.Variables'!$I56,0))))))))</f>
        <v>0</v>
      </c>
      <c r="Q17" s="143"/>
      <c r="R17" s="154">
        <v>12541252.511428954</v>
      </c>
      <c r="S17" s="167">
        <f t="shared" si="2"/>
        <v>12876568.351726159</v>
      </c>
      <c r="T17" s="624">
        <f t="shared" si="3"/>
        <v>0.97395922336309004</v>
      </c>
      <c r="U17" s="167">
        <f t="shared" si="4"/>
        <v>12661698.793877253</v>
      </c>
      <c r="V17" s="171"/>
      <c r="W17" s="618"/>
      <c r="X17"/>
      <c r="Y17"/>
      <c r="Z17"/>
      <c r="AA17"/>
      <c r="AB17"/>
      <c r="AC17"/>
      <c r="AD17"/>
      <c r="AE17"/>
      <c r="AF17"/>
      <c r="AG17"/>
      <c r="AH17" s="143"/>
      <c r="AI17" s="143"/>
      <c r="AJ17" s="143"/>
      <c r="AK17" s="143"/>
      <c r="AL17" s="143"/>
      <c r="AM17" s="143"/>
      <c r="AN17" s="143"/>
      <c r="AO17" s="143"/>
      <c r="AP17" s="143"/>
      <c r="AQ17" s="143"/>
    </row>
    <row r="18" spans="1:43" ht="13.5" thickBot="1" x14ac:dyDescent="0.35">
      <c r="A18" s="339">
        <f t="shared" si="0"/>
        <v>8</v>
      </c>
      <c r="B18" s="166" t="str">
        <f>CONCATENATE('3. Consumption by Rate Class'!B23,"-",'3. Consumption by Rate Class'!C23)</f>
        <v>2013-August</v>
      </c>
      <c r="C18" s="169">
        <v>11481797.800000001</v>
      </c>
      <c r="D18" s="154"/>
      <c r="E18" s="366">
        <v>342291</v>
      </c>
      <c r="F18" s="154">
        <v>26339</v>
      </c>
      <c r="G18" s="154"/>
      <c r="H18" s="367"/>
      <c r="I18" s="367"/>
      <c r="J18" s="167">
        <f t="shared" si="1"/>
        <v>11850427.800000001</v>
      </c>
      <c r="K18" s="167">
        <f>IF(K$9='5.Variables'!$B$10,+'5.Variables'!$J21,+IF(K$9='5.Variables'!$B$34,+'5.Variables'!$J45,+IF(K$9='5.Variables'!$B$58,+'5.Variables'!$J60,+IF(K$9='5.Variables'!$B$72,+'5.Variables'!$J74,+IF(K$9='5.Variables'!$B$86,+'5.Variables'!$J88,+IF(K$9='5.Variables'!$B$100,+'5.Variables'!$J102,IF(K$9='5.Variables'!$B$32,+'5.Variables'!$J32,IF(K$9='5.Variables'!$B$56,+'5.Variables'!$J56,0))))))))</f>
        <v>12731</v>
      </c>
      <c r="L18" s="292">
        <f>IF(L$9='5.Variables'!$B$10,+'5.Variables'!$J21,+IF(L$9='5.Variables'!$B$34,+'5.Variables'!$J45,+IF(L$9='5.Variables'!$B$58,+'5.Variables'!$J60,+IF(L$9='5.Variables'!$B$72,+'5.Variables'!$J74,+IF(L$9='5.Variables'!$B$86,+'5.Variables'!$J88,+IF(L$9='5.Variables'!$B$100,+'5.Variables'!$J102,IF(L$9='5.Variables'!$B$32,+'5.Variables'!$J32,IF(L$9='5.Variables'!$B$56,+'5.Variables'!$J56,0))))))))</f>
        <v>0</v>
      </c>
      <c r="M18" s="292">
        <f>IF(M$9='5.Variables'!$B$10,+'5.Variables'!$J21,+IF(M$9='5.Variables'!$B$34,+'5.Variables'!$J45,+IF(M$9='5.Variables'!$B$58,+'5.Variables'!$J60,+IF(M$9='5.Variables'!$B$72,+'5.Variables'!$J74,+IF(M$9='5.Variables'!$B$86,+'5.Variables'!$J88,+IF(M$9='5.Variables'!$B$100,+'5.Variables'!$J102,IF(M$9='5.Variables'!$B$32,+'5.Variables'!$J32,IF(M$9='5.Variables'!$B$56,+'5.Variables'!$J56,0))))))))</f>
        <v>31</v>
      </c>
      <c r="N18" s="292">
        <f>IF(N$9='5.Variables'!$B$10,+'5.Variables'!$J21,+IF(N$9='5.Variables'!$B$34,+'5.Variables'!$J45,+IF(N$9='5.Variables'!$B$58,+'5.Variables'!$J60,+IF(N$9='5.Variables'!$B$72,+'5.Variables'!$J74,+IF(N$9='5.Variables'!$B$86,+'5.Variables'!$J88,+IF(N$9='5.Variables'!$B$100,+'5.Variables'!$J102,IF(N$9='5.Variables'!$B$32,+'5.Variables'!$J32,IF(N$9='5.Variables'!$B$56,+'5.Variables'!$J56,0))))))))</f>
        <v>13.8</v>
      </c>
      <c r="O18" s="292">
        <f>IF(O$9='5.Variables'!$B$10,+'5.Variables'!$J21,+IF(O$9='5.Variables'!$B$34,+'5.Variables'!$J45,+IF(O$9='5.Variables'!$B$58,+'5.Variables'!$J60,+IF(O$9='5.Variables'!$B$72,+'5.Variables'!$J74,+IF(O$9='5.Variables'!$B$86,+'5.Variables'!$J88,+IF(O$9='5.Variables'!$B$100,+'5.Variables'!$J102,IF(O$9='5.Variables'!$B$32,+'5.Variables'!$J32,IF(O$9='5.Variables'!$B$56,+'5.Variables'!$J56,0))))))))</f>
        <v>63.9</v>
      </c>
      <c r="P18" s="292">
        <f>IF(P$9='5.Variables'!$B$10,+'5.Variables'!$J21,+IF(P$9='5.Variables'!$B$34,+'5.Variables'!$J45,+IF(P$9='5.Variables'!$B$58,+'5.Variables'!$J60,+IF(P$9='5.Variables'!$B$72,+'5.Variables'!$J74,+IF(P$9='5.Variables'!$B$86,+'5.Variables'!$J88,+IF(P$9='5.Variables'!$B$100,+'5.Variables'!$J102,IF(P$9='5.Variables'!$B$32,+'5.Variables'!$J32,IF(P$9='5.Variables'!$B$56,+'5.Variables'!$J56,0))))))))</f>
        <v>0</v>
      </c>
      <c r="Q18" s="143"/>
      <c r="R18" s="154">
        <v>12302785.756956346</v>
      </c>
      <c r="S18" s="167">
        <f t="shared" si="2"/>
        <v>11675045.441890929</v>
      </c>
      <c r="T18" s="624">
        <f t="shared" si="3"/>
        <v>1.0537676977952513</v>
      </c>
      <c r="U18" s="167">
        <f t="shared" si="4"/>
        <v>12487598.020694844</v>
      </c>
      <c r="V18" s="171"/>
      <c r="W18" s="618"/>
      <c r="X18" t="s">
        <v>13</v>
      </c>
      <c r="Y18"/>
      <c r="Z18"/>
      <c r="AA18"/>
      <c r="AB18"/>
      <c r="AC18"/>
      <c r="AD18"/>
      <c r="AE18"/>
      <c r="AF18"/>
      <c r="AG18"/>
      <c r="AH18" s="143"/>
      <c r="AI18" s="143"/>
      <c r="AJ18" s="143"/>
      <c r="AK18" s="143"/>
      <c r="AL18" s="143"/>
      <c r="AM18" s="143"/>
      <c r="AN18" s="143"/>
      <c r="AO18" s="143"/>
      <c r="AP18" s="143"/>
      <c r="AQ18" s="143"/>
    </row>
    <row r="19" spans="1:43" x14ac:dyDescent="0.3">
      <c r="A19" s="339">
        <f t="shared" si="0"/>
        <v>9</v>
      </c>
      <c r="B19" s="166" t="str">
        <f>CONCATENATE('3. Consumption by Rate Class'!B24,"-",'3. Consumption by Rate Class'!C24)</f>
        <v>2013-September</v>
      </c>
      <c r="C19" s="169">
        <v>9549656.1400000006</v>
      </c>
      <c r="D19" s="154"/>
      <c r="E19" s="366">
        <v>313675</v>
      </c>
      <c r="F19" s="154">
        <v>20249</v>
      </c>
      <c r="G19" s="154"/>
      <c r="H19" s="367"/>
      <c r="I19" s="367"/>
      <c r="J19" s="167">
        <f t="shared" si="1"/>
        <v>9883580.1400000006</v>
      </c>
      <c r="K19" s="167">
        <f>IF(K$9='5.Variables'!$B$10,+'5.Variables'!$K21,+IF(K$9='5.Variables'!$B$34,+'5.Variables'!$K45,+IF(K$9='5.Variables'!$B$58,+'5.Variables'!$K60,+IF(K$9='5.Variables'!$B$72,+'5.Variables'!$K74,+IF(K$9='5.Variables'!$B$86,+'5.Variables'!$K88,+IF(K$9='5.Variables'!$B$100,+'5.Variables'!$K102,IF(K$9='5.Variables'!$B$32,+'5.Variables'!$K32,IF(K$9='5.Variables'!$B$56,+'5.Variables'!$K56,0))))))))</f>
        <v>12749</v>
      </c>
      <c r="L19" s="292">
        <f>IF(L$9='5.Variables'!$B$10,+'5.Variables'!$K21,+IF(L$9='5.Variables'!$B$34,+'5.Variables'!$K45,+IF(L$9='5.Variables'!$B$58,+'5.Variables'!$K60,+IF(L$9='5.Variables'!$B$72,+'5.Variables'!$K74,+IF(L$9='5.Variables'!$B$86,+'5.Variables'!$K88,+IF(L$9='5.Variables'!$B$100,+'5.Variables'!$K102,IF(L$9='5.Variables'!$B$32,+'5.Variables'!$K32,IF(L$9='5.Variables'!$B$56,+'5.Variables'!$K56,0))))))))</f>
        <v>1</v>
      </c>
      <c r="M19" s="292">
        <f>IF(M$9='5.Variables'!$B$10,+'5.Variables'!$K21,+IF(M$9='5.Variables'!$B$34,+'5.Variables'!$K45,+IF(M$9='5.Variables'!$B$58,+'5.Variables'!$K60,+IF(M$9='5.Variables'!$B$72,+'5.Variables'!$K74,+IF(M$9='5.Variables'!$B$86,+'5.Variables'!$K88,+IF(M$9='5.Variables'!$B$100,+'5.Variables'!$K102,IF(M$9='5.Variables'!$B$32,+'5.Variables'!$K32,IF(M$9='5.Variables'!$B$56,+'5.Variables'!$K56,0))))))))</f>
        <v>30</v>
      </c>
      <c r="N19" s="292">
        <f>IF(N$9='5.Variables'!$B$10,+'5.Variables'!$K21,+IF(N$9='5.Variables'!$B$34,+'5.Variables'!$K45,+IF(N$9='5.Variables'!$B$58,+'5.Variables'!$K60,+IF(N$9='5.Variables'!$B$72,+'5.Variables'!$K74,+IF(N$9='5.Variables'!$B$86,+'5.Variables'!$K88,+IF(N$9='5.Variables'!$B$100,+'5.Variables'!$K102,IF(N$9='5.Variables'!$B$32,+'5.Variables'!$K32,IF(N$9='5.Variables'!$B$56,+'5.Variables'!$K56,0))))))))</f>
        <v>103.5</v>
      </c>
      <c r="O19" s="292">
        <f>IF(O$9='5.Variables'!$B$10,+'5.Variables'!$K21,+IF(O$9='5.Variables'!$B$34,+'5.Variables'!$K45,+IF(O$9='5.Variables'!$B$58,+'5.Variables'!$K60,+IF(O$9='5.Variables'!$B$72,+'5.Variables'!$K74,+IF(O$9='5.Variables'!$B$86,+'5.Variables'!$K88,+IF(O$9='5.Variables'!$B$100,+'5.Variables'!$K102,IF(O$9='5.Variables'!$B$32,+'5.Variables'!$K32,IF(O$9='5.Variables'!$B$56,+'5.Variables'!$K56,0))))))))</f>
        <v>24.1</v>
      </c>
      <c r="P19" s="292">
        <f>IF(P$9='5.Variables'!$B$10,+'5.Variables'!$K21,+IF(P$9='5.Variables'!$B$34,+'5.Variables'!$K45,+IF(P$9='5.Variables'!$B$58,+'5.Variables'!$K60,+IF(P$9='5.Variables'!$B$72,+'5.Variables'!$K74,+IF(P$9='5.Variables'!$B$86,+'5.Variables'!$K88,+IF(P$9='5.Variables'!$B$100,+'5.Variables'!$K102,IF(P$9='5.Variables'!$B$32,+'5.Variables'!$K32,IF(P$9='5.Variables'!$B$56,+'5.Variables'!$K56,0))))))))</f>
        <v>0</v>
      </c>
      <c r="Q19" s="143"/>
      <c r="R19" s="154">
        <v>9612770.251776848</v>
      </c>
      <c r="S19" s="167">
        <f t="shared" si="2"/>
        <v>9361876.0099743251</v>
      </c>
      <c r="T19" s="624">
        <f t="shared" si="3"/>
        <v>1.026799568968358</v>
      </c>
      <c r="U19" s="167">
        <f t="shared" si="4"/>
        <v>10148455.827616224</v>
      </c>
      <c r="V19" s="171"/>
      <c r="W19" s="618"/>
      <c r="X19" s="186"/>
      <c r="Y19" s="186" t="s">
        <v>18</v>
      </c>
      <c r="Z19" s="186" t="s">
        <v>19</v>
      </c>
      <c r="AA19" s="186" t="s">
        <v>20</v>
      </c>
      <c r="AB19" s="186" t="s">
        <v>21</v>
      </c>
      <c r="AC19" s="186" t="s">
        <v>22</v>
      </c>
      <c r="AD19"/>
      <c r="AE19"/>
      <c r="AF19"/>
      <c r="AG19"/>
      <c r="AH19" s="143"/>
      <c r="AI19" s="143"/>
      <c r="AJ19" s="143"/>
      <c r="AK19" s="143"/>
      <c r="AL19" s="143"/>
      <c r="AM19" s="143"/>
      <c r="AN19" s="143"/>
      <c r="AO19" s="143"/>
      <c r="AP19" s="143"/>
      <c r="AQ19" s="143"/>
    </row>
    <row r="20" spans="1:43" x14ac:dyDescent="0.3">
      <c r="A20" s="339">
        <f t="shared" si="0"/>
        <v>10</v>
      </c>
      <c r="B20" s="166" t="str">
        <f>CONCATENATE('3. Consumption by Rate Class'!B25,"-",'3. Consumption by Rate Class'!C25)</f>
        <v>2013-October</v>
      </c>
      <c r="C20" s="169">
        <v>9762325.4000000004</v>
      </c>
      <c r="D20" s="154"/>
      <c r="E20" s="366">
        <v>302871</v>
      </c>
      <c r="F20" s="154">
        <v>13494</v>
      </c>
      <c r="G20" s="154"/>
      <c r="H20" s="367"/>
      <c r="I20" s="367"/>
      <c r="J20" s="167">
        <f t="shared" si="1"/>
        <v>10078690.4</v>
      </c>
      <c r="K20" s="167">
        <f>IF(K$9='5.Variables'!$B$10,+'5.Variables'!$L21,+IF(K$9='5.Variables'!$B$34,+'5.Variables'!$L45,+IF(K$9='5.Variables'!$B$58,+'5.Variables'!$L60,+IF(K$9='5.Variables'!$B$72,+'5.Variables'!$L74,+IF(K$9='5.Variables'!$B$86,+'5.Variables'!$L88,+IF(K$9='5.Variables'!$B$100,+'5.Variables'!$L102,IF(K$9='5.Variables'!$B$32,+'5.Variables'!$L32,IF(K$9='5.Variables'!$B$56,+'5.Variables'!$L56,0))))))))</f>
        <v>12817</v>
      </c>
      <c r="L20" s="292">
        <f>IF(L$9='5.Variables'!$B$10,+'5.Variables'!$L21,+IF(L$9='5.Variables'!$B$34,+'5.Variables'!$L45,+IF(L$9='5.Variables'!$B$58,+'5.Variables'!$L60,+IF(L$9='5.Variables'!$B$72,+'5.Variables'!$L74,+IF(L$9='5.Variables'!$B$86,+'5.Variables'!$L88,+IF(L$9='5.Variables'!$B$100,+'5.Variables'!$L102,IF(L$9='5.Variables'!$B$32,+'5.Variables'!$L32,IF(L$9='5.Variables'!$B$56,+'5.Variables'!$L56,0))))))))</f>
        <v>1</v>
      </c>
      <c r="M20" s="292">
        <f>IF(M$9='5.Variables'!$B$10,+'5.Variables'!$L21,+IF(M$9='5.Variables'!$B$34,+'5.Variables'!$L45,+IF(M$9='5.Variables'!$B$58,+'5.Variables'!$L60,+IF(M$9='5.Variables'!$B$72,+'5.Variables'!$L74,+IF(M$9='5.Variables'!$B$86,+'5.Variables'!$L88,+IF(M$9='5.Variables'!$B$100,+'5.Variables'!$L102,IF(M$9='5.Variables'!$B$32,+'5.Variables'!$L32,IF(M$9='5.Variables'!$B$56,+'5.Variables'!$L56,0))))))))</f>
        <v>31</v>
      </c>
      <c r="N20" s="292">
        <f>IF(N$9='5.Variables'!$B$10,+'5.Variables'!$L21,+IF(N$9='5.Variables'!$B$34,+'5.Variables'!$L45,+IF(N$9='5.Variables'!$B$58,+'5.Variables'!$L60,+IF(N$9='5.Variables'!$B$72,+'5.Variables'!$L74,+IF(N$9='5.Variables'!$B$86,+'5.Variables'!$L88,+IF(N$9='5.Variables'!$B$100,+'5.Variables'!$L102,IF(N$9='5.Variables'!$B$32,+'5.Variables'!$L32,IF(N$9='5.Variables'!$B$56,+'5.Variables'!$L56,0))))))))</f>
        <v>189.8</v>
      </c>
      <c r="O20" s="292">
        <f>IF(O$9='5.Variables'!$B$10,+'5.Variables'!$L21,+IF(O$9='5.Variables'!$B$34,+'5.Variables'!$L45,+IF(O$9='5.Variables'!$B$58,+'5.Variables'!$L60,+IF(O$9='5.Variables'!$B$72,+'5.Variables'!$L74,+IF(O$9='5.Variables'!$B$86,+'5.Variables'!$L88,+IF(O$9='5.Variables'!$B$100,+'5.Variables'!$L102,IF(O$9='5.Variables'!$B$32,+'5.Variables'!$L32,IF(O$9='5.Variables'!$B$56,+'5.Variables'!$L56,0))))))))</f>
        <v>0.1</v>
      </c>
      <c r="P20" s="292">
        <f>IF(P$9='5.Variables'!$B$10,+'5.Variables'!$L21,+IF(P$9='5.Variables'!$B$34,+'5.Variables'!$L45,+IF(P$9='5.Variables'!$B$58,+'5.Variables'!$L60,+IF(P$9='5.Variables'!$B$72,+'5.Variables'!$L74,+IF(P$9='5.Variables'!$B$86,+'5.Variables'!$L88,+IF(P$9='5.Variables'!$B$100,+'5.Variables'!$L102,IF(P$9='5.Variables'!$B$32,+'5.Variables'!$L32,IF(P$9='5.Variables'!$B$56,+'5.Variables'!$L56,0))))))))</f>
        <v>0</v>
      </c>
      <c r="Q20" s="143"/>
      <c r="R20" s="154">
        <v>9770473.4292545393</v>
      </c>
      <c r="S20" s="167">
        <f t="shared" si="2"/>
        <v>9402472.5162773151</v>
      </c>
      <c r="T20" s="624">
        <f t="shared" si="3"/>
        <v>1.0391387384903439</v>
      </c>
      <c r="U20" s="167">
        <f t="shared" si="4"/>
        <v>10473157.62789074</v>
      </c>
      <c r="V20" s="171"/>
      <c r="W20" s="618"/>
      <c r="X20" t="s">
        <v>14</v>
      </c>
      <c r="Y20">
        <v>5</v>
      </c>
      <c r="Z20">
        <v>265719003034966.41</v>
      </c>
      <c r="AA20">
        <v>53143800606993.281</v>
      </c>
      <c r="AB20">
        <v>318.50768245975502</v>
      </c>
      <c r="AC20">
        <v>3.1118801376545482E-65</v>
      </c>
      <c r="AD20"/>
      <c r="AE20"/>
      <c r="AF20"/>
      <c r="AG20"/>
      <c r="AH20" s="143"/>
      <c r="AI20" s="143"/>
      <c r="AJ20" s="143"/>
      <c r="AK20" s="143"/>
      <c r="AL20" s="143"/>
      <c r="AM20" s="143"/>
      <c r="AN20" s="143"/>
      <c r="AO20" s="143"/>
      <c r="AP20" s="143"/>
      <c r="AQ20" s="143"/>
    </row>
    <row r="21" spans="1:43" x14ac:dyDescent="0.3">
      <c r="A21" s="339">
        <f t="shared" si="0"/>
        <v>11</v>
      </c>
      <c r="B21" s="166" t="str">
        <f>CONCATENATE('3. Consumption by Rate Class'!B26,"-",'3. Consumption by Rate Class'!C26)</f>
        <v>2013-November</v>
      </c>
      <c r="C21" s="169">
        <v>11051534.07</v>
      </c>
      <c r="D21" s="154"/>
      <c r="E21" s="366">
        <v>271859</v>
      </c>
      <c r="F21" s="154">
        <v>5211</v>
      </c>
      <c r="G21" s="154"/>
      <c r="H21" s="367"/>
      <c r="I21" s="367"/>
      <c r="J21" s="167">
        <f t="shared" si="1"/>
        <v>11328604.07</v>
      </c>
      <c r="K21" s="167">
        <f>IF(K$9='5.Variables'!$B$10,+'5.Variables'!$M21,+IF(K$9='5.Variables'!$B$34,+'5.Variables'!$M45,+IF(K$9='5.Variables'!$B$58,+'5.Variables'!$M60,+IF(K$9='5.Variables'!$B$72,+'5.Variables'!$M74,+IF(K$9='5.Variables'!$B$86,+'5.Variables'!$M88,+IF(K$9='5.Variables'!$B$100,+'5.Variables'!$M102,IF(K$9='5.Variables'!$B$32,+'5.Variables'!$M32,IF(K$9='5.Variables'!$B$56,+'5.Variables'!$M56,0))))))))</f>
        <v>12853</v>
      </c>
      <c r="L21" s="292">
        <f>IF(L$9='5.Variables'!$B$10,+'5.Variables'!$M21,+IF(L$9='5.Variables'!$B$34,+'5.Variables'!$M45,+IF(L$9='5.Variables'!$B$58,+'5.Variables'!$M60,+IF(L$9='5.Variables'!$B$72,+'5.Variables'!$M74,+IF(L$9='5.Variables'!$B$86,+'5.Variables'!$M88,+IF(L$9='5.Variables'!$B$100,+'5.Variables'!$M102,IF(L$9='5.Variables'!$B$32,+'5.Variables'!$M32,IF(L$9='5.Variables'!$B$56,+'5.Variables'!$M56,0))))))))</f>
        <v>1</v>
      </c>
      <c r="M21" s="292">
        <f>IF(M$9='5.Variables'!$B$10,+'5.Variables'!$M21,+IF(M$9='5.Variables'!$B$34,+'5.Variables'!$M45,+IF(M$9='5.Variables'!$B$58,+'5.Variables'!$M60,+IF(M$9='5.Variables'!$B$72,+'5.Variables'!$M74,+IF(M$9='5.Variables'!$B$86,+'5.Variables'!$M88,+IF(M$9='5.Variables'!$B$100,+'5.Variables'!$M102,IF(M$9='5.Variables'!$B$32,+'5.Variables'!$M32,IF(M$9='5.Variables'!$B$56,+'5.Variables'!$M56,0))))))))</f>
        <v>30</v>
      </c>
      <c r="N21" s="292">
        <f>IF(N$9='5.Variables'!$B$10,+'5.Variables'!$M21,+IF(N$9='5.Variables'!$B$34,+'5.Variables'!$M45,+IF(N$9='5.Variables'!$B$58,+'5.Variables'!$M60,+IF(N$9='5.Variables'!$B$72,+'5.Variables'!$M74,+IF(N$9='5.Variables'!$B$86,+'5.Variables'!$M88,+IF(N$9='5.Variables'!$B$100,+'5.Variables'!$M102,IF(N$9='5.Variables'!$B$32,+'5.Variables'!$M32,IF(N$9='5.Variables'!$B$56,+'5.Variables'!$M56,0))))))))</f>
        <v>476.7</v>
      </c>
      <c r="O21" s="292">
        <f>IF(O$9='5.Variables'!$B$10,+'5.Variables'!$M21,+IF(O$9='5.Variables'!$B$34,+'5.Variables'!$M45,+IF(O$9='5.Variables'!$B$58,+'5.Variables'!$M60,+IF(O$9='5.Variables'!$B$72,+'5.Variables'!$M74,+IF(O$9='5.Variables'!$B$86,+'5.Variables'!$M88,+IF(O$9='5.Variables'!$B$100,+'5.Variables'!$M102,IF(O$9='5.Variables'!$B$32,+'5.Variables'!$M32,IF(O$9='5.Variables'!$B$56,+'5.Variables'!$M56,0))))))))</f>
        <v>0</v>
      </c>
      <c r="P21" s="292">
        <f>IF(P$9='5.Variables'!$B$10,+'5.Variables'!$M21,+IF(P$9='5.Variables'!$B$34,+'5.Variables'!$M45,+IF(P$9='5.Variables'!$B$58,+'5.Variables'!$M60,+IF(P$9='5.Variables'!$B$72,+'5.Variables'!$M74,+IF(P$9='5.Variables'!$B$86,+'5.Variables'!$M88,+IF(P$9='5.Variables'!$B$100,+'5.Variables'!$M102,IF(P$9='5.Variables'!$B$32,+'5.Variables'!$M32,IF(P$9='5.Variables'!$B$56,+'5.Variables'!$M56,0))))))))</f>
        <v>0</v>
      </c>
      <c r="Q21" s="143"/>
      <c r="R21" s="154">
        <v>10297956.713107105</v>
      </c>
      <c r="S21" s="167">
        <f t="shared" si="2"/>
        <v>10661060.513239384</v>
      </c>
      <c r="T21" s="624">
        <f t="shared" si="3"/>
        <v>0.9659411181766242</v>
      </c>
      <c r="U21" s="167">
        <f t="shared" si="4"/>
        <v>10942764.482756056</v>
      </c>
      <c r="V21" s="171"/>
      <c r="W21" s="618"/>
      <c r="X21" t="s">
        <v>15</v>
      </c>
      <c r="Y21">
        <v>114</v>
      </c>
      <c r="Z21">
        <v>19021184112137.52</v>
      </c>
      <c r="AA21">
        <v>166852492211.73264</v>
      </c>
      <c r="AB21"/>
      <c r="AC21"/>
      <c r="AD21"/>
      <c r="AE21"/>
      <c r="AF21"/>
      <c r="AG21"/>
      <c r="AH21" s="143"/>
      <c r="AI21" s="143"/>
      <c r="AJ21" s="143"/>
      <c r="AK21" s="143"/>
      <c r="AL21" s="143"/>
      <c r="AM21" s="143"/>
      <c r="AN21" s="143"/>
      <c r="AO21" s="143"/>
      <c r="AP21" s="143"/>
      <c r="AQ21" s="143"/>
    </row>
    <row r="22" spans="1:43" ht="13.5" thickBot="1" x14ac:dyDescent="0.35">
      <c r="A22" s="339">
        <f t="shared" si="0"/>
        <v>12</v>
      </c>
      <c r="B22" s="166" t="str">
        <f>CONCATENATE('3. Consumption by Rate Class'!B27,"-",'3. Consumption by Rate Class'!C27)</f>
        <v>2013-December</v>
      </c>
      <c r="C22" s="169">
        <v>13539376.789999999</v>
      </c>
      <c r="D22" s="154"/>
      <c r="E22" s="366">
        <v>292319</v>
      </c>
      <c r="F22" s="154">
        <v>1504</v>
      </c>
      <c r="G22" s="154"/>
      <c r="H22" s="367"/>
      <c r="I22" s="367"/>
      <c r="J22" s="167">
        <f t="shared" si="1"/>
        <v>13833199.789999999</v>
      </c>
      <c r="K22" s="167">
        <f>IF(K$9='5.Variables'!$B$10,+'5.Variables'!$N21,+IF(K$9='5.Variables'!$B$34,+'5.Variables'!$N45,+IF(K$9='5.Variables'!$B$58,+'5.Variables'!$N60,+IF(K$9='5.Variables'!$B$72,+'5.Variables'!$N74,+IF(K$9='5.Variables'!$B$86,+'5.Variables'!$N88,+IF(K$9='5.Variables'!$B$100,+'5.Variables'!$N102,IF(K$9='5.Variables'!$B$32,+'5.Variables'!$N32,IF(K$9='5.Variables'!$B$56,+'5.Variables'!$N56,0))))))))</f>
        <v>12873</v>
      </c>
      <c r="L22" s="292">
        <f>IF(L$9='5.Variables'!$B$10,+'5.Variables'!$N21,+IF(L$9='5.Variables'!$B$34,+'5.Variables'!$N45,+IF(L$9='5.Variables'!$B$58,+'5.Variables'!$N60,+IF(L$9='5.Variables'!$B$72,+'5.Variables'!$N74,+IF(L$9='5.Variables'!$B$86,+'5.Variables'!$N88,+IF(L$9='5.Variables'!$B$100,+'5.Variables'!$N102,IF(L$9='5.Variables'!$B$32,+'5.Variables'!$N32,IF(L$9='5.Variables'!$B$56,+'5.Variables'!$N56,0))))))))</f>
        <v>0</v>
      </c>
      <c r="M22" s="292">
        <f>IF(M$9='5.Variables'!$B$10,+'5.Variables'!$N21,+IF(M$9='5.Variables'!$B$34,+'5.Variables'!$N45,+IF(M$9='5.Variables'!$B$58,+'5.Variables'!$N60,+IF(M$9='5.Variables'!$B$72,+'5.Variables'!$N74,+IF(M$9='5.Variables'!$B$86,+'5.Variables'!$N88,+IF(M$9='5.Variables'!$B$100,+'5.Variables'!$N102,IF(M$9='5.Variables'!$B$32,+'5.Variables'!$N32,IF(M$9='5.Variables'!$B$56,+'5.Variables'!$N56,0))))))))</f>
        <v>31</v>
      </c>
      <c r="N22" s="292">
        <f>IF(N$9='5.Variables'!$B$10,+'5.Variables'!$N21,+IF(N$9='5.Variables'!$B$34,+'5.Variables'!$N45,+IF(N$9='5.Variables'!$B$58,+'5.Variables'!$N60,+IF(N$9='5.Variables'!$B$72,+'5.Variables'!$N74,+IF(N$9='5.Variables'!$B$86,+'5.Variables'!$N88,+IF(N$9='5.Variables'!$B$100,+'5.Variables'!$N102,IF(N$9='5.Variables'!$B$32,+'5.Variables'!$N32,IF(N$9='5.Variables'!$B$56,+'5.Variables'!$N56,0))))))))</f>
        <v>717.5</v>
      </c>
      <c r="O22" s="292">
        <f>IF(O$9='5.Variables'!$B$10,+'5.Variables'!$N21,+IF(O$9='5.Variables'!$B$34,+'5.Variables'!$N45,+IF(O$9='5.Variables'!$B$58,+'5.Variables'!$N60,+IF(O$9='5.Variables'!$B$72,+'5.Variables'!$N74,+IF(O$9='5.Variables'!$B$86,+'5.Variables'!$N88,+IF(O$9='5.Variables'!$B$100,+'5.Variables'!$N102,IF(O$9='5.Variables'!$B$32,+'5.Variables'!$N32,IF(O$9='5.Variables'!$B$56,+'5.Variables'!$N56,0))))))))</f>
        <v>0</v>
      </c>
      <c r="P22" s="292">
        <f>IF(P$9='5.Variables'!$B$10,+'5.Variables'!$N21,+IF(P$9='5.Variables'!$B$34,+'5.Variables'!$N45,+IF(P$9='5.Variables'!$B$58,+'5.Variables'!$N60,+IF(P$9='5.Variables'!$B$72,+'5.Variables'!$N74,+IF(P$9='5.Variables'!$B$86,+'5.Variables'!$N88,+IF(P$9='5.Variables'!$B$100,+'5.Variables'!$N102,IF(P$9='5.Variables'!$B$32,+'5.Variables'!$N32,IF(P$9='5.Variables'!$B$56,+'5.Variables'!$N56,0))))))))</f>
        <v>0</v>
      </c>
      <c r="Q22" s="143"/>
      <c r="R22" s="154">
        <v>12522936.723529369</v>
      </c>
      <c r="S22" s="167">
        <f t="shared" si="2"/>
        <v>13350295.62434116</v>
      </c>
      <c r="T22" s="624">
        <f t="shared" si="3"/>
        <v>0.93802692284182121</v>
      </c>
      <c r="U22" s="167">
        <f t="shared" si="4"/>
        <v>12975913.832069827</v>
      </c>
      <c r="V22" s="171">
        <f>SUM(U11:U22)</f>
        <v>136638837.10143891</v>
      </c>
      <c r="W22" s="618"/>
      <c r="X22" s="185" t="s">
        <v>16</v>
      </c>
      <c r="Y22" s="185">
        <v>119</v>
      </c>
      <c r="Z22" s="185">
        <v>284740187147103.94</v>
      </c>
      <c r="AA22" s="185"/>
      <c r="AB22" s="185"/>
      <c r="AC22" s="185"/>
      <c r="AD22"/>
      <c r="AE22"/>
      <c r="AF22"/>
      <c r="AG22"/>
      <c r="AH22" s="143"/>
      <c r="AI22" s="143"/>
      <c r="AJ22" s="143"/>
      <c r="AK22" s="143"/>
      <c r="AL22" s="143"/>
      <c r="AM22" s="143"/>
      <c r="AN22" s="143"/>
      <c r="AO22" s="143"/>
      <c r="AP22" s="143"/>
      <c r="AQ22" s="143"/>
    </row>
    <row r="23" spans="1:43" ht="13.5" thickBot="1" x14ac:dyDescent="0.35">
      <c r="A23" s="339">
        <f t="shared" si="0"/>
        <v>13</v>
      </c>
      <c r="B23" s="166" t="str">
        <f>CONCATENATE('3. Consumption by Rate Class'!B28,"-",'3. Consumption by Rate Class'!C28)</f>
        <v>2014-January</v>
      </c>
      <c r="C23" s="366">
        <v>14009823.02</v>
      </c>
      <c r="D23" s="154"/>
      <c r="E23" s="366">
        <v>280512</v>
      </c>
      <c r="F23" s="154">
        <v>1549</v>
      </c>
      <c r="G23" s="154"/>
      <c r="H23" s="367"/>
      <c r="I23" s="367"/>
      <c r="J23" s="167">
        <f t="shared" si="1"/>
        <v>14291884.02</v>
      </c>
      <c r="K23" s="167">
        <f>IF(K$9='5.Variables'!$B$10,+'5.Variables'!$C22,+IF(K$9='5.Variables'!$B$34,+'5.Variables'!$C46,+IF(K$9='5.Variables'!$B$58,+'5.Variables'!$C61,+IF(K$9='5.Variables'!$B$72,+'5.Variables'!$C75,+IF(K$9='5.Variables'!$B$86,+'5.Variables'!$C89,+IF(K$9='5.Variables'!$B$100,+'5.Variables'!$C103,IF(K$9='5.Variables'!$B$32,+'5.Variables'!$C32,IF(K$9='5.Variables'!$B$56,+'5.Variables'!$C56,0))))))))</f>
        <v>12874</v>
      </c>
      <c r="L23" s="292">
        <f>IF(L$9='5.Variables'!$B$10,+'5.Variables'!$C22,+IF(L$9='5.Variables'!$B$34,+'5.Variables'!$C46,+IF(L$9='5.Variables'!$B$58,+'5.Variables'!$C61,+IF(L$9='5.Variables'!$B$72,+'5.Variables'!$C75,+IF(L$9='5.Variables'!$B$86,+'5.Variables'!$C89,+IF(L$9='5.Variables'!$B$100,+'5.Variables'!$C103,IF(L$9='5.Variables'!$B$32,+'5.Variables'!$C32,IF(L$9='5.Variables'!$B$56,+'5.Variables'!$C56,0))))))))</f>
        <v>0</v>
      </c>
      <c r="M23" s="292">
        <f>IF(M$9='5.Variables'!$B$10,+'5.Variables'!$C22,+IF(M$9='5.Variables'!$B$34,+'5.Variables'!$C46,+IF(M$9='5.Variables'!$B$58,+'5.Variables'!$C61,+IF(M$9='5.Variables'!$B$72,+'5.Variables'!$C75,+IF(M$9='5.Variables'!$B$86,+'5.Variables'!$C89,+IF(M$9='5.Variables'!$B$100,+'5.Variables'!$C103,IF(M$9='5.Variables'!$B$32,+'5.Variables'!$C32,IF(M$9='5.Variables'!$B$56,+'5.Variables'!$C56,0))))))))</f>
        <v>31</v>
      </c>
      <c r="N23" s="292">
        <f>IF(N$9='5.Variables'!$B$10,+'5.Variables'!$C22,+IF(N$9='5.Variables'!$B$34,+'5.Variables'!$C46,+IF(N$9='5.Variables'!$B$58,+'5.Variables'!$C61,+IF(N$9='5.Variables'!$B$72,+'5.Variables'!$C75,+IF(N$9='5.Variables'!$B$86,+'5.Variables'!$C89,+IF(N$9='5.Variables'!$B$100,+'5.Variables'!$C103,IF(N$9='5.Variables'!$B$32,+'5.Variables'!$C32,IF(N$9='5.Variables'!$B$56,+'5.Variables'!$C56,0))))))))</f>
        <v>826.1</v>
      </c>
      <c r="O23" s="292">
        <f>IF(O$9='5.Variables'!$B$10,+'5.Variables'!$C22,+IF(O$9='5.Variables'!$B$34,+'5.Variables'!$C46,+IF(O$9='5.Variables'!$B$58,+'5.Variables'!$C61,+IF(O$9='5.Variables'!$B$72,+'5.Variables'!$C75,+IF(O$9='5.Variables'!$B$86,+'5.Variables'!$C89,+IF(O$9='5.Variables'!$B$100,+'5.Variables'!$C103,IF(O$9='5.Variables'!$B$32,+'5.Variables'!$C32,IF(O$9='5.Variables'!$B$56,+'5.Variables'!$C56,0))))))))</f>
        <v>0</v>
      </c>
      <c r="P23" s="292">
        <f>IF(P$9='5.Variables'!$B$10,+'5.Variables'!$C22,+IF(P$9='5.Variables'!$B$34,+'5.Variables'!$C46,+IF(P$9='5.Variables'!$B$58,+'5.Variables'!$C61,+IF(P$9='5.Variables'!$B$72,+'5.Variables'!$C75,+IF(P$9='5.Variables'!$B$86,+'5.Variables'!$C89,+IF(P$9='5.Variables'!$B$100,+'5.Variables'!$C103,IF(P$9='5.Variables'!$B$32,+'5.Variables'!$C32,IF(P$9='5.Variables'!$B$56,+'5.Variables'!$C56,0))))))))</f>
        <v>0</v>
      </c>
      <c r="Q23" s="143"/>
      <c r="R23" s="154">
        <v>13276094.515310334</v>
      </c>
      <c r="S23" s="167">
        <f t="shared" si="2"/>
        <v>13976832.133293528</v>
      </c>
      <c r="T23" s="624">
        <f t="shared" si="3"/>
        <v>0.94986434613362769</v>
      </c>
      <c r="U23" s="167">
        <f t="shared" si="4"/>
        <v>13575351.069674943</v>
      </c>
      <c r="V23" s="171"/>
      <c r="W23" s="618"/>
      <c r="X23"/>
      <c r="Y23"/>
      <c r="Z23"/>
      <c r="AA23"/>
      <c r="AB23"/>
      <c r="AC23"/>
      <c r="AD23"/>
      <c r="AE23"/>
      <c r="AF23"/>
      <c r="AG23"/>
      <c r="AH23" s="143"/>
      <c r="AI23" s="143"/>
      <c r="AJ23" s="143"/>
      <c r="AK23" s="143"/>
      <c r="AL23" s="143"/>
      <c r="AM23" s="143"/>
      <c r="AN23" s="143"/>
      <c r="AO23" s="143"/>
      <c r="AP23" s="143"/>
      <c r="AQ23" s="143"/>
    </row>
    <row r="24" spans="1:43" x14ac:dyDescent="0.3">
      <c r="A24" s="339">
        <f t="shared" si="0"/>
        <v>14</v>
      </c>
      <c r="B24" s="166" t="str">
        <f>CONCATENATE('3. Consumption by Rate Class'!B29,"-",'3. Consumption by Rate Class'!C29)</f>
        <v>2014-February</v>
      </c>
      <c r="C24" s="366">
        <v>12185867.460000001</v>
      </c>
      <c r="D24" s="154"/>
      <c r="E24" s="366">
        <v>248535</v>
      </c>
      <c r="F24" s="154">
        <v>3679</v>
      </c>
      <c r="G24" s="154"/>
      <c r="H24" s="367"/>
      <c r="I24" s="367"/>
      <c r="J24" s="167">
        <f t="shared" si="1"/>
        <v>12438081.460000001</v>
      </c>
      <c r="K24" s="167">
        <f>IF(K$9='5.Variables'!$B$10,+'5.Variables'!$D22,+IF(K$9='5.Variables'!$B$34,+'5.Variables'!$D46,+IF(K$9='5.Variables'!$B$58,+'5.Variables'!$D61,+IF(K$9='5.Variables'!$B$72,+'5.Variables'!$D75,+IF(K$9='5.Variables'!$B$86,+'5.Variables'!$D89,+IF(K$9='5.Variables'!$B$100,+'5.Variables'!$D103,IF(K$9='5.Variables'!$B$32,+'5.Variables'!$D32,IF(K$9='5.Variables'!$B$56,+'5.Variables'!$D56,0))))))))</f>
        <v>12904</v>
      </c>
      <c r="L24" s="292">
        <f>IF(L$9='5.Variables'!$B$10,+'5.Variables'!$D22,+IF(L$9='5.Variables'!$B$34,+'5.Variables'!$D46,+IF(L$9='5.Variables'!$B$58,+'5.Variables'!$D61,+IF(L$9='5.Variables'!$B$72,+'5.Variables'!$D75,+IF(L$9='5.Variables'!$B$86,+'5.Variables'!$D89,+IF(L$9='5.Variables'!$B$100,+'5.Variables'!$D103,IF(L$9='5.Variables'!$B$32,+'5.Variables'!$D32,IF(L$9='5.Variables'!$B$56,+'5.Variables'!$D56,0))))))))</f>
        <v>0</v>
      </c>
      <c r="M24" s="292">
        <f>IF(M$9='5.Variables'!$B$10,+'5.Variables'!$D22,+IF(M$9='5.Variables'!$B$34,+'5.Variables'!$D46,+IF(M$9='5.Variables'!$B$58,+'5.Variables'!$D61,+IF(M$9='5.Variables'!$B$72,+'5.Variables'!$D75,+IF(M$9='5.Variables'!$B$86,+'5.Variables'!$D89,+IF(M$9='5.Variables'!$B$100,+'5.Variables'!$D103,IF(M$9='5.Variables'!$B$32,+'5.Variables'!$D32,IF(M$9='5.Variables'!$B$56,+'5.Variables'!$D56,0))))))))</f>
        <v>28</v>
      </c>
      <c r="N24" s="292">
        <f>IF(N$9='5.Variables'!$B$10,+'5.Variables'!$D22,+IF(N$9='5.Variables'!$B$34,+'5.Variables'!$D46,+IF(N$9='5.Variables'!$B$58,+'5.Variables'!$D61,+IF(N$9='5.Variables'!$B$72,+'5.Variables'!$D75,+IF(N$9='5.Variables'!$B$86,+'5.Variables'!$D89,+IF(N$9='5.Variables'!$B$100,+'5.Variables'!$D103,IF(N$9='5.Variables'!$B$32,+'5.Variables'!$D32,IF(N$9='5.Variables'!$B$56,+'5.Variables'!$D56,0))))))))</f>
        <v>740.1</v>
      </c>
      <c r="O24" s="292">
        <f>IF(O$9='5.Variables'!$B$10,+'5.Variables'!$D22,+IF(O$9='5.Variables'!$B$34,+'5.Variables'!$D46,+IF(O$9='5.Variables'!$B$58,+'5.Variables'!$D61,+IF(O$9='5.Variables'!$B$72,+'5.Variables'!$D75,+IF(O$9='5.Variables'!$B$86,+'5.Variables'!$D89,+IF(O$9='5.Variables'!$B$100,+'5.Variables'!$D103,IF(O$9='5.Variables'!$B$32,+'5.Variables'!$D32,IF(O$9='5.Variables'!$B$56,+'5.Variables'!$D56,0))))))))</f>
        <v>0</v>
      </c>
      <c r="P24" s="292">
        <f>IF(P$9='5.Variables'!$B$10,+'5.Variables'!$D22,+IF(P$9='5.Variables'!$B$34,+'5.Variables'!$D46,+IF(P$9='5.Variables'!$B$58,+'5.Variables'!$D61,+IF(P$9='5.Variables'!$B$72,+'5.Variables'!$D75,+IF(P$9='5.Variables'!$B$86,+'5.Variables'!$D89,+IF(P$9='5.Variables'!$B$100,+'5.Variables'!$D103,IF(P$9='5.Variables'!$B$32,+'5.Variables'!$D32,IF(P$9='5.Variables'!$B$56,+'5.Variables'!$D56,0))))))))</f>
        <v>0</v>
      </c>
      <c r="Q24" s="143"/>
      <c r="R24" s="154">
        <v>11706405.229306217</v>
      </c>
      <c r="S24" s="167">
        <f t="shared" si="2"/>
        <v>12238986.557673089</v>
      </c>
      <c r="T24" s="624">
        <f t="shared" si="3"/>
        <v>0.95648485061592159</v>
      </c>
      <c r="U24" s="167">
        <f t="shared" si="4"/>
        <v>11896836.487216765</v>
      </c>
      <c r="V24" s="171"/>
      <c r="W24" s="618"/>
      <c r="X24" s="186"/>
      <c r="Y24" s="186" t="s">
        <v>23</v>
      </c>
      <c r="Z24" s="186" t="s">
        <v>11</v>
      </c>
      <c r="AA24" s="186" t="s">
        <v>24</v>
      </c>
      <c r="AB24" s="186" t="s">
        <v>25</v>
      </c>
      <c r="AC24" s="186" t="s">
        <v>26</v>
      </c>
      <c r="AD24" s="186" t="s">
        <v>27</v>
      </c>
      <c r="AE24" s="186" t="s">
        <v>28</v>
      </c>
      <c r="AF24" s="186" t="s">
        <v>29</v>
      </c>
      <c r="AG24" s="449"/>
      <c r="AH24" s="143"/>
      <c r="AI24" s="143"/>
      <c r="AJ24" s="143"/>
      <c r="AK24" s="143"/>
      <c r="AL24" s="143"/>
      <c r="AM24" s="143"/>
      <c r="AN24" s="143"/>
      <c r="AO24" s="143"/>
      <c r="AP24" s="143"/>
      <c r="AQ24" s="143"/>
    </row>
    <row r="25" spans="1:43" x14ac:dyDescent="0.3">
      <c r="A25" s="339">
        <f t="shared" si="0"/>
        <v>15</v>
      </c>
      <c r="B25" s="166" t="str">
        <f>CONCATENATE('3. Consumption by Rate Class'!B30,"-",'3. Consumption by Rate Class'!C30)</f>
        <v>2014-March</v>
      </c>
      <c r="C25" s="366">
        <v>12555380.390000001</v>
      </c>
      <c r="D25" s="154"/>
      <c r="E25" s="366">
        <v>273517</v>
      </c>
      <c r="F25" s="154">
        <v>13601</v>
      </c>
      <c r="G25" s="154"/>
      <c r="H25" s="367"/>
      <c r="I25" s="367"/>
      <c r="J25" s="167">
        <f t="shared" si="1"/>
        <v>12842498.390000001</v>
      </c>
      <c r="K25" s="167">
        <f>IF(K$9='5.Variables'!$B$10,+'5.Variables'!$E22,+IF(K$9='5.Variables'!$B$34,+'5.Variables'!$E46,+IF(K$9='5.Variables'!$B$58,+'5.Variables'!$E61,+IF(K$9='5.Variables'!$B$72,+'5.Variables'!$E75,+IF(K$9='5.Variables'!$B$86,+'5.Variables'!$E89,+IF(K$9='5.Variables'!$B$100,+'5.Variables'!$E103,IF(K$9='5.Variables'!$B$32,+'5.Variables'!$E32,IF(K$9='5.Variables'!$B$56,+'5.Variables'!$E56,0))))))))</f>
        <v>12843</v>
      </c>
      <c r="L25" s="292">
        <f>IF(L$9='5.Variables'!$B$10,+'5.Variables'!$E22,+IF(L$9='5.Variables'!$B$34,+'5.Variables'!$E46,+IF(L$9='5.Variables'!$B$58,+'5.Variables'!$E61,+IF(L$9='5.Variables'!$B$72,+'5.Variables'!$E75,+IF(L$9='5.Variables'!$B$86,+'5.Variables'!$E89,+IF(L$9='5.Variables'!$B$100,+'5.Variables'!$E103,IF(L$9='5.Variables'!$B$32,+'5.Variables'!$E32,IF(L$9='5.Variables'!$B$56,+'5.Variables'!$E56,0))))))))</f>
        <v>1</v>
      </c>
      <c r="M25" s="292">
        <f>IF(M$9='5.Variables'!$B$10,+'5.Variables'!$E22,+IF(M$9='5.Variables'!$B$34,+'5.Variables'!$E46,+IF(M$9='5.Variables'!$B$58,+'5.Variables'!$E61,+IF(M$9='5.Variables'!$B$72,+'5.Variables'!$E75,+IF(M$9='5.Variables'!$B$86,+'5.Variables'!$E89,+IF(M$9='5.Variables'!$B$100,+'5.Variables'!$E103,IF(M$9='5.Variables'!$B$32,+'5.Variables'!$E32,IF(M$9='5.Variables'!$B$56,+'5.Variables'!$E56,0))))))))</f>
        <v>31</v>
      </c>
      <c r="N25" s="292">
        <f>IF(N$9='5.Variables'!$B$10,+'5.Variables'!$E22,+IF(N$9='5.Variables'!$B$34,+'5.Variables'!$E46,+IF(N$9='5.Variables'!$B$58,+'5.Variables'!$E61,+IF(N$9='5.Variables'!$B$72,+'5.Variables'!$E75,+IF(N$9='5.Variables'!$B$86,+'5.Variables'!$E89,+IF(N$9='5.Variables'!$B$100,+'5.Variables'!$E103,IF(N$9='5.Variables'!$B$32,+'5.Variables'!$E32,IF(N$9='5.Variables'!$B$56,+'5.Variables'!$E56,0))))))))</f>
        <v>730</v>
      </c>
      <c r="O25" s="292">
        <f>IF(O$9='5.Variables'!$B$10,+'5.Variables'!$E22,+IF(O$9='5.Variables'!$B$34,+'5.Variables'!$E46,+IF(O$9='5.Variables'!$B$58,+'5.Variables'!$E61,+IF(O$9='5.Variables'!$B$72,+'5.Variables'!$E75,+IF(O$9='5.Variables'!$B$86,+'5.Variables'!$E89,+IF(O$9='5.Variables'!$B$100,+'5.Variables'!$E103,IF(O$9='5.Variables'!$B$32,+'5.Variables'!$E32,IF(O$9='5.Variables'!$B$56,+'5.Variables'!$E56,0))))))))</f>
        <v>0</v>
      </c>
      <c r="P25" s="292">
        <f>IF(P$9='5.Variables'!$B$10,+'5.Variables'!$E22,+IF(P$9='5.Variables'!$B$34,+'5.Variables'!$E46,+IF(P$9='5.Variables'!$B$58,+'5.Variables'!$E61,+IF(P$9='5.Variables'!$B$72,+'5.Variables'!$E75,+IF(P$9='5.Variables'!$B$86,+'5.Variables'!$E89,+IF(P$9='5.Variables'!$B$100,+'5.Variables'!$E103,IF(P$9='5.Variables'!$B$32,+'5.Variables'!$E32,IF(P$9='5.Variables'!$B$56,+'5.Variables'!$E56,0))))))))</f>
        <v>0</v>
      </c>
      <c r="Q25" s="143"/>
      <c r="R25" s="154">
        <v>11605362.68801987</v>
      </c>
      <c r="S25" s="167">
        <f t="shared" si="2"/>
        <v>12534398.824588019</v>
      </c>
      <c r="T25" s="624">
        <f t="shared" si="3"/>
        <v>0.92588107737997671</v>
      </c>
      <c r="U25" s="167">
        <f t="shared" si="4"/>
        <v>11890626.245583817</v>
      </c>
      <c r="V25" s="171"/>
      <c r="W25" s="618"/>
      <c r="X25" t="s">
        <v>17</v>
      </c>
      <c r="Y25">
        <v>-15737489.236308644</v>
      </c>
      <c r="Z25">
        <v>1635031.3203376685</v>
      </c>
      <c r="AA25">
        <v>-9.6251912979003489</v>
      </c>
      <c r="AB25">
        <v>2.0801028615270547E-16</v>
      </c>
      <c r="AC25">
        <v>-18976473.688846864</v>
      </c>
      <c r="AD25">
        <v>-12498504.783770422</v>
      </c>
      <c r="AE25">
        <v>-18976473.688846864</v>
      </c>
      <c r="AF25">
        <v>-12498504.783770422</v>
      </c>
      <c r="AG25"/>
      <c r="AH25" s="143"/>
      <c r="AI25" s="143"/>
      <c r="AJ25" s="143"/>
      <c r="AK25" s="143"/>
      <c r="AL25" s="143"/>
      <c r="AM25" s="143"/>
      <c r="AN25" s="143"/>
      <c r="AO25" s="143"/>
      <c r="AP25" s="143"/>
      <c r="AQ25" s="143"/>
    </row>
    <row r="26" spans="1:43" x14ac:dyDescent="0.3">
      <c r="A26" s="339">
        <f t="shared" si="0"/>
        <v>16</v>
      </c>
      <c r="B26" s="166" t="str">
        <f>CONCATENATE('3. Consumption by Rate Class'!B31,"-",'3. Consumption by Rate Class'!C31)</f>
        <v>2014-April</v>
      </c>
      <c r="C26" s="366">
        <v>10082468.890000001</v>
      </c>
      <c r="D26" s="154"/>
      <c r="E26" s="366">
        <v>267143</v>
      </c>
      <c r="F26" s="154">
        <v>23341</v>
      </c>
      <c r="G26" s="154"/>
      <c r="H26" s="367"/>
      <c r="I26" s="367"/>
      <c r="J26" s="167">
        <f t="shared" si="1"/>
        <v>10372952.890000001</v>
      </c>
      <c r="K26" s="167">
        <f>IF(K$9='5.Variables'!$B$10,+'5.Variables'!$F22,+IF(K$9='5.Variables'!$B$34,+'5.Variables'!$F46,+IF(K$9='5.Variables'!$B$58,+'5.Variables'!$F61,+IF(K$9='5.Variables'!$B$72,+'5.Variables'!$F75,+IF(K$9='5.Variables'!$B$86,+'5.Variables'!$F89,+IF(K$9='5.Variables'!$B$100,+'5.Variables'!$F103,IF(K$9='5.Variables'!$B$32,+'5.Variables'!$F32,IF(K$9='5.Variables'!$B$56,+'5.Variables'!$F56,0))))))))</f>
        <v>12851</v>
      </c>
      <c r="L26" s="292">
        <f>IF(L$9='5.Variables'!$B$10,+'5.Variables'!$F22,+IF(L$9='5.Variables'!$B$34,+'5.Variables'!$F46,+IF(L$9='5.Variables'!$B$58,+'5.Variables'!$F61,+IF(L$9='5.Variables'!$B$72,+'5.Variables'!$F75,+IF(L$9='5.Variables'!$B$86,+'5.Variables'!$F89,+IF(L$9='5.Variables'!$B$100,+'5.Variables'!$F103,IF(L$9='5.Variables'!$B$32,+'5.Variables'!$F32,IF(L$9='5.Variables'!$B$56,+'5.Variables'!$F56,0))))))))</f>
        <v>1</v>
      </c>
      <c r="M26" s="292">
        <f>IF(M$9='5.Variables'!$B$10,+'5.Variables'!$F22,+IF(M$9='5.Variables'!$B$34,+'5.Variables'!$F46,+IF(M$9='5.Variables'!$B$58,+'5.Variables'!$F61,+IF(M$9='5.Variables'!$B$72,+'5.Variables'!$F75,+IF(M$9='5.Variables'!$B$86,+'5.Variables'!$F89,+IF(M$9='5.Variables'!$B$100,+'5.Variables'!$F103,IF(M$9='5.Variables'!$B$32,+'5.Variables'!$F32,IF(M$9='5.Variables'!$B$56,+'5.Variables'!$F56,0))))))))</f>
        <v>30</v>
      </c>
      <c r="N26" s="292">
        <f>IF(N$9='5.Variables'!$B$10,+'5.Variables'!$F22,+IF(N$9='5.Variables'!$B$34,+'5.Variables'!$F46,+IF(N$9='5.Variables'!$B$58,+'5.Variables'!$F61,+IF(N$9='5.Variables'!$B$72,+'5.Variables'!$F75,+IF(N$9='5.Variables'!$B$86,+'5.Variables'!$F89,+IF(N$9='5.Variables'!$B$100,+'5.Variables'!$F103,IF(N$9='5.Variables'!$B$32,+'5.Variables'!$F32,IF(N$9='5.Variables'!$B$56,+'5.Variables'!$F56,0))))))))</f>
        <v>389.7</v>
      </c>
      <c r="O26" s="292">
        <f>IF(O$9='5.Variables'!$B$10,+'5.Variables'!$F22,+IF(O$9='5.Variables'!$B$34,+'5.Variables'!$F46,+IF(O$9='5.Variables'!$B$58,+'5.Variables'!$F61,+IF(O$9='5.Variables'!$B$72,+'5.Variables'!$F75,+IF(O$9='5.Variables'!$B$86,+'5.Variables'!$F89,+IF(O$9='5.Variables'!$B$100,+'5.Variables'!$F103,IF(O$9='5.Variables'!$B$32,+'5.Variables'!$F32,IF(O$9='5.Variables'!$B$56,+'5.Variables'!$F56,0))))))))</f>
        <v>0</v>
      </c>
      <c r="P26" s="292">
        <f>IF(P$9='5.Variables'!$B$10,+'5.Variables'!$F22,+IF(P$9='5.Variables'!$B$34,+'5.Variables'!$F46,+IF(P$9='5.Variables'!$B$58,+'5.Variables'!$F61,+IF(P$9='5.Variables'!$B$72,+'5.Variables'!$F75,+IF(P$9='5.Variables'!$B$86,+'5.Variables'!$F89,+IF(P$9='5.Variables'!$B$100,+'5.Variables'!$F103,IF(P$9='5.Variables'!$B$32,+'5.Variables'!$F32,IF(P$9='5.Variables'!$B$56,+'5.Variables'!$F56,0))))))))</f>
        <v>0</v>
      </c>
      <c r="Q26" s="143"/>
      <c r="R26" s="154">
        <v>10083523.503826082</v>
      </c>
      <c r="S26" s="167">
        <f t="shared" si="2"/>
        <v>10158037.1324722</v>
      </c>
      <c r="T26" s="624">
        <f t="shared" si="3"/>
        <v>0.99266456425839189</v>
      </c>
      <c r="U26" s="167">
        <f t="shared" si="4"/>
        <v>10296862.760624677</v>
      </c>
      <c r="V26" s="171"/>
      <c r="W26" s="618"/>
      <c r="X26" t="str">
        <f>+K9</f>
        <v>Customer Count</v>
      </c>
      <c r="Y26">
        <v>919.06968095241837</v>
      </c>
      <c r="Z26">
        <v>59.098053486078491</v>
      </c>
      <c r="AA26">
        <v>15.55160663910733</v>
      </c>
      <c r="AB26">
        <v>5.9680841329834857E-30</v>
      </c>
      <c r="AC26">
        <v>801.99689217113144</v>
      </c>
      <c r="AD26">
        <v>1036.1424697337052</v>
      </c>
      <c r="AE26">
        <v>801.99689217113144</v>
      </c>
      <c r="AF26">
        <v>1036.1424697337052</v>
      </c>
      <c r="AG26"/>
      <c r="AH26" s="143"/>
      <c r="AI26" s="143"/>
      <c r="AJ26" s="143"/>
      <c r="AK26" s="143"/>
      <c r="AL26" s="143"/>
      <c r="AM26" s="143"/>
      <c r="AN26" s="143"/>
      <c r="AO26" s="143"/>
      <c r="AP26" s="143"/>
      <c r="AQ26" s="143"/>
    </row>
    <row r="27" spans="1:43" x14ac:dyDescent="0.3">
      <c r="A27" s="339">
        <f t="shared" si="0"/>
        <v>17</v>
      </c>
      <c r="B27" s="166" t="str">
        <f>CONCATENATE('3. Consumption by Rate Class'!B32,"-",'3. Consumption by Rate Class'!C32)</f>
        <v>2014-May</v>
      </c>
      <c r="C27" s="366">
        <v>9562255.6600000001</v>
      </c>
      <c r="D27" s="154"/>
      <c r="E27" s="366">
        <v>291404</v>
      </c>
      <c r="F27" s="154">
        <v>30133</v>
      </c>
      <c r="G27" s="154"/>
      <c r="H27" s="367"/>
      <c r="I27" s="367"/>
      <c r="J27" s="167">
        <f t="shared" si="1"/>
        <v>9883792.6600000001</v>
      </c>
      <c r="K27" s="167">
        <f>IF(K$9='5.Variables'!$B$10,+'5.Variables'!$G22,+IF(K$9='5.Variables'!$B$34,+'5.Variables'!$G46,+IF(K$9='5.Variables'!$B$58,+'5.Variables'!$G61,+IF(K$9='5.Variables'!$B$72,+'5.Variables'!$G75,+IF(K$9='5.Variables'!$B$86,+'5.Variables'!$G89,+IF(K$9='5.Variables'!$B$100,+'5.Variables'!$G103,IF(K$9='5.Variables'!$B$32,+'5.Variables'!$G32,IF(K$9='5.Variables'!$B$56,+'5.Variables'!$G56,0))))))))</f>
        <v>12850</v>
      </c>
      <c r="L27" s="292">
        <f>IF(L$9='5.Variables'!$B$10,+'5.Variables'!$G22,+IF(L$9='5.Variables'!$B$34,+'5.Variables'!$G46,+IF(L$9='5.Variables'!$B$58,+'5.Variables'!$G61,+IF(L$9='5.Variables'!$B$72,+'5.Variables'!$G75,+IF(L$9='5.Variables'!$B$86,+'5.Variables'!$G89,+IF(L$9='5.Variables'!$B$100,+'5.Variables'!$G103,IF(L$9='5.Variables'!$B$32,+'5.Variables'!$G32,IF(L$9='5.Variables'!$B$56,+'5.Variables'!$G56,0))))))))</f>
        <v>1</v>
      </c>
      <c r="M27" s="292">
        <f>IF(M$9='5.Variables'!$B$10,+'5.Variables'!$G22,+IF(M$9='5.Variables'!$B$34,+'5.Variables'!$G46,+IF(M$9='5.Variables'!$B$58,+'5.Variables'!$G61,+IF(M$9='5.Variables'!$B$72,+'5.Variables'!$G75,+IF(M$9='5.Variables'!$B$86,+'5.Variables'!$G89,+IF(M$9='5.Variables'!$B$100,+'5.Variables'!$G103,IF(M$9='5.Variables'!$B$32,+'5.Variables'!$G32,IF(M$9='5.Variables'!$B$56,+'5.Variables'!$G56,0))))))))</f>
        <v>31</v>
      </c>
      <c r="N27" s="292">
        <f>IF(N$9='5.Variables'!$B$10,+'5.Variables'!$G22,+IF(N$9='5.Variables'!$B$34,+'5.Variables'!$G46,+IF(N$9='5.Variables'!$B$58,+'5.Variables'!$G61,+IF(N$9='5.Variables'!$B$72,+'5.Variables'!$G75,+IF(N$9='5.Variables'!$B$86,+'5.Variables'!$G89,+IF(N$9='5.Variables'!$B$100,+'5.Variables'!$G103,IF(N$9='5.Variables'!$B$32,+'5.Variables'!$G32,IF(N$9='5.Variables'!$B$56,+'5.Variables'!$G56,0))))))))</f>
        <v>174.6</v>
      </c>
      <c r="O27" s="292">
        <f>IF(O$9='5.Variables'!$B$10,+'5.Variables'!$G22,+IF(O$9='5.Variables'!$B$34,+'5.Variables'!$G46,+IF(O$9='5.Variables'!$B$58,+'5.Variables'!$G61,+IF(O$9='5.Variables'!$B$72,+'5.Variables'!$G75,+IF(O$9='5.Variables'!$B$86,+'5.Variables'!$G89,+IF(O$9='5.Variables'!$B$100,+'5.Variables'!$G103,IF(O$9='5.Variables'!$B$32,+'5.Variables'!$G32,IF(O$9='5.Variables'!$B$56,+'5.Variables'!$G56,0))))))))</f>
        <v>4.0999999999999996</v>
      </c>
      <c r="P27" s="292">
        <f>IF(P$9='5.Variables'!$B$10,+'5.Variables'!$G22,+IF(P$9='5.Variables'!$B$34,+'5.Variables'!$G46,+IF(P$9='5.Variables'!$B$58,+'5.Variables'!$G61,+IF(P$9='5.Variables'!$B$72,+'5.Variables'!$G75,+IF(P$9='5.Variables'!$B$86,+'5.Variables'!$G89,+IF(P$9='5.Variables'!$B$100,+'5.Variables'!$G103,IF(P$9='5.Variables'!$B$32,+'5.Variables'!$G32,IF(P$9='5.Variables'!$B$56,+'5.Variables'!$G56,0))))))))</f>
        <v>0</v>
      </c>
      <c r="Q27" s="143"/>
      <c r="R27" s="154">
        <v>10049376.695168953</v>
      </c>
      <c r="S27" s="167">
        <f t="shared" si="2"/>
        <v>9502302.418359993</v>
      </c>
      <c r="T27" s="624">
        <f t="shared" si="3"/>
        <v>1.0575728126429573</v>
      </c>
      <c r="U27" s="167">
        <f t="shared" si="4"/>
        <v>10452830.403016018</v>
      </c>
      <c r="V27" s="171"/>
      <c r="W27" s="618"/>
      <c r="X27" t="str">
        <f>+L9</f>
        <v>Spring Fall Flag</v>
      </c>
      <c r="Y27">
        <v>-860334.0830896938</v>
      </c>
      <c r="Z27">
        <v>92843.798769701578</v>
      </c>
      <c r="AA27">
        <v>-9.2664679223622333</v>
      </c>
      <c r="AB27">
        <v>1.4204795647446418E-15</v>
      </c>
      <c r="AC27">
        <v>-1044256.9333672932</v>
      </c>
      <c r="AD27">
        <v>-676411.23281209439</v>
      </c>
      <c r="AE27">
        <v>-1044256.9333672932</v>
      </c>
      <c r="AF27">
        <v>-676411.23281209439</v>
      </c>
      <c r="AG27"/>
      <c r="AH27" s="143"/>
      <c r="AI27" s="143"/>
      <c r="AJ27" s="143"/>
      <c r="AK27" s="143"/>
      <c r="AL27" s="143"/>
      <c r="AM27" s="143"/>
      <c r="AN27" s="143"/>
      <c r="AO27" s="143"/>
      <c r="AP27" s="143"/>
      <c r="AQ27" s="143"/>
    </row>
    <row r="28" spans="1:43" x14ac:dyDescent="0.3">
      <c r="A28" s="339">
        <f t="shared" si="0"/>
        <v>18</v>
      </c>
      <c r="B28" s="166" t="str">
        <f>CONCATENATE('3. Consumption by Rate Class'!B33,"-",'3. Consumption by Rate Class'!C33)</f>
        <v>2014-June</v>
      </c>
      <c r="C28" s="366">
        <v>9968997.2799999993</v>
      </c>
      <c r="D28" s="154"/>
      <c r="E28" s="366">
        <v>307103</v>
      </c>
      <c r="F28" s="154">
        <v>29309</v>
      </c>
      <c r="G28" s="154"/>
      <c r="H28" s="367"/>
      <c r="I28" s="367"/>
      <c r="J28" s="167">
        <f t="shared" si="1"/>
        <v>10305409.279999999</v>
      </c>
      <c r="K28" s="167">
        <f>IF(K$9='5.Variables'!$B$10,+'5.Variables'!$H22,+IF(K$9='5.Variables'!$B$34,+'5.Variables'!$H46,+IF(K$9='5.Variables'!$B$58,+'5.Variables'!$H61,+IF(K$9='5.Variables'!$B$72,+'5.Variables'!$H75,+IF(K$9='5.Variables'!$B$86,+'5.Variables'!$H89,+IF(K$9='5.Variables'!$B$100,+'5.Variables'!$H103,IF(K$9='5.Variables'!$B$32,+'5.Variables'!$H32,IF(K$9='5.Variables'!$B$56,+'5.Variables'!$H56,0))))))))</f>
        <v>12862</v>
      </c>
      <c r="L28" s="292">
        <f>IF(L$9='5.Variables'!$B$10,+'5.Variables'!$H22,+IF(L$9='5.Variables'!$B$34,+'5.Variables'!$H46,+IF(L$9='5.Variables'!$B$58,+'5.Variables'!$H61,+IF(L$9='5.Variables'!$B$72,+'5.Variables'!$H75,+IF(L$9='5.Variables'!$B$86,+'5.Variables'!$H89,+IF(L$9='5.Variables'!$B$100,+'5.Variables'!$H103,IF(L$9='5.Variables'!$B$32,+'5.Variables'!$H32,IF(L$9='5.Variables'!$B$56,+'5.Variables'!$H56,0))))))))</f>
        <v>0</v>
      </c>
      <c r="M28" s="292">
        <f>IF(M$9='5.Variables'!$B$10,+'5.Variables'!$H22,+IF(M$9='5.Variables'!$B$34,+'5.Variables'!$H46,+IF(M$9='5.Variables'!$B$58,+'5.Variables'!$H61,+IF(M$9='5.Variables'!$B$72,+'5.Variables'!$H75,+IF(M$9='5.Variables'!$B$86,+'5.Variables'!$H89,+IF(M$9='5.Variables'!$B$100,+'5.Variables'!$H103,IF(M$9='5.Variables'!$B$32,+'5.Variables'!$H32,IF(M$9='5.Variables'!$B$56,+'5.Variables'!$H56,0))))))))</f>
        <v>30</v>
      </c>
      <c r="N28" s="292">
        <f>IF(N$9='5.Variables'!$B$10,+'5.Variables'!$H22,+IF(N$9='5.Variables'!$B$34,+'5.Variables'!$H46,+IF(N$9='5.Variables'!$B$58,+'5.Variables'!$H61,+IF(N$9='5.Variables'!$B$72,+'5.Variables'!$H75,+IF(N$9='5.Variables'!$B$86,+'5.Variables'!$H89,+IF(N$9='5.Variables'!$B$100,+'5.Variables'!$H103,IF(N$9='5.Variables'!$B$32,+'5.Variables'!$H32,IF(N$9='5.Variables'!$B$56,+'5.Variables'!$H56,0))))))))</f>
        <v>57.2</v>
      </c>
      <c r="O28" s="292">
        <f>IF(O$9='5.Variables'!$B$10,+'5.Variables'!$H22,+IF(O$9='5.Variables'!$B$34,+'5.Variables'!$H46,+IF(O$9='5.Variables'!$B$58,+'5.Variables'!$H61,+IF(O$9='5.Variables'!$B$72,+'5.Variables'!$H75,+IF(O$9='5.Variables'!$B$86,+'5.Variables'!$H89,+IF(O$9='5.Variables'!$B$100,+'5.Variables'!$H103,IF(O$9='5.Variables'!$B$32,+'5.Variables'!$H32,IF(O$9='5.Variables'!$B$56,+'5.Variables'!$H56,0))))))))</f>
        <v>41.5</v>
      </c>
      <c r="P28" s="292">
        <f>IF(P$9='5.Variables'!$B$10,+'5.Variables'!$H22,+IF(P$9='5.Variables'!$B$34,+'5.Variables'!$H46,+IF(P$9='5.Variables'!$B$58,+'5.Variables'!$H61,+IF(P$9='5.Variables'!$B$72,+'5.Variables'!$H75,+IF(P$9='5.Variables'!$B$86,+'5.Variables'!$H89,+IF(P$9='5.Variables'!$B$100,+'5.Variables'!$H103,IF(P$9='5.Variables'!$B$32,+'5.Variables'!$H32,IF(P$9='5.Variables'!$B$56,+'5.Variables'!$H56,0))))))))</f>
        <v>0</v>
      </c>
      <c r="Q28" s="143"/>
      <c r="R28" s="154">
        <v>10577508.324707987</v>
      </c>
      <c r="S28" s="167">
        <f t="shared" si="2"/>
        <v>10742570.651412563</v>
      </c>
      <c r="T28" s="624">
        <f t="shared" si="3"/>
        <v>0.98463474599695822</v>
      </c>
      <c r="U28" s="167">
        <f t="shared" si="4"/>
        <v>10147064.048807496</v>
      </c>
      <c r="V28" s="171"/>
      <c r="W28" s="618"/>
      <c r="X28" t="str">
        <f>+M9</f>
        <v>Days in Month</v>
      </c>
      <c r="Y28">
        <v>423331.05818164803</v>
      </c>
      <c r="Z28">
        <v>47202.552818273805</v>
      </c>
      <c r="AA28">
        <v>8.9683932945626914</v>
      </c>
      <c r="AB28">
        <v>6.9639169703104376E-15</v>
      </c>
      <c r="AC28">
        <v>329823.16460384894</v>
      </c>
      <c r="AD28">
        <v>516838.95175944711</v>
      </c>
      <c r="AE28">
        <v>329823.16460384894</v>
      </c>
      <c r="AF28">
        <v>516838.95175944711</v>
      </c>
      <c r="AG28"/>
      <c r="AH28" s="143"/>
      <c r="AI28" s="143"/>
      <c r="AJ28" s="143"/>
      <c r="AK28" s="143"/>
      <c r="AL28" s="143"/>
      <c r="AM28" s="143"/>
      <c r="AN28" s="143"/>
      <c r="AO28" s="143"/>
      <c r="AP28" s="143"/>
      <c r="AQ28" s="143"/>
    </row>
    <row r="29" spans="1:43" x14ac:dyDescent="0.3">
      <c r="A29" s="339">
        <f t="shared" si="0"/>
        <v>19</v>
      </c>
      <c r="B29" s="166" t="str">
        <f>CONCATENATE('3. Consumption by Rate Class'!B34,"-",'3. Consumption by Rate Class'!C34)</f>
        <v>2014-July</v>
      </c>
      <c r="C29" s="366">
        <v>11153255.460000001</v>
      </c>
      <c r="D29" s="154"/>
      <c r="E29" s="366">
        <v>325023</v>
      </c>
      <c r="F29" s="154">
        <v>31088</v>
      </c>
      <c r="G29" s="154"/>
      <c r="H29" s="367"/>
      <c r="I29" s="367"/>
      <c r="J29" s="167">
        <f t="shared" si="1"/>
        <v>11509366.460000001</v>
      </c>
      <c r="K29" s="167">
        <f>IF(K$9='5.Variables'!$B$10,+'5.Variables'!$I22,+IF(K$9='5.Variables'!$B$34,+'5.Variables'!$I46,+IF(K$9='5.Variables'!$B$58,+'5.Variables'!$I61,+IF(K$9='5.Variables'!$B$72,+'5.Variables'!$I75,+IF(K$9='5.Variables'!$B$86,+'5.Variables'!$I89,+IF(K$9='5.Variables'!$B$100,+'5.Variables'!$I103,IF(K$9='5.Variables'!$B$32,+'5.Variables'!$I32,IF(K$9='5.Variables'!$B$56,+'5.Variables'!$I56,0))))))))</f>
        <v>12873</v>
      </c>
      <c r="L29" s="292">
        <f>IF(L$9='5.Variables'!$B$10,+'5.Variables'!$I22,+IF(L$9='5.Variables'!$B$34,+'5.Variables'!$I46,+IF(L$9='5.Variables'!$B$58,+'5.Variables'!$I61,+IF(L$9='5.Variables'!$B$72,+'5.Variables'!$I75,+IF(L$9='5.Variables'!$B$86,+'5.Variables'!$I89,+IF(L$9='5.Variables'!$B$100,+'5.Variables'!$I103,IF(L$9='5.Variables'!$B$32,+'5.Variables'!$I32,IF(L$9='5.Variables'!$B$56,+'5.Variables'!$I56,0))))))))</f>
        <v>0</v>
      </c>
      <c r="M29" s="292">
        <f>IF(M$9='5.Variables'!$B$10,+'5.Variables'!$I22,+IF(M$9='5.Variables'!$B$34,+'5.Variables'!$I46,+IF(M$9='5.Variables'!$B$58,+'5.Variables'!$I61,+IF(M$9='5.Variables'!$B$72,+'5.Variables'!$I75,+IF(M$9='5.Variables'!$B$86,+'5.Variables'!$I89,+IF(M$9='5.Variables'!$B$100,+'5.Variables'!$I103,IF(M$9='5.Variables'!$B$32,+'5.Variables'!$I32,IF(M$9='5.Variables'!$B$56,+'5.Variables'!$I56,0))))))))</f>
        <v>31</v>
      </c>
      <c r="N29" s="292">
        <f>IF(N$9='5.Variables'!$B$10,+'5.Variables'!$I22,+IF(N$9='5.Variables'!$B$34,+'5.Variables'!$I46,+IF(N$9='5.Variables'!$B$58,+'5.Variables'!$I61,+IF(N$9='5.Variables'!$B$72,+'5.Variables'!$I75,+IF(N$9='5.Variables'!$B$86,+'5.Variables'!$I89,+IF(N$9='5.Variables'!$B$100,+'5.Variables'!$I103,IF(N$9='5.Variables'!$B$32,+'5.Variables'!$I32,IF(N$9='5.Variables'!$B$56,+'5.Variables'!$I56,0))))))))</f>
        <v>29.7</v>
      </c>
      <c r="O29" s="292">
        <f>IF(O$9='5.Variables'!$B$10,+'5.Variables'!$I22,+IF(O$9='5.Variables'!$B$34,+'5.Variables'!$I46,+IF(O$9='5.Variables'!$B$58,+'5.Variables'!$I61,+IF(O$9='5.Variables'!$B$72,+'5.Variables'!$I75,+IF(O$9='5.Variables'!$B$86,+'5.Variables'!$I89,+IF(O$9='5.Variables'!$B$100,+'5.Variables'!$I103,IF(O$9='5.Variables'!$B$32,+'5.Variables'!$I32,IF(O$9='5.Variables'!$B$56,+'5.Variables'!$I56,0))))))))</f>
        <v>50.3</v>
      </c>
      <c r="P29" s="292">
        <f>IF(P$9='5.Variables'!$B$10,+'5.Variables'!$I22,+IF(P$9='5.Variables'!$B$34,+'5.Variables'!$I46,+IF(P$9='5.Variables'!$B$58,+'5.Variables'!$I61,+IF(P$9='5.Variables'!$B$72,+'5.Variables'!$I75,+IF(P$9='5.Variables'!$B$86,+'5.Variables'!$I89,+IF(P$9='5.Variables'!$B$100,+'5.Variables'!$I103,IF(P$9='5.Variables'!$B$32,+'5.Variables'!$I32,IF(P$9='5.Variables'!$B$56,+'5.Variables'!$I56,0))))))))</f>
        <v>0</v>
      </c>
      <c r="Q29" s="143"/>
      <c r="R29" s="154">
        <v>12714956.68112896</v>
      </c>
      <c r="S29" s="167">
        <f t="shared" si="2"/>
        <v>11363131.656242626</v>
      </c>
      <c r="T29" s="624">
        <f t="shared" si="3"/>
        <v>1.1189658859706757</v>
      </c>
      <c r="U29" s="167">
        <f t="shared" si="4"/>
        <v>12878588.437875081</v>
      </c>
      <c r="V29" s="171"/>
      <c r="W29" s="618"/>
      <c r="X29" t="str">
        <f>+N9</f>
        <v>HDD</v>
      </c>
      <c r="Y29">
        <v>5760.7499012100807</v>
      </c>
      <c r="Z29">
        <v>238.7345954392446</v>
      </c>
      <c r="AA29">
        <v>24.130352329585723</v>
      </c>
      <c r="AB29">
        <v>1.3053935026879876E-46</v>
      </c>
      <c r="AC29">
        <v>5287.818506384554</v>
      </c>
      <c r="AD29">
        <v>6233.6812960356074</v>
      </c>
      <c r="AE29">
        <v>5287.818506384554</v>
      </c>
      <c r="AF29">
        <v>6233.6812960356074</v>
      </c>
      <c r="AG29"/>
      <c r="AH29" s="143"/>
      <c r="AI29" s="143"/>
      <c r="AJ29" s="143"/>
      <c r="AK29" s="143"/>
      <c r="AL29" s="143"/>
      <c r="AM29" s="143"/>
      <c r="AN29" s="143"/>
      <c r="AO29" s="143"/>
      <c r="AP29" s="143"/>
      <c r="AQ29" s="143"/>
    </row>
    <row r="30" spans="1:43" ht="13.5" thickBot="1" x14ac:dyDescent="0.35">
      <c r="A30" s="339">
        <f t="shared" si="0"/>
        <v>20</v>
      </c>
      <c r="B30" s="166" t="str">
        <f>CONCATENATE('3. Consumption by Rate Class'!B35,"-",'3. Consumption by Rate Class'!C35)</f>
        <v>2014-August</v>
      </c>
      <c r="C30" s="366">
        <v>11362433.77</v>
      </c>
      <c r="D30" s="154"/>
      <c r="E30" s="366">
        <v>339894</v>
      </c>
      <c r="F30" s="154">
        <v>26764</v>
      </c>
      <c r="G30" s="154"/>
      <c r="H30" s="367"/>
      <c r="I30" s="367"/>
      <c r="J30" s="167">
        <f t="shared" si="1"/>
        <v>11729091.77</v>
      </c>
      <c r="K30" s="167">
        <f>IF(K$9='5.Variables'!$B$10,+'5.Variables'!$J22,+IF(K$9='5.Variables'!$B$34,+'5.Variables'!$J46,+IF(K$9='5.Variables'!$B$58,+'5.Variables'!$J61,+IF(K$9='5.Variables'!$B$72,+'5.Variables'!$J75,+IF(K$9='5.Variables'!$B$86,+'5.Variables'!$J89,+IF(K$9='5.Variables'!$B$100,+'5.Variables'!$J103,IF(K$9='5.Variables'!$B$32,+'5.Variables'!$J32,IF(K$9='5.Variables'!$B$56,+'5.Variables'!$J56,0))))))))</f>
        <v>12937</v>
      </c>
      <c r="L30" s="292">
        <f>IF(L$9='5.Variables'!$B$10,+'5.Variables'!$J22,+IF(L$9='5.Variables'!$B$34,+'5.Variables'!$J46,+IF(L$9='5.Variables'!$B$58,+'5.Variables'!$J61,+IF(L$9='5.Variables'!$B$72,+'5.Variables'!$J75,+IF(L$9='5.Variables'!$B$86,+'5.Variables'!$J89,+IF(L$9='5.Variables'!$B$100,+'5.Variables'!$J103,IF(L$9='5.Variables'!$B$32,+'5.Variables'!$J32,IF(L$9='5.Variables'!$B$56,+'5.Variables'!$J56,0))))))))</f>
        <v>0</v>
      </c>
      <c r="M30" s="292">
        <f>IF(M$9='5.Variables'!$B$10,+'5.Variables'!$J22,+IF(M$9='5.Variables'!$B$34,+'5.Variables'!$J46,+IF(M$9='5.Variables'!$B$58,+'5.Variables'!$J61,+IF(M$9='5.Variables'!$B$72,+'5.Variables'!$J75,+IF(M$9='5.Variables'!$B$86,+'5.Variables'!$J89,+IF(M$9='5.Variables'!$B$100,+'5.Variables'!$J103,IF(M$9='5.Variables'!$B$32,+'5.Variables'!$J32,IF(M$9='5.Variables'!$B$56,+'5.Variables'!$J56,0))))))))</f>
        <v>31</v>
      </c>
      <c r="N30" s="292">
        <f>IF(N$9='5.Variables'!$B$10,+'5.Variables'!$J22,+IF(N$9='5.Variables'!$B$34,+'5.Variables'!$J46,+IF(N$9='5.Variables'!$B$58,+'5.Variables'!$J61,+IF(N$9='5.Variables'!$B$72,+'5.Variables'!$J75,+IF(N$9='5.Variables'!$B$86,+'5.Variables'!$J89,+IF(N$9='5.Variables'!$B$100,+'5.Variables'!$J103,IF(N$9='5.Variables'!$B$32,+'5.Variables'!$J32,IF(N$9='5.Variables'!$B$56,+'5.Variables'!$J56,0))))))))</f>
        <v>24.1</v>
      </c>
      <c r="O30" s="292">
        <f>IF(O$9='5.Variables'!$B$10,+'5.Variables'!$J22,+IF(O$9='5.Variables'!$B$34,+'5.Variables'!$J46,+IF(O$9='5.Variables'!$B$58,+'5.Variables'!$J61,+IF(O$9='5.Variables'!$B$72,+'5.Variables'!$J75,+IF(O$9='5.Variables'!$B$86,+'5.Variables'!$J89,+IF(O$9='5.Variables'!$B$100,+'5.Variables'!$J103,IF(O$9='5.Variables'!$B$32,+'5.Variables'!$J32,IF(O$9='5.Variables'!$B$56,+'5.Variables'!$J56,0))))))))</f>
        <v>45.9</v>
      </c>
      <c r="P30" s="292">
        <f>IF(P$9='5.Variables'!$B$10,+'5.Variables'!$J22,+IF(P$9='5.Variables'!$B$34,+'5.Variables'!$J46,+IF(P$9='5.Variables'!$B$58,+'5.Variables'!$J61,+IF(P$9='5.Variables'!$B$72,+'5.Variables'!$J75,+IF(P$9='5.Variables'!$B$86,+'5.Variables'!$J89,+IF(P$9='5.Variables'!$B$100,+'5.Variables'!$J103,IF(P$9='5.Variables'!$B$32,+'5.Variables'!$J32,IF(P$9='5.Variables'!$B$56,+'5.Variables'!$J56,0))))))))</f>
        <v>0</v>
      </c>
      <c r="Q30" s="143"/>
      <c r="R30" s="154">
        <v>12492114.111232545</v>
      </c>
      <c r="S30" s="167">
        <f t="shared" si="2"/>
        <v>11216921.515156198</v>
      </c>
      <c r="T30" s="624">
        <f t="shared" si="3"/>
        <v>1.113684721280551</v>
      </c>
      <c r="U30" s="167">
        <f t="shared" si="4"/>
        <v>13062510.298746454</v>
      </c>
      <c r="V30" s="171"/>
      <c r="W30" s="618"/>
      <c r="X30" s="185" t="str">
        <f>+O9</f>
        <v>CDD</v>
      </c>
      <c r="Y30" s="185">
        <v>39266.000277410712</v>
      </c>
      <c r="Z30" s="185">
        <v>1967.1504556041268</v>
      </c>
      <c r="AA30" s="185">
        <v>19.960852595462416</v>
      </c>
      <c r="AB30" s="185">
        <v>5.25104880520263E-39</v>
      </c>
      <c r="AC30" s="185">
        <v>35369.090375899235</v>
      </c>
      <c r="AD30" s="185">
        <v>43162.91017892219</v>
      </c>
      <c r="AE30" s="185">
        <v>35369.090375899235</v>
      </c>
      <c r="AF30" s="185">
        <v>43162.91017892219</v>
      </c>
      <c r="AG30"/>
      <c r="AH30" s="143"/>
      <c r="AI30" s="143"/>
      <c r="AJ30" s="143"/>
      <c r="AK30" s="143"/>
      <c r="AL30" s="143"/>
      <c r="AM30" s="143"/>
      <c r="AN30" s="143"/>
      <c r="AO30" s="143"/>
      <c r="AP30" s="143"/>
      <c r="AQ30" s="143"/>
    </row>
    <row r="31" spans="1:43" x14ac:dyDescent="0.3">
      <c r="A31" s="339">
        <f t="shared" si="0"/>
        <v>21</v>
      </c>
      <c r="B31" s="166" t="str">
        <f>CONCATENATE('3. Consumption by Rate Class'!B36,"-",'3. Consumption by Rate Class'!C36)</f>
        <v>2014-September</v>
      </c>
      <c r="C31" s="366">
        <v>9514380.7899999991</v>
      </c>
      <c r="D31" s="154"/>
      <c r="E31" s="366">
        <v>300632</v>
      </c>
      <c r="F31" s="154">
        <v>21496</v>
      </c>
      <c r="G31" s="154"/>
      <c r="H31" s="367"/>
      <c r="I31" s="367"/>
      <c r="J31" s="167">
        <f t="shared" si="1"/>
        <v>9836508.7899999991</v>
      </c>
      <c r="K31" s="167">
        <f>IF(K$9='5.Variables'!$B$10,+'5.Variables'!$K22,+IF(K$9='5.Variables'!$B$34,+'5.Variables'!$K46,+IF(K$9='5.Variables'!$B$58,+'5.Variables'!$K61,+IF(K$9='5.Variables'!$B$72,+'5.Variables'!$K75,+IF(K$9='5.Variables'!$B$86,+'5.Variables'!$K89,+IF(K$9='5.Variables'!$B$100,+'5.Variables'!$K103,IF(K$9='5.Variables'!$B$32,+'5.Variables'!$K32,IF(K$9='5.Variables'!$B$56,+'5.Variables'!$K56,0))))))))</f>
        <v>12915</v>
      </c>
      <c r="L31" s="292">
        <f>IF(L$9='5.Variables'!$B$10,+'5.Variables'!$K22,+IF(L$9='5.Variables'!$B$34,+'5.Variables'!$K46,+IF(L$9='5.Variables'!$B$58,+'5.Variables'!$K61,+IF(L$9='5.Variables'!$B$72,+'5.Variables'!$K75,+IF(L$9='5.Variables'!$B$86,+'5.Variables'!$K89,+IF(L$9='5.Variables'!$B$100,+'5.Variables'!$K103,IF(L$9='5.Variables'!$B$32,+'5.Variables'!$K32,IF(L$9='5.Variables'!$B$56,+'5.Variables'!$K56,0))))))))</f>
        <v>1</v>
      </c>
      <c r="M31" s="292">
        <f>IF(M$9='5.Variables'!$B$10,+'5.Variables'!$K22,+IF(M$9='5.Variables'!$B$34,+'5.Variables'!$K46,+IF(M$9='5.Variables'!$B$58,+'5.Variables'!$K61,+IF(M$9='5.Variables'!$B$72,+'5.Variables'!$K75,+IF(M$9='5.Variables'!$B$86,+'5.Variables'!$K89,+IF(M$9='5.Variables'!$B$100,+'5.Variables'!$K103,IF(M$9='5.Variables'!$B$32,+'5.Variables'!$K32,IF(M$9='5.Variables'!$B$56,+'5.Variables'!$K56,0))))))))</f>
        <v>30</v>
      </c>
      <c r="N31" s="292">
        <f>IF(N$9='5.Variables'!$B$10,+'5.Variables'!$K22,+IF(N$9='5.Variables'!$B$34,+'5.Variables'!$K46,+IF(N$9='5.Variables'!$B$58,+'5.Variables'!$K61,+IF(N$9='5.Variables'!$B$72,+'5.Variables'!$K75,+IF(N$9='5.Variables'!$B$86,+'5.Variables'!$K89,+IF(N$9='5.Variables'!$B$100,+'5.Variables'!$K103,IF(N$9='5.Variables'!$B$32,+'5.Variables'!$K32,IF(N$9='5.Variables'!$B$56,+'5.Variables'!$K56,0))))))))</f>
        <v>86.3</v>
      </c>
      <c r="O31" s="292">
        <f>IF(O$9='5.Variables'!$B$10,+'5.Variables'!$K22,+IF(O$9='5.Variables'!$B$34,+'5.Variables'!$K46,+IF(O$9='5.Variables'!$B$58,+'5.Variables'!$K61,+IF(O$9='5.Variables'!$B$72,+'5.Variables'!$K75,+IF(O$9='5.Variables'!$B$86,+'5.Variables'!$K89,+IF(O$9='5.Variables'!$B$100,+'5.Variables'!$K103,IF(O$9='5.Variables'!$B$32,+'5.Variables'!$K32,IF(O$9='5.Variables'!$B$56,+'5.Variables'!$K56,0))))))))</f>
        <v>21.4</v>
      </c>
      <c r="P31" s="292">
        <f>IF(P$9='5.Variables'!$B$10,+'5.Variables'!$K22,+IF(P$9='5.Variables'!$B$34,+'5.Variables'!$K46,+IF(P$9='5.Variables'!$B$58,+'5.Variables'!$K61,+IF(P$9='5.Variables'!$B$72,+'5.Variables'!$K75,+IF(P$9='5.Variables'!$B$86,+'5.Variables'!$K89,+IF(P$9='5.Variables'!$B$100,+'5.Variables'!$K103,IF(P$9='5.Variables'!$B$32,+'5.Variables'!$K32,IF(P$9='5.Variables'!$B$56,+'5.Variables'!$K56,0))))))))</f>
        <v>0</v>
      </c>
      <c r="Q31" s="143"/>
      <c r="R31" s="154">
        <v>9765335.8188149501</v>
      </c>
      <c r="S31" s="167">
        <f t="shared" si="2"/>
        <v>9309338.4779626057</v>
      </c>
      <c r="T31" s="624">
        <f t="shared" si="3"/>
        <v>1.0489827866858421</v>
      </c>
      <c r="U31" s="167">
        <f t="shared" si="4"/>
        <v>10318328.401793979</v>
      </c>
      <c r="V31" s="171"/>
      <c r="W31" s="618"/>
      <c r="X31"/>
      <c r="Y31"/>
      <c r="Z31"/>
      <c r="AA31"/>
      <c r="AB31"/>
      <c r="AC31"/>
      <c r="AD31"/>
      <c r="AE31"/>
      <c r="AF31"/>
      <c r="AG31"/>
      <c r="AH31" s="143"/>
      <c r="AI31" s="143"/>
      <c r="AJ31" s="143"/>
      <c r="AK31" s="143"/>
      <c r="AL31" s="143"/>
      <c r="AM31" s="143"/>
      <c r="AN31" s="143"/>
      <c r="AO31" s="143"/>
      <c r="AP31" s="143"/>
      <c r="AQ31" s="143"/>
    </row>
    <row r="32" spans="1:43" x14ac:dyDescent="0.3">
      <c r="A32" s="339">
        <f t="shared" si="0"/>
        <v>22</v>
      </c>
      <c r="B32" s="166" t="str">
        <f>CONCATENATE('3. Consumption by Rate Class'!B37,"-",'3. Consumption by Rate Class'!C37)</f>
        <v>2014-October</v>
      </c>
      <c r="C32" s="366">
        <v>9761646.9700000007</v>
      </c>
      <c r="D32" s="154"/>
      <c r="E32" s="366">
        <v>285924</v>
      </c>
      <c r="F32" s="154">
        <v>12808</v>
      </c>
      <c r="G32" s="154"/>
      <c r="H32" s="367"/>
      <c r="I32" s="367"/>
      <c r="J32" s="167">
        <f t="shared" si="1"/>
        <v>10060378.970000001</v>
      </c>
      <c r="K32" s="167">
        <f>IF(K$9='5.Variables'!$B$10,+'5.Variables'!$L22,+IF(K$9='5.Variables'!$B$34,+'5.Variables'!$L46,+IF(K$9='5.Variables'!$B$58,+'5.Variables'!$L61,+IF(K$9='5.Variables'!$B$72,+'5.Variables'!$L75,+IF(K$9='5.Variables'!$B$86,+'5.Variables'!$L89,+IF(K$9='5.Variables'!$B$100,+'5.Variables'!$L103,IF(K$9='5.Variables'!$B$32,+'5.Variables'!$L32,IF(K$9='5.Variables'!$B$56,+'5.Variables'!$L56,0))))))))</f>
        <v>12961</v>
      </c>
      <c r="L32" s="292">
        <f>IF(L$9='5.Variables'!$B$10,+'5.Variables'!$L22,+IF(L$9='5.Variables'!$B$34,+'5.Variables'!$L46,+IF(L$9='5.Variables'!$B$58,+'5.Variables'!$L61,+IF(L$9='5.Variables'!$B$72,+'5.Variables'!$L75,+IF(L$9='5.Variables'!$B$86,+'5.Variables'!$L89,+IF(L$9='5.Variables'!$B$100,+'5.Variables'!$L103,IF(L$9='5.Variables'!$B$32,+'5.Variables'!$L32,IF(L$9='5.Variables'!$B$56,+'5.Variables'!$L56,0))))))))</f>
        <v>1</v>
      </c>
      <c r="M32" s="292">
        <f>IF(M$9='5.Variables'!$B$10,+'5.Variables'!$L22,+IF(M$9='5.Variables'!$B$34,+'5.Variables'!$L46,+IF(M$9='5.Variables'!$B$58,+'5.Variables'!$L61,+IF(M$9='5.Variables'!$B$72,+'5.Variables'!$L75,+IF(M$9='5.Variables'!$B$86,+'5.Variables'!$L89,+IF(M$9='5.Variables'!$B$100,+'5.Variables'!$L103,IF(M$9='5.Variables'!$B$32,+'5.Variables'!$L32,IF(M$9='5.Variables'!$B$56,+'5.Variables'!$L56,0))))))))</f>
        <v>31</v>
      </c>
      <c r="N32" s="292">
        <f>IF(N$9='5.Variables'!$B$10,+'5.Variables'!$L22,+IF(N$9='5.Variables'!$B$34,+'5.Variables'!$L46,+IF(N$9='5.Variables'!$B$58,+'5.Variables'!$L61,+IF(N$9='5.Variables'!$B$72,+'5.Variables'!$L75,+IF(N$9='5.Variables'!$B$86,+'5.Variables'!$L89,+IF(N$9='5.Variables'!$B$100,+'5.Variables'!$L103,IF(N$9='5.Variables'!$B$32,+'5.Variables'!$L32,IF(N$9='5.Variables'!$B$56,+'5.Variables'!$L56,0))))))))</f>
        <v>238.8</v>
      </c>
      <c r="O32" s="292">
        <f>IF(O$9='5.Variables'!$B$10,+'5.Variables'!$L22,+IF(O$9='5.Variables'!$B$34,+'5.Variables'!$L46,+IF(O$9='5.Variables'!$B$58,+'5.Variables'!$L61,+IF(O$9='5.Variables'!$B$72,+'5.Variables'!$L75,+IF(O$9='5.Variables'!$B$86,+'5.Variables'!$L89,+IF(O$9='5.Variables'!$B$100,+'5.Variables'!$L103,IF(O$9='5.Variables'!$B$32,+'5.Variables'!$L32,IF(O$9='5.Variables'!$B$56,+'5.Variables'!$L56,0))))))))</f>
        <v>1.2</v>
      </c>
      <c r="P32" s="292">
        <f>IF(P$9='5.Variables'!$B$10,+'5.Variables'!$L22,+IF(P$9='5.Variables'!$B$34,+'5.Variables'!$L46,+IF(P$9='5.Variables'!$B$58,+'5.Variables'!$L61,+IF(P$9='5.Variables'!$B$72,+'5.Variables'!$L75,+IF(P$9='5.Variables'!$B$86,+'5.Variables'!$L89,+IF(P$9='5.Variables'!$B$100,+'5.Variables'!$L103,IF(P$9='5.Variables'!$B$32,+'5.Variables'!$L32,IF(P$9='5.Variables'!$B$56,+'5.Variables'!$L56,0))))))))</f>
        <v>0</v>
      </c>
      <c r="Q32" s="143"/>
      <c r="R32" s="154">
        <v>9902819.4633116871</v>
      </c>
      <c r="S32" s="167">
        <f t="shared" si="2"/>
        <v>9860287.8957989085</v>
      </c>
      <c r="T32" s="624">
        <f t="shared" si="3"/>
        <v>1.0043134204561004</v>
      </c>
      <c r="U32" s="167">
        <f t="shared" si="4"/>
        <v>10103773.614445321</v>
      </c>
      <c r="V32" s="171"/>
      <c r="W32" s="618"/>
      <c r="X32"/>
      <c r="Y32"/>
      <c r="Z32"/>
      <c r="AA32"/>
      <c r="AB32"/>
      <c r="AC32"/>
      <c r="AD32"/>
      <c r="AE32"/>
      <c r="AF32"/>
      <c r="AG32"/>
      <c r="AH32" s="143"/>
      <c r="AI32" s="143"/>
      <c r="AJ32" s="143"/>
      <c r="AK32" s="143"/>
      <c r="AL32" s="143"/>
      <c r="AM32" s="143"/>
      <c r="AN32" s="143"/>
      <c r="AO32" s="143"/>
      <c r="AP32" s="143"/>
      <c r="AQ32" s="143"/>
    </row>
    <row r="33" spans="1:43" x14ac:dyDescent="0.3">
      <c r="A33" s="339">
        <f t="shared" si="0"/>
        <v>23</v>
      </c>
      <c r="B33" s="166" t="str">
        <f>CONCATENATE('3. Consumption by Rate Class'!B38,"-",'3. Consumption by Rate Class'!C38)</f>
        <v>2014-November</v>
      </c>
      <c r="C33" s="366">
        <v>11117966.66</v>
      </c>
      <c r="D33" s="154"/>
      <c r="E33" s="366">
        <v>263844</v>
      </c>
      <c r="F33" s="154">
        <v>4238</v>
      </c>
      <c r="G33" s="154"/>
      <c r="H33" s="367"/>
      <c r="I33" s="367"/>
      <c r="J33" s="167">
        <f t="shared" si="1"/>
        <v>11386048.66</v>
      </c>
      <c r="K33" s="167">
        <f>IF(K$9='5.Variables'!$B$10,+'5.Variables'!$M22,+IF(K$9='5.Variables'!$B$34,+'5.Variables'!$M46,+IF(K$9='5.Variables'!$B$58,+'5.Variables'!$M61,+IF(K$9='5.Variables'!$B$72,+'5.Variables'!$M75,+IF(K$9='5.Variables'!$B$86,+'5.Variables'!$M89,+IF(K$9='5.Variables'!$B$100,+'5.Variables'!$M103,IF(K$9='5.Variables'!$B$32,+'5.Variables'!$M32,IF(K$9='5.Variables'!$B$56,+'5.Variables'!$M56,0))))))))</f>
        <v>12976</v>
      </c>
      <c r="L33" s="292">
        <f>IF(L$9='5.Variables'!$B$10,+'5.Variables'!$M22,+IF(L$9='5.Variables'!$B$34,+'5.Variables'!$M46,+IF(L$9='5.Variables'!$B$58,+'5.Variables'!$M61,+IF(L$9='5.Variables'!$B$72,+'5.Variables'!$M75,+IF(L$9='5.Variables'!$B$86,+'5.Variables'!$M89,+IF(L$9='5.Variables'!$B$100,+'5.Variables'!$M103,IF(L$9='5.Variables'!$B$32,+'5.Variables'!$M32,IF(L$9='5.Variables'!$B$56,+'5.Variables'!$M56,0))))))))</f>
        <v>1</v>
      </c>
      <c r="M33" s="292">
        <f>IF(M$9='5.Variables'!$B$10,+'5.Variables'!$M22,+IF(M$9='5.Variables'!$B$34,+'5.Variables'!$M46,+IF(M$9='5.Variables'!$B$58,+'5.Variables'!$M61,+IF(M$9='5.Variables'!$B$72,+'5.Variables'!$M75,+IF(M$9='5.Variables'!$B$86,+'5.Variables'!$M89,+IF(M$9='5.Variables'!$B$100,+'5.Variables'!$M103,IF(M$9='5.Variables'!$B$32,+'5.Variables'!$M32,IF(M$9='5.Variables'!$B$56,+'5.Variables'!$M56,0))))))))</f>
        <v>30</v>
      </c>
      <c r="N33" s="292">
        <f>IF(N$9='5.Variables'!$B$10,+'5.Variables'!$M22,+IF(N$9='5.Variables'!$B$34,+'5.Variables'!$M46,+IF(N$9='5.Variables'!$B$58,+'5.Variables'!$M61,+IF(N$9='5.Variables'!$B$72,+'5.Variables'!$M75,+IF(N$9='5.Variables'!$B$86,+'5.Variables'!$M89,+IF(N$9='5.Variables'!$B$100,+'5.Variables'!$M103,IF(N$9='5.Variables'!$B$32,+'5.Variables'!$M32,IF(N$9='5.Variables'!$B$56,+'5.Variables'!$M56,0))))))))</f>
        <v>460.7</v>
      </c>
      <c r="O33" s="292">
        <f>IF(O$9='5.Variables'!$B$10,+'5.Variables'!$M22,+IF(O$9='5.Variables'!$B$34,+'5.Variables'!$M46,+IF(O$9='5.Variables'!$B$58,+'5.Variables'!$M61,+IF(O$9='5.Variables'!$B$72,+'5.Variables'!$M75,+IF(O$9='5.Variables'!$B$86,+'5.Variables'!$M89,+IF(O$9='5.Variables'!$B$100,+'5.Variables'!$M103,IF(O$9='5.Variables'!$B$32,+'5.Variables'!$M32,IF(O$9='5.Variables'!$B$56,+'5.Variables'!$M56,0))))))))</f>
        <v>0</v>
      </c>
      <c r="P33" s="292">
        <f>IF(P$9='5.Variables'!$B$10,+'5.Variables'!$M22,+IF(P$9='5.Variables'!$B$34,+'5.Variables'!$M46,+IF(P$9='5.Variables'!$B$58,+'5.Variables'!$M61,+IF(P$9='5.Variables'!$B$72,+'5.Variables'!$M75,+IF(P$9='5.Variables'!$B$86,+'5.Variables'!$M89,+IF(P$9='5.Variables'!$B$100,+'5.Variables'!$M103,IF(P$9='5.Variables'!$B$32,+'5.Variables'!$M32,IF(P$9='5.Variables'!$B$56,+'5.Variables'!$M56,0))))))))</f>
        <v>0</v>
      </c>
      <c r="Q33" s="143"/>
      <c r="R33" s="154">
        <v>10411002.283864252</v>
      </c>
      <c r="S33" s="167">
        <f t="shared" si="2"/>
        <v>10681934.085577168</v>
      </c>
      <c r="T33" s="624">
        <f t="shared" si="3"/>
        <v>0.97463644696340812</v>
      </c>
      <c r="U33" s="167">
        <f t="shared" si="4"/>
        <v>11097258.010934874</v>
      </c>
      <c r="V33" s="171"/>
      <c r="W33" s="618"/>
      <c r="X33"/>
      <c r="Y33"/>
      <c r="Z33"/>
      <c r="AA33"/>
      <c r="AB33"/>
      <c r="AC33"/>
      <c r="AD33"/>
      <c r="AE33"/>
      <c r="AF33"/>
      <c r="AG33"/>
      <c r="AH33" s="143"/>
      <c r="AI33" s="143"/>
      <c r="AJ33" s="143"/>
      <c r="AK33" s="143"/>
      <c r="AL33" s="143"/>
      <c r="AM33" s="143"/>
      <c r="AN33" s="143"/>
      <c r="AO33" s="143"/>
      <c r="AP33" s="143"/>
      <c r="AQ33" s="143"/>
    </row>
    <row r="34" spans="1:43" ht="13.5" customHeight="1" x14ac:dyDescent="0.3">
      <c r="A34" s="339">
        <f t="shared" si="0"/>
        <v>24</v>
      </c>
      <c r="B34" s="166" t="str">
        <f>CONCATENATE('3. Consumption by Rate Class'!B39,"-",'3. Consumption by Rate Class'!C39)</f>
        <v>2014-December</v>
      </c>
      <c r="C34" s="366">
        <v>12637824.1</v>
      </c>
      <c r="D34" s="154"/>
      <c r="E34" s="366">
        <v>269668</v>
      </c>
      <c r="F34" s="154">
        <v>3728</v>
      </c>
      <c r="G34" s="154"/>
      <c r="H34" s="367"/>
      <c r="I34" s="367"/>
      <c r="J34" s="167">
        <f t="shared" si="1"/>
        <v>12911220.1</v>
      </c>
      <c r="K34" s="167">
        <f>IF(K$9='5.Variables'!$B$10,+'5.Variables'!$N22,+IF(K$9='5.Variables'!$B$34,+'5.Variables'!$N46,+IF(K$9='5.Variables'!$B$58,+'5.Variables'!$N61,+IF(K$9='5.Variables'!$B$72,+'5.Variables'!$N75,+IF(K$9='5.Variables'!$B$86,+'5.Variables'!$N89,+IF(K$9='5.Variables'!$B$100,+'5.Variables'!$N103,IF(K$9='5.Variables'!$B$32,+'5.Variables'!$N32,IF(K$9='5.Variables'!$B$56,+'5.Variables'!$N56,0))))))))</f>
        <v>13021</v>
      </c>
      <c r="L34" s="292">
        <f>IF(L$9='5.Variables'!$B$10,+'5.Variables'!$N22,+IF(L$9='5.Variables'!$B$34,+'5.Variables'!$N46,+IF(L$9='5.Variables'!$B$58,+'5.Variables'!$N61,+IF(L$9='5.Variables'!$B$72,+'5.Variables'!$N75,+IF(L$9='5.Variables'!$B$86,+'5.Variables'!$N89,+IF(L$9='5.Variables'!$B$100,+'5.Variables'!$N103,IF(L$9='5.Variables'!$B$32,+'5.Variables'!$N32,IF(L$9='5.Variables'!$B$56,+'5.Variables'!$N56,0))))))))</f>
        <v>0</v>
      </c>
      <c r="M34" s="292">
        <f>IF(M$9='5.Variables'!$B$10,+'5.Variables'!$N22,+IF(M$9='5.Variables'!$B$34,+'5.Variables'!$N46,+IF(M$9='5.Variables'!$B$58,+'5.Variables'!$N61,+IF(M$9='5.Variables'!$B$72,+'5.Variables'!$N75,+IF(M$9='5.Variables'!$B$86,+'5.Variables'!$N89,+IF(M$9='5.Variables'!$B$100,+'5.Variables'!$N103,IF(M$9='5.Variables'!$B$32,+'5.Variables'!$N32,IF(M$9='5.Variables'!$B$56,+'5.Variables'!$N56,0))))))))</f>
        <v>31</v>
      </c>
      <c r="N34" s="292">
        <f>IF(N$9='5.Variables'!$B$10,+'5.Variables'!$N22,+IF(N$9='5.Variables'!$B$34,+'5.Variables'!$N46,+IF(N$9='5.Variables'!$B$58,+'5.Variables'!$N61,+IF(N$9='5.Variables'!$B$72,+'5.Variables'!$N75,+IF(N$9='5.Variables'!$B$86,+'5.Variables'!$N89,+IF(N$9='5.Variables'!$B$100,+'5.Variables'!$N103,IF(N$9='5.Variables'!$B$32,+'5.Variables'!$N32,IF(N$9='5.Variables'!$B$56,+'5.Variables'!$N56,0))))))))</f>
        <v>537.70000000000005</v>
      </c>
      <c r="O34" s="292">
        <f>IF(O$9='5.Variables'!$B$10,+'5.Variables'!$N22,+IF(O$9='5.Variables'!$B$34,+'5.Variables'!$N46,+IF(O$9='5.Variables'!$B$58,+'5.Variables'!$N61,+IF(O$9='5.Variables'!$B$72,+'5.Variables'!$N75,+IF(O$9='5.Variables'!$B$86,+'5.Variables'!$N89,+IF(O$9='5.Variables'!$B$100,+'5.Variables'!$N103,IF(O$9='5.Variables'!$B$32,+'5.Variables'!$N32,IF(O$9='5.Variables'!$B$56,+'5.Variables'!$N56,0))))))))</f>
        <v>0</v>
      </c>
      <c r="P34" s="292">
        <f>IF(P$9='5.Variables'!$B$10,+'5.Variables'!$N22,+IF(P$9='5.Variables'!$B$34,+'5.Variables'!$N46,+IF(P$9='5.Variables'!$B$58,+'5.Variables'!$N61,+IF(P$9='5.Variables'!$B$72,+'5.Variables'!$N75,+IF(P$9='5.Variables'!$B$86,+'5.Variables'!$N89,+IF(P$9='5.Variables'!$B$100,+'5.Variables'!$N103,IF(P$9='5.Variables'!$B$32,+'5.Variables'!$N32,IF(P$9='5.Variables'!$B$56,+'5.Variables'!$N56,0))))))))</f>
        <v>0</v>
      </c>
      <c r="Q34" s="143"/>
      <c r="R34" s="154">
        <v>12658959.036310326</v>
      </c>
      <c r="S34" s="167">
        <f t="shared" si="2"/>
        <v>12450535.104884546</v>
      </c>
      <c r="T34" s="624">
        <f t="shared" si="3"/>
        <v>1.0167401585289304</v>
      </c>
      <c r="U34" s="167">
        <f t="shared" si="4"/>
        <v>13127355.971275913</v>
      </c>
      <c r="V34" s="171">
        <f>SUM(U23:U34)</f>
        <v>138847385.74999535</v>
      </c>
      <c r="W34" s="618"/>
      <c r="X34"/>
      <c r="Y34"/>
      <c r="Z34"/>
      <c r="AA34"/>
      <c r="AB34"/>
      <c r="AC34"/>
      <c r="AD34"/>
      <c r="AE34"/>
      <c r="AF34"/>
      <c r="AG34"/>
      <c r="AH34" s="143"/>
      <c r="AI34" s="143"/>
      <c r="AJ34" s="143"/>
      <c r="AK34" s="143"/>
      <c r="AL34" s="143"/>
      <c r="AM34" s="143"/>
      <c r="AN34" s="143"/>
      <c r="AO34" s="143"/>
      <c r="AP34" s="143"/>
      <c r="AQ34" s="143"/>
    </row>
    <row r="35" spans="1:43" x14ac:dyDescent="0.3">
      <c r="A35" s="339">
        <f t="shared" si="0"/>
        <v>25</v>
      </c>
      <c r="B35" s="166" t="str">
        <f>CONCATENATE('3. Consumption by Rate Class'!B40,"-",'3. Consumption by Rate Class'!C40)</f>
        <v>2015-January</v>
      </c>
      <c r="C35" s="366">
        <v>13995263.050000001</v>
      </c>
      <c r="D35" s="154"/>
      <c r="E35" s="366">
        <v>265439.69</v>
      </c>
      <c r="F35" s="154">
        <v>3098</v>
      </c>
      <c r="G35" s="154"/>
      <c r="H35" s="367"/>
      <c r="I35" s="367"/>
      <c r="J35" s="167">
        <f t="shared" si="1"/>
        <v>14263800.74</v>
      </c>
      <c r="K35" s="167">
        <f>IF(K$9='5.Variables'!$B$10,+'5.Variables'!$C23,+IF(K$9='5.Variables'!$B$34,+'5.Variables'!$C47,+IF(K$9='5.Variables'!$B$58,+'5.Variables'!$C62,+IF(K$9='5.Variables'!$B$72,+'5.Variables'!$C76,+IF(K$9='5.Variables'!$B$86,+'5.Variables'!$C90,+IF(K$9='5.Variables'!$B$100,+'5.Variables'!$C104,IF(K$9='5.Variables'!$B$32,+'5.Variables'!$C32,IF(K$9='5.Variables'!$B$56,+'5.Variables'!$C56,0))))))))</f>
        <v>13050</v>
      </c>
      <c r="L35" s="292">
        <f>IF(L$9='5.Variables'!$B$10,+'5.Variables'!$C23,+IF(L$9='5.Variables'!$B$34,+'5.Variables'!$C47,+IF(L$9='5.Variables'!$B$58,+'5.Variables'!$C62,+IF(L$9='5.Variables'!$B$72,+'5.Variables'!$C76,+IF(L$9='5.Variables'!$B$86,+'5.Variables'!$C90,+IF(L$9='5.Variables'!$B$100,+'5.Variables'!$C104,IF(L$9='5.Variables'!$B$32,+'5.Variables'!$C32,IF(L$9='5.Variables'!$B$56,+'5.Variables'!$C56,0))))))))</f>
        <v>0</v>
      </c>
      <c r="M35" s="292">
        <f>IF(M$9='5.Variables'!$B$10,+'5.Variables'!$C23,+IF(M$9='5.Variables'!$B$34,+'5.Variables'!$C47,+IF(M$9='5.Variables'!$B$58,+'5.Variables'!$C62,+IF(M$9='5.Variables'!$B$72,+'5.Variables'!$C76,+IF(M$9='5.Variables'!$B$86,+'5.Variables'!$C90,+IF(M$9='5.Variables'!$B$100,+'5.Variables'!$C104,IF(M$9='5.Variables'!$B$32,+'5.Variables'!$C32,IF(M$9='5.Variables'!$B$56,+'5.Variables'!$C56,0))))))))</f>
        <v>31</v>
      </c>
      <c r="N35" s="292">
        <f>IF(N$9='5.Variables'!$B$10,+'5.Variables'!$C23,+IF(N$9='5.Variables'!$B$34,+'5.Variables'!$C47,+IF(N$9='5.Variables'!$B$58,+'5.Variables'!$C62,+IF(N$9='5.Variables'!$B$72,+'5.Variables'!$C76,+IF(N$9='5.Variables'!$B$86,+'5.Variables'!$C90,+IF(N$9='5.Variables'!$B$100,+'5.Variables'!$C104,IF(N$9='5.Variables'!$B$32,+'5.Variables'!$C32,IF(N$9='5.Variables'!$B$56,+'5.Variables'!$C56,0))))))))</f>
        <v>854.9</v>
      </c>
      <c r="O35" s="292">
        <f>IF(O$9='5.Variables'!$B$10,+'5.Variables'!$C23,+IF(O$9='5.Variables'!$B$34,+'5.Variables'!$C47,+IF(O$9='5.Variables'!$B$58,+'5.Variables'!$C62,+IF(O$9='5.Variables'!$B$72,+'5.Variables'!$C76,+IF(O$9='5.Variables'!$B$86,+'5.Variables'!$C90,+IF(O$9='5.Variables'!$B$100,+'5.Variables'!$C104,IF(O$9='5.Variables'!$B$32,+'5.Variables'!$C32,IF(O$9='5.Variables'!$B$56,+'5.Variables'!$C56,0))))))))</f>
        <v>0</v>
      </c>
      <c r="P35" s="292">
        <f>IF(P$9='5.Variables'!$B$10,+'5.Variables'!$C23,+IF(P$9='5.Variables'!$B$34,+'5.Variables'!$C47,+IF(P$9='5.Variables'!$B$58,+'5.Variables'!$C62,+IF(P$9='5.Variables'!$B$72,+'5.Variables'!$C76,+IF(P$9='5.Variables'!$B$86,+'5.Variables'!$C90,+IF(P$9='5.Variables'!$B$100,+'5.Variables'!$C104,IF(P$9='5.Variables'!$B$32,+'5.Variables'!$C32,IF(P$9='5.Variables'!$B$56,+'5.Variables'!$C56,0))))))))</f>
        <v>0</v>
      </c>
      <c r="Q35" s="143"/>
      <c r="R35" s="154">
        <v>13437850.779157959</v>
      </c>
      <c r="S35" s="167">
        <f t="shared" si="2"/>
        <v>14304497.994296003</v>
      </c>
      <c r="T35" s="624">
        <f t="shared" si="3"/>
        <v>0.93941435655528605</v>
      </c>
      <c r="U35" s="167">
        <f t="shared" si="4"/>
        <v>13399619.194199912</v>
      </c>
      <c r="V35" s="171"/>
      <c r="W35" s="618"/>
      <c r="X35"/>
      <c r="Y35"/>
      <c r="Z35"/>
      <c r="AA35"/>
      <c r="AB35"/>
      <c r="AC35"/>
      <c r="AD35"/>
      <c r="AE35"/>
      <c r="AF35"/>
      <c r="AG35"/>
      <c r="AH35" s="143"/>
      <c r="AI35" s="143"/>
      <c r="AJ35" s="143"/>
      <c r="AK35" s="143"/>
      <c r="AL35" s="143"/>
      <c r="AM35" s="143"/>
      <c r="AN35" s="143"/>
      <c r="AO35" s="143"/>
      <c r="AP35" s="143"/>
      <c r="AQ35" s="143"/>
    </row>
    <row r="36" spans="1:43" ht="13.5" customHeight="1" x14ac:dyDescent="0.3">
      <c r="A36" s="339">
        <f t="shared" si="0"/>
        <v>26</v>
      </c>
      <c r="B36" s="166" t="str">
        <f>CONCATENATE('3. Consumption by Rate Class'!B41,"-",'3. Consumption by Rate Class'!C41)</f>
        <v>2015-February</v>
      </c>
      <c r="C36" s="367">
        <v>13170058.060000001</v>
      </c>
      <c r="D36" s="154"/>
      <c r="E36" s="366">
        <v>239284.34</v>
      </c>
      <c r="F36" s="154">
        <v>2339</v>
      </c>
      <c r="G36" s="154"/>
      <c r="H36" s="367"/>
      <c r="I36" s="367"/>
      <c r="J36" s="167">
        <f t="shared" si="1"/>
        <v>13411681.4</v>
      </c>
      <c r="K36" s="167">
        <f>IF(K$9='5.Variables'!$B$10,+'5.Variables'!$D23,+IF(K$9='5.Variables'!$B$34,+'5.Variables'!$D47,+IF(K$9='5.Variables'!$B$58,+'5.Variables'!$D62,+IF(K$9='5.Variables'!$B$72,+'5.Variables'!$D76,+IF(K$9='5.Variables'!$B$86,+'5.Variables'!$D90,+IF(K$9='5.Variables'!$B$100,+'5.Variables'!$D104,IF(K$9='5.Variables'!$B$32,+'5.Variables'!$D32,IF(K$9='5.Variables'!$B$56,+'5.Variables'!$D56,0))))))))</f>
        <v>13056</v>
      </c>
      <c r="L36" s="292">
        <f>IF(L$9='5.Variables'!$B$10,+'5.Variables'!$D23,+IF(L$9='5.Variables'!$B$34,+'5.Variables'!$D47,+IF(L$9='5.Variables'!$B$58,+'5.Variables'!$D62,+IF(L$9='5.Variables'!$B$72,+'5.Variables'!$D76,+IF(L$9='5.Variables'!$B$86,+'5.Variables'!$D90,+IF(L$9='5.Variables'!$B$100,+'5.Variables'!$D104,IF(L$9='5.Variables'!$B$32,+'5.Variables'!$D32,IF(L$9='5.Variables'!$B$56,+'5.Variables'!$D56,0))))))))</f>
        <v>0</v>
      </c>
      <c r="M36" s="292">
        <f>IF(M$9='5.Variables'!$B$10,+'5.Variables'!$D23,+IF(M$9='5.Variables'!$B$34,+'5.Variables'!$D47,+IF(M$9='5.Variables'!$B$58,+'5.Variables'!$D62,+IF(M$9='5.Variables'!$B$72,+'5.Variables'!$D76,+IF(M$9='5.Variables'!$B$86,+'5.Variables'!$D90,+IF(M$9='5.Variables'!$B$100,+'5.Variables'!$D104,IF(M$9='5.Variables'!$B$32,+'5.Variables'!$D32,IF(M$9='5.Variables'!$B$56,+'5.Variables'!$D56,0))))))))</f>
        <v>28</v>
      </c>
      <c r="N36" s="292">
        <f>IF(N$9='5.Variables'!$B$10,+'5.Variables'!$D23,+IF(N$9='5.Variables'!$B$34,+'5.Variables'!$D47,+IF(N$9='5.Variables'!$B$58,+'5.Variables'!$D62,+IF(N$9='5.Variables'!$B$72,+'5.Variables'!$D76,+IF(N$9='5.Variables'!$B$86,+'5.Variables'!$D90,+IF(N$9='5.Variables'!$B$100,+'5.Variables'!$D104,IF(N$9='5.Variables'!$B$32,+'5.Variables'!$D32,IF(N$9='5.Variables'!$B$56,+'5.Variables'!$D56,0))))))))</f>
        <v>860.7</v>
      </c>
      <c r="O36" s="292">
        <f>IF(O$9='5.Variables'!$B$10,+'5.Variables'!$D23,+IF(O$9='5.Variables'!$B$34,+'5.Variables'!$D47,+IF(O$9='5.Variables'!$B$58,+'5.Variables'!$D62,+IF(O$9='5.Variables'!$B$72,+'5.Variables'!$D76,+IF(O$9='5.Variables'!$B$86,+'5.Variables'!$D90,+IF(O$9='5.Variables'!$B$100,+'5.Variables'!$D104,IF(O$9='5.Variables'!$B$32,+'5.Variables'!$D32,IF(O$9='5.Variables'!$B$56,+'5.Variables'!$D56,0))))))))</f>
        <v>0</v>
      </c>
      <c r="P36" s="292">
        <f>IF(P$9='5.Variables'!$B$10,+'5.Variables'!$D23,+IF(P$9='5.Variables'!$B$34,+'5.Variables'!$D47,+IF(P$9='5.Variables'!$B$58,+'5.Variables'!$D62,+IF(P$9='5.Variables'!$B$72,+'5.Variables'!$D76,+IF(P$9='5.Variables'!$B$86,+'5.Variables'!$D90,+IF(P$9='5.Variables'!$B$100,+'5.Variables'!$D104,IF(P$9='5.Variables'!$B$32,+'5.Variables'!$D32,IF(P$9='5.Variables'!$B$56,+'5.Variables'!$D56,0))))))))</f>
        <v>0</v>
      </c>
      <c r="Q36" s="143"/>
      <c r="R36" s="154">
        <v>11846103.820810985</v>
      </c>
      <c r="S36" s="167">
        <f t="shared" si="2"/>
        <v>13073431.587263793</v>
      </c>
      <c r="T36" s="624">
        <f t="shared" si="3"/>
        <v>0.90612045825455056</v>
      </c>
      <c r="U36" s="167">
        <f t="shared" si="4"/>
        <v>12152598.896132033</v>
      </c>
      <c r="V36" s="171"/>
      <c r="W36" s="618"/>
      <c r="X36" s="524" t="s">
        <v>301</v>
      </c>
      <c r="Y36"/>
      <c r="Z36"/>
      <c r="AA36"/>
      <c r="AB36"/>
      <c r="AC36"/>
      <c r="AD36"/>
      <c r="AE36"/>
      <c r="AF36"/>
      <c r="AG36" s="143"/>
      <c r="AH36" s="143"/>
      <c r="AI36" s="143"/>
      <c r="AJ36" s="143"/>
      <c r="AK36" s="143"/>
      <c r="AL36" s="143"/>
      <c r="AM36" s="143"/>
      <c r="AN36" s="143"/>
      <c r="AO36" s="143"/>
      <c r="AP36" s="143"/>
      <c r="AQ36" s="143"/>
    </row>
    <row r="37" spans="1:43" ht="13.5" thickBot="1" x14ac:dyDescent="0.35">
      <c r="A37" s="339">
        <f t="shared" si="0"/>
        <v>27</v>
      </c>
      <c r="B37" s="166" t="str">
        <f>CONCATENATE('3. Consumption by Rate Class'!B42,"-",'3. Consumption by Rate Class'!C42)</f>
        <v>2015-March</v>
      </c>
      <c r="C37" s="367">
        <v>11998087.02</v>
      </c>
      <c r="D37" s="154"/>
      <c r="E37" s="366">
        <v>265072.74</v>
      </c>
      <c r="F37" s="154">
        <v>22195</v>
      </c>
      <c r="G37" s="154"/>
      <c r="H37" s="367"/>
      <c r="I37" s="367"/>
      <c r="J37" s="167">
        <f t="shared" si="1"/>
        <v>12285354.76</v>
      </c>
      <c r="K37" s="167">
        <f>IF(K$9='5.Variables'!$B$10,+'5.Variables'!$E23,+IF(K$9='5.Variables'!$B$34,+'5.Variables'!$E47,+IF(K$9='5.Variables'!$B$58,+'5.Variables'!$E62,+IF(K$9='5.Variables'!$B$72,+'5.Variables'!$E76,+IF(K$9='5.Variables'!$B$86,+'5.Variables'!$E90,+IF(K$9='5.Variables'!$B$100,+'5.Variables'!$E104,IF(K$9='5.Variables'!$B$32,+'5.Variables'!$E32,IF(K$9='5.Variables'!$B$56,+'5.Variables'!$E56,0))))))))</f>
        <v>13061</v>
      </c>
      <c r="L37" s="292">
        <f>IF(L$9='5.Variables'!$B$10,+'5.Variables'!$E23,+IF(L$9='5.Variables'!$B$34,+'5.Variables'!$E47,+IF(L$9='5.Variables'!$B$58,+'5.Variables'!$E62,+IF(L$9='5.Variables'!$B$72,+'5.Variables'!$E76,+IF(L$9='5.Variables'!$B$86,+'5.Variables'!$E90,+IF(L$9='5.Variables'!$B$100,+'5.Variables'!$E104,IF(L$9='5.Variables'!$B$32,+'5.Variables'!$E32,IF(L$9='5.Variables'!$B$56,+'5.Variables'!$E56,0))))))))</f>
        <v>1</v>
      </c>
      <c r="M37" s="292">
        <f>IF(M$9='5.Variables'!$B$10,+'5.Variables'!$E23,+IF(M$9='5.Variables'!$B$34,+'5.Variables'!$E47,+IF(M$9='5.Variables'!$B$58,+'5.Variables'!$E62,+IF(M$9='5.Variables'!$B$72,+'5.Variables'!$E76,+IF(M$9='5.Variables'!$B$86,+'5.Variables'!$E90,+IF(M$9='5.Variables'!$B$100,+'5.Variables'!$E104,IF(M$9='5.Variables'!$B$32,+'5.Variables'!$E32,IF(M$9='5.Variables'!$B$56,+'5.Variables'!$E56,0))))))))</f>
        <v>31</v>
      </c>
      <c r="N37" s="292">
        <f>IF(N$9='5.Variables'!$B$10,+'5.Variables'!$E23,+IF(N$9='5.Variables'!$B$34,+'5.Variables'!$E47,+IF(N$9='5.Variables'!$B$58,+'5.Variables'!$E62,+IF(N$9='5.Variables'!$B$72,+'5.Variables'!$E76,+IF(N$9='5.Variables'!$B$86,+'5.Variables'!$E90,+IF(N$9='5.Variables'!$B$100,+'5.Variables'!$E104,IF(N$9='5.Variables'!$B$32,+'5.Variables'!$E32,IF(N$9='5.Variables'!$B$56,+'5.Variables'!$E56,0))))))))</f>
        <v>646.70000000000005</v>
      </c>
      <c r="O37" s="292">
        <f>IF(O$9='5.Variables'!$B$10,+'5.Variables'!$E23,+IF(O$9='5.Variables'!$B$34,+'5.Variables'!$E47,+IF(O$9='5.Variables'!$B$58,+'5.Variables'!$E62,+IF(O$9='5.Variables'!$B$72,+'5.Variables'!$E76,+IF(O$9='5.Variables'!$B$86,+'5.Variables'!$E90,+IF(O$9='5.Variables'!$B$100,+'5.Variables'!$E104,IF(O$9='5.Variables'!$B$32,+'5.Variables'!$E32,IF(O$9='5.Variables'!$B$56,+'5.Variables'!$E56,0))))))))</f>
        <v>0</v>
      </c>
      <c r="P37" s="292">
        <f>IF(P$9='5.Variables'!$B$10,+'5.Variables'!$E23,+IF(P$9='5.Variables'!$B$34,+'5.Variables'!$E47,+IF(P$9='5.Variables'!$B$58,+'5.Variables'!$E62,+IF(P$9='5.Variables'!$B$72,+'5.Variables'!$E76,+IF(P$9='5.Variables'!$B$86,+'5.Variables'!$E90,+IF(P$9='5.Variables'!$B$100,+'5.Variables'!$E104,IF(P$9='5.Variables'!$B$32,+'5.Variables'!$E32,IF(P$9='5.Variables'!$B$56,+'5.Variables'!$E56,0))))))))</f>
        <v>0</v>
      </c>
      <c r="Q37" s="143"/>
      <c r="R37" s="154">
        <v>11805719.878467496</v>
      </c>
      <c r="S37" s="167">
        <f t="shared" si="2"/>
        <v>12254885.548264846</v>
      </c>
      <c r="T37" s="624">
        <f t="shared" si="3"/>
        <v>0.96334803225796373</v>
      </c>
      <c r="U37" s="167">
        <f t="shared" si="4"/>
        <v>11835072.333637008</v>
      </c>
      <c r="V37" s="171"/>
      <c r="W37" s="618"/>
      <c r="X37"/>
      <c r="Y37"/>
      <c r="Z37"/>
      <c r="AA37"/>
      <c r="AB37"/>
      <c r="AC37"/>
      <c r="AD37"/>
      <c r="AE37"/>
      <c r="AF37"/>
      <c r="AG37" s="143"/>
      <c r="AH37" s="143"/>
      <c r="AI37" s="143"/>
      <c r="AJ37" s="143"/>
      <c r="AK37" s="143"/>
      <c r="AL37" s="143"/>
      <c r="AM37" s="143"/>
      <c r="AN37" s="143"/>
      <c r="AO37" s="143"/>
      <c r="AP37" s="143"/>
      <c r="AQ37" s="143"/>
    </row>
    <row r="38" spans="1:43" x14ac:dyDescent="0.3">
      <c r="A38" s="339">
        <f t="shared" si="0"/>
        <v>28</v>
      </c>
      <c r="B38" s="166" t="str">
        <f>CONCATENATE('3. Consumption by Rate Class'!B43,"-",'3. Consumption by Rate Class'!C43)</f>
        <v>2015-April</v>
      </c>
      <c r="C38" s="367">
        <v>9783026.5899999999</v>
      </c>
      <c r="D38" s="154"/>
      <c r="E38" s="366">
        <v>262368.12</v>
      </c>
      <c r="F38" s="154">
        <v>29825</v>
      </c>
      <c r="G38" s="154"/>
      <c r="H38" s="367"/>
      <c r="I38" s="367"/>
      <c r="J38" s="167">
        <f t="shared" si="1"/>
        <v>10075219.709999999</v>
      </c>
      <c r="K38" s="167">
        <f>IF(K$9='5.Variables'!$B$10,+'5.Variables'!$F23,+IF(K$9='5.Variables'!$B$34,+'5.Variables'!$F47,+IF(K$9='5.Variables'!$B$58,+'5.Variables'!$F62,+IF(K$9='5.Variables'!$B$72,+'5.Variables'!$F76,+IF(K$9='5.Variables'!$B$86,+'5.Variables'!$F90,+IF(K$9='5.Variables'!$B$100,+'5.Variables'!$F104,IF(K$9='5.Variables'!$B$32,+'5.Variables'!$F32,IF(K$9='5.Variables'!$B$56,+'5.Variables'!$F56,0))))))))</f>
        <v>13080</v>
      </c>
      <c r="L38" s="292">
        <f>IF(L$9='5.Variables'!$B$10,+'5.Variables'!$F23,+IF(L$9='5.Variables'!$B$34,+'5.Variables'!$F47,+IF(L$9='5.Variables'!$B$58,+'5.Variables'!$F62,+IF(L$9='5.Variables'!$B$72,+'5.Variables'!$F76,+IF(L$9='5.Variables'!$B$86,+'5.Variables'!$F90,+IF(L$9='5.Variables'!$B$100,+'5.Variables'!$F104,IF(L$9='5.Variables'!$B$32,+'5.Variables'!$F32,IF(L$9='5.Variables'!$B$56,+'5.Variables'!$F56,0))))))))</f>
        <v>1</v>
      </c>
      <c r="M38" s="292">
        <f>IF(M$9='5.Variables'!$B$10,+'5.Variables'!$F23,+IF(M$9='5.Variables'!$B$34,+'5.Variables'!$F47,+IF(M$9='5.Variables'!$B$58,+'5.Variables'!$F62,+IF(M$9='5.Variables'!$B$72,+'5.Variables'!$F76,+IF(M$9='5.Variables'!$B$86,+'5.Variables'!$F90,+IF(M$9='5.Variables'!$B$100,+'5.Variables'!$F104,IF(M$9='5.Variables'!$B$32,+'5.Variables'!$F32,IF(M$9='5.Variables'!$B$56,+'5.Variables'!$F56,0))))))))</f>
        <v>30</v>
      </c>
      <c r="N38" s="292">
        <f>IF(N$9='5.Variables'!$B$10,+'5.Variables'!$F23,+IF(N$9='5.Variables'!$B$34,+'5.Variables'!$F47,+IF(N$9='5.Variables'!$B$58,+'5.Variables'!$F62,+IF(N$9='5.Variables'!$B$72,+'5.Variables'!$F76,+IF(N$9='5.Variables'!$B$86,+'5.Variables'!$F90,+IF(N$9='5.Variables'!$B$100,+'5.Variables'!$F104,IF(N$9='5.Variables'!$B$32,+'5.Variables'!$F32,IF(N$9='5.Variables'!$B$56,+'5.Variables'!$F56,0))))))))</f>
        <v>366.8</v>
      </c>
      <c r="O38" s="292">
        <f>IF(O$9='5.Variables'!$B$10,+'5.Variables'!$F23,+IF(O$9='5.Variables'!$B$34,+'5.Variables'!$F47,+IF(O$9='5.Variables'!$B$58,+'5.Variables'!$F62,+IF(O$9='5.Variables'!$B$72,+'5.Variables'!$F76,+IF(O$9='5.Variables'!$B$86,+'5.Variables'!$F90,+IF(O$9='5.Variables'!$B$100,+'5.Variables'!$F104,IF(O$9='5.Variables'!$B$32,+'5.Variables'!$F32,IF(O$9='5.Variables'!$B$56,+'5.Variables'!$F56,0))))))))</f>
        <v>0</v>
      </c>
      <c r="P38" s="292">
        <f>IF(P$9='5.Variables'!$B$10,+'5.Variables'!$F23,+IF(P$9='5.Variables'!$B$34,+'5.Variables'!$F47,+IF(P$9='5.Variables'!$B$58,+'5.Variables'!$F62,+IF(P$9='5.Variables'!$B$72,+'5.Variables'!$F76,+IF(P$9='5.Variables'!$B$86,+'5.Variables'!$F90,+IF(P$9='5.Variables'!$B$100,+'5.Variables'!$F104,IF(P$9='5.Variables'!$B$32,+'5.Variables'!$F32,IF(P$9='5.Variables'!$B$56,+'5.Variables'!$F56,0))))))))</f>
        <v>0</v>
      </c>
      <c r="Q38" s="143"/>
      <c r="R38" s="154">
        <v>10293990.460764185</v>
      </c>
      <c r="S38" s="167">
        <f t="shared" si="2"/>
        <v>10236582.916672593</v>
      </c>
      <c r="T38" s="624">
        <f t="shared" si="3"/>
        <v>1.0056080768903939</v>
      </c>
      <c r="U38" s="167">
        <f t="shared" si="4"/>
        <v>10131722.31682129</v>
      </c>
      <c r="V38" s="171"/>
      <c r="W38" s="618"/>
      <c r="X38" s="187" t="s">
        <v>7</v>
      </c>
      <c r="Y38" s="187"/>
      <c r="Z38"/>
      <c r="AA38"/>
      <c r="AB38"/>
      <c r="AC38"/>
      <c r="AD38"/>
      <c r="AE38"/>
      <c r="AF38"/>
      <c r="AG38" s="143"/>
      <c r="AH38" s="143"/>
      <c r="AI38" s="143"/>
      <c r="AJ38" s="143"/>
      <c r="AK38" s="143"/>
      <c r="AL38" s="143"/>
      <c r="AM38" s="143"/>
      <c r="AN38" s="143"/>
      <c r="AO38" s="143"/>
      <c r="AP38" s="143"/>
      <c r="AQ38" s="143"/>
    </row>
    <row r="39" spans="1:43" x14ac:dyDescent="0.3">
      <c r="A39" s="339">
        <f t="shared" si="0"/>
        <v>29</v>
      </c>
      <c r="B39" s="166" t="str">
        <f>CONCATENATE('3. Consumption by Rate Class'!B44,"-",'3. Consumption by Rate Class'!C44)</f>
        <v>2015-May</v>
      </c>
      <c r="C39" s="154">
        <v>9852639.4199999999</v>
      </c>
      <c r="D39" s="154"/>
      <c r="E39" s="366">
        <v>301326.34999999998</v>
      </c>
      <c r="F39" s="154">
        <v>32885</v>
      </c>
      <c r="G39" s="154"/>
      <c r="H39" s="367"/>
      <c r="I39" s="367"/>
      <c r="J39" s="167">
        <f t="shared" si="1"/>
        <v>10186850.77</v>
      </c>
      <c r="K39" s="167">
        <f>IF(K$9='5.Variables'!$B$10,+'5.Variables'!$G23,+IF(K$9='5.Variables'!$B$34,+'5.Variables'!$G47,+IF(K$9='5.Variables'!$B$58,+'5.Variables'!$G62,+IF(K$9='5.Variables'!$B$72,+'5.Variables'!$G76,+IF(K$9='5.Variables'!$B$86,+'5.Variables'!$G90,+IF(K$9='5.Variables'!$B$100,+'5.Variables'!$G104,IF(K$9='5.Variables'!$B$32,+'5.Variables'!$G32,IF(K$9='5.Variables'!$B$56,+'5.Variables'!$G56,0))))))))</f>
        <v>13084</v>
      </c>
      <c r="L39" s="292">
        <f>IF(L$9='5.Variables'!$B$10,+'5.Variables'!$G23,+IF(L$9='5.Variables'!$B$34,+'5.Variables'!$G47,+IF(L$9='5.Variables'!$B$58,+'5.Variables'!$G62,+IF(L$9='5.Variables'!$B$72,+'5.Variables'!$G76,+IF(L$9='5.Variables'!$B$86,+'5.Variables'!$G90,+IF(L$9='5.Variables'!$B$100,+'5.Variables'!$G104,IF(L$9='5.Variables'!$B$32,+'5.Variables'!$G32,IF(L$9='5.Variables'!$B$56,+'5.Variables'!$G56,0))))))))</f>
        <v>1</v>
      </c>
      <c r="M39" s="292">
        <f>IF(M$9='5.Variables'!$B$10,+'5.Variables'!$G23,+IF(M$9='5.Variables'!$B$34,+'5.Variables'!$G47,+IF(M$9='5.Variables'!$B$58,+'5.Variables'!$G62,+IF(M$9='5.Variables'!$B$72,+'5.Variables'!$G76,+IF(M$9='5.Variables'!$B$86,+'5.Variables'!$G90,+IF(M$9='5.Variables'!$B$100,+'5.Variables'!$G104,IF(M$9='5.Variables'!$B$32,+'5.Variables'!$G32,IF(M$9='5.Variables'!$B$56,+'5.Variables'!$G56,0))))))))</f>
        <v>31</v>
      </c>
      <c r="N39" s="292">
        <f>IF(N$9='5.Variables'!$B$10,+'5.Variables'!$G23,+IF(N$9='5.Variables'!$B$34,+'5.Variables'!$G47,+IF(N$9='5.Variables'!$B$58,+'5.Variables'!$G62,+IF(N$9='5.Variables'!$B$72,+'5.Variables'!$G76,+IF(N$9='5.Variables'!$B$86,+'5.Variables'!$G90,+IF(N$9='5.Variables'!$B$100,+'5.Variables'!$G104,IF(N$9='5.Variables'!$B$32,+'5.Variables'!$G32,IF(N$9='5.Variables'!$B$56,+'5.Variables'!$G56,0))))))))</f>
        <v>156</v>
      </c>
      <c r="O39" s="292">
        <f>IF(O$9='5.Variables'!$B$10,+'5.Variables'!$G23,+IF(O$9='5.Variables'!$B$34,+'5.Variables'!$G47,+IF(O$9='5.Variables'!$B$58,+'5.Variables'!$G62,+IF(O$9='5.Variables'!$B$72,+'5.Variables'!$G76,+IF(O$9='5.Variables'!$B$86,+'5.Variables'!$G90,+IF(O$9='5.Variables'!$B$100,+'5.Variables'!$G104,IF(O$9='5.Variables'!$B$32,+'5.Variables'!$G32,IF(O$9='5.Variables'!$B$56,+'5.Variables'!$G56,0))))))))</f>
        <v>19.8</v>
      </c>
      <c r="P39" s="292">
        <f>IF(P$9='5.Variables'!$B$10,+'5.Variables'!$G23,+IF(P$9='5.Variables'!$B$34,+'5.Variables'!$G47,+IF(P$9='5.Variables'!$B$58,+'5.Variables'!$G62,+IF(P$9='5.Variables'!$B$72,+'5.Variables'!$G76,+IF(P$9='5.Variables'!$B$86,+'5.Variables'!$G90,+IF(P$9='5.Variables'!$B$100,+'5.Variables'!$G104,IF(P$9='5.Variables'!$B$32,+'5.Variables'!$G32,IF(P$9='5.Variables'!$B$56,+'5.Variables'!$G56,0))))))))</f>
        <v>0</v>
      </c>
      <c r="Q39" s="143"/>
      <c r="R39" s="154">
        <v>10264439.000511821</v>
      </c>
      <c r="S39" s="167">
        <f t="shared" si="2"/>
        <v>10226690.9798957</v>
      </c>
      <c r="T39" s="624">
        <f t="shared" si="3"/>
        <v>1.0036911275299438</v>
      </c>
      <c r="U39" s="167">
        <f t="shared" si="4"/>
        <v>10224451.735320576</v>
      </c>
      <c r="V39" s="171"/>
      <c r="W39" s="618"/>
      <c r="X39" t="s">
        <v>8</v>
      </c>
      <c r="Y39">
        <v>0.87994990014372632</v>
      </c>
      <c r="Z39"/>
      <c r="AA39"/>
      <c r="AB39"/>
      <c r="AC39"/>
      <c r="AD39"/>
      <c r="AE39"/>
      <c r="AF39"/>
      <c r="AG39" s="143"/>
      <c r="AH39" s="143"/>
      <c r="AI39" s="143"/>
      <c r="AJ39" s="143"/>
      <c r="AK39" s="143"/>
      <c r="AL39" s="143"/>
      <c r="AM39" s="143"/>
      <c r="AN39" s="143"/>
      <c r="AO39" s="143"/>
      <c r="AP39" s="143"/>
      <c r="AQ39" s="143"/>
    </row>
    <row r="40" spans="1:43" x14ac:dyDescent="0.3">
      <c r="A40" s="339">
        <f t="shared" si="0"/>
        <v>30</v>
      </c>
      <c r="B40" s="166" t="str">
        <f>CONCATENATE('3. Consumption by Rate Class'!B45,"-",'3. Consumption by Rate Class'!C45)</f>
        <v>2015-June</v>
      </c>
      <c r="C40" s="154">
        <v>9493089.5199999996</v>
      </c>
      <c r="D40" s="154"/>
      <c r="E40" s="366">
        <v>306050.44</v>
      </c>
      <c r="F40" s="154">
        <v>32199</v>
      </c>
      <c r="G40" s="154"/>
      <c r="H40" s="367"/>
      <c r="I40" s="367"/>
      <c r="J40" s="167">
        <f t="shared" si="1"/>
        <v>9831338.959999999</v>
      </c>
      <c r="K40" s="167">
        <f>IF(K$9='5.Variables'!$B$10,+'5.Variables'!$H23,+IF(K$9='5.Variables'!$B$34,+'5.Variables'!$H47,+IF(K$9='5.Variables'!$B$58,+'5.Variables'!$H62,+IF(K$9='5.Variables'!$B$72,+'5.Variables'!$H76,+IF(K$9='5.Variables'!$B$86,+'5.Variables'!$H90,+IF(K$9='5.Variables'!$B$100,+'5.Variables'!$H104,IF(K$9='5.Variables'!$B$32,+'5.Variables'!$H32,IF(K$9='5.Variables'!$B$56,+'5.Variables'!$H56,0))))))))</f>
        <v>13095</v>
      </c>
      <c r="L40" s="292">
        <f>IF(L$9='5.Variables'!$B$10,+'5.Variables'!$H23,+IF(L$9='5.Variables'!$B$34,+'5.Variables'!$H47,+IF(L$9='5.Variables'!$B$58,+'5.Variables'!$H62,+IF(L$9='5.Variables'!$B$72,+'5.Variables'!$H76,+IF(L$9='5.Variables'!$B$86,+'5.Variables'!$H90,+IF(L$9='5.Variables'!$B$100,+'5.Variables'!$H104,IF(L$9='5.Variables'!$B$32,+'5.Variables'!$H32,IF(L$9='5.Variables'!$B$56,+'5.Variables'!$H56,0))))))))</f>
        <v>0</v>
      </c>
      <c r="M40" s="292">
        <f>IF(M$9='5.Variables'!$B$10,+'5.Variables'!$H23,+IF(M$9='5.Variables'!$B$34,+'5.Variables'!$H47,+IF(M$9='5.Variables'!$B$58,+'5.Variables'!$H62,+IF(M$9='5.Variables'!$B$72,+'5.Variables'!$H76,+IF(M$9='5.Variables'!$B$86,+'5.Variables'!$H90,+IF(M$9='5.Variables'!$B$100,+'5.Variables'!$H104,IF(M$9='5.Variables'!$B$32,+'5.Variables'!$H32,IF(M$9='5.Variables'!$B$56,+'5.Variables'!$H56,0))))))))</f>
        <v>30</v>
      </c>
      <c r="N40" s="292">
        <f>IF(N$9='5.Variables'!$B$10,+'5.Variables'!$H23,+IF(N$9='5.Variables'!$B$34,+'5.Variables'!$H47,+IF(N$9='5.Variables'!$B$58,+'5.Variables'!$H62,+IF(N$9='5.Variables'!$B$72,+'5.Variables'!$H76,+IF(N$9='5.Variables'!$B$86,+'5.Variables'!$H90,+IF(N$9='5.Variables'!$B$100,+'5.Variables'!$H104,IF(N$9='5.Variables'!$B$32,+'5.Variables'!$H32,IF(N$9='5.Variables'!$B$56,+'5.Variables'!$H56,0))))))))</f>
        <v>69.8</v>
      </c>
      <c r="O40" s="292">
        <f>IF(O$9='5.Variables'!$B$10,+'5.Variables'!$H23,+IF(O$9='5.Variables'!$B$34,+'5.Variables'!$H47,+IF(O$9='5.Variables'!$B$58,+'5.Variables'!$H62,+IF(O$9='5.Variables'!$B$72,+'5.Variables'!$H76,+IF(O$9='5.Variables'!$B$86,+'5.Variables'!$H90,+IF(O$9='5.Variables'!$B$100,+'5.Variables'!$H104,IF(O$9='5.Variables'!$B$32,+'5.Variables'!$H32,IF(O$9='5.Variables'!$B$56,+'5.Variables'!$H56,0))))))))</f>
        <v>6</v>
      </c>
      <c r="P40" s="292">
        <f>IF(P$9='5.Variables'!$B$10,+'5.Variables'!$H23,+IF(P$9='5.Variables'!$B$34,+'5.Variables'!$H47,+IF(P$9='5.Variables'!$B$58,+'5.Variables'!$H62,+IF(P$9='5.Variables'!$B$72,+'5.Variables'!$H76,+IF(P$9='5.Variables'!$B$86,+'5.Variables'!$H90,+IF(P$9='5.Variables'!$B$100,+'5.Variables'!$H104,IF(P$9='5.Variables'!$B$32,+'5.Variables'!$H32,IF(P$9='5.Variables'!$B$56,+'5.Variables'!$H56,0))))))))</f>
        <v>0</v>
      </c>
      <c r="Q40" s="143"/>
      <c r="R40" s="154">
        <v>10791651.560369899</v>
      </c>
      <c r="S40" s="167">
        <f t="shared" si="2"/>
        <v>9635356.3259816412</v>
      </c>
      <c r="T40" s="624">
        <f t="shared" si="3"/>
        <v>1.1200054461162292</v>
      </c>
      <c r="U40" s="167">
        <f t="shared" si="4"/>
        <v>11011153.177814664</v>
      </c>
      <c r="V40" s="171"/>
      <c r="W40" s="618"/>
      <c r="X40" t="s">
        <v>9</v>
      </c>
      <c r="Y40">
        <v>0.77431182676295385</v>
      </c>
      <c r="Z40"/>
      <c r="AA40"/>
      <c r="AB40"/>
      <c r="AC40"/>
      <c r="AD40"/>
      <c r="AE40"/>
      <c r="AF40"/>
      <c r="AG40" s="143"/>
      <c r="AH40" s="143"/>
      <c r="AI40" s="143"/>
      <c r="AJ40" s="143"/>
      <c r="AK40" s="143"/>
      <c r="AL40" s="143"/>
      <c r="AM40" s="143"/>
      <c r="AN40" s="143"/>
      <c r="AO40" s="143"/>
      <c r="AP40" s="143"/>
      <c r="AQ40" s="143"/>
    </row>
    <row r="41" spans="1:43" x14ac:dyDescent="0.3">
      <c r="A41" s="339">
        <f t="shared" si="0"/>
        <v>31</v>
      </c>
      <c r="B41" s="166" t="str">
        <f>CONCATENATE('3. Consumption by Rate Class'!B46,"-",'3. Consumption by Rate Class'!C46)</f>
        <v>2015-July</v>
      </c>
      <c r="C41" s="154">
        <v>12323498.1</v>
      </c>
      <c r="D41" s="154"/>
      <c r="E41" s="366">
        <v>333118.44</v>
      </c>
      <c r="F41" s="154">
        <v>37277</v>
      </c>
      <c r="G41" s="154"/>
      <c r="H41" s="367"/>
      <c r="I41" s="367"/>
      <c r="J41" s="167">
        <f t="shared" si="1"/>
        <v>12693893.539999999</v>
      </c>
      <c r="K41" s="167">
        <f>IF(K$9='5.Variables'!$B$10,+'5.Variables'!$I23,+IF(K$9='5.Variables'!$B$34,+'5.Variables'!$I47,+IF(K$9='5.Variables'!$B$58,+'5.Variables'!$I62,+IF(K$9='5.Variables'!$B$72,+'5.Variables'!$I76,+IF(K$9='5.Variables'!$B$86,+'5.Variables'!$I90,+IF(K$9='5.Variables'!$B$100,+'5.Variables'!$I104,IF(K$9='5.Variables'!$B$32,+'5.Variables'!$I32,IF(K$9='5.Variables'!$B$56,+'5.Variables'!$I56,0))))))))</f>
        <v>13111</v>
      </c>
      <c r="L41" s="292">
        <f>IF(L$9='5.Variables'!$B$10,+'5.Variables'!$I23,+IF(L$9='5.Variables'!$B$34,+'5.Variables'!$I47,+IF(L$9='5.Variables'!$B$58,+'5.Variables'!$I62,+IF(L$9='5.Variables'!$B$72,+'5.Variables'!$I76,+IF(L$9='5.Variables'!$B$86,+'5.Variables'!$I90,+IF(L$9='5.Variables'!$B$100,+'5.Variables'!$I104,IF(L$9='5.Variables'!$B$32,+'5.Variables'!$I32,IF(L$9='5.Variables'!$B$56,+'5.Variables'!$I56,0))))))))</f>
        <v>0</v>
      </c>
      <c r="M41" s="292">
        <f>IF(M$9='5.Variables'!$B$10,+'5.Variables'!$I23,+IF(M$9='5.Variables'!$B$34,+'5.Variables'!$I47,+IF(M$9='5.Variables'!$B$58,+'5.Variables'!$I62,+IF(M$9='5.Variables'!$B$72,+'5.Variables'!$I76,+IF(M$9='5.Variables'!$B$86,+'5.Variables'!$I90,+IF(M$9='5.Variables'!$B$100,+'5.Variables'!$I104,IF(M$9='5.Variables'!$B$32,+'5.Variables'!$I32,IF(M$9='5.Variables'!$B$56,+'5.Variables'!$I56,0))))))))</f>
        <v>31</v>
      </c>
      <c r="N41" s="292">
        <f>IF(N$9='5.Variables'!$B$10,+'5.Variables'!$I23,+IF(N$9='5.Variables'!$B$34,+'5.Variables'!$I47,+IF(N$9='5.Variables'!$B$58,+'5.Variables'!$I62,+IF(N$9='5.Variables'!$B$72,+'5.Variables'!$I76,+IF(N$9='5.Variables'!$B$86,+'5.Variables'!$I90,+IF(N$9='5.Variables'!$B$100,+'5.Variables'!$I104,IF(N$9='5.Variables'!$B$32,+'5.Variables'!$I32,IF(N$9='5.Variables'!$B$56,+'5.Variables'!$I56,0))))))))</f>
        <v>17.399999999999999</v>
      </c>
      <c r="O41" s="292">
        <f>IF(O$9='5.Variables'!$B$10,+'5.Variables'!$I23,+IF(O$9='5.Variables'!$B$34,+'5.Variables'!$I47,+IF(O$9='5.Variables'!$B$58,+'5.Variables'!$I62,+IF(O$9='5.Variables'!$B$72,+'5.Variables'!$I76,+IF(O$9='5.Variables'!$B$86,+'5.Variables'!$I90,+IF(O$9='5.Variables'!$B$100,+'5.Variables'!$I104,IF(O$9='5.Variables'!$B$32,+'5.Variables'!$I32,IF(O$9='5.Variables'!$B$56,+'5.Variables'!$I56,0))))))))</f>
        <v>76.3</v>
      </c>
      <c r="P41" s="292">
        <f>IF(P$9='5.Variables'!$B$10,+'5.Variables'!$I23,+IF(P$9='5.Variables'!$B$34,+'5.Variables'!$I47,+IF(P$9='5.Variables'!$B$58,+'5.Variables'!$I62,+IF(P$9='5.Variables'!$B$72,+'5.Variables'!$I76,+IF(P$9='5.Variables'!$B$86,+'5.Variables'!$I90,+IF(P$9='5.Variables'!$B$100,+'5.Variables'!$I104,IF(P$9='5.Variables'!$B$32,+'5.Variables'!$I32,IF(P$9='5.Variables'!$B$56,+'5.Variables'!$I56,0))))))))</f>
        <v>0</v>
      </c>
      <c r="Q41" s="143"/>
      <c r="R41" s="154">
        <v>12933695.265195636</v>
      </c>
      <c r="S41" s="167">
        <f t="shared" si="2"/>
        <v>12531929.023737095</v>
      </c>
      <c r="T41" s="624">
        <f t="shared" si="3"/>
        <v>1.0320594092655284</v>
      </c>
      <c r="U41" s="167">
        <f t="shared" si="4"/>
        <v>13100852.268171906</v>
      </c>
      <c r="V41" s="171"/>
      <c r="W41" s="618"/>
      <c r="X41" t="s">
        <v>10</v>
      </c>
      <c r="Y41">
        <v>0.76232838393620805</v>
      </c>
      <c r="Z41"/>
      <c r="AA41"/>
      <c r="AB41"/>
      <c r="AC41"/>
      <c r="AD41"/>
      <c r="AE41"/>
      <c r="AF41"/>
      <c r="AG41" s="143"/>
      <c r="AH41" s="143"/>
      <c r="AI41" s="143"/>
      <c r="AJ41" s="143"/>
      <c r="AK41" s="143"/>
      <c r="AL41" s="143"/>
      <c r="AM41" s="143"/>
      <c r="AN41" s="143"/>
      <c r="AO41" s="143"/>
      <c r="AP41" s="143"/>
      <c r="AQ41" s="143"/>
    </row>
    <row r="42" spans="1:43" x14ac:dyDescent="0.3">
      <c r="A42" s="339">
        <f t="shared" si="0"/>
        <v>32</v>
      </c>
      <c r="B42" s="166" t="str">
        <f>CONCATENATE('3. Consumption by Rate Class'!B47,"-",'3. Consumption by Rate Class'!C47)</f>
        <v>2015-August</v>
      </c>
      <c r="C42" s="154">
        <v>11878051.48</v>
      </c>
      <c r="D42" s="154"/>
      <c r="E42" s="366">
        <v>330081.02</v>
      </c>
      <c r="F42" s="154">
        <v>29178</v>
      </c>
      <c r="G42" s="154"/>
      <c r="H42" s="367"/>
      <c r="I42" s="367"/>
      <c r="J42" s="167">
        <f t="shared" si="1"/>
        <v>12237310.5</v>
      </c>
      <c r="K42" s="167">
        <f>IF(K$9='5.Variables'!$B$10,+'5.Variables'!$J23,+IF(K$9='5.Variables'!$B$34,+'5.Variables'!$J47,+IF(K$9='5.Variables'!$B$58,+'5.Variables'!$J62,+IF(K$9='5.Variables'!$B$72,+'5.Variables'!$J76,+IF(K$9='5.Variables'!$B$86,+'5.Variables'!$J90,+IF(K$9='5.Variables'!$B$100,+'5.Variables'!$J104,IF(K$9='5.Variables'!$B$32,+'5.Variables'!$J32,IF(K$9='5.Variables'!$B$56,+'5.Variables'!$J56,0))))))))</f>
        <v>13139</v>
      </c>
      <c r="L42" s="292">
        <f>IF(L$9='5.Variables'!$B$10,+'5.Variables'!$J23,+IF(L$9='5.Variables'!$B$34,+'5.Variables'!$J47,+IF(L$9='5.Variables'!$B$58,+'5.Variables'!$J62,+IF(L$9='5.Variables'!$B$72,+'5.Variables'!$J76,+IF(L$9='5.Variables'!$B$86,+'5.Variables'!$J90,+IF(L$9='5.Variables'!$B$100,+'5.Variables'!$J104,IF(L$9='5.Variables'!$B$32,+'5.Variables'!$J32,IF(L$9='5.Variables'!$B$56,+'5.Variables'!$J56,0))))))))</f>
        <v>0</v>
      </c>
      <c r="M42" s="292">
        <f>IF(M$9='5.Variables'!$B$10,+'5.Variables'!$J23,+IF(M$9='5.Variables'!$B$34,+'5.Variables'!$J47,+IF(M$9='5.Variables'!$B$58,+'5.Variables'!$J62,+IF(M$9='5.Variables'!$B$72,+'5.Variables'!$J76,+IF(M$9='5.Variables'!$B$86,+'5.Variables'!$J90,+IF(M$9='5.Variables'!$B$100,+'5.Variables'!$J104,IF(M$9='5.Variables'!$B$32,+'5.Variables'!$J32,IF(M$9='5.Variables'!$B$56,+'5.Variables'!$J56,0))))))))</f>
        <v>31</v>
      </c>
      <c r="N42" s="292">
        <f>IF(N$9='5.Variables'!$B$10,+'5.Variables'!$J23,+IF(N$9='5.Variables'!$B$34,+'5.Variables'!$J47,+IF(N$9='5.Variables'!$B$58,+'5.Variables'!$J62,+IF(N$9='5.Variables'!$B$72,+'5.Variables'!$J76,+IF(N$9='5.Variables'!$B$86,+'5.Variables'!$J90,+IF(N$9='5.Variables'!$B$100,+'5.Variables'!$J104,IF(N$9='5.Variables'!$B$32,+'5.Variables'!$J32,IF(N$9='5.Variables'!$B$56,+'5.Variables'!$J56,0))))))))</f>
        <v>12.2</v>
      </c>
      <c r="O42" s="292">
        <f>IF(O$9='5.Variables'!$B$10,+'5.Variables'!$J23,+IF(O$9='5.Variables'!$B$34,+'5.Variables'!$J47,+IF(O$9='5.Variables'!$B$58,+'5.Variables'!$J62,+IF(O$9='5.Variables'!$B$72,+'5.Variables'!$J76,+IF(O$9='5.Variables'!$B$86,+'5.Variables'!$J90,+IF(O$9='5.Variables'!$B$100,+'5.Variables'!$J104,IF(O$9='5.Variables'!$B$32,+'5.Variables'!$J32,IF(O$9='5.Variables'!$B$56,+'5.Variables'!$J56,0))))))))</f>
        <v>65.599999999999994</v>
      </c>
      <c r="P42" s="292">
        <f>IF(P$9='5.Variables'!$B$10,+'5.Variables'!$J23,+IF(P$9='5.Variables'!$B$34,+'5.Variables'!$J47,+IF(P$9='5.Variables'!$B$58,+'5.Variables'!$J62,+IF(P$9='5.Variables'!$B$72,+'5.Variables'!$J76,+IF(P$9='5.Variables'!$B$86,+'5.Variables'!$J90,+IF(P$9='5.Variables'!$B$100,+'5.Variables'!$J104,IF(P$9='5.Variables'!$B$32,+'5.Variables'!$J32,IF(P$9='5.Variables'!$B$56,+'5.Variables'!$J56,0))))))))</f>
        <v>0</v>
      </c>
      <c r="Q42" s="143"/>
      <c r="R42" s="154">
        <v>12677766.186784934</v>
      </c>
      <c r="S42" s="167">
        <f t="shared" si="2"/>
        <v>12107560.872349177</v>
      </c>
      <c r="T42" s="624">
        <f t="shared" si="3"/>
        <v>1.0470949781254433</v>
      </c>
      <c r="U42" s="167">
        <f t="shared" si="4"/>
        <v>12813626.370311758</v>
      </c>
      <c r="V42" s="171"/>
      <c r="W42" s="618"/>
      <c r="X42" t="s">
        <v>11</v>
      </c>
      <c r="Y42">
        <v>754607.46534440061</v>
      </c>
      <c r="Z42"/>
      <c r="AA42"/>
      <c r="AB42"/>
      <c r="AC42"/>
      <c r="AD42"/>
      <c r="AE42"/>
      <c r="AF42"/>
      <c r="AG42" s="143"/>
      <c r="AH42" s="143"/>
      <c r="AI42" s="143"/>
      <c r="AJ42" s="143"/>
      <c r="AK42" s="143"/>
      <c r="AL42" s="143"/>
      <c r="AM42" s="143"/>
      <c r="AN42" s="143"/>
      <c r="AO42" s="143"/>
      <c r="AP42" s="143"/>
      <c r="AQ42" s="143"/>
    </row>
    <row r="43" spans="1:43" ht="13.5" thickBot="1" x14ac:dyDescent="0.35">
      <c r="A43" s="339">
        <f t="shared" si="0"/>
        <v>33</v>
      </c>
      <c r="B43" s="166" t="str">
        <f>CONCATENATE('3. Consumption by Rate Class'!B48,"-",'3. Consumption by Rate Class'!C48)</f>
        <v>2015-September</v>
      </c>
      <c r="C43" s="154">
        <v>10579920.17</v>
      </c>
      <c r="D43" s="154"/>
      <c r="E43" s="366">
        <v>312471.59999999998</v>
      </c>
      <c r="F43" s="154">
        <v>44398</v>
      </c>
      <c r="G43" s="154"/>
      <c r="H43" s="367"/>
      <c r="I43" s="367"/>
      <c r="J43" s="167">
        <f t="shared" ref="J43:J74" si="5">SUM(C43:I43)</f>
        <v>10936789.77</v>
      </c>
      <c r="K43" s="167">
        <f>IF(K$9='5.Variables'!$B$10,+'5.Variables'!$K23,+IF(K$9='5.Variables'!$B$34,+'5.Variables'!$K47,+IF(K$9='5.Variables'!$B$58,+'5.Variables'!$K62,+IF(K$9='5.Variables'!$B$72,+'5.Variables'!$K76,+IF(K$9='5.Variables'!$B$86,+'5.Variables'!$K90,+IF(K$9='5.Variables'!$B$100,+'5.Variables'!$K104,IF(K$9='5.Variables'!$B$32,+'5.Variables'!$K32,IF(K$9='5.Variables'!$B$56,+'5.Variables'!$K56,0))))))))</f>
        <v>13158</v>
      </c>
      <c r="L43" s="292">
        <f>IF(L$9='5.Variables'!$B$10,+'5.Variables'!$K23,+IF(L$9='5.Variables'!$B$34,+'5.Variables'!$K47,+IF(L$9='5.Variables'!$B$58,+'5.Variables'!$K62,+IF(L$9='5.Variables'!$B$72,+'5.Variables'!$K76,+IF(L$9='5.Variables'!$B$86,+'5.Variables'!$K90,+IF(L$9='5.Variables'!$B$100,+'5.Variables'!$K104,IF(L$9='5.Variables'!$B$32,+'5.Variables'!$K32,IF(L$9='5.Variables'!$B$56,+'5.Variables'!$K56,0))))))))</f>
        <v>1</v>
      </c>
      <c r="M43" s="292">
        <f>IF(M$9='5.Variables'!$B$10,+'5.Variables'!$K23,+IF(M$9='5.Variables'!$B$34,+'5.Variables'!$K47,+IF(M$9='5.Variables'!$B$58,+'5.Variables'!$K62,+IF(M$9='5.Variables'!$B$72,+'5.Variables'!$K76,+IF(M$9='5.Variables'!$B$86,+'5.Variables'!$K90,+IF(M$9='5.Variables'!$B$100,+'5.Variables'!$K104,IF(M$9='5.Variables'!$B$32,+'5.Variables'!$K32,IF(M$9='5.Variables'!$B$56,+'5.Variables'!$K56,0))))))))</f>
        <v>30</v>
      </c>
      <c r="N43" s="292">
        <f>IF(N$9='5.Variables'!$B$10,+'5.Variables'!$K23,+IF(N$9='5.Variables'!$B$34,+'5.Variables'!$K47,+IF(N$9='5.Variables'!$B$58,+'5.Variables'!$K62,+IF(N$9='5.Variables'!$B$72,+'5.Variables'!$K76,+IF(N$9='5.Variables'!$B$86,+'5.Variables'!$K90,+IF(N$9='5.Variables'!$B$100,+'5.Variables'!$K104,IF(N$9='5.Variables'!$B$32,+'5.Variables'!$K32,IF(N$9='5.Variables'!$B$56,+'5.Variables'!$K56,0))))))))</f>
        <v>27.6</v>
      </c>
      <c r="O43" s="292">
        <f>IF(O$9='5.Variables'!$B$10,+'5.Variables'!$K23,+IF(O$9='5.Variables'!$B$34,+'5.Variables'!$K47,+IF(O$9='5.Variables'!$B$58,+'5.Variables'!$K62,+IF(O$9='5.Variables'!$B$72,+'5.Variables'!$K76,+IF(O$9='5.Variables'!$B$86,+'5.Variables'!$K90,+IF(O$9='5.Variables'!$B$100,+'5.Variables'!$K104,IF(O$9='5.Variables'!$B$32,+'5.Variables'!$K32,IF(O$9='5.Variables'!$B$56,+'5.Variables'!$K56,0))))))))</f>
        <v>69.5</v>
      </c>
      <c r="P43" s="292">
        <f>IF(P$9='5.Variables'!$B$10,+'5.Variables'!$K23,+IF(P$9='5.Variables'!$B$34,+'5.Variables'!$K47,+IF(P$9='5.Variables'!$B$58,+'5.Variables'!$K62,+IF(P$9='5.Variables'!$B$72,+'5.Variables'!$K76,+IF(P$9='5.Variables'!$B$86,+'5.Variables'!$K90,+IF(P$9='5.Variables'!$B$100,+'5.Variables'!$K104,IF(P$9='5.Variables'!$B$32,+'5.Variables'!$K32,IF(P$9='5.Variables'!$B$56,+'5.Variables'!$K56,0))))))))</f>
        <v>0</v>
      </c>
      <c r="Q43" s="143"/>
      <c r="R43" s="154">
        <v>9988669.7512863874</v>
      </c>
      <c r="S43" s="167">
        <f t="shared" ref="S43:S74" si="6">$Y$25+($K43*$Y$26)+($L43*$Y$27)+($M43*$Y$28)+($N43*$Y$29)+($O43*$Y$30)+($P43*$Y$31)</f>
        <v>11083211.004576467</v>
      </c>
      <c r="T43" s="624">
        <f t="shared" ref="T43:T74" si="7">+R43/S43</f>
        <v>0.90124330820390208</v>
      </c>
      <c r="U43" s="167">
        <f t="shared" ref="U43:U74" si="8">+T43*J43</f>
        <v>9856708.5934453923</v>
      </c>
      <c r="V43" s="171"/>
      <c r="W43" s="618"/>
      <c r="X43" s="185" t="s">
        <v>12</v>
      </c>
      <c r="Y43" s="185">
        <v>120</v>
      </c>
      <c r="Z43"/>
      <c r="AA43"/>
      <c r="AB43"/>
      <c r="AC43"/>
      <c r="AD43"/>
      <c r="AE43"/>
      <c r="AF43"/>
      <c r="AG43" s="143"/>
      <c r="AH43" s="143"/>
      <c r="AI43" s="143"/>
      <c r="AJ43" s="143"/>
      <c r="AK43" s="143"/>
      <c r="AL43" s="143"/>
      <c r="AM43" s="143"/>
      <c r="AN43" s="143"/>
      <c r="AO43" s="143"/>
      <c r="AP43" s="143"/>
      <c r="AQ43" s="143"/>
    </row>
    <row r="44" spans="1:43" x14ac:dyDescent="0.3">
      <c r="A44" s="339">
        <f t="shared" ref="A44:A76" si="9">+A43+1</f>
        <v>34</v>
      </c>
      <c r="B44" s="166" t="str">
        <f>CONCATENATE('3. Consumption by Rate Class'!B49,"-",'3. Consumption by Rate Class'!C49)</f>
        <v>2015-October</v>
      </c>
      <c r="C44" s="154">
        <v>9909152.1400000006</v>
      </c>
      <c r="D44" s="154"/>
      <c r="E44" s="366">
        <v>275412.58</v>
      </c>
      <c r="F44" s="154">
        <v>35877</v>
      </c>
      <c r="G44" s="154"/>
      <c r="H44" s="367"/>
      <c r="I44" s="367"/>
      <c r="J44" s="167">
        <f t="shared" si="5"/>
        <v>10220441.720000001</v>
      </c>
      <c r="K44" s="167">
        <f>IF(K$9='5.Variables'!$B$10,+'5.Variables'!$L23,+IF(K$9='5.Variables'!$B$34,+'5.Variables'!$L47,+IF(K$9='5.Variables'!$B$58,+'5.Variables'!$L62,+IF(K$9='5.Variables'!$B$72,+'5.Variables'!$L76,+IF(K$9='5.Variables'!$B$86,+'5.Variables'!$L90,+IF(K$9='5.Variables'!$B$100,+'5.Variables'!$L104,IF(K$9='5.Variables'!$B$32,+'5.Variables'!$L32,IF(K$9='5.Variables'!$B$56,+'5.Variables'!$L56,0))))))))</f>
        <v>13172</v>
      </c>
      <c r="L44" s="292">
        <f>IF(L$9='5.Variables'!$B$10,+'5.Variables'!$L23,+IF(L$9='5.Variables'!$B$34,+'5.Variables'!$L47,+IF(L$9='5.Variables'!$B$58,+'5.Variables'!$L62,+IF(L$9='5.Variables'!$B$72,+'5.Variables'!$L76,+IF(L$9='5.Variables'!$B$86,+'5.Variables'!$L90,+IF(L$9='5.Variables'!$B$100,+'5.Variables'!$L104,IF(L$9='5.Variables'!$B$32,+'5.Variables'!$L32,IF(L$9='5.Variables'!$B$56,+'5.Variables'!$L56,0))))))))</f>
        <v>1</v>
      </c>
      <c r="M44" s="292">
        <f>IF(M$9='5.Variables'!$B$10,+'5.Variables'!$L23,+IF(M$9='5.Variables'!$B$34,+'5.Variables'!$L47,+IF(M$9='5.Variables'!$B$58,+'5.Variables'!$L62,+IF(M$9='5.Variables'!$B$72,+'5.Variables'!$L76,+IF(M$9='5.Variables'!$B$86,+'5.Variables'!$L90,+IF(M$9='5.Variables'!$B$100,+'5.Variables'!$L104,IF(M$9='5.Variables'!$B$32,+'5.Variables'!$L32,IF(M$9='5.Variables'!$B$56,+'5.Variables'!$L56,0))))))))</f>
        <v>31</v>
      </c>
      <c r="N44" s="292">
        <f>IF(N$9='5.Variables'!$B$10,+'5.Variables'!$L23,+IF(N$9='5.Variables'!$B$34,+'5.Variables'!$L47,+IF(N$9='5.Variables'!$B$58,+'5.Variables'!$L62,+IF(N$9='5.Variables'!$B$72,+'5.Variables'!$L76,+IF(N$9='5.Variables'!$B$86,+'5.Variables'!$L90,+IF(N$9='5.Variables'!$B$100,+'5.Variables'!$L104,IF(N$9='5.Variables'!$B$32,+'5.Variables'!$L32,IF(N$9='5.Variables'!$B$56,+'5.Variables'!$L56,0))))))))</f>
        <v>257.10000000000002</v>
      </c>
      <c r="O44" s="292">
        <f>IF(O$9='5.Variables'!$B$10,+'5.Variables'!$L23,+IF(O$9='5.Variables'!$B$34,+'5.Variables'!$L47,+IF(O$9='5.Variables'!$B$58,+'5.Variables'!$L62,+IF(O$9='5.Variables'!$B$72,+'5.Variables'!$L76,+IF(O$9='5.Variables'!$B$86,+'5.Variables'!$L90,+IF(O$9='5.Variables'!$B$100,+'5.Variables'!$L104,IF(O$9='5.Variables'!$B$32,+'5.Variables'!$L32,IF(O$9='5.Variables'!$B$56,+'5.Variables'!$L56,0))))))))</f>
        <v>2.8</v>
      </c>
      <c r="P44" s="292">
        <f>IF(P$9='5.Variables'!$B$10,+'5.Variables'!$L23,+IF(P$9='5.Variables'!$B$34,+'5.Variables'!$L47,+IF(P$9='5.Variables'!$B$58,+'5.Variables'!$L62,+IF(P$9='5.Variables'!$B$72,+'5.Variables'!$L76,+IF(P$9='5.Variables'!$B$86,+'5.Variables'!$L90,+IF(P$9='5.Variables'!$B$100,+'5.Variables'!$L104,IF(P$9='5.Variables'!$B$32,+'5.Variables'!$L32,IF(P$9='5.Variables'!$B$56,+'5.Variables'!$L56,0))))))))</f>
        <v>0</v>
      </c>
      <c r="Q44" s="143"/>
      <c r="R44" s="154">
        <v>10096743.165992647</v>
      </c>
      <c r="S44" s="167">
        <f t="shared" si="6"/>
        <v>10222458.92211587</v>
      </c>
      <c r="T44" s="624">
        <f t="shared" si="7"/>
        <v>0.98770200427499477</v>
      </c>
      <c r="U44" s="167">
        <f t="shared" si="8"/>
        <v>10094750.771419775</v>
      </c>
      <c r="V44" s="171"/>
      <c r="W44" s="618"/>
      <c r="X44"/>
      <c r="Y44"/>
      <c r="Z44"/>
      <c r="AA44"/>
      <c r="AB44"/>
      <c r="AC44"/>
      <c r="AD44"/>
      <c r="AE44"/>
      <c r="AF44"/>
      <c r="AG44" s="143"/>
      <c r="AH44" s="143"/>
      <c r="AI44" s="143"/>
      <c r="AJ44" s="143"/>
      <c r="AK44" s="143"/>
      <c r="AL44" s="143"/>
      <c r="AM44" s="143"/>
      <c r="AN44" s="143"/>
      <c r="AO44" s="143"/>
      <c r="AP44" s="143"/>
      <c r="AQ44" s="143"/>
    </row>
    <row r="45" spans="1:43" ht="13.5" thickBot="1" x14ac:dyDescent="0.35">
      <c r="A45" s="339">
        <f t="shared" si="9"/>
        <v>35</v>
      </c>
      <c r="B45" s="166" t="str">
        <f>CONCATENATE('3. Consumption by Rate Class'!B50,"-",'3. Consumption by Rate Class'!C50)</f>
        <v>2015-November</v>
      </c>
      <c r="C45" s="154">
        <v>9955156.0999999996</v>
      </c>
      <c r="D45" s="154"/>
      <c r="E45" s="366">
        <v>263454.69</v>
      </c>
      <c r="F45" s="154">
        <v>20699</v>
      </c>
      <c r="G45" s="154"/>
      <c r="H45" s="367"/>
      <c r="I45" s="367"/>
      <c r="J45" s="167">
        <f t="shared" si="5"/>
        <v>10239309.789999999</v>
      </c>
      <c r="K45" s="167">
        <f>IF(K$9='5.Variables'!$B$10,+'5.Variables'!$M23,+IF(K$9='5.Variables'!$B$34,+'5.Variables'!$M47,+IF(K$9='5.Variables'!$B$58,+'5.Variables'!$M62,+IF(K$9='5.Variables'!$B$72,+'5.Variables'!$M76,+IF(K$9='5.Variables'!$B$86,+'5.Variables'!$M90,+IF(K$9='5.Variables'!$B$100,+'5.Variables'!$M104,IF(K$9='5.Variables'!$B$32,+'5.Variables'!$M32,IF(K$9='5.Variables'!$B$56,+'5.Variables'!$M56,0))))))))</f>
        <v>13191</v>
      </c>
      <c r="L45" s="292">
        <f>IF(L$9='5.Variables'!$B$10,+'5.Variables'!$M23,+IF(L$9='5.Variables'!$B$34,+'5.Variables'!$M47,+IF(L$9='5.Variables'!$B$58,+'5.Variables'!$M62,+IF(L$9='5.Variables'!$B$72,+'5.Variables'!$M76,+IF(L$9='5.Variables'!$B$86,+'5.Variables'!$M90,+IF(L$9='5.Variables'!$B$100,+'5.Variables'!$M104,IF(L$9='5.Variables'!$B$32,+'5.Variables'!$M32,IF(L$9='5.Variables'!$B$56,+'5.Variables'!$M56,0))))))))</f>
        <v>1</v>
      </c>
      <c r="M45" s="292">
        <f>IF(M$9='5.Variables'!$B$10,+'5.Variables'!$M23,+IF(M$9='5.Variables'!$B$34,+'5.Variables'!$M47,+IF(M$9='5.Variables'!$B$58,+'5.Variables'!$M62,+IF(M$9='5.Variables'!$B$72,+'5.Variables'!$M76,+IF(M$9='5.Variables'!$B$86,+'5.Variables'!$M90,+IF(M$9='5.Variables'!$B$100,+'5.Variables'!$M104,IF(M$9='5.Variables'!$B$32,+'5.Variables'!$M32,IF(M$9='5.Variables'!$B$56,+'5.Variables'!$M56,0))))))))</f>
        <v>30</v>
      </c>
      <c r="N45" s="292">
        <f>IF(N$9='5.Variables'!$B$10,+'5.Variables'!$M23,+IF(N$9='5.Variables'!$B$34,+'5.Variables'!$M47,+IF(N$9='5.Variables'!$B$58,+'5.Variables'!$M62,+IF(N$9='5.Variables'!$B$72,+'5.Variables'!$M76,+IF(N$9='5.Variables'!$B$86,+'5.Variables'!$M90,+IF(N$9='5.Variables'!$B$100,+'5.Variables'!$M104,IF(N$9='5.Variables'!$B$32,+'5.Variables'!$M32,IF(N$9='5.Variables'!$B$56,+'5.Variables'!$M56,0))))))))</f>
        <v>323.8</v>
      </c>
      <c r="O45" s="292">
        <f>IF(O$9='5.Variables'!$B$10,+'5.Variables'!$M23,+IF(O$9='5.Variables'!$B$34,+'5.Variables'!$M47,+IF(O$9='5.Variables'!$B$58,+'5.Variables'!$M62,+IF(O$9='5.Variables'!$B$72,+'5.Variables'!$M76,+IF(O$9='5.Variables'!$B$86,+'5.Variables'!$M90,+IF(O$9='5.Variables'!$B$100,+'5.Variables'!$M104,IF(O$9='5.Variables'!$B$32,+'5.Variables'!$M32,IF(O$9='5.Variables'!$B$56,+'5.Variables'!$M56,0))))))))</f>
        <v>1.5</v>
      </c>
      <c r="P45" s="292">
        <f>IF(P$9='5.Variables'!$B$10,+'5.Variables'!$M23,+IF(P$9='5.Variables'!$B$34,+'5.Variables'!$M47,+IF(P$9='5.Variables'!$B$58,+'5.Variables'!$M62,+IF(P$9='5.Variables'!$B$72,+'5.Variables'!$M76,+IF(P$9='5.Variables'!$B$86,+'5.Variables'!$M90,+IF(P$9='5.Variables'!$B$100,+'5.Variables'!$M104,IF(P$9='5.Variables'!$B$32,+'5.Variables'!$M32,IF(P$9='5.Variables'!$B$56,+'5.Variables'!$M56,0))))))))</f>
        <v>0</v>
      </c>
      <c r="Q45" s="143"/>
      <c r="R45" s="154">
        <v>10608602.265269022</v>
      </c>
      <c r="S45" s="167">
        <f t="shared" si="6"/>
        <v>10149786.405922396</v>
      </c>
      <c r="T45" s="624">
        <f t="shared" si="7"/>
        <v>1.0452044842124861</v>
      </c>
      <c r="U45" s="167">
        <f t="shared" si="8"/>
        <v>10702172.507748809</v>
      </c>
      <c r="V45" s="171"/>
      <c r="W45" s="618"/>
      <c r="X45" t="s">
        <v>13</v>
      </c>
      <c r="Y45"/>
      <c r="Z45"/>
      <c r="AA45"/>
      <c r="AB45"/>
      <c r="AC45"/>
      <c r="AD45"/>
      <c r="AE45"/>
      <c r="AF45"/>
      <c r="AG45" s="143"/>
      <c r="AH45" s="143"/>
      <c r="AI45" s="143"/>
      <c r="AJ45" s="143"/>
      <c r="AK45" s="143"/>
      <c r="AL45" s="143"/>
      <c r="AM45" s="143"/>
      <c r="AN45" s="143"/>
      <c r="AO45" s="143"/>
      <c r="AP45" s="143"/>
      <c r="AQ45" s="143"/>
    </row>
    <row r="46" spans="1:43" x14ac:dyDescent="0.3">
      <c r="A46" s="339">
        <f t="shared" si="9"/>
        <v>36</v>
      </c>
      <c r="B46" s="166" t="str">
        <f>CONCATENATE('3. Consumption by Rate Class'!B51,"-",'3. Consumption by Rate Class'!C51)</f>
        <v>2015-December</v>
      </c>
      <c r="C46" s="154">
        <v>11330102.74</v>
      </c>
      <c r="D46" s="154"/>
      <c r="E46" s="366">
        <v>268967.2</v>
      </c>
      <c r="F46" s="154">
        <v>12313</v>
      </c>
      <c r="G46" s="154"/>
      <c r="H46" s="367"/>
      <c r="I46" s="367"/>
      <c r="J46" s="167">
        <f t="shared" si="5"/>
        <v>11611382.939999999</v>
      </c>
      <c r="K46" s="167">
        <f>IF(K$9='5.Variables'!$B$10,+'5.Variables'!$N23,+IF(K$9='5.Variables'!$B$34,+'5.Variables'!$N47,+IF(K$9='5.Variables'!$B$58,+'5.Variables'!$N62,+IF(K$9='5.Variables'!$B$72,+'5.Variables'!$N76,+IF(K$9='5.Variables'!$B$86,+'5.Variables'!$N90,+IF(K$9='5.Variables'!$B$100,+'5.Variables'!$N104,IF(K$9='5.Variables'!$B$32,+'5.Variables'!$N32,IF(K$9='5.Variables'!$B$56,+'5.Variables'!$N56,0))))))))</f>
        <v>13214</v>
      </c>
      <c r="L46" s="292">
        <f>IF(L$9='5.Variables'!$B$10,+'5.Variables'!$N23,+IF(L$9='5.Variables'!$B$34,+'5.Variables'!$N47,+IF(L$9='5.Variables'!$B$58,+'5.Variables'!$N62,+IF(L$9='5.Variables'!$B$72,+'5.Variables'!$N76,+IF(L$9='5.Variables'!$B$86,+'5.Variables'!$N90,+IF(L$9='5.Variables'!$B$100,+'5.Variables'!$N104,IF(L$9='5.Variables'!$B$32,+'5.Variables'!$N32,IF(L$9='5.Variables'!$B$56,+'5.Variables'!$N56,0))))))))</f>
        <v>0</v>
      </c>
      <c r="M46" s="292">
        <f>IF(M$9='5.Variables'!$B$10,+'5.Variables'!$N23,+IF(M$9='5.Variables'!$B$34,+'5.Variables'!$N47,+IF(M$9='5.Variables'!$B$58,+'5.Variables'!$N62,+IF(M$9='5.Variables'!$B$72,+'5.Variables'!$N76,+IF(M$9='5.Variables'!$B$86,+'5.Variables'!$N90,+IF(M$9='5.Variables'!$B$100,+'5.Variables'!$N104,IF(M$9='5.Variables'!$B$32,+'5.Variables'!$N32,IF(M$9='5.Variables'!$B$56,+'5.Variables'!$N56,0))))))))</f>
        <v>31</v>
      </c>
      <c r="N46" s="292">
        <f>IF(N$9='5.Variables'!$B$10,+'5.Variables'!$N23,+IF(N$9='5.Variables'!$B$34,+'5.Variables'!$N47,+IF(N$9='5.Variables'!$B$58,+'5.Variables'!$N62,+IF(N$9='5.Variables'!$B$72,+'5.Variables'!$N76,+IF(N$9='5.Variables'!$B$86,+'5.Variables'!$N90,+IF(N$9='5.Variables'!$B$100,+'5.Variables'!$N104,IF(N$9='5.Variables'!$B$32,+'5.Variables'!$N32,IF(N$9='5.Variables'!$B$56,+'5.Variables'!$N56,0))))))))</f>
        <v>426</v>
      </c>
      <c r="O46" s="292">
        <f>IF(O$9='5.Variables'!$B$10,+'5.Variables'!$N23,+IF(O$9='5.Variables'!$B$34,+'5.Variables'!$N47,+IF(O$9='5.Variables'!$B$58,+'5.Variables'!$N62,+IF(O$9='5.Variables'!$B$72,+'5.Variables'!$N76,+IF(O$9='5.Variables'!$B$86,+'5.Variables'!$N90,+IF(O$9='5.Variables'!$B$100,+'5.Variables'!$N104,IF(O$9='5.Variables'!$B$32,+'5.Variables'!$N32,IF(O$9='5.Variables'!$B$56,+'5.Variables'!$N56,0))))))))</f>
        <v>0</v>
      </c>
      <c r="P46" s="292">
        <f>IF(P$9='5.Variables'!$B$10,+'5.Variables'!$N23,+IF(P$9='5.Variables'!$B$34,+'5.Variables'!$N47,+IF(P$9='5.Variables'!$B$58,+'5.Variables'!$N62,+IF(P$9='5.Variables'!$B$72,+'5.Variables'!$N76,+IF(P$9='5.Variables'!$B$86,+'5.Variables'!$N90,+IF(P$9='5.Variables'!$B$100,+'5.Variables'!$N104,IF(P$9='5.Variables'!$B$32,+'5.Variables'!$N32,IF(P$9='5.Variables'!$B$56,+'5.Variables'!$N56,0))))))))</f>
        <v>0</v>
      </c>
      <c r="Q46" s="143"/>
      <c r="R46" s="154">
        <v>12836339.484734144</v>
      </c>
      <c r="S46" s="167">
        <f t="shared" si="6"/>
        <v>11984439.789343197</v>
      </c>
      <c r="T46" s="624">
        <f t="shared" si="7"/>
        <v>1.0710838145432942</v>
      </c>
      <c r="U46" s="167">
        <f t="shared" si="8"/>
        <v>12436764.331498129</v>
      </c>
      <c r="V46" s="171">
        <f>SUM(U35:U46)</f>
        <v>137759492.49652126</v>
      </c>
      <c r="W46" s="618"/>
      <c r="X46" s="186"/>
      <c r="Y46" s="186" t="s">
        <v>18</v>
      </c>
      <c r="Z46" s="186" t="s">
        <v>19</v>
      </c>
      <c r="AA46" s="186" t="s">
        <v>20</v>
      </c>
      <c r="AB46" s="186" t="s">
        <v>21</v>
      </c>
      <c r="AC46" s="186" t="s">
        <v>22</v>
      </c>
      <c r="AD46"/>
      <c r="AE46"/>
      <c r="AF46"/>
      <c r="AG46" s="143"/>
      <c r="AH46" s="143"/>
      <c r="AI46" s="143"/>
      <c r="AJ46" s="143"/>
      <c r="AK46" s="143"/>
      <c r="AL46" s="143"/>
      <c r="AM46" s="143"/>
      <c r="AN46" s="143"/>
      <c r="AO46" s="143"/>
      <c r="AP46" s="143"/>
      <c r="AQ46" s="143"/>
    </row>
    <row r="47" spans="1:43" x14ac:dyDescent="0.3">
      <c r="A47" s="339">
        <f t="shared" si="9"/>
        <v>37</v>
      </c>
      <c r="B47" s="166" t="str">
        <f>CONCATENATE('3. Consumption by Rate Class'!B52,"-",'3. Consumption by Rate Class'!C52)</f>
        <v>2016-January</v>
      </c>
      <c r="C47" s="154">
        <v>12730345.99</v>
      </c>
      <c r="D47" s="154"/>
      <c r="E47" s="366">
        <v>252265.87</v>
      </c>
      <c r="F47" s="154">
        <v>3877</v>
      </c>
      <c r="G47" s="154"/>
      <c r="H47" s="367"/>
      <c r="I47" s="367"/>
      <c r="J47" s="167">
        <f t="shared" si="5"/>
        <v>12986488.859999999</v>
      </c>
      <c r="K47" s="167">
        <f>IF(K$9='5.Variables'!$B$10,+'5.Variables'!$C24,+IF(K$9='5.Variables'!$B$34,+'5.Variables'!$C48,+IF(K$9='5.Variables'!$B$58,+'5.Variables'!$C63,+IF(K$9='5.Variables'!$B$72,+'5.Variables'!$C77,+IF(K$9='5.Variables'!$B$86,+'5.Variables'!$C91,+IF(K$9='5.Variables'!$B$100,+'5.Variables'!$C105,IF(K$9='5.Variables'!$B$32,+'5.Variables'!$C32,IF(K$9='5.Variables'!$B$56,+'5.Variables'!$C56,0))))))))</f>
        <v>13218</v>
      </c>
      <c r="L47" s="292">
        <f>IF(L$9='5.Variables'!$B$10,+'5.Variables'!$C24,+IF(L$9='5.Variables'!$B$34,+'5.Variables'!$C48,+IF(L$9='5.Variables'!$B$58,+'5.Variables'!$C63,+IF(L$9='5.Variables'!$B$72,+'5.Variables'!$C77,+IF(L$9='5.Variables'!$B$86,+'5.Variables'!$C91,+IF(L$9='5.Variables'!$B$100,+'5.Variables'!$C105,IF(L$9='5.Variables'!$B$32,+'5.Variables'!$C32,IF(L$9='5.Variables'!$B$56,+'5.Variables'!$C56,0))))))))</f>
        <v>0</v>
      </c>
      <c r="M47" s="292">
        <f>IF(M$9='5.Variables'!$B$10,+'5.Variables'!$C24,+IF(M$9='5.Variables'!$B$34,+'5.Variables'!$C48,+IF(M$9='5.Variables'!$B$58,+'5.Variables'!$C63,+IF(M$9='5.Variables'!$B$72,+'5.Variables'!$C77,+IF(M$9='5.Variables'!$B$86,+'5.Variables'!$C91,+IF(M$9='5.Variables'!$B$100,+'5.Variables'!$C105,IF(M$9='5.Variables'!$B$32,+'5.Variables'!$C32,IF(M$9='5.Variables'!$B$56,+'5.Variables'!$C56,0))))))))</f>
        <v>31</v>
      </c>
      <c r="N47" s="292">
        <f>IF(N$9='5.Variables'!$B$10,+'5.Variables'!$C24,+IF(N$9='5.Variables'!$B$34,+'5.Variables'!$C48,+IF(N$9='5.Variables'!$B$58,+'5.Variables'!$C63,+IF(N$9='5.Variables'!$B$72,+'5.Variables'!$C77,+IF(N$9='5.Variables'!$B$86,+'5.Variables'!$C91,+IF(N$9='5.Variables'!$B$100,+'5.Variables'!$C105,IF(N$9='5.Variables'!$B$32,+'5.Variables'!$C32,IF(N$9='5.Variables'!$B$56,+'5.Variables'!$C56,0))))))))</f>
        <v>556.4</v>
      </c>
      <c r="O47" s="292">
        <f>IF(O$9='5.Variables'!$B$10,+'5.Variables'!$C24,+IF(O$9='5.Variables'!$B$34,+'5.Variables'!$C48,+IF(O$9='5.Variables'!$B$58,+'5.Variables'!$C63,+IF(O$9='5.Variables'!$B$72,+'5.Variables'!$C77,+IF(O$9='5.Variables'!$B$86,+'5.Variables'!$C91,+IF(O$9='5.Variables'!$B$100,+'5.Variables'!$C105,IF(O$9='5.Variables'!$B$32,+'5.Variables'!$C32,IF(O$9='5.Variables'!$B$56,+'5.Variables'!$C56,0))))))))</f>
        <v>0</v>
      </c>
      <c r="P47" s="292">
        <f>IF(P$9='5.Variables'!$B$10,+'5.Variables'!$C24,+IF(P$9='5.Variables'!$B$34,+'5.Variables'!$C48,+IF(P$9='5.Variables'!$B$58,+'5.Variables'!$C63,+IF(P$9='5.Variables'!$B$72,+'5.Variables'!$C77,+IF(P$9='5.Variables'!$B$86,+'5.Variables'!$C91,+IF(P$9='5.Variables'!$B$100,+'5.Variables'!$C105,IF(P$9='5.Variables'!$B$32,+'5.Variables'!$C32,IF(P$9='5.Variables'!$B$56,+'5.Variables'!$C56,0))))))))</f>
        <v>0</v>
      </c>
      <c r="Q47" s="143"/>
      <c r="R47" s="154">
        <v>13592254.485557966</v>
      </c>
      <c r="S47" s="167">
        <f t="shared" si="6"/>
        <v>12739317.855184801</v>
      </c>
      <c r="T47" s="624">
        <f t="shared" si="7"/>
        <v>1.0669530849350797</v>
      </c>
      <c r="U47" s="167">
        <f t="shared" si="8"/>
        <v>13855974.351652045</v>
      </c>
      <c r="V47" s="171"/>
      <c r="W47" s="618"/>
      <c r="X47" t="s">
        <v>14</v>
      </c>
      <c r="Y47">
        <v>6</v>
      </c>
      <c r="Z47">
        <v>220763733237069.91</v>
      </c>
      <c r="AA47">
        <v>36793955539511.648</v>
      </c>
      <c r="AB47">
        <v>64.615139234842388</v>
      </c>
      <c r="AC47">
        <v>3.0288322890979872E-34</v>
      </c>
      <c r="AD47"/>
      <c r="AE47"/>
      <c r="AF47"/>
      <c r="AG47" s="143"/>
      <c r="AH47" s="143"/>
      <c r="AI47" s="143"/>
      <c r="AJ47" s="143"/>
      <c r="AK47" s="143"/>
      <c r="AL47" s="143"/>
      <c r="AM47" s="143"/>
      <c r="AN47" s="143"/>
      <c r="AO47" s="143"/>
      <c r="AP47" s="143"/>
      <c r="AQ47" s="143"/>
    </row>
    <row r="48" spans="1:43" x14ac:dyDescent="0.3">
      <c r="A48" s="339">
        <f t="shared" si="9"/>
        <v>38</v>
      </c>
      <c r="B48" s="166" t="str">
        <f>CONCATENATE('3. Consumption by Rate Class'!B53,"-",'3. Consumption by Rate Class'!C53)</f>
        <v>2016-February</v>
      </c>
      <c r="C48" s="154">
        <v>11705579.449999999</v>
      </c>
      <c r="D48" s="154"/>
      <c r="E48" s="366">
        <v>233705.77</v>
      </c>
      <c r="F48" s="154">
        <v>15015</v>
      </c>
      <c r="G48" s="154"/>
      <c r="H48" s="367"/>
      <c r="I48" s="367"/>
      <c r="J48" s="167">
        <f t="shared" si="5"/>
        <v>11954300.219999999</v>
      </c>
      <c r="K48" s="167">
        <f>IF(K$9='5.Variables'!$B$10,+'5.Variables'!$D24,+IF(K$9='5.Variables'!$B$34,+'5.Variables'!$D48,+IF(K$9='5.Variables'!$B$58,+'5.Variables'!$D63,+IF(K$9='5.Variables'!$B$72,+'5.Variables'!$D77,+IF(K$9='5.Variables'!$B$86,+'5.Variables'!$D91,+IF(K$9='5.Variables'!$B$100,+'5.Variables'!$D105,IF(K$9='5.Variables'!$B$32,+'5.Variables'!$D32,IF(K$9='5.Variables'!$B$56,+'5.Variables'!$D56,0))))))))</f>
        <v>13226</v>
      </c>
      <c r="L48" s="292">
        <f>IF(L$9='5.Variables'!$B$10,+'5.Variables'!$D24,+IF(L$9='5.Variables'!$B$34,+'5.Variables'!$D48,+IF(L$9='5.Variables'!$B$58,+'5.Variables'!$D63,+IF(L$9='5.Variables'!$B$72,+'5.Variables'!$D77,+IF(L$9='5.Variables'!$B$86,+'5.Variables'!$D91,+IF(L$9='5.Variables'!$B$100,+'5.Variables'!$D105,IF(L$9='5.Variables'!$B$32,+'5.Variables'!$D32,IF(L$9='5.Variables'!$B$56,+'5.Variables'!$D56,0))))))))</f>
        <v>0</v>
      </c>
      <c r="M48" s="292">
        <f>IF(M$9='5.Variables'!$B$10,+'5.Variables'!$D24,+IF(M$9='5.Variables'!$B$34,+'5.Variables'!$D48,+IF(M$9='5.Variables'!$B$58,+'5.Variables'!$D63,+IF(M$9='5.Variables'!$B$72,+'5.Variables'!$D77,+IF(M$9='5.Variables'!$B$86,+'5.Variables'!$D91,+IF(M$9='5.Variables'!$B$100,+'5.Variables'!$D105,IF(M$9='5.Variables'!$B$32,+'5.Variables'!$D32,IF(M$9='5.Variables'!$B$56,+'5.Variables'!$D56,0))))))))</f>
        <v>29</v>
      </c>
      <c r="N48" s="292">
        <f>IF(N$9='5.Variables'!$B$10,+'5.Variables'!$D24,+IF(N$9='5.Variables'!$B$34,+'5.Variables'!$D48,+IF(N$9='5.Variables'!$B$58,+'5.Variables'!$D63,+IF(N$9='5.Variables'!$B$72,+'5.Variables'!$D77,+IF(N$9='5.Variables'!$B$86,+'5.Variables'!$D91,+IF(N$9='5.Variables'!$B$100,+'5.Variables'!$D105,IF(N$9='5.Variables'!$B$32,+'5.Variables'!$D32,IF(N$9='5.Variables'!$B$56,+'5.Variables'!$D56,0))))))))</f>
        <v>623.5</v>
      </c>
      <c r="O48" s="292">
        <f>IF(O$9='5.Variables'!$B$10,+'5.Variables'!$D24,+IF(O$9='5.Variables'!$B$34,+'5.Variables'!$D48,+IF(O$9='5.Variables'!$B$58,+'5.Variables'!$D63,+IF(O$9='5.Variables'!$B$72,+'5.Variables'!$D77,+IF(O$9='5.Variables'!$B$86,+'5.Variables'!$D91,+IF(O$9='5.Variables'!$B$100,+'5.Variables'!$D105,IF(O$9='5.Variables'!$B$32,+'5.Variables'!$D32,IF(O$9='5.Variables'!$B$56,+'5.Variables'!$D56,0))))))))</f>
        <v>0</v>
      </c>
      <c r="P48" s="292">
        <f>IF(P$9='5.Variables'!$B$10,+'5.Variables'!$D24,+IF(P$9='5.Variables'!$B$34,+'5.Variables'!$D48,+IF(P$9='5.Variables'!$B$58,+'5.Variables'!$D63,+IF(P$9='5.Variables'!$B$72,+'5.Variables'!$D77,+IF(P$9='5.Variables'!$B$86,+'5.Variables'!$D91,+IF(P$9='5.Variables'!$B$100,+'5.Variables'!$D105,IF(P$9='5.Variables'!$B$32,+'5.Variables'!$D32,IF(P$9='5.Variables'!$B$56,+'5.Variables'!$D56,0))))))))</f>
        <v>0</v>
      </c>
      <c r="Q48" s="143"/>
      <c r="R48" s="154">
        <v>12425676.724754544</v>
      </c>
      <c r="S48" s="167">
        <f t="shared" si="6"/>
        <v>12286554.61464032</v>
      </c>
      <c r="T48" s="624">
        <f t="shared" si="7"/>
        <v>1.0113231181952709</v>
      </c>
      <c r="U48" s="167">
        <f t="shared" si="8"/>
        <v>12089660.174332811</v>
      </c>
      <c r="V48" s="171"/>
      <c r="W48" s="618"/>
      <c r="X48" t="s">
        <v>15</v>
      </c>
      <c r="Y48">
        <v>113</v>
      </c>
      <c r="Z48">
        <v>64345864223145.602</v>
      </c>
      <c r="AA48">
        <v>569432426753.50085</v>
      </c>
      <c r="AB48"/>
      <c r="AC48"/>
      <c r="AD48"/>
      <c r="AE48"/>
      <c r="AF48"/>
      <c r="AG48" s="143"/>
      <c r="AH48" s="143"/>
      <c r="AI48" s="143"/>
      <c r="AJ48" s="143"/>
      <c r="AK48" s="143"/>
      <c r="AL48" s="143"/>
      <c r="AM48" s="143"/>
      <c r="AN48" s="143"/>
      <c r="AO48" s="143"/>
      <c r="AP48" s="143"/>
      <c r="AQ48" s="143"/>
    </row>
    <row r="49" spans="1:43" ht="13.5" thickBot="1" x14ac:dyDescent="0.35">
      <c r="A49" s="339">
        <f t="shared" si="9"/>
        <v>39</v>
      </c>
      <c r="B49" s="166" t="str">
        <f>CONCATENATE('3. Consumption by Rate Class'!B54,"-",'3. Consumption by Rate Class'!C54)</f>
        <v>2016-March</v>
      </c>
      <c r="C49" s="154">
        <v>11115960.9</v>
      </c>
      <c r="D49" s="154"/>
      <c r="E49" s="366">
        <v>254694.03</v>
      </c>
      <c r="F49" s="154">
        <v>36772</v>
      </c>
      <c r="G49" s="154"/>
      <c r="H49" s="367"/>
      <c r="I49" s="367"/>
      <c r="J49" s="167">
        <f t="shared" si="5"/>
        <v>11407426.93</v>
      </c>
      <c r="K49" s="167">
        <f>IF(K$9='5.Variables'!$B$10,+'5.Variables'!$E24,+IF(K$9='5.Variables'!$B$34,+'5.Variables'!$E48,+IF(K$9='5.Variables'!$B$58,+'5.Variables'!$E63,+IF(K$9='5.Variables'!$B$72,+'5.Variables'!$E77,+IF(K$9='5.Variables'!$B$86,+'5.Variables'!$E91,+IF(K$9='5.Variables'!$B$100,+'5.Variables'!$E105,IF(K$9='5.Variables'!$B$32,+'5.Variables'!$E32,IF(K$9='5.Variables'!$B$56,+'5.Variables'!$E56,0))))))))</f>
        <v>13227</v>
      </c>
      <c r="L49" s="292">
        <f>IF(L$9='5.Variables'!$B$10,+'5.Variables'!$E24,+IF(L$9='5.Variables'!$B$34,+'5.Variables'!$E48,+IF(L$9='5.Variables'!$B$58,+'5.Variables'!$E63,+IF(L$9='5.Variables'!$B$72,+'5.Variables'!$E77,+IF(L$9='5.Variables'!$B$86,+'5.Variables'!$E91,+IF(L$9='5.Variables'!$B$100,+'5.Variables'!$E105,IF(L$9='5.Variables'!$B$32,+'5.Variables'!$E32,IF(L$9='5.Variables'!$B$56,+'5.Variables'!$E56,0))))))))</f>
        <v>1</v>
      </c>
      <c r="M49" s="292">
        <f>IF(M$9='5.Variables'!$B$10,+'5.Variables'!$E24,+IF(M$9='5.Variables'!$B$34,+'5.Variables'!$E48,+IF(M$9='5.Variables'!$B$58,+'5.Variables'!$E63,+IF(M$9='5.Variables'!$B$72,+'5.Variables'!$E77,+IF(M$9='5.Variables'!$B$86,+'5.Variables'!$E91,+IF(M$9='5.Variables'!$B$100,+'5.Variables'!$E105,IF(M$9='5.Variables'!$B$32,+'5.Variables'!$E32,IF(M$9='5.Variables'!$B$56,+'5.Variables'!$E56,0))))))))</f>
        <v>31</v>
      </c>
      <c r="N49" s="292">
        <f>IF(N$9='5.Variables'!$B$10,+'5.Variables'!$E24,+IF(N$9='5.Variables'!$B$34,+'5.Variables'!$E48,+IF(N$9='5.Variables'!$B$58,+'5.Variables'!$E63,+IF(N$9='5.Variables'!$B$72,+'5.Variables'!$E77,+IF(N$9='5.Variables'!$B$86,+'5.Variables'!$E91,+IF(N$9='5.Variables'!$B$100,+'5.Variables'!$E105,IF(N$9='5.Variables'!$B$32,+'5.Variables'!$E32,IF(N$9='5.Variables'!$B$56,+'5.Variables'!$E56,0))))))))</f>
        <v>502.2</v>
      </c>
      <c r="O49" s="292">
        <f>IF(O$9='5.Variables'!$B$10,+'5.Variables'!$E24,+IF(O$9='5.Variables'!$B$34,+'5.Variables'!$E48,+IF(O$9='5.Variables'!$B$58,+'5.Variables'!$E63,+IF(O$9='5.Variables'!$B$72,+'5.Variables'!$E77,+IF(O$9='5.Variables'!$B$86,+'5.Variables'!$E91,+IF(O$9='5.Variables'!$B$100,+'5.Variables'!$E105,IF(O$9='5.Variables'!$B$32,+'5.Variables'!$E32,IF(O$9='5.Variables'!$B$56,+'5.Variables'!$E56,0))))))))</f>
        <v>0</v>
      </c>
      <c r="P49" s="292">
        <f>IF(P$9='5.Variables'!$B$10,+'5.Variables'!$E24,+IF(P$9='5.Variables'!$B$34,+'5.Variables'!$E48,+IF(P$9='5.Variables'!$B$58,+'5.Variables'!$E63,+IF(P$9='5.Variables'!$B$72,+'5.Variables'!$E77,+IF(P$9='5.Variables'!$B$86,+'5.Variables'!$E91,+IF(P$9='5.Variables'!$B$100,+'5.Variables'!$E105,IF(P$9='5.Variables'!$B$32,+'5.Variables'!$E32,IF(P$9='5.Variables'!$B$56,+'5.Variables'!$E56,0))))))))</f>
        <v>0</v>
      </c>
      <c r="Q49" s="143"/>
      <c r="R49" s="154">
        <v>11958285.4455056</v>
      </c>
      <c r="S49" s="167">
        <f t="shared" si="6"/>
        <v>11575022.754578093</v>
      </c>
      <c r="T49" s="624">
        <f t="shared" si="7"/>
        <v>1.0331111825050989</v>
      </c>
      <c r="U49" s="167">
        <f t="shared" si="8"/>
        <v>11785140.324992809</v>
      </c>
      <c r="V49" s="171"/>
      <c r="W49" s="618"/>
      <c r="X49" s="185" t="s">
        <v>16</v>
      </c>
      <c r="Y49" s="185">
        <v>119</v>
      </c>
      <c r="Z49" s="185">
        <v>285109597460215.5</v>
      </c>
      <c r="AA49" s="185"/>
      <c r="AB49" s="185"/>
      <c r="AC49" s="185"/>
      <c r="AD49"/>
      <c r="AE49"/>
      <c r="AF49"/>
      <c r="AG49" s="143"/>
      <c r="AH49" s="143"/>
      <c r="AI49" s="143"/>
      <c r="AJ49" s="143"/>
      <c r="AK49" s="143"/>
      <c r="AL49" s="143"/>
      <c r="AM49" s="143"/>
      <c r="AN49" s="143"/>
      <c r="AO49" s="143"/>
      <c r="AP49" s="143"/>
      <c r="AQ49" s="143"/>
    </row>
    <row r="50" spans="1:43" ht="13.5" thickBot="1" x14ac:dyDescent="0.35">
      <c r="A50" s="339">
        <f t="shared" si="9"/>
        <v>40</v>
      </c>
      <c r="B50" s="166" t="str">
        <f>CONCATENATE('3. Consumption by Rate Class'!B55,"-",'3. Consumption by Rate Class'!C55)</f>
        <v>2016-April</v>
      </c>
      <c r="C50" s="154">
        <v>10054141.369999999</v>
      </c>
      <c r="D50" s="154"/>
      <c r="E50" s="366">
        <v>240785.11</v>
      </c>
      <c r="F50" s="154">
        <v>15015</v>
      </c>
      <c r="G50" s="154"/>
      <c r="H50" s="367"/>
      <c r="I50" s="367"/>
      <c r="J50" s="167">
        <f t="shared" si="5"/>
        <v>10309941.479999999</v>
      </c>
      <c r="K50" s="167">
        <f>IF(K$9='5.Variables'!$B$10,+'5.Variables'!$F24,+IF(K$9='5.Variables'!$B$34,+'5.Variables'!$F48,+IF(K$9='5.Variables'!$B$58,+'5.Variables'!$F63,+IF(K$9='5.Variables'!$B$72,+'5.Variables'!$F77,+IF(K$9='5.Variables'!$B$86,+'5.Variables'!$F91,+IF(K$9='5.Variables'!$B$100,+'5.Variables'!$F105,IF(K$9='5.Variables'!$B$32,+'5.Variables'!$F32,IF(K$9='5.Variables'!$B$56,+'5.Variables'!$F56,0))))))))</f>
        <v>13242</v>
      </c>
      <c r="L50" s="292">
        <f>IF(L$9='5.Variables'!$B$10,+'5.Variables'!$F24,+IF(L$9='5.Variables'!$B$34,+'5.Variables'!$F48,+IF(L$9='5.Variables'!$B$58,+'5.Variables'!$F63,+IF(L$9='5.Variables'!$B$72,+'5.Variables'!$F77,+IF(L$9='5.Variables'!$B$86,+'5.Variables'!$F91,+IF(L$9='5.Variables'!$B$100,+'5.Variables'!$F105,IF(L$9='5.Variables'!$B$32,+'5.Variables'!$F32,IF(L$9='5.Variables'!$B$56,+'5.Variables'!$F56,0))))))))</f>
        <v>1</v>
      </c>
      <c r="M50" s="292">
        <f>IF(M$9='5.Variables'!$B$10,+'5.Variables'!$F24,+IF(M$9='5.Variables'!$B$34,+'5.Variables'!$F48,+IF(M$9='5.Variables'!$B$58,+'5.Variables'!$F63,+IF(M$9='5.Variables'!$B$72,+'5.Variables'!$F77,+IF(M$9='5.Variables'!$B$86,+'5.Variables'!$F91,+IF(M$9='5.Variables'!$B$100,+'5.Variables'!$F105,IF(M$9='5.Variables'!$B$32,+'5.Variables'!$F32,IF(M$9='5.Variables'!$B$56,+'5.Variables'!$F56,0))))))))</f>
        <v>30</v>
      </c>
      <c r="N50" s="292">
        <f>IF(N$9='5.Variables'!$B$10,+'5.Variables'!$F24,+IF(N$9='5.Variables'!$B$34,+'5.Variables'!$F48,+IF(N$9='5.Variables'!$B$58,+'5.Variables'!$F63,+IF(N$9='5.Variables'!$B$72,+'5.Variables'!$F77,+IF(N$9='5.Variables'!$B$86,+'5.Variables'!$F91,+IF(N$9='5.Variables'!$B$100,+'5.Variables'!$F105,IF(N$9='5.Variables'!$B$32,+'5.Variables'!$F32,IF(N$9='5.Variables'!$B$56,+'5.Variables'!$F56,0))))))))</f>
        <v>387.4</v>
      </c>
      <c r="O50" s="292">
        <f>IF(O$9='5.Variables'!$B$10,+'5.Variables'!$F24,+IF(O$9='5.Variables'!$B$34,+'5.Variables'!$F48,+IF(O$9='5.Variables'!$B$58,+'5.Variables'!$F63,+IF(O$9='5.Variables'!$B$72,+'5.Variables'!$F77,+IF(O$9='5.Variables'!$B$86,+'5.Variables'!$F91,+IF(O$9='5.Variables'!$B$100,+'5.Variables'!$F105,IF(O$9='5.Variables'!$B$32,+'5.Variables'!$F32,IF(O$9='5.Variables'!$B$56,+'5.Variables'!$F56,0))))))))</f>
        <v>0</v>
      </c>
      <c r="P50" s="292">
        <f>IF(P$9='5.Variables'!$B$10,+'5.Variables'!$F24,+IF(P$9='5.Variables'!$B$34,+'5.Variables'!$F48,+IF(P$9='5.Variables'!$B$58,+'5.Variables'!$F63,+IF(P$9='5.Variables'!$B$72,+'5.Variables'!$F77,+IF(P$9='5.Variables'!$B$86,+'5.Variables'!$F91,+IF(P$9='5.Variables'!$B$100,+'5.Variables'!$F105,IF(P$9='5.Variables'!$B$32,+'5.Variables'!$F32,IF(P$9='5.Variables'!$B$56,+'5.Variables'!$F56,0))))))))</f>
        <v>0</v>
      </c>
      <c r="Q50" s="143"/>
      <c r="R50" s="154">
        <v>10442879.749078477</v>
      </c>
      <c r="S50" s="167">
        <f t="shared" si="6"/>
        <v>10504143.652951812</v>
      </c>
      <c r="T50" s="624">
        <f t="shared" si="7"/>
        <v>0.99416764413193082</v>
      </c>
      <c r="U50" s="167">
        <f t="shared" si="8"/>
        <v>10249810.232309671</v>
      </c>
      <c r="V50" s="171"/>
      <c r="W50" s="618"/>
      <c r="X50"/>
      <c r="Y50"/>
      <c r="Z50"/>
      <c r="AA50"/>
      <c r="AB50"/>
      <c r="AC50"/>
      <c r="AD50"/>
      <c r="AE50"/>
      <c r="AF50"/>
      <c r="AG50" s="143"/>
      <c r="AH50" s="143"/>
      <c r="AI50" s="143"/>
      <c r="AJ50" s="143"/>
      <c r="AK50" s="143"/>
      <c r="AL50" s="143"/>
      <c r="AM50" s="143"/>
      <c r="AN50" s="143"/>
      <c r="AO50" s="143"/>
      <c r="AP50" s="143"/>
      <c r="AQ50" s="143"/>
    </row>
    <row r="51" spans="1:43" x14ac:dyDescent="0.3">
      <c r="A51" s="339">
        <f t="shared" si="9"/>
        <v>41</v>
      </c>
      <c r="B51" s="166" t="str">
        <f>CONCATENATE('3. Consumption by Rate Class'!B56,"-",'3. Consumption by Rate Class'!C56)</f>
        <v>2016-May</v>
      </c>
      <c r="C51" s="154">
        <v>9815290.6799999997</v>
      </c>
      <c r="D51" s="154"/>
      <c r="E51" s="366">
        <v>267591.18</v>
      </c>
      <c r="F51" s="154">
        <v>90708</v>
      </c>
      <c r="G51" s="154"/>
      <c r="H51" s="367"/>
      <c r="I51" s="367"/>
      <c r="J51" s="167">
        <f t="shared" si="5"/>
        <v>10173589.859999999</v>
      </c>
      <c r="K51" s="167">
        <f>IF(K$9='5.Variables'!$B$10,+'5.Variables'!$G24,+IF(K$9='5.Variables'!$B$34,+'5.Variables'!$G48,+IF(K$9='5.Variables'!$B$58,+'5.Variables'!$G63,+IF(K$9='5.Variables'!$B$72,+'5.Variables'!$G77,+IF(K$9='5.Variables'!$B$86,+'5.Variables'!$G91,+IF(K$9='5.Variables'!$B$100,+'5.Variables'!$G105,IF(K$9='5.Variables'!$B$32,+'5.Variables'!$G32,IF(K$9='5.Variables'!$B$56,+'5.Variables'!$G56,0))))))))</f>
        <v>13242</v>
      </c>
      <c r="L51" s="292">
        <f>IF(L$9='5.Variables'!$B$10,+'5.Variables'!$G24,+IF(L$9='5.Variables'!$B$34,+'5.Variables'!$G48,+IF(L$9='5.Variables'!$B$58,+'5.Variables'!$G63,+IF(L$9='5.Variables'!$B$72,+'5.Variables'!$G77,+IF(L$9='5.Variables'!$B$86,+'5.Variables'!$G91,+IF(L$9='5.Variables'!$B$100,+'5.Variables'!$G105,IF(L$9='5.Variables'!$B$32,+'5.Variables'!$G32,IF(L$9='5.Variables'!$B$56,+'5.Variables'!$G56,0))))))))</f>
        <v>1</v>
      </c>
      <c r="M51" s="292">
        <f>IF(M$9='5.Variables'!$B$10,+'5.Variables'!$G24,+IF(M$9='5.Variables'!$B$34,+'5.Variables'!$G48,+IF(M$9='5.Variables'!$B$58,+'5.Variables'!$G63,+IF(M$9='5.Variables'!$B$72,+'5.Variables'!$G77,+IF(M$9='5.Variables'!$B$86,+'5.Variables'!$G91,+IF(M$9='5.Variables'!$B$100,+'5.Variables'!$G105,IF(M$9='5.Variables'!$B$32,+'5.Variables'!$G32,IF(M$9='5.Variables'!$B$56,+'5.Variables'!$G56,0))))))))</f>
        <v>31</v>
      </c>
      <c r="N51" s="292">
        <f>IF(N$9='5.Variables'!$B$10,+'5.Variables'!$G24,+IF(N$9='5.Variables'!$B$34,+'5.Variables'!$G48,+IF(N$9='5.Variables'!$B$58,+'5.Variables'!$G63,+IF(N$9='5.Variables'!$B$72,+'5.Variables'!$G77,+IF(N$9='5.Variables'!$B$86,+'5.Variables'!$G91,+IF(N$9='5.Variables'!$B$100,+'5.Variables'!$G105,IF(N$9='5.Variables'!$B$32,+'5.Variables'!$G32,IF(N$9='5.Variables'!$B$56,+'5.Variables'!$G56,0))))))))</f>
        <v>206</v>
      </c>
      <c r="O51" s="292">
        <f>IF(O$9='5.Variables'!$B$10,+'5.Variables'!$G24,+IF(O$9='5.Variables'!$B$34,+'5.Variables'!$G48,+IF(O$9='5.Variables'!$B$58,+'5.Variables'!$G63,+IF(O$9='5.Variables'!$B$72,+'5.Variables'!$G77,+IF(O$9='5.Variables'!$B$86,+'5.Variables'!$G91,+IF(O$9='5.Variables'!$B$100,+'5.Variables'!$G105,IF(O$9='5.Variables'!$B$32,+'5.Variables'!$G32,IF(O$9='5.Variables'!$B$56,+'5.Variables'!$G56,0))))))))</f>
        <v>18.399999999999999</v>
      </c>
      <c r="P51" s="292">
        <f>IF(P$9='5.Variables'!$B$10,+'5.Variables'!$G24,+IF(P$9='5.Variables'!$B$34,+'5.Variables'!$G48,+IF(P$9='5.Variables'!$B$58,+'5.Variables'!$G63,+IF(P$9='5.Variables'!$B$72,+'5.Variables'!$G77,+IF(P$9='5.Variables'!$B$86,+'5.Variables'!$G91,+IF(P$9='5.Variables'!$B$100,+'5.Variables'!$G105,IF(P$9='5.Variables'!$B$32,+'5.Variables'!$G32,IF(P$9='5.Variables'!$B$56,+'5.Variables'!$G56,0))))))))</f>
        <v>0</v>
      </c>
      <c r="Q51" s="143"/>
      <c r="R51" s="154">
        <v>10409652.010102302</v>
      </c>
      <c r="S51" s="167">
        <f t="shared" si="6"/>
        <v>10604969.084158311</v>
      </c>
      <c r="T51" s="624">
        <f t="shared" si="7"/>
        <v>0.98158249472431058</v>
      </c>
      <c r="U51" s="167">
        <f t="shared" si="8"/>
        <v>9986217.7150807492</v>
      </c>
      <c r="V51" s="171"/>
      <c r="W51" s="618"/>
      <c r="X51" s="186"/>
      <c r="Y51" s="186" t="s">
        <v>23</v>
      </c>
      <c r="Z51" s="186" t="s">
        <v>11</v>
      </c>
      <c r="AA51" s="186" t="s">
        <v>24</v>
      </c>
      <c r="AB51" s="186" t="s">
        <v>25</v>
      </c>
      <c r="AC51" s="186" t="s">
        <v>26</v>
      </c>
      <c r="AD51" s="186" t="s">
        <v>27</v>
      </c>
      <c r="AE51" s="186" t="s">
        <v>28</v>
      </c>
      <c r="AF51" s="186" t="s">
        <v>29</v>
      </c>
      <c r="AG51" s="143"/>
      <c r="AH51" s="143"/>
      <c r="AI51" s="143"/>
      <c r="AJ51" s="143"/>
      <c r="AK51" s="143"/>
      <c r="AL51" s="143"/>
      <c r="AM51" s="143"/>
      <c r="AN51" s="143"/>
      <c r="AO51" s="143"/>
      <c r="AP51" s="143"/>
      <c r="AQ51" s="143"/>
    </row>
    <row r="52" spans="1:43" x14ac:dyDescent="0.3">
      <c r="A52" s="339">
        <f t="shared" si="9"/>
        <v>42</v>
      </c>
      <c r="B52" s="166" t="str">
        <f>CONCATENATE('3. Consumption by Rate Class'!B57,"-",'3. Consumption by Rate Class'!C57)</f>
        <v>2016-June</v>
      </c>
      <c r="C52" s="154">
        <v>10031359.4</v>
      </c>
      <c r="D52" s="154"/>
      <c r="E52" s="366">
        <v>280678.44</v>
      </c>
      <c r="F52" s="154">
        <v>87486</v>
      </c>
      <c r="G52" s="154"/>
      <c r="H52" s="367"/>
      <c r="I52" s="367"/>
      <c r="J52" s="167">
        <f t="shared" si="5"/>
        <v>10399523.84</v>
      </c>
      <c r="K52" s="167">
        <f>IF(K$9='5.Variables'!$B$10,+'5.Variables'!$H24,+IF(K$9='5.Variables'!$B$34,+'5.Variables'!$H48,+IF(K$9='5.Variables'!$B$58,+'5.Variables'!$H63,+IF(K$9='5.Variables'!$B$72,+'5.Variables'!$H77,+IF(K$9='5.Variables'!$B$86,+'5.Variables'!$H91,+IF(K$9='5.Variables'!$B$100,+'5.Variables'!$H105,IF(K$9='5.Variables'!$B$32,+'5.Variables'!$H32,IF(K$9='5.Variables'!$B$56,+'5.Variables'!$H56,0))))))))</f>
        <v>13260</v>
      </c>
      <c r="L52" s="292">
        <f>IF(L$9='5.Variables'!$B$10,+'5.Variables'!$H24,+IF(L$9='5.Variables'!$B$34,+'5.Variables'!$H48,+IF(L$9='5.Variables'!$B$58,+'5.Variables'!$H63,+IF(L$9='5.Variables'!$B$72,+'5.Variables'!$H77,+IF(L$9='5.Variables'!$B$86,+'5.Variables'!$H91,+IF(L$9='5.Variables'!$B$100,+'5.Variables'!$H105,IF(L$9='5.Variables'!$B$32,+'5.Variables'!$H32,IF(L$9='5.Variables'!$B$56,+'5.Variables'!$H56,0))))))))</f>
        <v>0</v>
      </c>
      <c r="M52" s="292">
        <f>IF(M$9='5.Variables'!$B$10,+'5.Variables'!$H24,+IF(M$9='5.Variables'!$B$34,+'5.Variables'!$H48,+IF(M$9='5.Variables'!$B$58,+'5.Variables'!$H63,+IF(M$9='5.Variables'!$B$72,+'5.Variables'!$H77,+IF(M$9='5.Variables'!$B$86,+'5.Variables'!$H91,+IF(M$9='5.Variables'!$B$100,+'5.Variables'!$H105,IF(M$9='5.Variables'!$B$32,+'5.Variables'!$H32,IF(M$9='5.Variables'!$B$56,+'5.Variables'!$H56,0))))))))</f>
        <v>30</v>
      </c>
      <c r="N52" s="292">
        <f>IF(N$9='5.Variables'!$B$10,+'5.Variables'!$H24,+IF(N$9='5.Variables'!$B$34,+'5.Variables'!$H48,+IF(N$9='5.Variables'!$B$58,+'5.Variables'!$H63,+IF(N$9='5.Variables'!$B$72,+'5.Variables'!$H77,+IF(N$9='5.Variables'!$B$86,+'5.Variables'!$H91,+IF(N$9='5.Variables'!$B$100,+'5.Variables'!$H105,IF(N$9='5.Variables'!$B$32,+'5.Variables'!$H32,IF(N$9='5.Variables'!$B$56,+'5.Variables'!$H56,0))))))))</f>
        <v>58.3</v>
      </c>
      <c r="O52" s="292">
        <f>IF(O$9='5.Variables'!$B$10,+'5.Variables'!$H24,+IF(O$9='5.Variables'!$B$34,+'5.Variables'!$H48,+IF(O$9='5.Variables'!$B$58,+'5.Variables'!$H63,+IF(O$9='5.Variables'!$B$72,+'5.Variables'!$H77,+IF(O$9='5.Variables'!$B$86,+'5.Variables'!$H91,+IF(O$9='5.Variables'!$B$100,+'5.Variables'!$H105,IF(O$9='5.Variables'!$B$32,+'5.Variables'!$H32,IF(O$9='5.Variables'!$B$56,+'5.Variables'!$H56,0))))))))</f>
        <v>34</v>
      </c>
      <c r="P52" s="292">
        <f>IF(P$9='5.Variables'!$B$10,+'5.Variables'!$H24,+IF(P$9='5.Variables'!$B$34,+'5.Variables'!$H48,+IF(P$9='5.Variables'!$B$58,+'5.Variables'!$H63,+IF(P$9='5.Variables'!$B$72,+'5.Variables'!$H77,+IF(P$9='5.Variables'!$B$86,+'5.Variables'!$H91,+IF(P$9='5.Variables'!$B$100,+'5.Variables'!$H105,IF(P$9='5.Variables'!$B$32,+'5.Variables'!$H32,IF(P$9='5.Variables'!$B$56,+'5.Variables'!$H56,0))))))))</f>
        <v>0</v>
      </c>
      <c r="Q52" s="143"/>
      <c r="R52" s="154">
        <v>10943298.05772705</v>
      </c>
      <c r="S52" s="167">
        <f t="shared" si="6"/>
        <v>10820202.207242377</v>
      </c>
      <c r="T52" s="624">
        <f t="shared" si="7"/>
        <v>1.0113764833712886</v>
      </c>
      <c r="U52" s="167">
        <f t="shared" si="8"/>
        <v>10517833.850035079</v>
      </c>
      <c r="V52" s="171"/>
      <c r="W52" s="618"/>
      <c r="X52" t="s">
        <v>17</v>
      </c>
      <c r="Y52">
        <v>-15601804.857910763</v>
      </c>
      <c r="Z52">
        <v>3250346.7801952162</v>
      </c>
      <c r="AA52">
        <v>-4.8000431686165248</v>
      </c>
      <c r="AB52">
        <v>4.8958358656391598E-6</v>
      </c>
      <c r="AC52">
        <v>-22041328.06012021</v>
      </c>
      <c r="AD52">
        <v>-9162281.655701315</v>
      </c>
      <c r="AE52">
        <v>-22041328.06012021</v>
      </c>
      <c r="AF52">
        <v>-9162281.655701315</v>
      </c>
      <c r="AG52" s="143"/>
      <c r="AH52" s="143"/>
      <c r="AI52" s="143"/>
      <c r="AJ52" s="143"/>
      <c r="AK52" s="143"/>
      <c r="AL52" s="143"/>
      <c r="AM52" s="143"/>
      <c r="AN52" s="143"/>
      <c r="AO52" s="143"/>
      <c r="AP52" s="143"/>
      <c r="AQ52" s="143"/>
    </row>
    <row r="53" spans="1:43" x14ac:dyDescent="0.3">
      <c r="A53" s="339">
        <f t="shared" si="9"/>
        <v>43</v>
      </c>
      <c r="B53" s="166" t="str">
        <f>CONCATENATE('3. Consumption by Rate Class'!B58,"-",'3. Consumption by Rate Class'!C58)</f>
        <v>2016-July</v>
      </c>
      <c r="C53" s="154">
        <v>13224478.039999999</v>
      </c>
      <c r="D53" s="154"/>
      <c r="E53" s="366">
        <v>313232.06</v>
      </c>
      <c r="F53" s="154">
        <v>70853</v>
      </c>
      <c r="G53" s="154"/>
      <c r="H53" s="367"/>
      <c r="I53" s="367"/>
      <c r="J53" s="167">
        <f t="shared" si="5"/>
        <v>13608563.1</v>
      </c>
      <c r="K53" s="167">
        <f>IF(K$9='5.Variables'!$B$10,+'5.Variables'!$I24,+IF(K$9='5.Variables'!$B$34,+'5.Variables'!$I48,+IF(K$9='5.Variables'!$B$58,+'5.Variables'!$I63,+IF(K$9='5.Variables'!$B$72,+'5.Variables'!$I77,+IF(K$9='5.Variables'!$B$86,+'5.Variables'!$I91,+IF(K$9='5.Variables'!$B$100,+'5.Variables'!$I105,IF(K$9='5.Variables'!$B$32,+'5.Variables'!$I32,IF(K$9='5.Variables'!$B$56,+'5.Variables'!$I56,0))))))))</f>
        <v>13259</v>
      </c>
      <c r="L53" s="292">
        <f>IF(L$9='5.Variables'!$B$10,+'5.Variables'!$I24,+IF(L$9='5.Variables'!$B$34,+'5.Variables'!$I48,+IF(L$9='5.Variables'!$B$58,+'5.Variables'!$I63,+IF(L$9='5.Variables'!$B$72,+'5.Variables'!$I77,+IF(L$9='5.Variables'!$B$86,+'5.Variables'!$I91,+IF(L$9='5.Variables'!$B$100,+'5.Variables'!$I105,IF(L$9='5.Variables'!$B$32,+'5.Variables'!$I32,IF(L$9='5.Variables'!$B$56,+'5.Variables'!$I56,0))))))))</f>
        <v>0</v>
      </c>
      <c r="M53" s="292">
        <f>IF(M$9='5.Variables'!$B$10,+'5.Variables'!$I24,+IF(M$9='5.Variables'!$B$34,+'5.Variables'!$I48,+IF(M$9='5.Variables'!$B$58,+'5.Variables'!$I63,+IF(M$9='5.Variables'!$B$72,+'5.Variables'!$I77,+IF(M$9='5.Variables'!$B$86,+'5.Variables'!$I91,+IF(M$9='5.Variables'!$B$100,+'5.Variables'!$I105,IF(M$9='5.Variables'!$B$32,+'5.Variables'!$I32,IF(M$9='5.Variables'!$B$56,+'5.Variables'!$I56,0))))))))</f>
        <v>31</v>
      </c>
      <c r="N53" s="292">
        <f>IF(N$9='5.Variables'!$B$10,+'5.Variables'!$I24,+IF(N$9='5.Variables'!$B$34,+'5.Variables'!$I48,+IF(N$9='5.Variables'!$B$58,+'5.Variables'!$I63,+IF(N$9='5.Variables'!$B$72,+'5.Variables'!$I77,+IF(N$9='5.Variables'!$B$86,+'5.Variables'!$I91,+IF(N$9='5.Variables'!$B$100,+'5.Variables'!$I105,IF(N$9='5.Variables'!$B$32,+'5.Variables'!$I32,IF(N$9='5.Variables'!$B$56,+'5.Variables'!$I56,0))))))))</f>
        <v>2.9</v>
      </c>
      <c r="O53" s="292">
        <f>IF(O$9='5.Variables'!$B$10,+'5.Variables'!$I24,+IF(O$9='5.Variables'!$B$34,+'5.Variables'!$I48,+IF(O$9='5.Variables'!$B$58,+'5.Variables'!$I63,+IF(O$9='5.Variables'!$B$72,+'5.Variables'!$I77,+IF(O$9='5.Variables'!$B$86,+'5.Variables'!$I91,+IF(O$9='5.Variables'!$B$100,+'5.Variables'!$I105,IF(O$9='5.Variables'!$B$32,+'5.Variables'!$I32,IF(O$9='5.Variables'!$B$56,+'5.Variables'!$I56,0))))))))</f>
        <v>117.6</v>
      </c>
      <c r="P53" s="292">
        <f>IF(P$9='5.Variables'!$B$10,+'5.Variables'!$I24,+IF(P$9='5.Variables'!$B$34,+'5.Variables'!$I48,+IF(P$9='5.Variables'!$B$58,+'5.Variables'!$I63,+IF(P$9='5.Variables'!$B$72,+'5.Variables'!$I77,+IF(P$9='5.Variables'!$B$86,+'5.Variables'!$I91,+IF(P$9='5.Variables'!$B$100,+'5.Variables'!$I105,IF(P$9='5.Variables'!$B$32,+'5.Variables'!$I32,IF(P$9='5.Variables'!$B$56,+'5.Variables'!$I56,0))))))))</f>
        <v>0</v>
      </c>
      <c r="Q53" s="143"/>
      <c r="R53" s="154">
        <v>13069717.577976594</v>
      </c>
      <c r="S53" s="167">
        <f t="shared" si="6"/>
        <v>14206106.274407569</v>
      </c>
      <c r="T53" s="624">
        <f t="shared" si="7"/>
        <v>0.92000702553674474</v>
      </c>
      <c r="U53" s="167">
        <f t="shared" si="8"/>
        <v>12519973.659460101</v>
      </c>
      <c r="V53" s="171"/>
      <c r="W53" s="618"/>
      <c r="X53" t="s">
        <v>95</v>
      </c>
      <c r="Y53">
        <v>1151.9183925689649</v>
      </c>
      <c r="Z53">
        <v>401.01162168498587</v>
      </c>
      <c r="AA53">
        <v>2.8725311943050191</v>
      </c>
      <c r="AB53">
        <v>4.8645393145850544E-3</v>
      </c>
      <c r="AC53">
        <v>357.4420437896481</v>
      </c>
      <c r="AD53">
        <v>1946.3947413482817</v>
      </c>
      <c r="AE53">
        <v>357.4420437896481</v>
      </c>
      <c r="AF53">
        <v>1946.3947413482817</v>
      </c>
      <c r="AG53" s="143"/>
      <c r="AH53" s="143"/>
      <c r="AI53" s="143"/>
      <c r="AJ53" s="143"/>
      <c r="AK53" s="143"/>
      <c r="AL53" s="143"/>
      <c r="AM53" s="143"/>
      <c r="AN53" s="143"/>
      <c r="AO53" s="143"/>
      <c r="AP53" s="143"/>
      <c r="AQ53" s="143"/>
    </row>
    <row r="54" spans="1:43" x14ac:dyDescent="0.3">
      <c r="A54" s="339">
        <f t="shared" si="9"/>
        <v>44</v>
      </c>
      <c r="B54" s="166" t="str">
        <f>CONCATENATE('3. Consumption by Rate Class'!B59,"-",'3. Consumption by Rate Class'!C59)</f>
        <v>2016-August</v>
      </c>
      <c r="C54" s="154">
        <v>13591514.92</v>
      </c>
      <c r="D54" s="154"/>
      <c r="E54" s="366">
        <v>325470.08000000002</v>
      </c>
      <c r="F54" s="154">
        <v>61754</v>
      </c>
      <c r="G54" s="154"/>
      <c r="H54" s="367"/>
      <c r="I54" s="367"/>
      <c r="J54" s="167">
        <f t="shared" si="5"/>
        <v>13978739</v>
      </c>
      <c r="K54" s="167">
        <f>IF(K$9='5.Variables'!$B$10,+'5.Variables'!$J24,+IF(K$9='5.Variables'!$B$34,+'5.Variables'!$J48,+IF(K$9='5.Variables'!$B$58,+'5.Variables'!$J63,+IF(K$9='5.Variables'!$B$72,+'5.Variables'!$J77,+IF(K$9='5.Variables'!$B$86,+'5.Variables'!$J91,+IF(K$9='5.Variables'!$B$100,+'5.Variables'!$J105,IF(K$9='5.Variables'!$B$32,+'5.Variables'!$J32,IF(K$9='5.Variables'!$B$56,+'5.Variables'!$J56,0))))))))</f>
        <v>13292</v>
      </c>
      <c r="L54" s="292">
        <f>IF(L$9='5.Variables'!$B$10,+'5.Variables'!$J24,+IF(L$9='5.Variables'!$B$34,+'5.Variables'!$J48,+IF(L$9='5.Variables'!$B$58,+'5.Variables'!$J63,+IF(L$9='5.Variables'!$B$72,+'5.Variables'!$J77,+IF(L$9='5.Variables'!$B$86,+'5.Variables'!$J91,+IF(L$9='5.Variables'!$B$100,+'5.Variables'!$J105,IF(L$9='5.Variables'!$B$32,+'5.Variables'!$J32,IF(L$9='5.Variables'!$B$56,+'5.Variables'!$J56,0))))))))</f>
        <v>0</v>
      </c>
      <c r="M54" s="292">
        <f>IF(M$9='5.Variables'!$B$10,+'5.Variables'!$J24,+IF(M$9='5.Variables'!$B$34,+'5.Variables'!$J48,+IF(M$9='5.Variables'!$B$58,+'5.Variables'!$J63,+IF(M$9='5.Variables'!$B$72,+'5.Variables'!$J77,+IF(M$9='5.Variables'!$B$86,+'5.Variables'!$J91,+IF(M$9='5.Variables'!$B$100,+'5.Variables'!$J105,IF(M$9='5.Variables'!$B$32,+'5.Variables'!$J32,IF(M$9='5.Variables'!$B$56,+'5.Variables'!$J56,0))))))))</f>
        <v>31</v>
      </c>
      <c r="N54" s="292">
        <f>IF(N$9='5.Variables'!$B$10,+'5.Variables'!$J24,+IF(N$9='5.Variables'!$B$34,+'5.Variables'!$J48,+IF(N$9='5.Variables'!$B$58,+'5.Variables'!$J63,+IF(N$9='5.Variables'!$B$72,+'5.Variables'!$J77,+IF(N$9='5.Variables'!$B$86,+'5.Variables'!$J91,+IF(N$9='5.Variables'!$B$100,+'5.Variables'!$J105,IF(N$9='5.Variables'!$B$32,+'5.Variables'!$J32,IF(N$9='5.Variables'!$B$56,+'5.Variables'!$J56,0))))))))</f>
        <v>0.4</v>
      </c>
      <c r="O54" s="292">
        <f>IF(O$9='5.Variables'!$B$10,+'5.Variables'!$J24,+IF(O$9='5.Variables'!$B$34,+'5.Variables'!$J48,+IF(O$9='5.Variables'!$B$58,+'5.Variables'!$J63,+IF(O$9='5.Variables'!$B$72,+'5.Variables'!$J77,+IF(O$9='5.Variables'!$B$86,+'5.Variables'!$J91,+IF(O$9='5.Variables'!$B$100,+'5.Variables'!$J105,IF(O$9='5.Variables'!$B$32,+'5.Variables'!$J32,IF(O$9='5.Variables'!$B$56,+'5.Variables'!$J56,0))))))))</f>
        <v>125.8</v>
      </c>
      <c r="P54" s="292">
        <f>IF(P$9='5.Variables'!$B$10,+'5.Variables'!$J24,+IF(P$9='5.Variables'!$B$34,+'5.Variables'!$J48,+IF(P$9='5.Variables'!$B$58,+'5.Variables'!$J63,+IF(P$9='5.Variables'!$B$72,+'5.Variables'!$J77,+IF(P$9='5.Variables'!$B$86,+'5.Variables'!$J91,+IF(P$9='5.Variables'!$B$100,+'5.Variables'!$J105,IF(P$9='5.Variables'!$B$32,+'5.Variables'!$J32,IF(P$9='5.Variables'!$B$56,+'5.Variables'!$J56,0))))))))</f>
        <v>0</v>
      </c>
      <c r="Q54" s="143"/>
      <c r="R54" s="154">
        <v>12818383.847970653</v>
      </c>
      <c r="S54" s="167">
        <f t="shared" si="6"/>
        <v>14544014.901400745</v>
      </c>
      <c r="T54" s="624">
        <f t="shared" si="7"/>
        <v>0.88135112174122598</v>
      </c>
      <c r="U54" s="167">
        <f t="shared" si="8"/>
        <v>12320177.298177823</v>
      </c>
      <c r="V54" s="171"/>
      <c r="W54" s="618"/>
      <c r="X54" t="s">
        <v>96</v>
      </c>
      <c r="Y54">
        <v>-1065359.940790507</v>
      </c>
      <c r="Z54">
        <v>186813.26979771422</v>
      </c>
      <c r="AA54">
        <v>-5.7028065615686918</v>
      </c>
      <c r="AB54">
        <v>9.5721828647438103E-8</v>
      </c>
      <c r="AC54">
        <v>-1435470.7217917708</v>
      </c>
      <c r="AD54">
        <v>-695249.15978924325</v>
      </c>
      <c r="AE54">
        <v>-1435470.7217917708</v>
      </c>
      <c r="AF54">
        <v>-695249.15978924325</v>
      </c>
      <c r="AG54" s="143"/>
      <c r="AH54" s="143"/>
      <c r="AI54" s="143"/>
      <c r="AJ54" s="143"/>
      <c r="AK54" s="143"/>
      <c r="AL54" s="143"/>
      <c r="AM54" s="143"/>
      <c r="AN54" s="143"/>
      <c r="AO54" s="143"/>
      <c r="AP54" s="143"/>
      <c r="AQ54" s="143"/>
    </row>
    <row r="55" spans="1:43" x14ac:dyDescent="0.3">
      <c r="A55" s="339">
        <f t="shared" si="9"/>
        <v>45</v>
      </c>
      <c r="B55" s="166" t="str">
        <f>CONCATENATE('3. Consumption by Rate Class'!B60,"-",'3. Consumption by Rate Class'!C60)</f>
        <v>2016-September</v>
      </c>
      <c r="C55" s="154">
        <v>9965584.5099999998</v>
      </c>
      <c r="D55" s="154"/>
      <c r="E55" s="366">
        <v>286032.94</v>
      </c>
      <c r="F55" s="154">
        <v>44303</v>
      </c>
      <c r="G55" s="154"/>
      <c r="H55" s="367"/>
      <c r="I55" s="367"/>
      <c r="J55" s="167">
        <f t="shared" si="5"/>
        <v>10295920.449999999</v>
      </c>
      <c r="K55" s="167">
        <f>IF(K$9='5.Variables'!$B$10,+'5.Variables'!$K24,+IF(K$9='5.Variables'!$B$34,+'5.Variables'!$K48,+IF(K$9='5.Variables'!$B$58,+'5.Variables'!$K63,+IF(K$9='5.Variables'!$B$72,+'5.Variables'!$K77,+IF(K$9='5.Variables'!$B$86,+'5.Variables'!$K91,+IF(K$9='5.Variables'!$B$100,+'5.Variables'!$K105,IF(K$9='5.Variables'!$B$32,+'5.Variables'!$K32,IF(K$9='5.Variables'!$B$56,+'5.Variables'!$K56,0))))))))</f>
        <v>13310</v>
      </c>
      <c r="L55" s="292">
        <f>IF(L$9='5.Variables'!$B$10,+'5.Variables'!$K24,+IF(L$9='5.Variables'!$B$34,+'5.Variables'!$K48,+IF(L$9='5.Variables'!$B$58,+'5.Variables'!$K63,+IF(L$9='5.Variables'!$B$72,+'5.Variables'!$K77,+IF(L$9='5.Variables'!$B$86,+'5.Variables'!$K91,+IF(L$9='5.Variables'!$B$100,+'5.Variables'!$K105,IF(L$9='5.Variables'!$B$32,+'5.Variables'!$K32,IF(L$9='5.Variables'!$B$56,+'5.Variables'!$K56,0))))))))</f>
        <v>1</v>
      </c>
      <c r="M55" s="292">
        <f>IF(M$9='5.Variables'!$B$10,+'5.Variables'!$K24,+IF(M$9='5.Variables'!$B$34,+'5.Variables'!$K48,+IF(M$9='5.Variables'!$B$58,+'5.Variables'!$K63,+IF(M$9='5.Variables'!$B$72,+'5.Variables'!$K77,+IF(M$9='5.Variables'!$B$86,+'5.Variables'!$K91,+IF(M$9='5.Variables'!$B$100,+'5.Variables'!$K105,IF(M$9='5.Variables'!$B$32,+'5.Variables'!$K32,IF(M$9='5.Variables'!$B$56,+'5.Variables'!$K56,0))))))))</f>
        <v>30</v>
      </c>
      <c r="N55" s="292">
        <f>IF(N$9='5.Variables'!$B$10,+'5.Variables'!$K24,+IF(N$9='5.Variables'!$B$34,+'5.Variables'!$K48,+IF(N$9='5.Variables'!$B$58,+'5.Variables'!$K63,+IF(N$9='5.Variables'!$B$72,+'5.Variables'!$K77,+IF(N$9='5.Variables'!$B$86,+'5.Variables'!$K91,+IF(N$9='5.Variables'!$B$100,+'5.Variables'!$K105,IF(N$9='5.Variables'!$B$32,+'5.Variables'!$K32,IF(N$9='5.Variables'!$B$56,+'5.Variables'!$K56,0))))))))</f>
        <v>45.4</v>
      </c>
      <c r="O55" s="292">
        <f>IF(O$9='5.Variables'!$B$10,+'5.Variables'!$K24,+IF(O$9='5.Variables'!$B$34,+'5.Variables'!$K48,+IF(O$9='5.Variables'!$B$58,+'5.Variables'!$K63,+IF(O$9='5.Variables'!$B$72,+'5.Variables'!$K77,+IF(O$9='5.Variables'!$B$86,+'5.Variables'!$K91,+IF(O$9='5.Variables'!$B$100,+'5.Variables'!$K105,IF(O$9='5.Variables'!$B$32,+'5.Variables'!$K32,IF(O$9='5.Variables'!$B$56,+'5.Variables'!$K56,0))))))))</f>
        <v>41.4</v>
      </c>
      <c r="P55" s="292">
        <f>IF(P$9='5.Variables'!$B$10,+'5.Variables'!$K24,+IF(P$9='5.Variables'!$B$34,+'5.Variables'!$K48,+IF(P$9='5.Variables'!$B$58,+'5.Variables'!$K63,+IF(P$9='5.Variables'!$B$72,+'5.Variables'!$K77,+IF(P$9='5.Variables'!$B$86,+'5.Variables'!$K91,+IF(P$9='5.Variables'!$B$100,+'5.Variables'!$K105,IF(P$9='5.Variables'!$B$32,+'5.Variables'!$K32,IF(P$9='5.Variables'!$B$56,+'5.Variables'!$K56,0))))))))</f>
        <v>0</v>
      </c>
      <c r="Q55" s="143"/>
      <c r="R55" s="154">
        <v>10128368.342791155</v>
      </c>
      <c r="S55" s="167">
        <f t="shared" si="6"/>
        <v>10222076.336527534</v>
      </c>
      <c r="T55" s="624">
        <f t="shared" si="7"/>
        <v>0.9908327828269563</v>
      </c>
      <c r="U55" s="167">
        <f t="shared" si="8"/>
        <v>10201535.511238467</v>
      </c>
      <c r="V55" s="171"/>
      <c r="W55" s="618"/>
      <c r="X55" t="s">
        <v>120</v>
      </c>
      <c r="Y55">
        <v>406273.79773429636</v>
      </c>
      <c r="Z55">
        <v>89001.927973003258</v>
      </c>
      <c r="AA55">
        <v>4.5647752468635332</v>
      </c>
      <c r="AB55">
        <v>1.2797703098483024E-5</v>
      </c>
      <c r="AC55">
        <v>229944.9260841439</v>
      </c>
      <c r="AD55">
        <v>582602.66938444879</v>
      </c>
      <c r="AE55">
        <v>229944.9260841439</v>
      </c>
      <c r="AF55">
        <v>582602.66938444879</v>
      </c>
      <c r="AG55" s="143"/>
      <c r="AH55" s="143"/>
      <c r="AI55" s="143"/>
      <c r="AJ55" s="143"/>
      <c r="AK55" s="143"/>
      <c r="AL55" s="143"/>
      <c r="AM55" s="143"/>
      <c r="AN55" s="143"/>
      <c r="AO55" s="143"/>
      <c r="AP55" s="143"/>
      <c r="AQ55" s="143"/>
    </row>
    <row r="56" spans="1:43" x14ac:dyDescent="0.3">
      <c r="A56" s="339">
        <f t="shared" si="9"/>
        <v>46</v>
      </c>
      <c r="B56" s="166" t="str">
        <f>CONCATENATE('3. Consumption by Rate Class'!B61,"-",'3. Consumption by Rate Class'!C61)</f>
        <v>2016-October</v>
      </c>
      <c r="C56" s="154">
        <v>9614905</v>
      </c>
      <c r="D56" s="154"/>
      <c r="E56" s="366">
        <v>262157.65000000002</v>
      </c>
      <c r="F56" s="154">
        <v>28110</v>
      </c>
      <c r="G56" s="154"/>
      <c r="H56" s="367"/>
      <c r="I56" s="367"/>
      <c r="J56" s="167">
        <f t="shared" si="5"/>
        <v>9905172.6500000004</v>
      </c>
      <c r="K56" s="167">
        <f>IF(K$9='5.Variables'!$B$10,+'5.Variables'!$L24,+IF(K$9='5.Variables'!$B$34,+'5.Variables'!$L48,+IF(K$9='5.Variables'!$B$58,+'5.Variables'!$L63,+IF(K$9='5.Variables'!$B$72,+'5.Variables'!$L77,+IF(K$9='5.Variables'!$B$86,+'5.Variables'!$L91,+IF(K$9='5.Variables'!$B$100,+'5.Variables'!$L105,IF(K$9='5.Variables'!$B$32,+'5.Variables'!$L32,IF(K$9='5.Variables'!$B$56,+'5.Variables'!$L56,0))))))))</f>
        <v>13308</v>
      </c>
      <c r="L56" s="292">
        <f>IF(L$9='5.Variables'!$B$10,+'5.Variables'!$L24,+IF(L$9='5.Variables'!$B$34,+'5.Variables'!$L48,+IF(L$9='5.Variables'!$B$58,+'5.Variables'!$L63,+IF(L$9='5.Variables'!$B$72,+'5.Variables'!$L77,+IF(L$9='5.Variables'!$B$86,+'5.Variables'!$L91,+IF(L$9='5.Variables'!$B$100,+'5.Variables'!$L105,IF(L$9='5.Variables'!$B$32,+'5.Variables'!$L32,IF(L$9='5.Variables'!$B$56,+'5.Variables'!$L56,0))))))))</f>
        <v>1</v>
      </c>
      <c r="M56" s="292">
        <f>IF(M$9='5.Variables'!$B$10,+'5.Variables'!$L24,+IF(M$9='5.Variables'!$B$34,+'5.Variables'!$L48,+IF(M$9='5.Variables'!$B$58,+'5.Variables'!$L63,+IF(M$9='5.Variables'!$B$72,+'5.Variables'!$L77,+IF(M$9='5.Variables'!$B$86,+'5.Variables'!$L91,+IF(M$9='5.Variables'!$B$100,+'5.Variables'!$L105,IF(M$9='5.Variables'!$B$32,+'5.Variables'!$L32,IF(M$9='5.Variables'!$B$56,+'5.Variables'!$L56,0))))))))</f>
        <v>31</v>
      </c>
      <c r="N56" s="292">
        <f>IF(N$9='5.Variables'!$B$10,+'5.Variables'!$L24,+IF(N$9='5.Variables'!$B$34,+'5.Variables'!$L48,+IF(N$9='5.Variables'!$B$58,+'5.Variables'!$L63,+IF(N$9='5.Variables'!$B$72,+'5.Variables'!$L77,+IF(N$9='5.Variables'!$B$86,+'5.Variables'!$L91,+IF(N$9='5.Variables'!$B$100,+'5.Variables'!$L105,IF(N$9='5.Variables'!$B$32,+'5.Variables'!$L32,IF(N$9='5.Variables'!$B$56,+'5.Variables'!$L56,0))))))))</f>
        <v>198.3</v>
      </c>
      <c r="O56" s="292">
        <f>IF(O$9='5.Variables'!$B$10,+'5.Variables'!$L24,+IF(O$9='5.Variables'!$B$34,+'5.Variables'!$L48,+IF(O$9='5.Variables'!$B$58,+'5.Variables'!$L63,+IF(O$9='5.Variables'!$B$72,+'5.Variables'!$L77,+IF(O$9='5.Variables'!$B$86,+'5.Variables'!$L91,+IF(O$9='5.Variables'!$B$100,+'5.Variables'!$L105,IF(O$9='5.Variables'!$B$32,+'5.Variables'!$L32,IF(O$9='5.Variables'!$B$56,+'5.Variables'!$L56,0))))))))</f>
        <v>4.5</v>
      </c>
      <c r="P56" s="292">
        <f>IF(P$9='5.Variables'!$B$10,+'5.Variables'!$L24,+IF(P$9='5.Variables'!$B$34,+'5.Variables'!$L48,+IF(P$9='5.Variables'!$B$58,+'5.Variables'!$L63,+IF(P$9='5.Variables'!$B$72,+'5.Variables'!$L77,+IF(P$9='5.Variables'!$B$86,+'5.Variables'!$L91,+IF(P$9='5.Variables'!$B$100,+'5.Variables'!$L105,IF(P$9='5.Variables'!$B$32,+'5.Variables'!$L32,IF(P$9='5.Variables'!$B$56,+'5.Variables'!$L56,0))))))))</f>
        <v>0</v>
      </c>
      <c r="Q56" s="143"/>
      <c r="R56" s="154">
        <v>10221736.642602175</v>
      </c>
      <c r="S56" s="167">
        <f t="shared" si="6"/>
        <v>10075472.505005844</v>
      </c>
      <c r="T56" s="624">
        <f t="shared" si="7"/>
        <v>1.0145168514452958</v>
      </c>
      <c r="U56" s="167">
        <f t="shared" si="8"/>
        <v>10048964.569900058</v>
      </c>
      <c r="V56" s="171"/>
      <c r="W56" s="618"/>
      <c r="X56" t="s">
        <v>256</v>
      </c>
      <c r="Y56">
        <v>-16990.704412610525</v>
      </c>
      <c r="Z56">
        <v>29586.255294536681</v>
      </c>
      <c r="AA56">
        <v>-0.57427694865284229</v>
      </c>
      <c r="AB56">
        <v>0.56692183862738588</v>
      </c>
      <c r="AC56">
        <v>-75606.412310774656</v>
      </c>
      <c r="AD56">
        <v>41625.003485553607</v>
      </c>
      <c r="AE56">
        <v>-75606.412310774656</v>
      </c>
      <c r="AF56">
        <v>41625.003485553607</v>
      </c>
      <c r="AG56" s="143"/>
      <c r="AH56" s="143"/>
      <c r="AI56" s="143"/>
      <c r="AJ56" s="143"/>
      <c r="AK56" s="143"/>
      <c r="AL56" s="143"/>
      <c r="AM56" s="143"/>
      <c r="AN56" s="143"/>
      <c r="AO56" s="143"/>
      <c r="AP56" s="143"/>
      <c r="AQ56" s="143"/>
    </row>
    <row r="57" spans="1:43" x14ac:dyDescent="0.3">
      <c r="A57" s="339">
        <f t="shared" si="9"/>
        <v>47</v>
      </c>
      <c r="B57" s="166" t="str">
        <f>CONCATENATE('3. Consumption by Rate Class'!B62,"-",'3. Consumption by Rate Class'!C62)</f>
        <v>2016-November</v>
      </c>
      <c r="C57" s="154">
        <v>9822633</v>
      </c>
      <c r="D57" s="154"/>
      <c r="E57" s="366">
        <v>234871.67999999999</v>
      </c>
      <c r="F57" s="154">
        <v>18822</v>
      </c>
      <c r="G57" s="154"/>
      <c r="H57" s="367"/>
      <c r="I57" s="367"/>
      <c r="J57" s="167">
        <f t="shared" si="5"/>
        <v>10076326.68</v>
      </c>
      <c r="K57" s="167">
        <f>IF(K$9='5.Variables'!$B$10,+'5.Variables'!$M24,+IF(K$9='5.Variables'!$B$34,+'5.Variables'!$M48,+IF(K$9='5.Variables'!$B$58,+'5.Variables'!$M63,+IF(K$9='5.Variables'!$B$72,+'5.Variables'!$M77,+IF(K$9='5.Variables'!$B$86,+'5.Variables'!$M91,+IF(K$9='5.Variables'!$B$100,+'5.Variables'!$M105,IF(K$9='5.Variables'!$B$32,+'5.Variables'!$M32,IF(K$9='5.Variables'!$B$56,+'5.Variables'!$M56,0))))))))</f>
        <v>13359</v>
      </c>
      <c r="L57" s="292">
        <f>IF(L$9='5.Variables'!$B$10,+'5.Variables'!$M24,+IF(L$9='5.Variables'!$B$34,+'5.Variables'!$M48,+IF(L$9='5.Variables'!$B$58,+'5.Variables'!$M63,+IF(L$9='5.Variables'!$B$72,+'5.Variables'!$M77,+IF(L$9='5.Variables'!$B$86,+'5.Variables'!$M91,+IF(L$9='5.Variables'!$B$100,+'5.Variables'!$M105,IF(L$9='5.Variables'!$B$32,+'5.Variables'!$M32,IF(L$9='5.Variables'!$B$56,+'5.Variables'!$M56,0))))))))</f>
        <v>1</v>
      </c>
      <c r="M57" s="292">
        <f>IF(M$9='5.Variables'!$B$10,+'5.Variables'!$M24,+IF(M$9='5.Variables'!$B$34,+'5.Variables'!$M48,+IF(M$9='5.Variables'!$B$58,+'5.Variables'!$M63,+IF(M$9='5.Variables'!$B$72,+'5.Variables'!$M77,+IF(M$9='5.Variables'!$B$86,+'5.Variables'!$M91,+IF(M$9='5.Variables'!$B$100,+'5.Variables'!$M105,IF(M$9='5.Variables'!$B$32,+'5.Variables'!$M32,IF(M$9='5.Variables'!$B$56,+'5.Variables'!$M56,0))))))))</f>
        <v>30</v>
      </c>
      <c r="N57" s="292">
        <f>IF(N$9='5.Variables'!$B$10,+'5.Variables'!$M24,+IF(N$9='5.Variables'!$B$34,+'5.Variables'!$M48,+IF(N$9='5.Variables'!$B$58,+'5.Variables'!$M63,+IF(N$9='5.Variables'!$B$72,+'5.Variables'!$M77,+IF(N$9='5.Variables'!$B$86,+'5.Variables'!$M91,+IF(N$9='5.Variables'!$B$100,+'5.Variables'!$M105,IF(N$9='5.Variables'!$B$32,+'5.Variables'!$M32,IF(N$9='5.Variables'!$B$56,+'5.Variables'!$M56,0))))))))</f>
        <v>249.1</v>
      </c>
      <c r="O57" s="292">
        <f>IF(O$9='5.Variables'!$B$10,+'5.Variables'!$M24,+IF(O$9='5.Variables'!$B$34,+'5.Variables'!$M48,+IF(O$9='5.Variables'!$B$58,+'5.Variables'!$M63,+IF(O$9='5.Variables'!$B$72,+'5.Variables'!$M77,+IF(O$9='5.Variables'!$B$86,+'5.Variables'!$M91,+IF(O$9='5.Variables'!$B$100,+'5.Variables'!$M105,IF(O$9='5.Variables'!$B$32,+'5.Variables'!$M32,IF(O$9='5.Variables'!$B$56,+'5.Variables'!$M56,0))))))))</f>
        <v>0</v>
      </c>
      <c r="P57" s="292">
        <f>IF(P$9='5.Variables'!$B$10,+'5.Variables'!$M24,+IF(P$9='5.Variables'!$B$34,+'5.Variables'!$M48,+IF(P$9='5.Variables'!$B$58,+'5.Variables'!$M63,+IF(P$9='5.Variables'!$B$72,+'5.Variables'!$M77,+IF(P$9='5.Variables'!$B$86,+'5.Variables'!$M91,+IF(P$9='5.Variables'!$B$100,+'5.Variables'!$M105,IF(P$9='5.Variables'!$B$32,+'5.Variables'!$M32,IF(P$9='5.Variables'!$B$56,+'5.Variables'!$M56,0))))))))</f>
        <v>0</v>
      </c>
      <c r="Q57" s="143"/>
      <c r="R57" s="154">
        <v>10763005.971669029</v>
      </c>
      <c r="S57" s="167">
        <f t="shared" si="6"/>
        <v>9814963.0942858923</v>
      </c>
      <c r="T57" s="624">
        <f t="shared" si="7"/>
        <v>1.0965915886056741</v>
      </c>
      <c r="U57" s="167">
        <f t="shared" si="8"/>
        <v>11049615.081330936</v>
      </c>
      <c r="V57" s="171"/>
      <c r="W57" s="618"/>
      <c r="X57" t="s">
        <v>1</v>
      </c>
      <c r="Y57">
        <v>4886.5310049923874</v>
      </c>
      <c r="Z57">
        <v>518.10059123182236</v>
      </c>
      <c r="AA57">
        <v>9.4316259963616318</v>
      </c>
      <c r="AB57">
        <v>6.3064508347316968E-16</v>
      </c>
      <c r="AC57">
        <v>3860.0802894427766</v>
      </c>
      <c r="AD57">
        <v>5912.9817205419986</v>
      </c>
      <c r="AE57">
        <v>3860.0802894427766</v>
      </c>
      <c r="AF57">
        <v>5912.9817205419986</v>
      </c>
      <c r="AG57" s="143"/>
      <c r="AH57" s="143"/>
      <c r="AI57" s="143"/>
      <c r="AJ57" s="143"/>
      <c r="AK57" s="143"/>
      <c r="AL57" s="143"/>
      <c r="AM57" s="143"/>
      <c r="AN57" s="143"/>
      <c r="AO57" s="143"/>
      <c r="AP57" s="143"/>
      <c r="AQ57" s="143"/>
    </row>
    <row r="58" spans="1:43" ht="13.5" thickBot="1" x14ac:dyDescent="0.35">
      <c r="A58" s="339">
        <f t="shared" si="9"/>
        <v>48</v>
      </c>
      <c r="B58" s="166" t="str">
        <f>CONCATENATE('3. Consumption by Rate Class'!B63,"-",'3. Consumption by Rate Class'!C63)</f>
        <v>2016-December</v>
      </c>
      <c r="C58" s="154">
        <v>12397998</v>
      </c>
      <c r="D58" s="154"/>
      <c r="E58" s="366">
        <v>229271</v>
      </c>
      <c r="F58" s="154">
        <v>4166</v>
      </c>
      <c r="G58" s="154"/>
      <c r="H58" s="367"/>
      <c r="I58" s="367"/>
      <c r="J58" s="167">
        <f t="shared" si="5"/>
        <v>12631435</v>
      </c>
      <c r="K58" s="167">
        <f>IF(K$9='5.Variables'!$B$10,+'5.Variables'!$N24,+IF(K$9='5.Variables'!$B$34,+'5.Variables'!$N48,+IF(K$9='5.Variables'!$B$58,+'5.Variables'!$N63,+IF(K$9='5.Variables'!$B$72,+'5.Variables'!$N77,+IF(K$9='5.Variables'!$B$86,+'5.Variables'!$N91,+IF(K$9='5.Variables'!$B$100,+'5.Variables'!$N105,IF(K$9='5.Variables'!$B$32,+'5.Variables'!$N32,IF(K$9='5.Variables'!$B$56,+'5.Variables'!$N56,0))))))))</f>
        <v>13379</v>
      </c>
      <c r="L58" s="292">
        <f>IF(L$9='5.Variables'!$B$10,+'5.Variables'!$N24,+IF(L$9='5.Variables'!$B$34,+'5.Variables'!$N48,+IF(L$9='5.Variables'!$B$58,+'5.Variables'!$N63,+IF(L$9='5.Variables'!$B$72,+'5.Variables'!$N77,+IF(L$9='5.Variables'!$B$86,+'5.Variables'!$N91,+IF(L$9='5.Variables'!$B$100,+'5.Variables'!$N105,IF(L$9='5.Variables'!$B$32,+'5.Variables'!$N32,IF(L$9='5.Variables'!$B$56,+'5.Variables'!$N56,0))))))))</f>
        <v>0</v>
      </c>
      <c r="M58" s="292">
        <f>IF(M$9='5.Variables'!$B$10,+'5.Variables'!$N24,+IF(M$9='5.Variables'!$B$34,+'5.Variables'!$N48,+IF(M$9='5.Variables'!$B$58,+'5.Variables'!$N63,+IF(M$9='5.Variables'!$B$72,+'5.Variables'!$N77,+IF(M$9='5.Variables'!$B$86,+'5.Variables'!$N91,+IF(M$9='5.Variables'!$B$100,+'5.Variables'!$N105,IF(M$9='5.Variables'!$B$32,+'5.Variables'!$N32,IF(M$9='5.Variables'!$B$56,+'5.Variables'!$N56,0))))))))</f>
        <v>31</v>
      </c>
      <c r="N58" s="292">
        <f>IF(N$9='5.Variables'!$B$10,+'5.Variables'!$N24,+IF(N$9='5.Variables'!$B$34,+'5.Variables'!$N48,+IF(N$9='5.Variables'!$B$58,+'5.Variables'!$N63,+IF(N$9='5.Variables'!$B$72,+'5.Variables'!$N77,+IF(N$9='5.Variables'!$B$86,+'5.Variables'!$N91,+IF(N$9='5.Variables'!$B$100,+'5.Variables'!$N105,IF(N$9='5.Variables'!$B$32,+'5.Variables'!$N32,IF(N$9='5.Variables'!$B$56,+'5.Variables'!$N56,0))))))))</f>
        <v>596.4</v>
      </c>
      <c r="O58" s="292">
        <f>IF(O$9='5.Variables'!$B$10,+'5.Variables'!$N24,+IF(O$9='5.Variables'!$B$34,+'5.Variables'!$N48,+IF(O$9='5.Variables'!$B$58,+'5.Variables'!$N63,+IF(O$9='5.Variables'!$B$72,+'5.Variables'!$N77,+IF(O$9='5.Variables'!$B$86,+'5.Variables'!$N91,+IF(O$9='5.Variables'!$B$100,+'5.Variables'!$N105,IF(O$9='5.Variables'!$B$32,+'5.Variables'!$N32,IF(O$9='5.Variables'!$B$56,+'5.Variables'!$N56,0))))))))</f>
        <v>0</v>
      </c>
      <c r="P58" s="292">
        <f>IF(P$9='5.Variables'!$B$10,+'5.Variables'!$N24,+IF(P$9='5.Variables'!$B$34,+'5.Variables'!$N48,+IF(P$9='5.Variables'!$B$58,+'5.Variables'!$N63,+IF(P$9='5.Variables'!$B$72,+'5.Variables'!$N77,+IF(P$9='5.Variables'!$B$86,+'5.Variables'!$N91,+IF(P$9='5.Variables'!$B$100,+'5.Variables'!$N105,IF(P$9='5.Variables'!$B$32,+'5.Variables'!$N32,IF(P$9='5.Variables'!$B$56,+'5.Variables'!$N56,0))))))))</f>
        <v>0</v>
      </c>
      <c r="Q58" s="143"/>
      <c r="R58" s="154">
        <v>12987985.982091293</v>
      </c>
      <c r="S58" s="167">
        <f t="shared" si="6"/>
        <v>13117718.069866544</v>
      </c>
      <c r="T58" s="624">
        <f t="shared" si="7"/>
        <v>0.99011016343816183</v>
      </c>
      <c r="U58" s="167">
        <f t="shared" si="8"/>
        <v>12506512.172308518</v>
      </c>
      <c r="V58" s="171">
        <f>SUM(U47:U58)</f>
        <v>137131414.94081908</v>
      </c>
      <c r="W58" s="618"/>
      <c r="X58" s="185" t="s">
        <v>2</v>
      </c>
      <c r="Y58" s="185">
        <v>32790.115610972884</v>
      </c>
      <c r="Z58" s="185">
        <v>4600.5007289957839</v>
      </c>
      <c r="AA58" s="185">
        <v>7.127510143473109</v>
      </c>
      <c r="AB58" s="185">
        <v>1.0247389103428483E-10</v>
      </c>
      <c r="AC58" s="185">
        <v>23675.693923213599</v>
      </c>
      <c r="AD58" s="185">
        <v>41904.537298732168</v>
      </c>
      <c r="AE58" s="185">
        <v>23675.693923213599</v>
      </c>
      <c r="AF58" s="185">
        <v>41904.537298732168</v>
      </c>
      <c r="AG58" s="143"/>
      <c r="AH58" s="143"/>
      <c r="AI58" s="143"/>
      <c r="AJ58" s="143"/>
      <c r="AK58" s="143"/>
      <c r="AL58" s="143"/>
      <c r="AM58" s="143"/>
      <c r="AN58" s="143"/>
      <c r="AO58" s="143"/>
      <c r="AP58" s="143"/>
      <c r="AQ58" s="143"/>
    </row>
    <row r="59" spans="1:43" x14ac:dyDescent="0.3">
      <c r="A59" s="339">
        <f t="shared" si="9"/>
        <v>49</v>
      </c>
      <c r="B59" s="166" t="str">
        <f>CONCATENATE('3. Consumption by Rate Class'!B64,"-",'3. Consumption by Rate Class'!C64)</f>
        <v>2017-January</v>
      </c>
      <c r="C59" s="366">
        <v>12229219</v>
      </c>
      <c r="D59" s="154"/>
      <c r="E59" s="366">
        <v>223597</v>
      </c>
      <c r="F59" s="154">
        <v>7742</v>
      </c>
      <c r="G59" s="154"/>
      <c r="H59" s="367"/>
      <c r="I59" s="367"/>
      <c r="J59" s="167">
        <f t="shared" si="5"/>
        <v>12460558</v>
      </c>
      <c r="K59" s="167">
        <f>IF(K$9='5.Variables'!$B$10,+'5.Variables'!$C25,+IF(K$9='5.Variables'!$B$34,+'5.Variables'!$C49,+IF(K$9='5.Variables'!$B$58,+'5.Variables'!$C64,+IF(K$9='5.Variables'!$B$72,+'5.Variables'!$C78,+IF(K$9='5.Variables'!$B$86,+'5.Variables'!$C92,+IF(K$9='5.Variables'!$B$100,+'5.Variables'!$C106,IF(K$9='5.Variables'!$B$32,+'5.Variables'!$C32,IF(K$9='5.Variables'!$B$56,+'5.Variables'!$C56,0))))))))</f>
        <v>13381</v>
      </c>
      <c r="L59" s="292">
        <f>IF(L$9='5.Variables'!$B$10,+'5.Variables'!$C25,+IF(L$9='5.Variables'!$B$34,+'5.Variables'!$C49,+IF(L$9='5.Variables'!$B$58,+'5.Variables'!$C64,+IF(L$9='5.Variables'!$B$72,+'5.Variables'!$C78,+IF(L$9='5.Variables'!$B$86,+'5.Variables'!$C92,+IF(L$9='5.Variables'!$B$100,+'5.Variables'!$C106,IF(L$9='5.Variables'!$B$32,+'5.Variables'!$C32,IF(L$9='5.Variables'!$B$56,+'5.Variables'!$C56,0))))))))</f>
        <v>0</v>
      </c>
      <c r="M59" s="292">
        <f>IF(M$9='5.Variables'!$B$10,+'5.Variables'!$C25,+IF(M$9='5.Variables'!$B$34,+'5.Variables'!$C49,+IF(M$9='5.Variables'!$B$58,+'5.Variables'!$C64,+IF(M$9='5.Variables'!$B$72,+'5.Variables'!$C78,+IF(M$9='5.Variables'!$B$86,+'5.Variables'!$C92,+IF(M$9='5.Variables'!$B$100,+'5.Variables'!$C106,IF(M$9='5.Variables'!$B$32,+'5.Variables'!$C32,IF(M$9='5.Variables'!$B$56,+'5.Variables'!$C56,0))))))))</f>
        <v>31</v>
      </c>
      <c r="N59" s="292">
        <f>IF(N$9='5.Variables'!$B$10,+'5.Variables'!$C25,+IF(N$9='5.Variables'!$B$34,+'5.Variables'!$C49,+IF(N$9='5.Variables'!$B$58,+'5.Variables'!$C64,+IF(N$9='5.Variables'!$B$72,+'5.Variables'!$C78,+IF(N$9='5.Variables'!$B$86,+'5.Variables'!$C92,+IF(N$9='5.Variables'!$B$100,+'5.Variables'!$C106,IF(N$9='5.Variables'!$B$32,+'5.Variables'!$C32,IF(N$9='5.Variables'!$B$56,+'5.Variables'!$C56,0))))))))</f>
        <v>641</v>
      </c>
      <c r="O59" s="292">
        <f>IF(O$9='5.Variables'!$B$10,+'5.Variables'!$C25,+IF(O$9='5.Variables'!$B$34,+'5.Variables'!$C49,+IF(O$9='5.Variables'!$B$58,+'5.Variables'!$C64,+IF(O$9='5.Variables'!$B$72,+'5.Variables'!$C78,+IF(O$9='5.Variables'!$B$86,+'5.Variables'!$C92,+IF(O$9='5.Variables'!$B$100,+'5.Variables'!$C106,IF(O$9='5.Variables'!$B$32,+'5.Variables'!$C32,IF(O$9='5.Variables'!$B$56,+'5.Variables'!$C56,0))))))))</f>
        <v>0</v>
      </c>
      <c r="P59" s="292">
        <f>IF(P$9='5.Variables'!$B$10,+'5.Variables'!$C25,+IF(P$9='5.Variables'!$B$34,+'5.Variables'!$C49,+IF(P$9='5.Variables'!$B$58,+'5.Variables'!$C64,+IF(P$9='5.Variables'!$B$72,+'5.Variables'!$C78,+IF(P$9='5.Variables'!$B$86,+'5.Variables'!$C92,+IF(P$9='5.Variables'!$B$100,+'5.Variables'!$C106,IF(P$9='5.Variables'!$B$32,+'5.Variables'!$C32,IF(P$9='5.Variables'!$B$56,+'5.Variables'!$C56,0))))))))</f>
        <v>0</v>
      </c>
      <c r="Q59" s="143"/>
      <c r="R59" s="154">
        <v>13742062.84355321</v>
      </c>
      <c r="S59" s="167">
        <f t="shared" si="6"/>
        <v>13376485.654822418</v>
      </c>
      <c r="T59" s="624">
        <f t="shared" si="7"/>
        <v>1.0273298382074663</v>
      </c>
      <c r="U59" s="167">
        <f t="shared" si="8"/>
        <v>12801103.03411475</v>
      </c>
      <c r="V59" s="171"/>
      <c r="W59" s="618"/>
      <c r="X59"/>
      <c r="Y59"/>
      <c r="Z59"/>
      <c r="AA59"/>
      <c r="AB59"/>
      <c r="AC59"/>
      <c r="AD59"/>
      <c r="AE59"/>
      <c r="AF59"/>
      <c r="AG59" s="143"/>
      <c r="AH59" s="143"/>
      <c r="AI59" s="143"/>
      <c r="AJ59" s="143"/>
      <c r="AK59" s="143"/>
      <c r="AL59" s="143"/>
      <c r="AM59" s="143"/>
      <c r="AN59" s="143"/>
      <c r="AO59" s="143"/>
      <c r="AP59" s="143"/>
      <c r="AQ59" s="143"/>
    </row>
    <row r="60" spans="1:43" x14ac:dyDescent="0.3">
      <c r="A60" s="339">
        <f t="shared" si="9"/>
        <v>50</v>
      </c>
      <c r="B60" s="166" t="str">
        <f>CONCATENATE('3. Consumption by Rate Class'!B65,"-",'3. Consumption by Rate Class'!C65)</f>
        <v>2017-February</v>
      </c>
      <c r="C60" s="366">
        <v>10687297</v>
      </c>
      <c r="D60" s="154"/>
      <c r="E60" s="366">
        <v>197835</v>
      </c>
      <c r="F60" s="154">
        <v>14063</v>
      </c>
      <c r="G60" s="154"/>
      <c r="H60" s="367"/>
      <c r="I60" s="367"/>
      <c r="J60" s="167">
        <f t="shared" si="5"/>
        <v>10899195</v>
      </c>
      <c r="K60" s="167">
        <f>IF(K$9='5.Variables'!$B$10,+'5.Variables'!$D25,+IF(K$9='5.Variables'!$B$34,+'5.Variables'!$D49,+IF(K$9='5.Variables'!$B$58,+'5.Variables'!$D64,+IF(K$9='5.Variables'!$B$72,+'5.Variables'!$D78,+IF(K$9='5.Variables'!$B$86,+'5.Variables'!$D92,+IF(K$9='5.Variables'!$B$100,+'5.Variables'!$D106,IF(K$9='5.Variables'!$B$32,+'5.Variables'!$D32,IF(K$9='5.Variables'!$B$56,+'5.Variables'!$D56,0))))))))</f>
        <v>13385</v>
      </c>
      <c r="L60" s="292">
        <f>IF(L$9='5.Variables'!$B$10,+'5.Variables'!$D25,+IF(L$9='5.Variables'!$B$34,+'5.Variables'!$D49,+IF(L$9='5.Variables'!$B$58,+'5.Variables'!$D64,+IF(L$9='5.Variables'!$B$72,+'5.Variables'!$D78,+IF(L$9='5.Variables'!$B$86,+'5.Variables'!$D92,+IF(L$9='5.Variables'!$B$100,+'5.Variables'!$D106,IF(L$9='5.Variables'!$B$32,+'5.Variables'!$D32,IF(L$9='5.Variables'!$B$56,+'5.Variables'!$D56,0))))))))</f>
        <v>0</v>
      </c>
      <c r="M60" s="292">
        <f>IF(M$9='5.Variables'!$B$10,+'5.Variables'!$D25,+IF(M$9='5.Variables'!$B$34,+'5.Variables'!$D49,+IF(M$9='5.Variables'!$B$58,+'5.Variables'!$D64,+IF(M$9='5.Variables'!$B$72,+'5.Variables'!$D78,+IF(M$9='5.Variables'!$B$86,+'5.Variables'!$D92,+IF(M$9='5.Variables'!$B$100,+'5.Variables'!$D106,IF(M$9='5.Variables'!$B$32,+'5.Variables'!$D32,IF(M$9='5.Variables'!$B$56,+'5.Variables'!$D56,0))))))))</f>
        <v>28</v>
      </c>
      <c r="N60" s="292">
        <f>IF(N$9='5.Variables'!$B$10,+'5.Variables'!$D25,+IF(N$9='5.Variables'!$B$34,+'5.Variables'!$D49,+IF(N$9='5.Variables'!$B$58,+'5.Variables'!$D64,+IF(N$9='5.Variables'!$B$72,+'5.Variables'!$D78,+IF(N$9='5.Variables'!$B$86,+'5.Variables'!$D92,+IF(N$9='5.Variables'!$B$100,+'5.Variables'!$D106,IF(N$9='5.Variables'!$B$32,+'5.Variables'!$D32,IF(N$9='5.Variables'!$B$56,+'5.Variables'!$D56,0))))))))</f>
        <v>512.4</v>
      </c>
      <c r="O60" s="292">
        <f>IF(O$9='5.Variables'!$B$10,+'5.Variables'!$D25,+IF(O$9='5.Variables'!$B$34,+'5.Variables'!$D49,+IF(O$9='5.Variables'!$B$58,+'5.Variables'!$D64,+IF(O$9='5.Variables'!$B$72,+'5.Variables'!$D78,+IF(O$9='5.Variables'!$B$86,+'5.Variables'!$D92,+IF(O$9='5.Variables'!$B$100,+'5.Variables'!$D106,IF(O$9='5.Variables'!$B$32,+'5.Variables'!$D32,IF(O$9='5.Variables'!$B$56,+'5.Variables'!$D56,0))))))))</f>
        <v>0</v>
      </c>
      <c r="P60" s="292">
        <f>IF(P$9='5.Variables'!$B$10,+'5.Variables'!$D25,+IF(P$9='5.Variables'!$B$34,+'5.Variables'!$D49,+IF(P$9='5.Variables'!$B$58,+'5.Variables'!$D64,+IF(P$9='5.Variables'!$B$72,+'5.Variables'!$D78,+IF(P$9='5.Variables'!$B$86,+'5.Variables'!$D92,+IF(P$9='5.Variables'!$B$100,+'5.Variables'!$D106,IF(P$9='5.Variables'!$B$32,+'5.Variables'!$D32,IF(P$9='5.Variables'!$B$56,+'5.Variables'!$D56,0))))))))</f>
        <v>0</v>
      </c>
      <c r="Q60" s="143"/>
      <c r="R60" s="154">
        <v>12148477.745844331</v>
      </c>
      <c r="S60" s="167">
        <f t="shared" si="6"/>
        <v>11369336.321705665</v>
      </c>
      <c r="T60" s="624">
        <f t="shared" si="7"/>
        <v>1.0685300708935115</v>
      </c>
      <c r="U60" s="167">
        <f t="shared" si="8"/>
        <v>11646117.606032206</v>
      </c>
      <c r="V60" s="171"/>
      <c r="W60" s="618"/>
      <c r="X60"/>
      <c r="Y60"/>
      <c r="Z60"/>
      <c r="AA60"/>
      <c r="AB60"/>
      <c r="AC60"/>
      <c r="AD60"/>
      <c r="AE60"/>
      <c r="AF60"/>
      <c r="AG60" s="143"/>
      <c r="AH60" s="143"/>
      <c r="AI60" s="143"/>
      <c r="AJ60" s="143"/>
      <c r="AK60" s="143"/>
      <c r="AL60" s="143"/>
      <c r="AM60" s="143"/>
      <c r="AN60" s="143"/>
      <c r="AO60" s="143"/>
      <c r="AP60" s="143"/>
      <c r="AQ60" s="143"/>
    </row>
    <row r="61" spans="1:43" x14ac:dyDescent="0.3">
      <c r="A61" s="339">
        <f t="shared" si="9"/>
        <v>51</v>
      </c>
      <c r="B61" s="166" t="str">
        <f>CONCATENATE('3. Consumption by Rate Class'!B66,"-",'3. Consumption by Rate Class'!C66)</f>
        <v>2017-March</v>
      </c>
      <c r="C61" s="366">
        <v>11665956</v>
      </c>
      <c r="D61" s="154"/>
      <c r="E61" s="366">
        <v>217733</v>
      </c>
      <c r="F61" s="154">
        <v>39300</v>
      </c>
      <c r="G61" s="154"/>
      <c r="H61" s="367"/>
      <c r="I61" s="367"/>
      <c r="J61" s="167">
        <f t="shared" si="5"/>
        <v>11922989</v>
      </c>
      <c r="K61" s="167">
        <f>IF(K$9='5.Variables'!$B$10,+'5.Variables'!$E25,+IF(K$9='5.Variables'!$B$34,+'5.Variables'!$E49,+IF(K$9='5.Variables'!$B$58,+'5.Variables'!$E64,+IF(K$9='5.Variables'!$B$72,+'5.Variables'!$E78,+IF(K$9='5.Variables'!$B$86,+'5.Variables'!$E92,+IF(K$9='5.Variables'!$B$100,+'5.Variables'!$E106,IF(K$9='5.Variables'!$B$32,+'5.Variables'!$E32,IF(K$9='5.Variables'!$B$56,+'5.Variables'!$E56,0))))))))</f>
        <v>13393</v>
      </c>
      <c r="L61" s="292">
        <f>IF(L$9='5.Variables'!$B$10,+'5.Variables'!$E25,+IF(L$9='5.Variables'!$B$34,+'5.Variables'!$E49,+IF(L$9='5.Variables'!$B$58,+'5.Variables'!$E64,+IF(L$9='5.Variables'!$B$72,+'5.Variables'!$E78,+IF(L$9='5.Variables'!$B$86,+'5.Variables'!$E92,+IF(L$9='5.Variables'!$B$100,+'5.Variables'!$E106,IF(L$9='5.Variables'!$B$32,+'5.Variables'!$E32,IF(L$9='5.Variables'!$B$56,+'5.Variables'!$E56,0))))))))</f>
        <v>1</v>
      </c>
      <c r="M61" s="292">
        <f>IF(M$9='5.Variables'!$B$10,+'5.Variables'!$E25,+IF(M$9='5.Variables'!$B$34,+'5.Variables'!$E49,+IF(M$9='5.Variables'!$B$58,+'5.Variables'!$E64,+IF(M$9='5.Variables'!$B$72,+'5.Variables'!$E78,+IF(M$9='5.Variables'!$B$86,+'5.Variables'!$E92,+IF(M$9='5.Variables'!$B$100,+'5.Variables'!$E106,IF(M$9='5.Variables'!$B$32,+'5.Variables'!$E32,IF(M$9='5.Variables'!$B$56,+'5.Variables'!$E56,0))))))))</f>
        <v>31</v>
      </c>
      <c r="N61" s="292">
        <f>IF(N$9='5.Variables'!$B$10,+'5.Variables'!$E25,+IF(N$9='5.Variables'!$B$34,+'5.Variables'!$E49,+IF(N$9='5.Variables'!$B$58,+'5.Variables'!$E64,+IF(N$9='5.Variables'!$B$72,+'5.Variables'!$E78,+IF(N$9='5.Variables'!$B$86,+'5.Variables'!$E92,+IF(N$9='5.Variables'!$B$100,+'5.Variables'!$E106,IF(N$9='5.Variables'!$B$32,+'5.Variables'!$E32,IF(N$9='5.Variables'!$B$56,+'5.Variables'!$E56,0))))))))</f>
        <v>594.29999999999995</v>
      </c>
      <c r="O61" s="292">
        <f>IF(O$9='5.Variables'!$B$10,+'5.Variables'!$E25,+IF(O$9='5.Variables'!$B$34,+'5.Variables'!$E49,+IF(O$9='5.Variables'!$B$58,+'5.Variables'!$E64,+IF(O$9='5.Variables'!$B$72,+'5.Variables'!$E78,+IF(O$9='5.Variables'!$B$86,+'5.Variables'!$E92,+IF(O$9='5.Variables'!$B$100,+'5.Variables'!$E106,IF(O$9='5.Variables'!$B$32,+'5.Variables'!$E32,IF(O$9='5.Variables'!$B$56,+'5.Variables'!$E56,0))))))))</f>
        <v>0</v>
      </c>
      <c r="P61" s="292">
        <f>IF(P$9='5.Variables'!$B$10,+'5.Variables'!$E25,+IF(P$9='5.Variables'!$B$34,+'5.Variables'!$E49,+IF(P$9='5.Variables'!$B$58,+'5.Variables'!$E64,+IF(P$9='5.Variables'!$B$72,+'5.Variables'!$E78,+IF(P$9='5.Variables'!$B$86,+'5.Variables'!$E92,+IF(P$9='5.Variables'!$B$100,+'5.Variables'!$E106,IF(P$9='5.Variables'!$B$32,+'5.Variables'!$E32,IF(P$9='5.Variables'!$B$56,+'5.Variables'!$E56,0))))))))</f>
        <v>0</v>
      </c>
      <c r="Q61" s="143"/>
      <c r="R61" s="154">
        <v>12110851.012543701</v>
      </c>
      <c r="S61" s="167">
        <f t="shared" si="6"/>
        <v>12258153.387517642</v>
      </c>
      <c r="T61" s="624">
        <f t="shared" si="7"/>
        <v>0.9879833144261404</v>
      </c>
      <c r="U61" s="167">
        <f t="shared" si="8"/>
        <v>11779714.190086413</v>
      </c>
      <c r="V61" s="171"/>
      <c r="W61" s="618"/>
      <c r="X61"/>
      <c r="Y61"/>
      <c r="Z61"/>
      <c r="AA61"/>
      <c r="AB61"/>
      <c r="AC61"/>
      <c r="AD61"/>
      <c r="AE61"/>
      <c r="AF61"/>
      <c r="AG61" s="143"/>
      <c r="AH61" s="143"/>
      <c r="AI61" s="143"/>
      <c r="AJ61" s="143"/>
      <c r="AK61" s="143"/>
      <c r="AL61" s="143"/>
      <c r="AM61" s="143"/>
      <c r="AN61" s="143"/>
      <c r="AO61" s="143"/>
      <c r="AP61" s="143"/>
      <c r="AQ61" s="143"/>
    </row>
    <row r="62" spans="1:43" ht="15" customHeight="1" x14ac:dyDescent="0.3">
      <c r="A62" s="339">
        <f t="shared" si="9"/>
        <v>52</v>
      </c>
      <c r="B62" s="166" t="str">
        <f>CONCATENATE('3. Consumption by Rate Class'!B67,"-",'3. Consumption by Rate Class'!C67)</f>
        <v>2017-April</v>
      </c>
      <c r="C62" s="366">
        <v>9357837</v>
      </c>
      <c r="D62" s="154"/>
      <c r="E62" s="366">
        <v>216149</v>
      </c>
      <c r="F62" s="154">
        <v>84229</v>
      </c>
      <c r="G62" s="154"/>
      <c r="H62" s="367"/>
      <c r="I62" s="367"/>
      <c r="J62" s="167">
        <f t="shared" si="5"/>
        <v>9658215</v>
      </c>
      <c r="K62" s="167">
        <f>IF(K$9='5.Variables'!$B$10,+'5.Variables'!$F25,+IF(K$9='5.Variables'!$B$34,+'5.Variables'!$F49,+IF(K$9='5.Variables'!$B$58,+'5.Variables'!$F64,+IF(K$9='5.Variables'!$B$72,+'5.Variables'!$F78,+IF(K$9='5.Variables'!$B$86,+'5.Variables'!$F92,+IF(K$9='5.Variables'!$B$100,+'5.Variables'!$F106,IF(K$9='5.Variables'!$B$32,+'5.Variables'!$F32,IF(K$9='5.Variables'!$B$56,+'5.Variables'!$F56,0))))))))</f>
        <v>13412</v>
      </c>
      <c r="L62" s="292">
        <f>IF(L$9='5.Variables'!$B$10,+'5.Variables'!$F25,+IF(L$9='5.Variables'!$B$34,+'5.Variables'!$F49,+IF(L$9='5.Variables'!$B$58,+'5.Variables'!$F64,+IF(L$9='5.Variables'!$B$72,+'5.Variables'!$F78,+IF(L$9='5.Variables'!$B$86,+'5.Variables'!$F92,+IF(L$9='5.Variables'!$B$100,+'5.Variables'!$F106,IF(L$9='5.Variables'!$B$32,+'5.Variables'!$F32,IF(L$9='5.Variables'!$B$56,+'5.Variables'!$F56,0))))))))</f>
        <v>1</v>
      </c>
      <c r="M62" s="292">
        <f>IF(M$9='5.Variables'!$B$10,+'5.Variables'!$F25,+IF(M$9='5.Variables'!$B$34,+'5.Variables'!$F49,+IF(M$9='5.Variables'!$B$58,+'5.Variables'!$F64,+IF(M$9='5.Variables'!$B$72,+'5.Variables'!$F78,+IF(M$9='5.Variables'!$B$86,+'5.Variables'!$F92,+IF(M$9='5.Variables'!$B$100,+'5.Variables'!$F106,IF(M$9='5.Variables'!$B$32,+'5.Variables'!$F32,IF(M$9='5.Variables'!$B$56,+'5.Variables'!$F56,0))))))))</f>
        <v>30</v>
      </c>
      <c r="N62" s="292">
        <f>IF(N$9='5.Variables'!$B$10,+'5.Variables'!$F25,+IF(N$9='5.Variables'!$B$34,+'5.Variables'!$F49,+IF(N$9='5.Variables'!$B$58,+'5.Variables'!$F64,+IF(N$9='5.Variables'!$B$72,+'5.Variables'!$F78,+IF(N$9='5.Variables'!$B$86,+'5.Variables'!$F92,+IF(N$9='5.Variables'!$B$100,+'5.Variables'!$F106,IF(N$9='5.Variables'!$B$32,+'5.Variables'!$F32,IF(N$9='5.Variables'!$B$56,+'5.Variables'!$F56,0))))))))</f>
        <v>298.89999999999998</v>
      </c>
      <c r="O62" s="292">
        <f>IF(O$9='5.Variables'!$B$10,+'5.Variables'!$F25,+IF(O$9='5.Variables'!$B$34,+'5.Variables'!$F49,+IF(O$9='5.Variables'!$B$58,+'5.Variables'!$F64,+IF(O$9='5.Variables'!$B$72,+'5.Variables'!$F78,+IF(O$9='5.Variables'!$B$86,+'5.Variables'!$F92,+IF(O$9='5.Variables'!$B$100,+'5.Variables'!$F106,IF(O$9='5.Variables'!$B$32,+'5.Variables'!$F32,IF(O$9='5.Variables'!$B$56,+'5.Variables'!$F56,0))))))))</f>
        <v>0.5</v>
      </c>
      <c r="P62" s="292">
        <f>IF(P$9='5.Variables'!$B$10,+'5.Variables'!$F25,+IF(P$9='5.Variables'!$B$34,+'5.Variables'!$F49,+IF(P$9='5.Variables'!$B$58,+'5.Variables'!$F64,+IF(P$9='5.Variables'!$B$72,+'5.Variables'!$F78,+IF(P$9='5.Variables'!$B$86,+'5.Variables'!$F92,+IF(P$9='5.Variables'!$B$100,+'5.Variables'!$F106,IF(P$9='5.Variables'!$B$32,+'5.Variables'!$F32,IF(P$9='5.Variables'!$B$56,+'5.Variables'!$F56,0))))))))</f>
        <v>0</v>
      </c>
      <c r="Q62" s="143"/>
      <c r="R62" s="154">
        <v>10599121.594840387</v>
      </c>
      <c r="S62" s="167">
        <f t="shared" si="6"/>
        <v>10170192.132595336</v>
      </c>
      <c r="T62" s="624">
        <f t="shared" si="7"/>
        <v>1.0421751582126297</v>
      </c>
      <c r="U62" s="167">
        <f t="shared" si="8"/>
        <v>10065551.745676594</v>
      </c>
      <c r="V62" s="171"/>
      <c r="W62" s="618"/>
      <c r="X62" s="143"/>
      <c r="Y62" s="12" t="s">
        <v>33</v>
      </c>
      <c r="Z62" s="12" t="s">
        <v>41</v>
      </c>
      <c r="AA62" s="12" t="s">
        <v>42</v>
      </c>
      <c r="AB62" s="12" t="s">
        <v>234</v>
      </c>
      <c r="AC62" s="12" t="s">
        <v>42</v>
      </c>
      <c r="AD62" s="537" t="s">
        <v>271</v>
      </c>
      <c r="AE62" s="537" t="s">
        <v>246</v>
      </c>
      <c r="AG62" s="143"/>
      <c r="AH62" s="143"/>
      <c r="AI62" s="143"/>
      <c r="AJ62" s="143"/>
      <c r="AK62" s="143"/>
      <c r="AL62" s="143"/>
      <c r="AM62" s="143"/>
      <c r="AN62" s="143"/>
      <c r="AO62" s="143"/>
      <c r="AP62" s="143"/>
      <c r="AQ62" s="143"/>
    </row>
    <row r="63" spans="1:43" x14ac:dyDescent="0.3">
      <c r="A63" s="339">
        <f t="shared" si="9"/>
        <v>53</v>
      </c>
      <c r="B63" s="166" t="str">
        <f>CONCATENATE('3. Consumption by Rate Class'!B68,"-",'3. Consumption by Rate Class'!C68)</f>
        <v>2017-May</v>
      </c>
      <c r="C63" s="366">
        <v>9739335</v>
      </c>
      <c r="D63" s="154"/>
      <c r="E63" s="366">
        <v>230649</v>
      </c>
      <c r="F63" s="154">
        <v>149405</v>
      </c>
      <c r="G63" s="154"/>
      <c r="H63" s="367"/>
      <c r="I63" s="367"/>
      <c r="J63" s="167">
        <f t="shared" si="5"/>
        <v>10119389</v>
      </c>
      <c r="K63" s="167">
        <f>IF(K$9='5.Variables'!$B$10,+'5.Variables'!$G25,+IF(K$9='5.Variables'!$B$34,+'5.Variables'!$G49,+IF(K$9='5.Variables'!$B$58,+'5.Variables'!$G64,+IF(K$9='5.Variables'!$B$72,+'5.Variables'!$G78,+IF(K$9='5.Variables'!$B$86,+'5.Variables'!$G92,+IF(K$9='5.Variables'!$B$100,+'5.Variables'!$G106,IF(K$9='5.Variables'!$B$32,+'5.Variables'!$G32,IF(K$9='5.Variables'!$B$56,+'5.Variables'!$G56,0))))))))</f>
        <v>13418</v>
      </c>
      <c r="L63" s="292">
        <f>IF(L$9='5.Variables'!$B$10,+'5.Variables'!$G25,+IF(L$9='5.Variables'!$B$34,+'5.Variables'!$G49,+IF(L$9='5.Variables'!$B$58,+'5.Variables'!$G64,+IF(L$9='5.Variables'!$B$72,+'5.Variables'!$G78,+IF(L$9='5.Variables'!$B$86,+'5.Variables'!$G92,+IF(L$9='5.Variables'!$B$100,+'5.Variables'!$G106,IF(L$9='5.Variables'!$B$32,+'5.Variables'!$G32,IF(L$9='5.Variables'!$B$56,+'5.Variables'!$G56,0))))))))</f>
        <v>1</v>
      </c>
      <c r="M63" s="292">
        <f>IF(M$9='5.Variables'!$B$10,+'5.Variables'!$G25,+IF(M$9='5.Variables'!$B$34,+'5.Variables'!$G49,+IF(M$9='5.Variables'!$B$58,+'5.Variables'!$G64,+IF(M$9='5.Variables'!$B$72,+'5.Variables'!$G78,+IF(M$9='5.Variables'!$B$86,+'5.Variables'!$G92,+IF(M$9='5.Variables'!$B$100,+'5.Variables'!$G106,IF(M$9='5.Variables'!$B$32,+'5.Variables'!$G32,IF(M$9='5.Variables'!$B$56,+'5.Variables'!$G56,0))))))))</f>
        <v>31</v>
      </c>
      <c r="N63" s="292">
        <f>IF(N$9='5.Variables'!$B$10,+'5.Variables'!$G25,+IF(N$9='5.Variables'!$B$34,+'5.Variables'!$G49,+IF(N$9='5.Variables'!$B$58,+'5.Variables'!$G64,+IF(N$9='5.Variables'!$B$72,+'5.Variables'!$G78,+IF(N$9='5.Variables'!$B$86,+'5.Variables'!$G92,+IF(N$9='5.Variables'!$B$100,+'5.Variables'!$G106,IF(N$9='5.Variables'!$B$32,+'5.Variables'!$G32,IF(N$9='5.Variables'!$B$56,+'5.Variables'!$G56,0))))))))</f>
        <v>221</v>
      </c>
      <c r="O63" s="292">
        <f>IF(O$9='5.Variables'!$B$10,+'5.Variables'!$G25,+IF(O$9='5.Variables'!$B$34,+'5.Variables'!$G49,+IF(O$9='5.Variables'!$B$58,+'5.Variables'!$G64,+IF(O$9='5.Variables'!$B$72,+'5.Variables'!$G78,+IF(O$9='5.Variables'!$B$86,+'5.Variables'!$G92,+IF(O$9='5.Variables'!$B$100,+'5.Variables'!$G106,IF(O$9='5.Variables'!$B$32,+'5.Variables'!$G32,IF(O$9='5.Variables'!$B$56,+'5.Variables'!$G56,0))))))))</f>
        <v>8.6</v>
      </c>
      <c r="P63" s="292">
        <f>IF(P$9='5.Variables'!$B$10,+'5.Variables'!$G25,+IF(P$9='5.Variables'!$B$34,+'5.Variables'!$G49,+IF(P$9='5.Variables'!$B$58,+'5.Variables'!$G64,+IF(P$9='5.Variables'!$B$72,+'5.Variables'!$G78,+IF(P$9='5.Variables'!$B$86,+'5.Variables'!$G92,+IF(P$9='5.Variables'!$B$100,+'5.Variables'!$G106,IF(P$9='5.Variables'!$B$32,+'5.Variables'!$G32,IF(P$9='5.Variables'!$B$56,+'5.Variables'!$G56,0))))))))</f>
        <v>0</v>
      </c>
      <c r="Q63" s="143"/>
      <c r="R63" s="154">
        <v>10571408.273949929</v>
      </c>
      <c r="S63" s="167">
        <f t="shared" si="6"/>
        <v>10468329.793805461</v>
      </c>
      <c r="T63" s="624">
        <f t="shared" si="7"/>
        <v>1.0098466978185443</v>
      </c>
      <c r="U63" s="167">
        <f t="shared" si="8"/>
        <v>10219031.565591302</v>
      </c>
      <c r="V63" s="171"/>
      <c r="W63" s="618"/>
      <c r="X63" s="143"/>
      <c r="Y63" s="148">
        <f>+Y75</f>
        <v>2013</v>
      </c>
      <c r="Z63" s="569">
        <f>SUM(J11:J22)</f>
        <v>136652392.50999999</v>
      </c>
      <c r="AA63" s="12"/>
      <c r="AB63" s="569">
        <f>SUM(S11:S22)</f>
        <v>133029221.32035881</v>
      </c>
      <c r="AC63" s="12"/>
      <c r="AD63" s="570">
        <f>V22</f>
        <v>136638837.10143891</v>
      </c>
      <c r="AE63" s="568">
        <f t="shared" ref="AE63:AE72" si="10">(AD63-Z63)/Z63</f>
        <v>-9.9196276860565998E-5</v>
      </c>
      <c r="AG63" s="143"/>
      <c r="AH63" s="143"/>
      <c r="AI63" s="143"/>
      <c r="AJ63" s="143"/>
      <c r="AK63" s="143"/>
      <c r="AL63" s="143"/>
      <c r="AM63" s="143"/>
      <c r="AN63" s="143"/>
      <c r="AO63" s="143"/>
      <c r="AP63" s="143"/>
      <c r="AQ63" s="143"/>
    </row>
    <row r="64" spans="1:43" x14ac:dyDescent="0.3">
      <c r="A64" s="339">
        <f t="shared" si="9"/>
        <v>54</v>
      </c>
      <c r="B64" s="166" t="str">
        <f>CONCATENATE('3. Consumption by Rate Class'!B69,"-",'3. Consumption by Rate Class'!C69)</f>
        <v>2017-June</v>
      </c>
      <c r="C64" s="366">
        <v>9985792</v>
      </c>
      <c r="D64" s="154"/>
      <c r="E64" s="366">
        <v>249908</v>
      </c>
      <c r="F64" s="154">
        <v>157958</v>
      </c>
      <c r="G64" s="154"/>
      <c r="H64" s="367"/>
      <c r="I64" s="367"/>
      <c r="J64" s="167">
        <f t="shared" si="5"/>
        <v>10393658</v>
      </c>
      <c r="K64" s="167">
        <f>IF(K$9='5.Variables'!$B$10,+'5.Variables'!$H25,+IF(K$9='5.Variables'!$B$34,+'5.Variables'!$H49,+IF(K$9='5.Variables'!$B$58,+'5.Variables'!$H64,+IF(K$9='5.Variables'!$B$72,+'5.Variables'!$H78,+IF(K$9='5.Variables'!$B$86,+'5.Variables'!$H92,+IF(K$9='5.Variables'!$B$100,+'5.Variables'!$H106,IF(K$9='5.Variables'!$B$32,+'5.Variables'!$H32,IF(K$9='5.Variables'!$B$56,+'5.Variables'!$H56,0))))))))</f>
        <v>13451</v>
      </c>
      <c r="L64" s="292">
        <f>IF(L$9='5.Variables'!$B$10,+'5.Variables'!$H25,+IF(L$9='5.Variables'!$B$34,+'5.Variables'!$H49,+IF(L$9='5.Variables'!$B$58,+'5.Variables'!$H64,+IF(L$9='5.Variables'!$B$72,+'5.Variables'!$H78,+IF(L$9='5.Variables'!$B$86,+'5.Variables'!$H92,+IF(L$9='5.Variables'!$B$100,+'5.Variables'!$H106,IF(L$9='5.Variables'!$B$32,+'5.Variables'!$H32,IF(L$9='5.Variables'!$B$56,+'5.Variables'!$H56,0))))))))</f>
        <v>0</v>
      </c>
      <c r="M64" s="292">
        <f>IF(M$9='5.Variables'!$B$10,+'5.Variables'!$H25,+IF(M$9='5.Variables'!$B$34,+'5.Variables'!$H49,+IF(M$9='5.Variables'!$B$58,+'5.Variables'!$H64,+IF(M$9='5.Variables'!$B$72,+'5.Variables'!$H78,+IF(M$9='5.Variables'!$B$86,+'5.Variables'!$H92,+IF(M$9='5.Variables'!$B$100,+'5.Variables'!$H106,IF(M$9='5.Variables'!$B$32,+'5.Variables'!$H32,IF(M$9='5.Variables'!$B$56,+'5.Variables'!$H56,0))))))))</f>
        <v>30</v>
      </c>
      <c r="N64" s="292">
        <f>IF(N$9='5.Variables'!$B$10,+'5.Variables'!$H25,+IF(N$9='5.Variables'!$B$34,+'5.Variables'!$H49,+IF(N$9='5.Variables'!$B$58,+'5.Variables'!$H64,+IF(N$9='5.Variables'!$B$72,+'5.Variables'!$H78,+IF(N$9='5.Variables'!$B$86,+'5.Variables'!$H92,+IF(N$9='5.Variables'!$B$100,+'5.Variables'!$H106,IF(N$9='5.Variables'!$B$32,+'5.Variables'!$H32,IF(N$9='5.Variables'!$B$56,+'5.Variables'!$H56,0))))))))</f>
        <v>59.8</v>
      </c>
      <c r="O64" s="292">
        <f>IF(O$9='5.Variables'!$B$10,+'5.Variables'!$H25,+IF(O$9='5.Variables'!$B$34,+'5.Variables'!$H49,+IF(O$9='5.Variables'!$B$58,+'5.Variables'!$H64,+IF(O$9='5.Variables'!$B$72,+'5.Variables'!$H78,+IF(O$9='5.Variables'!$B$86,+'5.Variables'!$H92,+IF(O$9='5.Variables'!$B$100,+'5.Variables'!$H106,IF(O$9='5.Variables'!$B$32,+'5.Variables'!$H32,IF(O$9='5.Variables'!$B$56,+'5.Variables'!$H56,0))))))))</f>
        <v>40.9</v>
      </c>
      <c r="P64" s="292">
        <f>IF(P$9='5.Variables'!$B$10,+'5.Variables'!$H25,+IF(P$9='5.Variables'!$B$34,+'5.Variables'!$H49,+IF(P$9='5.Variables'!$B$58,+'5.Variables'!$H64,+IF(P$9='5.Variables'!$B$72,+'5.Variables'!$H78,+IF(P$9='5.Variables'!$B$86,+'5.Variables'!$H92,+IF(P$9='5.Variables'!$B$100,+'5.Variables'!$H106,IF(P$9='5.Variables'!$B$32,+'5.Variables'!$H32,IF(P$9='5.Variables'!$B$56,+'5.Variables'!$H56,0))))))))</f>
        <v>0</v>
      </c>
      <c r="Q64" s="143"/>
      <c r="R64" s="154">
        <v>11118840.366788961</v>
      </c>
      <c r="S64" s="167">
        <f t="shared" si="6"/>
        <v>11275321.043070238</v>
      </c>
      <c r="T64" s="624">
        <f t="shared" si="7"/>
        <v>0.98612184294499983</v>
      </c>
      <c r="U64" s="167">
        <f t="shared" si="8"/>
        <v>10249413.181900041</v>
      </c>
      <c r="V64" s="171"/>
      <c r="W64" s="618"/>
      <c r="X64" s="143"/>
      <c r="Y64" s="148">
        <f t="shared" ref="Y64:Y72" si="11">+Y76</f>
        <v>2014</v>
      </c>
      <c r="Z64" s="569">
        <f>SUM(J23:J34)</f>
        <v>137567233.44999999</v>
      </c>
      <c r="AA64" s="568">
        <f t="shared" ref="AA64:AA72" si="12">(Z64-Z63)/Z63</f>
        <v>6.6946573213714578E-3</v>
      </c>
      <c r="AB64" s="569">
        <f>SUM(S23:S34)</f>
        <v>134035276.45342146</v>
      </c>
      <c r="AC64" s="568">
        <f>(AB64-AB63)/AB63</f>
        <v>7.5626627223494012E-3</v>
      </c>
      <c r="AD64" s="570">
        <f>V34</f>
        <v>138847385.74999535</v>
      </c>
      <c r="AE64" s="568">
        <f t="shared" si="10"/>
        <v>9.3056483574676611E-3</v>
      </c>
      <c r="AG64" s="143"/>
      <c r="AH64" s="143"/>
      <c r="AI64" s="143"/>
      <c r="AJ64" s="143"/>
      <c r="AK64" s="143"/>
      <c r="AL64" s="143"/>
      <c r="AM64" s="143"/>
      <c r="AN64" s="143"/>
      <c r="AO64" s="143"/>
      <c r="AP64" s="143"/>
      <c r="AQ64" s="143"/>
    </row>
    <row r="65" spans="1:43" x14ac:dyDescent="0.3">
      <c r="A65" s="339">
        <f t="shared" si="9"/>
        <v>55</v>
      </c>
      <c r="B65" s="166" t="str">
        <f>CONCATENATE('3. Consumption by Rate Class'!B70,"-",'3. Consumption by Rate Class'!C70)</f>
        <v>2017-July</v>
      </c>
      <c r="C65" s="366">
        <v>12043306</v>
      </c>
      <c r="D65" s="154"/>
      <c r="E65" s="366">
        <v>278334</v>
      </c>
      <c r="F65" s="154">
        <v>171673</v>
      </c>
      <c r="G65" s="154"/>
      <c r="H65" s="367"/>
      <c r="I65" s="367"/>
      <c r="J65" s="167">
        <f t="shared" si="5"/>
        <v>12493313</v>
      </c>
      <c r="K65" s="167">
        <f>IF(K$9='5.Variables'!$B$10,+'5.Variables'!$I25,+IF(K$9='5.Variables'!$B$34,+'5.Variables'!$I49,+IF(K$9='5.Variables'!$B$58,+'5.Variables'!$I64,+IF(K$9='5.Variables'!$B$72,+'5.Variables'!$I78,+IF(K$9='5.Variables'!$B$86,+'5.Variables'!$I92,+IF(K$9='5.Variables'!$B$100,+'5.Variables'!$I106,IF(K$9='5.Variables'!$B$32,+'5.Variables'!$I32,IF(K$9='5.Variables'!$B$56,+'5.Variables'!$I56,0))))))))</f>
        <v>13484</v>
      </c>
      <c r="L65" s="292">
        <f>IF(L$9='5.Variables'!$B$10,+'5.Variables'!$I25,+IF(L$9='5.Variables'!$B$34,+'5.Variables'!$I49,+IF(L$9='5.Variables'!$B$58,+'5.Variables'!$I64,+IF(L$9='5.Variables'!$B$72,+'5.Variables'!$I78,+IF(L$9='5.Variables'!$B$86,+'5.Variables'!$I92,+IF(L$9='5.Variables'!$B$100,+'5.Variables'!$I106,IF(L$9='5.Variables'!$B$32,+'5.Variables'!$I32,IF(L$9='5.Variables'!$B$56,+'5.Variables'!$I56,0))))))))</f>
        <v>0</v>
      </c>
      <c r="M65" s="292">
        <f>IF(M$9='5.Variables'!$B$10,+'5.Variables'!$I25,+IF(M$9='5.Variables'!$B$34,+'5.Variables'!$I49,+IF(M$9='5.Variables'!$B$58,+'5.Variables'!$I64,+IF(M$9='5.Variables'!$B$72,+'5.Variables'!$I78,+IF(M$9='5.Variables'!$B$86,+'5.Variables'!$I92,+IF(M$9='5.Variables'!$B$100,+'5.Variables'!$I106,IF(M$9='5.Variables'!$B$32,+'5.Variables'!$I32,IF(M$9='5.Variables'!$B$56,+'5.Variables'!$I56,0))))))))</f>
        <v>31</v>
      </c>
      <c r="N65" s="292">
        <f>IF(N$9='5.Variables'!$B$10,+'5.Variables'!$I25,+IF(N$9='5.Variables'!$B$34,+'5.Variables'!$I49,+IF(N$9='5.Variables'!$B$58,+'5.Variables'!$I64,+IF(N$9='5.Variables'!$B$72,+'5.Variables'!$I78,+IF(N$9='5.Variables'!$B$86,+'5.Variables'!$I92,+IF(N$9='5.Variables'!$B$100,+'5.Variables'!$I106,IF(N$9='5.Variables'!$B$32,+'5.Variables'!$I32,IF(N$9='5.Variables'!$B$56,+'5.Variables'!$I56,0))))))))</f>
        <v>3.9</v>
      </c>
      <c r="O65" s="292">
        <f>IF(O$9='5.Variables'!$B$10,+'5.Variables'!$I25,+IF(O$9='5.Variables'!$B$34,+'5.Variables'!$I49,+IF(O$9='5.Variables'!$B$58,+'5.Variables'!$I64,+IF(O$9='5.Variables'!$B$72,+'5.Variables'!$I78,+IF(O$9='5.Variables'!$B$86,+'5.Variables'!$I92,+IF(O$9='5.Variables'!$B$100,+'5.Variables'!$I106,IF(O$9='5.Variables'!$B$32,+'5.Variables'!$I32,IF(O$9='5.Variables'!$B$56,+'5.Variables'!$I56,0))))))))</f>
        <v>61.8</v>
      </c>
      <c r="P65" s="292">
        <f>IF(P$9='5.Variables'!$B$10,+'5.Variables'!$I25,+IF(P$9='5.Variables'!$B$34,+'5.Variables'!$I49,+IF(P$9='5.Variables'!$B$58,+'5.Variables'!$I64,+IF(P$9='5.Variables'!$B$72,+'5.Variables'!$I78,+IF(P$9='5.Variables'!$B$86,+'5.Variables'!$I92,+IF(P$9='5.Variables'!$B$100,+'5.Variables'!$I106,IF(P$9='5.Variables'!$B$32,+'5.Variables'!$I32,IF(P$9='5.Variables'!$B$56,+'5.Variables'!$I56,0))))))))</f>
        <v>0</v>
      </c>
      <c r="Q65" s="143"/>
      <c r="R65" s="154">
        <v>13276508.256190889</v>
      </c>
      <c r="S65" s="167">
        <f t="shared" si="6"/>
        <v>12227614.887043558</v>
      </c>
      <c r="T65" s="624">
        <f t="shared" si="7"/>
        <v>1.0857807003930704</v>
      </c>
      <c r="U65" s="167">
        <f t="shared" si="8"/>
        <v>13564998.139369851</v>
      </c>
      <c r="V65" s="171"/>
      <c r="W65" s="618"/>
      <c r="X65" s="143"/>
      <c r="Y65" s="148">
        <f t="shared" si="11"/>
        <v>2015</v>
      </c>
      <c r="Z65" s="569">
        <f>SUM(J35:J46)</f>
        <v>137993374.59999999</v>
      </c>
      <c r="AA65" s="568">
        <f t="shared" si="12"/>
        <v>3.0976936826667425E-3</v>
      </c>
      <c r="AB65" s="569">
        <f>SUM(S35:S46)</f>
        <v>137810831.37041879</v>
      </c>
      <c r="AC65" s="568">
        <f>(AB65-AB64)/AB64</f>
        <v>2.8168367439517835E-2</v>
      </c>
      <c r="AD65" s="570">
        <f>V46</f>
        <v>137759492.49652126</v>
      </c>
      <c r="AE65" s="568">
        <f t="shared" si="10"/>
        <v>-1.6948792226922592E-3</v>
      </c>
      <c r="AG65" s="143"/>
      <c r="AH65" s="143"/>
      <c r="AI65" s="143"/>
      <c r="AJ65" s="143"/>
      <c r="AK65" s="143"/>
      <c r="AL65" s="143"/>
      <c r="AM65" s="143"/>
      <c r="AN65" s="143"/>
      <c r="AO65" s="143"/>
      <c r="AP65" s="143"/>
      <c r="AQ65" s="143"/>
    </row>
    <row r="66" spans="1:43" x14ac:dyDescent="0.3">
      <c r="A66" s="339">
        <f t="shared" si="9"/>
        <v>56</v>
      </c>
      <c r="B66" s="166" t="str">
        <f>CONCATENATE('3. Consumption by Rate Class'!B71,"-",'3. Consumption by Rate Class'!C71)</f>
        <v>2017-August</v>
      </c>
      <c r="C66" s="366">
        <v>11325611</v>
      </c>
      <c r="D66" s="154"/>
      <c r="E66" s="366">
        <v>271100</v>
      </c>
      <c r="F66" s="154">
        <v>150452</v>
      </c>
      <c r="G66" s="154"/>
      <c r="H66" s="367"/>
      <c r="I66" s="367"/>
      <c r="J66" s="167">
        <f t="shared" si="5"/>
        <v>11747163</v>
      </c>
      <c r="K66" s="167">
        <f>IF(K$9='5.Variables'!$B$10,+'5.Variables'!$J25,+IF(K$9='5.Variables'!$B$34,+'5.Variables'!$J49,+IF(K$9='5.Variables'!$B$58,+'5.Variables'!$J64,+IF(K$9='5.Variables'!$B$72,+'5.Variables'!$J78,+IF(K$9='5.Variables'!$B$86,+'5.Variables'!$J92,+IF(K$9='5.Variables'!$B$100,+'5.Variables'!$J106,IF(K$9='5.Variables'!$B$32,+'5.Variables'!$J32,IF(K$9='5.Variables'!$B$56,+'5.Variables'!$J56,0))))))))</f>
        <v>13551</v>
      </c>
      <c r="L66" s="292">
        <f>IF(L$9='5.Variables'!$B$10,+'5.Variables'!$J25,+IF(L$9='5.Variables'!$B$34,+'5.Variables'!$J49,+IF(L$9='5.Variables'!$B$58,+'5.Variables'!$J64,+IF(L$9='5.Variables'!$B$72,+'5.Variables'!$J78,+IF(L$9='5.Variables'!$B$86,+'5.Variables'!$J92,+IF(L$9='5.Variables'!$B$100,+'5.Variables'!$J106,IF(L$9='5.Variables'!$B$32,+'5.Variables'!$J32,IF(L$9='5.Variables'!$B$56,+'5.Variables'!$J56,0))))))))</f>
        <v>0</v>
      </c>
      <c r="M66" s="292">
        <f>IF(M$9='5.Variables'!$B$10,+'5.Variables'!$J25,+IF(M$9='5.Variables'!$B$34,+'5.Variables'!$J49,+IF(M$9='5.Variables'!$B$58,+'5.Variables'!$J64,+IF(M$9='5.Variables'!$B$72,+'5.Variables'!$J78,+IF(M$9='5.Variables'!$B$86,+'5.Variables'!$J92,+IF(M$9='5.Variables'!$B$100,+'5.Variables'!$J106,IF(M$9='5.Variables'!$B$32,+'5.Variables'!$J32,IF(M$9='5.Variables'!$B$56,+'5.Variables'!$J56,0))))))))</f>
        <v>31</v>
      </c>
      <c r="N66" s="292">
        <f>IF(N$9='5.Variables'!$B$10,+'5.Variables'!$J25,+IF(N$9='5.Variables'!$B$34,+'5.Variables'!$J49,+IF(N$9='5.Variables'!$B$58,+'5.Variables'!$J64,+IF(N$9='5.Variables'!$B$72,+'5.Variables'!$J78,+IF(N$9='5.Variables'!$B$86,+'5.Variables'!$J92,+IF(N$9='5.Variables'!$B$100,+'5.Variables'!$J106,IF(N$9='5.Variables'!$B$32,+'5.Variables'!$J32,IF(N$9='5.Variables'!$B$56,+'5.Variables'!$J56,0))))))))</f>
        <v>19.3</v>
      </c>
      <c r="O66" s="292">
        <f>IF(O$9='5.Variables'!$B$10,+'5.Variables'!$J25,+IF(O$9='5.Variables'!$B$34,+'5.Variables'!$J49,+IF(O$9='5.Variables'!$B$58,+'5.Variables'!$J64,+IF(O$9='5.Variables'!$B$72,+'5.Variables'!$J78,+IF(O$9='5.Variables'!$B$86,+'5.Variables'!$J92,+IF(O$9='5.Variables'!$B$100,+'5.Variables'!$J106,IF(O$9='5.Variables'!$B$32,+'5.Variables'!$J32,IF(O$9='5.Variables'!$B$56,+'5.Variables'!$J56,0))))))))</f>
        <v>44.6</v>
      </c>
      <c r="P66" s="292">
        <f>IF(P$9='5.Variables'!$B$10,+'5.Variables'!$J25,+IF(P$9='5.Variables'!$B$34,+'5.Variables'!$J49,+IF(P$9='5.Variables'!$B$58,+'5.Variables'!$J64,+IF(P$9='5.Variables'!$B$72,+'5.Variables'!$J78,+IF(P$9='5.Variables'!$B$86,+'5.Variables'!$J92,+IF(P$9='5.Variables'!$B$100,+'5.Variables'!$J106,IF(P$9='5.Variables'!$B$32,+'5.Variables'!$J32,IF(P$9='5.Variables'!$B$56,+'5.Variables'!$J56,0))))))))</f>
        <v>0</v>
      </c>
      <c r="Q66" s="143"/>
      <c r="R66" s="154">
        <v>13056422.895337332</v>
      </c>
      <c r="S66" s="167">
        <f t="shared" si="6"/>
        <v>11702532.899374541</v>
      </c>
      <c r="T66" s="624">
        <f t="shared" si="7"/>
        <v>1.1156920478330936</v>
      </c>
      <c r="U66" s="167">
        <f t="shared" si="8"/>
        <v>13106216.343699148</v>
      </c>
      <c r="V66" s="171"/>
      <c r="W66" s="618"/>
      <c r="X66" s="143"/>
      <c r="Y66" s="148">
        <f t="shared" si="11"/>
        <v>2016</v>
      </c>
      <c r="Z66" s="569">
        <f>SUM(J47:J58)</f>
        <v>137727428.06999999</v>
      </c>
      <c r="AA66" s="568">
        <f t="shared" si="12"/>
        <v>-1.9272412952498459E-3</v>
      </c>
      <c r="AB66" s="569">
        <f>SUM(S47:S58)</f>
        <v>140510561.35024983</v>
      </c>
      <c r="AC66" s="568">
        <f t="shared" ref="AC66:AC72" si="13">(AB66-AB65)/AB65</f>
        <v>1.9590114601184674E-2</v>
      </c>
      <c r="AD66" s="570">
        <f>V58</f>
        <v>137131414.94081908</v>
      </c>
      <c r="AE66" s="568">
        <f t="shared" si="10"/>
        <v>-4.3274831856874897E-3</v>
      </c>
      <c r="AG66" s="143"/>
      <c r="AH66" s="143"/>
      <c r="AI66" s="143"/>
      <c r="AJ66" s="143"/>
      <c r="AK66" s="143"/>
      <c r="AL66" s="143"/>
      <c r="AM66" s="143"/>
      <c r="AN66" s="143"/>
      <c r="AO66" s="143"/>
      <c r="AP66" s="143"/>
      <c r="AQ66" s="143"/>
    </row>
    <row r="67" spans="1:43" x14ac:dyDescent="0.3">
      <c r="A67" s="339">
        <f t="shared" si="9"/>
        <v>57</v>
      </c>
      <c r="B67" s="166" t="str">
        <f>CONCATENATE('3. Consumption by Rate Class'!B72,"-",'3. Consumption by Rate Class'!C72)</f>
        <v>2017-September</v>
      </c>
      <c r="C67" s="366">
        <v>9819996</v>
      </c>
      <c r="D67" s="154"/>
      <c r="E67" s="366">
        <v>254129</v>
      </c>
      <c r="F67" s="154">
        <v>128822</v>
      </c>
      <c r="G67" s="154"/>
      <c r="H67" s="367"/>
      <c r="I67" s="367"/>
      <c r="J67" s="167">
        <f t="shared" si="5"/>
        <v>10202947</v>
      </c>
      <c r="K67" s="167">
        <f>IF(K$9='5.Variables'!$B$10,+'5.Variables'!$K25,+IF(K$9='5.Variables'!$B$34,+'5.Variables'!$K49,+IF(K$9='5.Variables'!$B$58,+'5.Variables'!$K64,+IF(K$9='5.Variables'!$B$72,+'5.Variables'!$K78,+IF(K$9='5.Variables'!$B$86,+'5.Variables'!$K92,+IF(K$9='5.Variables'!$B$100,+'5.Variables'!$K106,IF(K$9='5.Variables'!$B$32,+'5.Variables'!$K32,IF(K$9='5.Variables'!$B$56,+'5.Variables'!$K56,0))))))))</f>
        <v>13567</v>
      </c>
      <c r="L67" s="292">
        <f>IF(L$9='5.Variables'!$B$10,+'5.Variables'!$K25,+IF(L$9='5.Variables'!$B$34,+'5.Variables'!$K49,+IF(L$9='5.Variables'!$B$58,+'5.Variables'!$K64,+IF(L$9='5.Variables'!$B$72,+'5.Variables'!$K78,+IF(L$9='5.Variables'!$B$86,+'5.Variables'!$K92,+IF(L$9='5.Variables'!$B$100,+'5.Variables'!$K106,IF(L$9='5.Variables'!$B$32,+'5.Variables'!$K32,IF(L$9='5.Variables'!$B$56,+'5.Variables'!$K56,0))))))))</f>
        <v>1</v>
      </c>
      <c r="M67" s="292">
        <f>IF(M$9='5.Variables'!$B$10,+'5.Variables'!$K25,+IF(M$9='5.Variables'!$B$34,+'5.Variables'!$K49,+IF(M$9='5.Variables'!$B$58,+'5.Variables'!$K64,+IF(M$9='5.Variables'!$B$72,+'5.Variables'!$K78,+IF(M$9='5.Variables'!$B$86,+'5.Variables'!$K92,+IF(M$9='5.Variables'!$B$100,+'5.Variables'!$K106,IF(M$9='5.Variables'!$B$32,+'5.Variables'!$K32,IF(M$9='5.Variables'!$B$56,+'5.Variables'!$K56,0))))))))</f>
        <v>30</v>
      </c>
      <c r="N67" s="292">
        <f>IF(N$9='5.Variables'!$B$10,+'5.Variables'!$K25,+IF(N$9='5.Variables'!$B$34,+'5.Variables'!$K49,+IF(N$9='5.Variables'!$B$58,+'5.Variables'!$K64,+IF(N$9='5.Variables'!$B$72,+'5.Variables'!$K78,+IF(N$9='5.Variables'!$B$86,+'5.Variables'!$K92,+IF(N$9='5.Variables'!$B$100,+'5.Variables'!$K106,IF(N$9='5.Variables'!$B$32,+'5.Variables'!$K32,IF(N$9='5.Variables'!$B$56,+'5.Variables'!$K56,0))))))))</f>
        <v>69</v>
      </c>
      <c r="O67" s="292">
        <f>IF(O$9='5.Variables'!$B$10,+'5.Variables'!$K25,+IF(O$9='5.Variables'!$B$34,+'5.Variables'!$K49,+IF(O$9='5.Variables'!$B$58,+'5.Variables'!$K64,+IF(O$9='5.Variables'!$B$72,+'5.Variables'!$K78,+IF(O$9='5.Variables'!$B$86,+'5.Variables'!$K92,+IF(O$9='5.Variables'!$B$100,+'5.Variables'!$K106,IF(O$9='5.Variables'!$B$32,+'5.Variables'!$K32,IF(O$9='5.Variables'!$B$56,+'5.Variables'!$K56,0))))))))</f>
        <v>52</v>
      </c>
      <c r="P67" s="292">
        <f>IF(P$9='5.Variables'!$B$10,+'5.Variables'!$K25,+IF(P$9='5.Variables'!$B$34,+'5.Variables'!$K49,+IF(P$9='5.Variables'!$B$58,+'5.Variables'!$K64,+IF(P$9='5.Variables'!$B$72,+'5.Variables'!$K78,+IF(P$9='5.Variables'!$B$86,+'5.Variables'!$K92,+IF(P$9='5.Variables'!$B$100,+'5.Variables'!$K106,IF(P$9='5.Variables'!$B$32,+'5.Variables'!$K32,IF(P$9='5.Variables'!$B$56,+'5.Variables'!$K56,0))))))))</f>
        <v>0</v>
      </c>
      <c r="Q67" s="143"/>
      <c r="R67" s="154">
        <v>10364569.250795925</v>
      </c>
      <c r="S67" s="167">
        <f t="shared" si="6"/>
        <v>11010450.545141416</v>
      </c>
      <c r="T67" s="624">
        <f t="shared" si="7"/>
        <v>0.94133924931614188</v>
      </c>
      <c r="U67" s="167">
        <f t="shared" si="8"/>
        <v>9604434.4697923809</v>
      </c>
      <c r="V67" s="171"/>
      <c r="W67" s="618"/>
      <c r="X67" s="143"/>
      <c r="Y67" s="148">
        <f t="shared" si="11"/>
        <v>2017</v>
      </c>
      <c r="Z67" s="569">
        <f>SUM(J59:J70)</f>
        <v>134234594</v>
      </c>
      <c r="AA67" s="568">
        <f t="shared" si="12"/>
        <v>-2.5360482795226229E-2</v>
      </c>
      <c r="AB67" s="569">
        <f>SUM(S83:S94)</f>
        <v>145115867.00065205</v>
      </c>
      <c r="AC67" s="568">
        <f t="shared" si="13"/>
        <v>3.2775512432283299E-2</v>
      </c>
      <c r="AD67" s="570">
        <f>V70</f>
        <v>136986366.91437399</v>
      </c>
      <c r="AE67" s="568">
        <f t="shared" si="10"/>
        <v>2.0499729856328943E-2</v>
      </c>
      <c r="AG67" s="143"/>
      <c r="AH67" s="143"/>
      <c r="AI67" s="143"/>
      <c r="AJ67" s="143"/>
      <c r="AK67" s="143"/>
      <c r="AL67" s="143"/>
      <c r="AM67" s="143"/>
      <c r="AN67" s="143"/>
      <c r="AO67" s="143"/>
      <c r="AP67" s="143"/>
      <c r="AQ67" s="143"/>
    </row>
    <row r="68" spans="1:43" x14ac:dyDescent="0.3">
      <c r="A68" s="339">
        <f t="shared" si="9"/>
        <v>58</v>
      </c>
      <c r="B68" s="166" t="str">
        <f>CONCATENATE('3. Consumption by Rate Class'!B73,"-",'3. Consumption by Rate Class'!C73)</f>
        <v>2017-October</v>
      </c>
      <c r="C68" s="154">
        <v>9479144</v>
      </c>
      <c r="D68" s="154"/>
      <c r="E68" s="366">
        <v>241185</v>
      </c>
      <c r="F68" s="154">
        <v>85695</v>
      </c>
      <c r="G68" s="154"/>
      <c r="H68" s="367"/>
      <c r="I68" s="367"/>
      <c r="J68" s="167">
        <f t="shared" si="5"/>
        <v>9806024</v>
      </c>
      <c r="K68" s="167">
        <f>IF(K$9='5.Variables'!$B$10,+'5.Variables'!$L25,+IF(K$9='5.Variables'!$B$34,+'5.Variables'!$L49,+IF(K$9='5.Variables'!$B$58,+'5.Variables'!$L64,+IF(K$9='5.Variables'!$B$72,+'5.Variables'!$L78,+IF(K$9='5.Variables'!$B$86,+'5.Variables'!$L92,+IF(K$9='5.Variables'!$B$100,+'5.Variables'!$L106,IF(K$9='5.Variables'!$B$32,+'5.Variables'!$L32,IF(K$9='5.Variables'!$B$56,+'5.Variables'!$L56,0))))))))</f>
        <v>13587</v>
      </c>
      <c r="L68" s="292">
        <f>IF(L$9='5.Variables'!$B$10,+'5.Variables'!$L25,+IF(L$9='5.Variables'!$B$34,+'5.Variables'!$L49,+IF(L$9='5.Variables'!$B$58,+'5.Variables'!$L64,+IF(L$9='5.Variables'!$B$72,+'5.Variables'!$L78,+IF(L$9='5.Variables'!$B$86,+'5.Variables'!$L92,+IF(L$9='5.Variables'!$B$100,+'5.Variables'!$L106,IF(L$9='5.Variables'!$B$32,+'5.Variables'!$L32,IF(L$9='5.Variables'!$B$56,+'5.Variables'!$L56,0))))))))</f>
        <v>1</v>
      </c>
      <c r="M68" s="292">
        <f>IF(M$9='5.Variables'!$B$10,+'5.Variables'!$L25,+IF(M$9='5.Variables'!$B$34,+'5.Variables'!$L49,+IF(M$9='5.Variables'!$B$58,+'5.Variables'!$L64,+IF(M$9='5.Variables'!$B$72,+'5.Variables'!$L78,+IF(M$9='5.Variables'!$B$86,+'5.Variables'!$L92,+IF(M$9='5.Variables'!$B$100,+'5.Variables'!$L106,IF(M$9='5.Variables'!$B$32,+'5.Variables'!$L32,IF(M$9='5.Variables'!$B$56,+'5.Variables'!$L56,0))))))))</f>
        <v>31</v>
      </c>
      <c r="N68" s="292">
        <f>IF(N$9='5.Variables'!$B$10,+'5.Variables'!$L25,+IF(N$9='5.Variables'!$B$34,+'5.Variables'!$L49,+IF(N$9='5.Variables'!$B$58,+'5.Variables'!$L64,+IF(N$9='5.Variables'!$B$72,+'5.Variables'!$L78,+IF(N$9='5.Variables'!$B$86,+'5.Variables'!$L92,+IF(N$9='5.Variables'!$B$100,+'5.Variables'!$L106,IF(N$9='5.Variables'!$B$32,+'5.Variables'!$L32,IF(N$9='5.Variables'!$B$56,+'5.Variables'!$L56,0))))))))</f>
        <v>158.19999999999999</v>
      </c>
      <c r="O68" s="292">
        <f>IF(O$9='5.Variables'!$B$10,+'5.Variables'!$L25,+IF(O$9='5.Variables'!$B$34,+'5.Variables'!$L49,+IF(O$9='5.Variables'!$B$58,+'5.Variables'!$L64,+IF(O$9='5.Variables'!$B$72,+'5.Variables'!$L78,+IF(O$9='5.Variables'!$B$86,+'5.Variables'!$L92,+IF(O$9='5.Variables'!$B$100,+'5.Variables'!$L106,IF(O$9='5.Variables'!$B$32,+'5.Variables'!$L32,IF(O$9='5.Variables'!$B$56,+'5.Variables'!$L56,0))))))))</f>
        <v>5.5</v>
      </c>
      <c r="P68" s="292">
        <f>IF(P$9='5.Variables'!$B$10,+'5.Variables'!$L25,+IF(P$9='5.Variables'!$B$34,+'5.Variables'!$L49,+IF(P$9='5.Variables'!$B$58,+'5.Variables'!$L64,+IF(P$9='5.Variables'!$B$72,+'5.Variables'!$L78,+IF(P$9='5.Variables'!$B$86,+'5.Variables'!$L92,+IF(P$9='5.Variables'!$B$100,+'5.Variables'!$L106,IF(P$9='5.Variables'!$B$32,+'5.Variables'!$L32,IF(P$9='5.Variables'!$B$56,+'5.Variables'!$L56,0))))))))</f>
        <v>0</v>
      </c>
      <c r="Q68" s="143"/>
      <c r="R68" s="154">
        <v>10478157.0835879</v>
      </c>
      <c r="S68" s="167">
        <f t="shared" si="6"/>
        <v>10140152.875230456</v>
      </c>
      <c r="T68" s="624">
        <f t="shared" si="7"/>
        <v>1.0333332458116182</v>
      </c>
      <c r="U68" s="167">
        <f t="shared" si="8"/>
        <v>10132890.608426629</v>
      </c>
      <c r="V68" s="171"/>
      <c r="W68" s="618"/>
      <c r="X68" s="143"/>
      <c r="Y68" s="148">
        <f t="shared" si="11"/>
        <v>2018</v>
      </c>
      <c r="Z68" s="569">
        <f>SUM(J71:J82)</f>
        <v>144593587.54000002</v>
      </c>
      <c r="AA68" s="568">
        <f t="shared" si="12"/>
        <v>7.7170818872518226E-2</v>
      </c>
      <c r="AB68" s="569">
        <f>SUM(S71:S82)</f>
        <v>148650121.79243231</v>
      </c>
      <c r="AC68" s="568">
        <f t="shared" si="13"/>
        <v>2.4354709549193422E-2</v>
      </c>
      <c r="AD68" s="570">
        <f>V82</f>
        <v>140544492.40871233</v>
      </c>
      <c r="AE68" s="568">
        <f t="shared" si="10"/>
        <v>-2.8003282857668649E-2</v>
      </c>
      <c r="AG68" s="143"/>
      <c r="AH68" s="143"/>
      <c r="AI68" s="143"/>
      <c r="AJ68" s="143"/>
      <c r="AK68" s="143"/>
      <c r="AL68" s="143"/>
      <c r="AM68" s="143"/>
      <c r="AN68" s="143"/>
      <c r="AO68" s="143"/>
      <c r="AP68" s="143"/>
      <c r="AQ68" s="143"/>
    </row>
    <row r="69" spans="1:43" x14ac:dyDescent="0.3">
      <c r="A69" s="339">
        <f t="shared" si="9"/>
        <v>59</v>
      </c>
      <c r="B69" s="166" t="str">
        <f>CONCATENATE('3. Consumption by Rate Class'!B74,"-",'3. Consumption by Rate Class'!C74)</f>
        <v>2017-November</v>
      </c>
      <c r="C69" s="154">
        <v>10779432</v>
      </c>
      <c r="D69" s="154"/>
      <c r="E69" s="610">
        <v>210240</v>
      </c>
      <c r="F69" s="154">
        <v>31765</v>
      </c>
      <c r="G69" s="154"/>
      <c r="H69" s="367"/>
      <c r="I69" s="367"/>
      <c r="J69" s="167">
        <f t="shared" si="5"/>
        <v>11021437</v>
      </c>
      <c r="K69" s="167">
        <f>IF(K$9='5.Variables'!$B$10,+'5.Variables'!$M25,+IF(K$9='5.Variables'!$B$34,+'5.Variables'!$M49,+IF(K$9='5.Variables'!$B$58,+'5.Variables'!$M64,+IF(K$9='5.Variables'!$B$72,+'5.Variables'!$M78,+IF(K$9='5.Variables'!$B$86,+'5.Variables'!$M92,+IF(K$9='5.Variables'!$B$100,+'5.Variables'!$M106,IF(K$9='5.Variables'!$B$32,+'5.Variables'!$M32,IF(K$9='5.Variables'!$B$56,+'5.Variables'!$M56,0))))))))</f>
        <v>13607</v>
      </c>
      <c r="L69" s="292">
        <f>IF(L$9='5.Variables'!$B$10,+'5.Variables'!$M25,+IF(L$9='5.Variables'!$B$34,+'5.Variables'!$M49,+IF(L$9='5.Variables'!$B$58,+'5.Variables'!$M64,+IF(L$9='5.Variables'!$B$72,+'5.Variables'!$M78,+IF(L$9='5.Variables'!$B$86,+'5.Variables'!$M92,+IF(L$9='5.Variables'!$B$100,+'5.Variables'!$M106,IF(L$9='5.Variables'!$B$32,+'5.Variables'!$M32,IF(L$9='5.Variables'!$B$56,+'5.Variables'!$M56,0))))))))</f>
        <v>1</v>
      </c>
      <c r="M69" s="292">
        <f>IF(M$9='5.Variables'!$B$10,+'5.Variables'!$M25,+IF(M$9='5.Variables'!$B$34,+'5.Variables'!$M49,+IF(M$9='5.Variables'!$B$58,+'5.Variables'!$M64,+IF(M$9='5.Variables'!$B$72,+'5.Variables'!$M78,+IF(M$9='5.Variables'!$B$86,+'5.Variables'!$M92,+IF(M$9='5.Variables'!$B$100,+'5.Variables'!$M106,IF(M$9='5.Variables'!$B$32,+'5.Variables'!$M32,IF(M$9='5.Variables'!$B$56,+'5.Variables'!$M56,0))))))))</f>
        <v>30</v>
      </c>
      <c r="N69" s="292">
        <f>IF(N$9='5.Variables'!$B$10,+'5.Variables'!$M25,+IF(N$9='5.Variables'!$B$34,+'5.Variables'!$M49,+IF(N$9='5.Variables'!$B$58,+'5.Variables'!$M64,+IF(N$9='5.Variables'!$B$72,+'5.Variables'!$M78,+IF(N$9='5.Variables'!$B$86,+'5.Variables'!$M92,+IF(N$9='5.Variables'!$B$100,+'5.Variables'!$M106,IF(N$9='5.Variables'!$B$32,+'5.Variables'!$M32,IF(N$9='5.Variables'!$B$56,+'5.Variables'!$M56,0))))))))</f>
        <v>444.8</v>
      </c>
      <c r="O69" s="292">
        <f>IF(O$9='5.Variables'!$B$10,+'5.Variables'!$M25,+IF(O$9='5.Variables'!$B$34,+'5.Variables'!$M49,+IF(O$9='5.Variables'!$B$58,+'5.Variables'!$M64,+IF(O$9='5.Variables'!$B$72,+'5.Variables'!$M78,+IF(O$9='5.Variables'!$B$86,+'5.Variables'!$M92,+IF(O$9='5.Variables'!$B$100,+'5.Variables'!$M106,IF(O$9='5.Variables'!$B$32,+'5.Variables'!$M32,IF(O$9='5.Variables'!$B$56,+'5.Variables'!$M56,0))))))))</f>
        <v>0</v>
      </c>
      <c r="P69" s="292">
        <f>IF(P$9='5.Variables'!$B$10,+'5.Variables'!$M25,+IF(P$9='5.Variables'!$B$34,+'5.Variables'!$M49,+IF(P$9='5.Variables'!$B$58,+'5.Variables'!$M64,+IF(P$9='5.Variables'!$B$72,+'5.Variables'!$M78,+IF(P$9='5.Variables'!$B$86,+'5.Variables'!$M92,+IF(P$9='5.Variables'!$B$100,+'5.Variables'!$M106,IF(P$9='5.Variables'!$B$32,+'5.Variables'!$M32,IF(P$9='5.Variables'!$B$56,+'5.Variables'!$M56,0))))))))</f>
        <v>0</v>
      </c>
      <c r="Q69" s="143"/>
      <c r="R69" s="154">
        <v>10990935.252545228</v>
      </c>
      <c r="S69" s="167">
        <f t="shared" si="6"/>
        <v>11170271.130828902</v>
      </c>
      <c r="T69" s="624">
        <f t="shared" si="7"/>
        <v>0.98394525287853363</v>
      </c>
      <c r="U69" s="167">
        <f t="shared" si="8"/>
        <v>10844490.616049826</v>
      </c>
      <c r="V69" s="171"/>
      <c r="W69" s="618"/>
      <c r="X69" s="143"/>
      <c r="Y69" s="148">
        <f t="shared" si="11"/>
        <v>2019</v>
      </c>
      <c r="Z69" s="569">
        <f>SUM(J83:J94)</f>
        <v>144125560.60999998</v>
      </c>
      <c r="AA69" s="568">
        <f t="shared" si="12"/>
        <v>-3.2368443024526458E-3</v>
      </c>
      <c r="AB69" s="569">
        <f>SUM(S83:S94)</f>
        <v>145115867.00065205</v>
      </c>
      <c r="AC69" s="568">
        <f>(AB69-AB68)/AB68</f>
        <v>-2.3775660249477106E-2</v>
      </c>
      <c r="AD69" s="570">
        <f>V94</f>
        <v>145329634.88216186</v>
      </c>
      <c r="AE69" s="568">
        <f t="shared" si="10"/>
        <v>8.3543423322394901E-3</v>
      </c>
      <c r="AG69" s="143"/>
      <c r="AH69" s="143"/>
      <c r="AI69" s="143"/>
      <c r="AJ69" s="143"/>
      <c r="AK69" s="143"/>
      <c r="AL69" s="143"/>
      <c r="AM69" s="143"/>
      <c r="AN69" s="143"/>
      <c r="AO69" s="143"/>
      <c r="AP69" s="143"/>
      <c r="AQ69" s="143"/>
    </row>
    <row r="70" spans="1:43" x14ac:dyDescent="0.3">
      <c r="A70" s="339">
        <f t="shared" si="9"/>
        <v>60</v>
      </c>
      <c r="B70" s="166" t="str">
        <f>CONCATENATE('3. Consumption by Rate Class'!B75,"-",'3. Consumption by Rate Class'!C75)</f>
        <v>2017-December</v>
      </c>
      <c r="C70" s="154">
        <v>13284790</v>
      </c>
      <c r="D70" s="154"/>
      <c r="E70" s="610">
        <v>212344</v>
      </c>
      <c r="F70" s="154">
        <v>12572</v>
      </c>
      <c r="G70" s="154"/>
      <c r="H70" s="367"/>
      <c r="I70" s="367"/>
      <c r="J70" s="167">
        <f t="shared" si="5"/>
        <v>13509706</v>
      </c>
      <c r="K70" s="167">
        <f>IF(K$9='5.Variables'!$B$10,+'5.Variables'!$N25,+IF(K$9='5.Variables'!$B$34,+'5.Variables'!$N49,+IF(K$9='5.Variables'!$B$58,+'5.Variables'!$N64,+IF(K$9='5.Variables'!$B$72,+'5.Variables'!$N78,+IF(K$9='5.Variables'!$B$86,+'5.Variables'!$N92,+IF(K$9='5.Variables'!$B$100,+'5.Variables'!$N106,IF(K$9='5.Variables'!$B$32,+'5.Variables'!$N32,IF(K$9='5.Variables'!$B$56,+'5.Variables'!$N56,0))))))))</f>
        <v>13627</v>
      </c>
      <c r="L70" s="292">
        <f>IF(L$9='5.Variables'!$B$10,+'5.Variables'!$N25,+IF(L$9='5.Variables'!$B$34,+'5.Variables'!$N49,+IF(L$9='5.Variables'!$B$58,+'5.Variables'!$N64,+IF(L$9='5.Variables'!$B$72,+'5.Variables'!$N78,+IF(L$9='5.Variables'!$B$86,+'5.Variables'!$N92,+IF(L$9='5.Variables'!$B$100,+'5.Variables'!$N106,IF(L$9='5.Variables'!$B$32,+'5.Variables'!$N32,IF(L$9='5.Variables'!$B$56,+'5.Variables'!$N56,0))))))))</f>
        <v>0</v>
      </c>
      <c r="M70" s="292">
        <f>IF(M$9='5.Variables'!$B$10,+'5.Variables'!$N25,+IF(M$9='5.Variables'!$B$34,+'5.Variables'!$N49,+IF(M$9='5.Variables'!$B$58,+'5.Variables'!$N64,+IF(M$9='5.Variables'!$B$72,+'5.Variables'!$N78,+IF(M$9='5.Variables'!$B$86,+'5.Variables'!$N92,+IF(M$9='5.Variables'!$B$100,+'5.Variables'!$N106,IF(M$9='5.Variables'!$B$32,+'5.Variables'!$N32,IF(M$9='5.Variables'!$B$56,+'5.Variables'!$N56,0))))))))</f>
        <v>31</v>
      </c>
      <c r="N70" s="292">
        <f>IF(N$9='5.Variables'!$B$10,+'5.Variables'!$N25,+IF(N$9='5.Variables'!$B$34,+'5.Variables'!$N49,+IF(N$9='5.Variables'!$B$58,+'5.Variables'!$N64,+IF(N$9='5.Variables'!$B$72,+'5.Variables'!$N78,+IF(N$9='5.Variables'!$B$86,+'5.Variables'!$N92,+IF(N$9='5.Variables'!$B$100,+'5.Variables'!$N106,IF(N$9='5.Variables'!$B$32,+'5.Variables'!$N32,IF(N$9='5.Variables'!$B$56,+'5.Variables'!$N56,0))))))))</f>
        <v>668.9</v>
      </c>
      <c r="O70" s="292">
        <f>IF(O$9='5.Variables'!$B$10,+'5.Variables'!$N25,+IF(O$9='5.Variables'!$B$34,+'5.Variables'!$N49,+IF(O$9='5.Variables'!$B$58,+'5.Variables'!$N64,+IF(O$9='5.Variables'!$B$72,+'5.Variables'!$N78,+IF(O$9='5.Variables'!$B$86,+'5.Variables'!$N92,+IF(O$9='5.Variables'!$B$100,+'5.Variables'!$N106,IF(O$9='5.Variables'!$B$32,+'5.Variables'!$N32,IF(O$9='5.Variables'!$B$56,+'5.Variables'!$N56,0))))))))</f>
        <v>0</v>
      </c>
      <c r="P70" s="292">
        <f>IF(P$9='5.Variables'!$B$10,+'5.Variables'!$N25,+IF(P$9='5.Variables'!$B$34,+'5.Variables'!$N49,+IF(P$9='5.Variables'!$B$58,+'5.Variables'!$N64,+IF(P$9='5.Variables'!$B$72,+'5.Variables'!$N78,+IF(P$9='5.Variables'!$B$86,+'5.Variables'!$N92,+IF(P$9='5.Variables'!$B$100,+'5.Variables'!$N106,IF(P$9='5.Variables'!$B$32,+'5.Variables'!$N32,IF(P$9='5.Variables'!$B$56,+'5.Variables'!$N56,0))))))))</f>
        <v>0</v>
      </c>
      <c r="Q70" s="143"/>
      <c r="R70" s="154">
        <v>13215915.262967493</v>
      </c>
      <c r="S70" s="167">
        <f t="shared" si="6"/>
        <v>13763301.718580475</v>
      </c>
      <c r="T70" s="624">
        <f t="shared" si="7"/>
        <v>0.96022855076452995</v>
      </c>
      <c r="U70" s="167">
        <f t="shared" si="8"/>
        <v>12972405.413634876</v>
      </c>
      <c r="V70" s="171">
        <f>SUM(U59:U70)</f>
        <v>136986366.91437399</v>
      </c>
      <c r="W70" s="618"/>
      <c r="X70" s="143"/>
      <c r="Y70" s="148">
        <f t="shared" si="11"/>
        <v>2020</v>
      </c>
      <c r="Z70" s="569">
        <f>SUM(J95:J106)</f>
        <v>150603831.59</v>
      </c>
      <c r="AA70" s="568">
        <f t="shared" si="12"/>
        <v>4.4948799869927662E-2</v>
      </c>
      <c r="AB70" s="569">
        <f>SUM(S95:S106)</f>
        <v>150850312.41998374</v>
      </c>
      <c r="AC70" s="568">
        <f t="shared" si="13"/>
        <v>3.9516322631390356E-2</v>
      </c>
      <c r="AD70" s="570">
        <f>V106</f>
        <v>151709224.20613581</v>
      </c>
      <c r="AE70" s="568">
        <f t="shared" si="10"/>
        <v>7.3397376711178122E-3</v>
      </c>
      <c r="AG70" s="143"/>
      <c r="AH70" s="143"/>
      <c r="AI70" s="143"/>
      <c r="AJ70" s="143"/>
      <c r="AK70" s="143"/>
      <c r="AL70" s="143"/>
      <c r="AM70" s="143"/>
      <c r="AN70" s="143"/>
      <c r="AO70" s="143"/>
      <c r="AP70" s="143"/>
      <c r="AQ70" s="143"/>
    </row>
    <row r="71" spans="1:43" x14ac:dyDescent="0.3">
      <c r="A71" s="339">
        <f t="shared" si="9"/>
        <v>61</v>
      </c>
      <c r="B71" s="166" t="str">
        <f>CONCATENATE('3. Consumption by Rate Class'!B76,"-",'3. Consumption by Rate Class'!C76)</f>
        <v>2018-January</v>
      </c>
      <c r="C71" s="154">
        <v>13615938.1</v>
      </c>
      <c r="D71" s="154"/>
      <c r="E71" s="351">
        <v>207205</v>
      </c>
      <c r="F71" s="154">
        <v>22312.67</v>
      </c>
      <c r="G71" s="154"/>
      <c r="H71" s="367"/>
      <c r="I71" s="367"/>
      <c r="J71" s="167">
        <f t="shared" si="5"/>
        <v>13845455.77</v>
      </c>
      <c r="K71" s="167">
        <f>IF(K$9='5.Variables'!$B$10,+'5.Variables'!$C26,+IF(K$9='5.Variables'!$B$34,+'5.Variables'!$C50,+IF(K$9='5.Variables'!$B$58,+'5.Variables'!$C65,+IF(K$9='5.Variables'!$B$72,+'5.Variables'!$C79,+IF(K$9='5.Variables'!$B$86,+'5.Variables'!$C93,+IF(K$9='5.Variables'!$B$100,+'5.Variables'!$C107,IF(K$9='5.Variables'!$B$32,+'5.Variables'!$C32,IF(K$9='5.Variables'!$B$56,+'5.Variables'!$C56,0))))))))</f>
        <v>13641</v>
      </c>
      <c r="L71" s="292">
        <f>IF(L$9='5.Variables'!$B$10,+'5.Variables'!$C26,+IF(L$9='5.Variables'!$B$34,+'5.Variables'!$C50,+IF(L$9='5.Variables'!$B$58,+'5.Variables'!$C65,+IF(L$9='5.Variables'!$B$72,+'5.Variables'!$C79,+IF(L$9='5.Variables'!$B$86,+'5.Variables'!$C93,+IF(L$9='5.Variables'!$B$100,+'5.Variables'!$C107,IF(L$9='5.Variables'!$B$32,+'5.Variables'!$C32,IF(L$9='5.Variables'!$B$56,+'5.Variables'!$C56,0))))))))</f>
        <v>0</v>
      </c>
      <c r="M71" s="292">
        <f>IF(M$9='5.Variables'!$B$10,+'5.Variables'!$C26,+IF(M$9='5.Variables'!$B$34,+'5.Variables'!$C50,+IF(M$9='5.Variables'!$B$58,+'5.Variables'!$C65,+IF(M$9='5.Variables'!$B$72,+'5.Variables'!$C79,+IF(M$9='5.Variables'!$B$86,+'5.Variables'!$C93,+IF(M$9='5.Variables'!$B$100,+'5.Variables'!$C107,IF(M$9='5.Variables'!$B$32,+'5.Variables'!$C32,IF(M$9='5.Variables'!$B$56,+'5.Variables'!$C56,0))))))))</f>
        <v>31</v>
      </c>
      <c r="N71" s="292">
        <f>IF(N$9='5.Variables'!$B$10,+'5.Variables'!$C26,+IF(N$9='5.Variables'!$B$34,+'5.Variables'!$C50,+IF(N$9='5.Variables'!$B$58,+'5.Variables'!$C65,+IF(N$9='5.Variables'!$B$72,+'5.Variables'!$C79,+IF(N$9='5.Variables'!$B$86,+'5.Variables'!$C93,+IF(N$9='5.Variables'!$B$100,+'5.Variables'!$C107,IF(N$9='5.Variables'!$B$32,+'5.Variables'!$C32,IF(N$9='5.Variables'!$B$56,+'5.Variables'!$C56,0))))))))</f>
        <v>671.9</v>
      </c>
      <c r="O71" s="292">
        <f>IF(O$9='5.Variables'!$B$10,+'5.Variables'!$C26,+IF(O$9='5.Variables'!$B$34,+'5.Variables'!$C50,+IF(O$9='5.Variables'!$B$58,+'5.Variables'!$C65,+IF(O$9='5.Variables'!$B$72,+'5.Variables'!$C79,+IF(O$9='5.Variables'!$B$86,+'5.Variables'!$C93,+IF(O$9='5.Variables'!$B$100,+'5.Variables'!$C107,IF(O$9='5.Variables'!$B$32,+'5.Variables'!$C32,IF(O$9='5.Variables'!$B$56,+'5.Variables'!$C56,0))))))))</f>
        <v>0</v>
      </c>
      <c r="P71" s="292">
        <f>IF(P$9='5.Variables'!$B$10,+'5.Variables'!$C26,+IF(P$9='5.Variables'!$B$34,+'5.Variables'!$C50,+IF(P$9='5.Variables'!$B$58,+'5.Variables'!$C65,+IF(P$9='5.Variables'!$B$72,+'5.Variables'!$C79,+IF(P$9='5.Variables'!$B$86,+'5.Variables'!$C93,+IF(P$9='5.Variables'!$B$100,+'5.Variables'!$C107,IF(P$9='5.Variables'!$B$32,+'5.Variables'!$C32,IF(P$9='5.Variables'!$B$56,+'5.Variables'!$C56,0))))))))</f>
        <v>0</v>
      </c>
      <c r="Q71" s="143"/>
      <c r="R71" s="154">
        <v>13981020.960600838</v>
      </c>
      <c r="S71" s="167">
        <f t="shared" si="6"/>
        <v>13793450.943817437</v>
      </c>
      <c r="T71" s="624">
        <f t="shared" si="7"/>
        <v>1.0135984836243952</v>
      </c>
      <c r="U71" s="167">
        <f t="shared" si="8"/>
        <v>14033732.973560633</v>
      </c>
      <c r="V71" s="171"/>
      <c r="W71" s="618"/>
      <c r="X71" s="143"/>
      <c r="Y71" s="148">
        <f t="shared" si="11"/>
        <v>2021</v>
      </c>
      <c r="Z71" s="569">
        <f>SUM(J107:J118)</f>
        <v>154199190.50999999</v>
      </c>
      <c r="AA71" s="568">
        <f t="shared" si="12"/>
        <v>2.3872957826118923E-2</v>
      </c>
      <c r="AB71" s="569">
        <f>SUM(S107:S118)</f>
        <v>150962375.2510975</v>
      </c>
      <c r="AC71" s="568">
        <f t="shared" si="13"/>
        <v>7.4287437205804749E-4</v>
      </c>
      <c r="AD71" s="570">
        <f>V118</f>
        <v>155206961.49635202</v>
      </c>
      <c r="AE71" s="568">
        <f t="shared" si="10"/>
        <v>6.5355141166365035E-3</v>
      </c>
      <c r="AG71" s="143"/>
      <c r="AH71" s="143"/>
      <c r="AI71" s="143"/>
      <c r="AJ71" s="143"/>
      <c r="AK71" s="143"/>
      <c r="AL71" s="143"/>
      <c r="AM71" s="143"/>
      <c r="AN71" s="143"/>
      <c r="AO71" s="143"/>
      <c r="AP71" s="143"/>
      <c r="AQ71" s="143"/>
    </row>
    <row r="72" spans="1:43" x14ac:dyDescent="0.3">
      <c r="A72" s="339">
        <f t="shared" si="9"/>
        <v>62</v>
      </c>
      <c r="B72" s="166" t="str">
        <f>CONCATENATE('3. Consumption by Rate Class'!B77,"-",'3. Consumption by Rate Class'!C77)</f>
        <v>2018-February</v>
      </c>
      <c r="C72" s="154">
        <v>11305661.48</v>
      </c>
      <c r="D72" s="154"/>
      <c r="E72" s="351">
        <v>184265</v>
      </c>
      <c r="F72" s="154">
        <v>38291.980000000003</v>
      </c>
      <c r="G72" s="154"/>
      <c r="H72" s="367"/>
      <c r="I72" s="367"/>
      <c r="J72" s="167">
        <f t="shared" si="5"/>
        <v>11528218.460000001</v>
      </c>
      <c r="K72" s="167">
        <f>IF(K$9='5.Variables'!$B$10,+'5.Variables'!$D26,+IF(K$9='5.Variables'!$B$34,+'5.Variables'!$D50,+IF(K$9='5.Variables'!$B$58,+'5.Variables'!$D65,+IF(K$9='5.Variables'!$B$72,+'5.Variables'!$D79,+IF(K$9='5.Variables'!$B$86,+'5.Variables'!$D93,+IF(K$9='5.Variables'!$B$100,+'5.Variables'!$D107,IF(K$9='5.Variables'!$B$32,+'5.Variables'!$D32,IF(K$9='5.Variables'!$B$56,+'5.Variables'!$D56,0))))))))</f>
        <v>13645</v>
      </c>
      <c r="L72" s="292">
        <f>IF(L$9='5.Variables'!$B$10,+'5.Variables'!$D26,+IF(L$9='5.Variables'!$B$34,+'5.Variables'!$D50,+IF(L$9='5.Variables'!$B$58,+'5.Variables'!$D65,+IF(L$9='5.Variables'!$B$72,+'5.Variables'!$D79,+IF(L$9='5.Variables'!$B$86,+'5.Variables'!$D93,+IF(L$9='5.Variables'!$B$100,+'5.Variables'!$D107,IF(L$9='5.Variables'!$B$32,+'5.Variables'!$D32,IF(L$9='5.Variables'!$B$56,+'5.Variables'!$D56,0))))))))</f>
        <v>0</v>
      </c>
      <c r="M72" s="292">
        <f>IF(M$9='5.Variables'!$B$10,+'5.Variables'!$D26,+IF(M$9='5.Variables'!$B$34,+'5.Variables'!$D50,+IF(M$9='5.Variables'!$B$58,+'5.Variables'!$D65,+IF(M$9='5.Variables'!$B$72,+'5.Variables'!$D79,+IF(M$9='5.Variables'!$B$86,+'5.Variables'!$D93,+IF(M$9='5.Variables'!$B$100,+'5.Variables'!$D107,IF(M$9='5.Variables'!$B$32,+'5.Variables'!$D32,IF(M$9='5.Variables'!$B$56,+'5.Variables'!$D56,0))))))))</f>
        <v>28</v>
      </c>
      <c r="N72" s="292">
        <f>IF(N$9='5.Variables'!$B$10,+'5.Variables'!$D26,+IF(N$9='5.Variables'!$B$34,+'5.Variables'!$D50,+IF(N$9='5.Variables'!$B$58,+'5.Variables'!$D65,+IF(N$9='5.Variables'!$B$72,+'5.Variables'!$D79,+IF(N$9='5.Variables'!$B$86,+'5.Variables'!$D93,+IF(N$9='5.Variables'!$B$100,+'5.Variables'!$D107,IF(N$9='5.Variables'!$B$32,+'5.Variables'!$D32,IF(N$9='5.Variables'!$B$56,+'5.Variables'!$D56,0))))))))</f>
        <v>554.20000000000005</v>
      </c>
      <c r="O72" s="292">
        <f>IF(O$9='5.Variables'!$B$10,+'5.Variables'!$D26,+IF(O$9='5.Variables'!$B$34,+'5.Variables'!$D50,+IF(O$9='5.Variables'!$B$58,+'5.Variables'!$D65,+IF(O$9='5.Variables'!$B$72,+'5.Variables'!$D79,+IF(O$9='5.Variables'!$B$86,+'5.Variables'!$D93,+IF(O$9='5.Variables'!$B$100,+'5.Variables'!$D107,IF(O$9='5.Variables'!$B$32,+'5.Variables'!$D32,IF(O$9='5.Variables'!$B$56,+'5.Variables'!$D56,0))))))))</f>
        <v>0</v>
      </c>
      <c r="P72" s="292">
        <f>IF(P$9='5.Variables'!$B$10,+'5.Variables'!$D26,+IF(P$9='5.Variables'!$B$34,+'5.Variables'!$D50,+IF(P$9='5.Variables'!$B$58,+'5.Variables'!$D65,+IF(P$9='5.Variables'!$B$72,+'5.Variables'!$D79,+IF(P$9='5.Variables'!$B$86,+'5.Variables'!$D93,+IF(P$9='5.Variables'!$B$100,+'5.Variables'!$D107,IF(P$9='5.Variables'!$B$32,+'5.Variables'!$D32,IF(P$9='5.Variables'!$B$56,+'5.Variables'!$D56,0))))))))</f>
        <v>0</v>
      </c>
      <c r="Q72" s="143"/>
      <c r="R72" s="154">
        <v>12387435.862891959</v>
      </c>
      <c r="S72" s="167">
        <f t="shared" si="6"/>
        <v>11849093.784623876</v>
      </c>
      <c r="T72" s="624">
        <f t="shared" si="7"/>
        <v>1.0454331856978523</v>
      </c>
      <c r="U72" s="167">
        <f t="shared" si="8"/>
        <v>12051982.15005859</v>
      </c>
      <c r="V72" s="171"/>
      <c r="W72" s="618"/>
      <c r="X72" s="143"/>
      <c r="Y72" s="148">
        <f t="shared" si="11"/>
        <v>2022</v>
      </c>
      <c r="Z72" s="569">
        <f>SUM(J119:J130)</f>
        <v>157082097.17000002</v>
      </c>
      <c r="AA72" s="568">
        <f t="shared" si="12"/>
        <v>1.8695990883383182E-2</v>
      </c>
      <c r="AB72" s="569">
        <f>SUM(S119:S130)</f>
        <v>154882580.70166948</v>
      </c>
      <c r="AC72" s="568">
        <f t="shared" si="13"/>
        <v>2.596809598452237E-2</v>
      </c>
      <c r="AD72" s="570">
        <f>V130</f>
        <v>157201772.51039681</v>
      </c>
      <c r="AE72" s="568">
        <f t="shared" si="10"/>
        <v>7.6186492638479766E-4</v>
      </c>
      <c r="AG72" s="143"/>
      <c r="AH72" s="143"/>
      <c r="AI72" s="143"/>
      <c r="AJ72" s="143"/>
      <c r="AK72" s="143"/>
      <c r="AL72" s="143"/>
      <c r="AM72" s="143"/>
      <c r="AN72" s="143"/>
      <c r="AO72" s="143"/>
      <c r="AP72" s="143"/>
      <c r="AQ72" s="143"/>
    </row>
    <row r="73" spans="1:43" x14ac:dyDescent="0.3">
      <c r="A73" s="339">
        <f t="shared" si="9"/>
        <v>63</v>
      </c>
      <c r="B73" s="166" t="str">
        <f>CONCATENATE('3. Consumption by Rate Class'!B78,"-",'3. Consumption by Rate Class'!C78)</f>
        <v>2018-March</v>
      </c>
      <c r="C73" s="154">
        <v>11582097.93</v>
      </c>
      <c r="D73" s="154"/>
      <c r="E73" s="351">
        <v>204885</v>
      </c>
      <c r="F73" s="154">
        <v>153070.38</v>
      </c>
      <c r="G73" s="154"/>
      <c r="H73" s="367"/>
      <c r="I73" s="367"/>
      <c r="J73" s="167">
        <f t="shared" si="5"/>
        <v>11940053.310000001</v>
      </c>
      <c r="K73" s="167">
        <f>IF(K$9='5.Variables'!$B$10,+'5.Variables'!$E26,+IF(K$9='5.Variables'!$B$34,+'5.Variables'!$E50,+IF(K$9='5.Variables'!$B$58,+'5.Variables'!$E65,+IF(K$9='5.Variables'!$B$72,+'5.Variables'!$E79,+IF(K$9='5.Variables'!$B$86,+'5.Variables'!$E93,+IF(K$9='5.Variables'!$B$100,+'5.Variables'!$E107,IF(K$9='5.Variables'!$B$32,+'5.Variables'!$E32,IF(K$9='5.Variables'!$B$56,+'5.Variables'!$E56,0))))))))</f>
        <v>13654</v>
      </c>
      <c r="L73" s="292">
        <f>IF(L$9='5.Variables'!$B$10,+'5.Variables'!$E26,+IF(L$9='5.Variables'!$B$34,+'5.Variables'!$E50,+IF(L$9='5.Variables'!$B$58,+'5.Variables'!$E65,+IF(L$9='5.Variables'!$B$72,+'5.Variables'!$E79,+IF(L$9='5.Variables'!$B$86,+'5.Variables'!$E93,+IF(L$9='5.Variables'!$B$100,+'5.Variables'!$E107,IF(L$9='5.Variables'!$B$32,+'5.Variables'!$E32,IF(L$9='5.Variables'!$B$56,+'5.Variables'!$E56,0))))))))</f>
        <v>1</v>
      </c>
      <c r="M73" s="292">
        <f>IF(M$9='5.Variables'!$B$10,+'5.Variables'!$E26,+IF(M$9='5.Variables'!$B$34,+'5.Variables'!$E50,+IF(M$9='5.Variables'!$B$58,+'5.Variables'!$E65,+IF(M$9='5.Variables'!$B$72,+'5.Variables'!$E79,+IF(M$9='5.Variables'!$B$86,+'5.Variables'!$E93,+IF(M$9='5.Variables'!$B$100,+'5.Variables'!$E107,IF(M$9='5.Variables'!$B$32,+'5.Variables'!$E32,IF(M$9='5.Variables'!$B$56,+'5.Variables'!$E56,0))))))))</f>
        <v>31</v>
      </c>
      <c r="N73" s="292">
        <f>IF(N$9='5.Variables'!$B$10,+'5.Variables'!$E26,+IF(N$9='5.Variables'!$B$34,+'5.Variables'!$E50,+IF(N$9='5.Variables'!$B$58,+'5.Variables'!$E65,+IF(N$9='5.Variables'!$B$72,+'5.Variables'!$E79,+IF(N$9='5.Variables'!$B$86,+'5.Variables'!$E93,+IF(N$9='5.Variables'!$B$100,+'5.Variables'!$E107,IF(N$9='5.Variables'!$B$32,+'5.Variables'!$E32,IF(N$9='5.Variables'!$B$56,+'5.Variables'!$E56,0))))))))</f>
        <v>559.29999999999995</v>
      </c>
      <c r="O73" s="292">
        <f>IF(O$9='5.Variables'!$B$10,+'5.Variables'!$E26,+IF(O$9='5.Variables'!$B$34,+'5.Variables'!$E50,+IF(O$9='5.Variables'!$B$58,+'5.Variables'!$E65,+IF(O$9='5.Variables'!$B$72,+'5.Variables'!$E79,+IF(O$9='5.Variables'!$B$86,+'5.Variables'!$E93,+IF(O$9='5.Variables'!$B$100,+'5.Variables'!$E107,IF(O$9='5.Variables'!$B$32,+'5.Variables'!$E32,IF(O$9='5.Variables'!$B$56,+'5.Variables'!$E56,0))))))))</f>
        <v>0</v>
      </c>
      <c r="P73" s="292">
        <f>IF(P$9='5.Variables'!$B$10,+'5.Variables'!$E26,+IF(P$9='5.Variables'!$B$34,+'5.Variables'!$E50,+IF(P$9='5.Variables'!$B$58,+'5.Variables'!$E65,+IF(P$9='5.Variables'!$B$72,+'5.Variables'!$E79,+IF(P$9='5.Variables'!$B$86,+'5.Variables'!$E93,+IF(P$9='5.Variables'!$B$100,+'5.Variables'!$E107,IF(P$9='5.Variables'!$B$32,+'5.Variables'!$E32,IF(P$9='5.Variables'!$B$56,+'5.Variables'!$E56,0))))))))</f>
        <v>0</v>
      </c>
      <c r="Q73" s="143"/>
      <c r="R73" s="154">
        <v>12350728.199272281</v>
      </c>
      <c r="S73" s="167">
        <f t="shared" si="6"/>
        <v>12296404.327703869</v>
      </c>
      <c r="T73" s="624">
        <f t="shared" si="7"/>
        <v>1.0044178664039227</v>
      </c>
      <c r="U73" s="167">
        <f t="shared" si="8"/>
        <v>11992802.870379295</v>
      </c>
      <c r="V73" s="171"/>
      <c r="W73" s="618"/>
      <c r="X73" s="143"/>
      <c r="Y73" s="143"/>
      <c r="Z73" s="174"/>
      <c r="AA73" s="30"/>
      <c r="AB73" s="174"/>
      <c r="AC73" s="175"/>
      <c r="AD73" s="144"/>
      <c r="AE73" s="144"/>
      <c r="AF73" s="143"/>
      <c r="AG73" s="143"/>
      <c r="AH73" s="143"/>
      <c r="AI73" s="143"/>
      <c r="AJ73" s="143"/>
      <c r="AK73" s="143"/>
      <c r="AL73" s="143"/>
      <c r="AM73" s="143"/>
      <c r="AN73" s="143"/>
      <c r="AO73" s="143"/>
      <c r="AP73" s="143"/>
      <c r="AQ73" s="143"/>
    </row>
    <row r="74" spans="1:43" x14ac:dyDescent="0.3">
      <c r="A74" s="339">
        <f t="shared" si="9"/>
        <v>64</v>
      </c>
      <c r="B74" s="166" t="str">
        <f>CONCATENATE('3. Consumption by Rate Class'!B79,"-",'3. Consumption by Rate Class'!C79)</f>
        <v>2018-April</v>
      </c>
      <c r="C74" s="154">
        <v>10730509.539999999</v>
      </c>
      <c r="D74" s="154"/>
      <c r="E74" s="351">
        <v>197149</v>
      </c>
      <c r="F74" s="154">
        <v>141724.07</v>
      </c>
      <c r="G74" s="154"/>
      <c r="H74" s="367"/>
      <c r="I74" s="367"/>
      <c r="J74" s="167">
        <f t="shared" si="5"/>
        <v>11069382.609999999</v>
      </c>
      <c r="K74" s="167">
        <f>IF(K$9='5.Variables'!$B$10,+'5.Variables'!$F26,+IF(K$9='5.Variables'!$B$34,+'5.Variables'!$F50,+IF(K$9='5.Variables'!$B$58,+'5.Variables'!$F65,+IF(K$9='5.Variables'!$B$72,+'5.Variables'!$F79,+IF(K$9='5.Variables'!$B$86,+'5.Variables'!$F93,+IF(K$9='5.Variables'!$B$100,+'5.Variables'!$F107,IF(K$9='5.Variables'!$B$32,+'5.Variables'!$F32,IF(K$9='5.Variables'!$B$56,+'5.Variables'!$F56,0))))))))</f>
        <v>13692</v>
      </c>
      <c r="L74" s="292">
        <f>IF(L$9='5.Variables'!$B$10,+'5.Variables'!$F26,+IF(L$9='5.Variables'!$B$34,+'5.Variables'!$F50,+IF(L$9='5.Variables'!$B$58,+'5.Variables'!$F65,+IF(L$9='5.Variables'!$B$72,+'5.Variables'!$F79,+IF(L$9='5.Variables'!$B$86,+'5.Variables'!$F93,+IF(L$9='5.Variables'!$B$100,+'5.Variables'!$F107,IF(L$9='5.Variables'!$B$32,+'5.Variables'!$F32,IF(L$9='5.Variables'!$B$56,+'5.Variables'!$F56,0))))))))</f>
        <v>1</v>
      </c>
      <c r="M74" s="292">
        <f>IF(M$9='5.Variables'!$B$10,+'5.Variables'!$F26,+IF(M$9='5.Variables'!$B$34,+'5.Variables'!$F50,+IF(M$9='5.Variables'!$B$58,+'5.Variables'!$F65,+IF(M$9='5.Variables'!$B$72,+'5.Variables'!$F79,+IF(M$9='5.Variables'!$B$86,+'5.Variables'!$F93,+IF(M$9='5.Variables'!$B$100,+'5.Variables'!$F107,IF(M$9='5.Variables'!$B$32,+'5.Variables'!$F32,IF(M$9='5.Variables'!$B$56,+'5.Variables'!$F56,0))))))))</f>
        <v>30</v>
      </c>
      <c r="N74" s="292">
        <f>IF(N$9='5.Variables'!$B$10,+'5.Variables'!$F26,+IF(N$9='5.Variables'!$B$34,+'5.Variables'!$F50,+IF(N$9='5.Variables'!$B$58,+'5.Variables'!$F65,+IF(N$9='5.Variables'!$B$72,+'5.Variables'!$F79,+IF(N$9='5.Variables'!$B$86,+'5.Variables'!$F93,+IF(N$9='5.Variables'!$B$100,+'5.Variables'!$F107,IF(N$9='5.Variables'!$B$32,+'5.Variables'!$F32,IF(N$9='5.Variables'!$B$56,+'5.Variables'!$F56,0))))))))</f>
        <v>472.4</v>
      </c>
      <c r="O74" s="292">
        <f>IF(O$9='5.Variables'!$B$10,+'5.Variables'!$F26,+IF(O$9='5.Variables'!$B$34,+'5.Variables'!$F50,+IF(O$9='5.Variables'!$B$58,+'5.Variables'!$F65,+IF(O$9='5.Variables'!$B$72,+'5.Variables'!$F79,+IF(O$9='5.Variables'!$B$86,+'5.Variables'!$F93,+IF(O$9='5.Variables'!$B$100,+'5.Variables'!$F107,IF(O$9='5.Variables'!$B$32,+'5.Variables'!$F32,IF(O$9='5.Variables'!$B$56,+'5.Variables'!$F56,0))))))))</f>
        <v>0</v>
      </c>
      <c r="P74" s="292">
        <f>IF(P$9='5.Variables'!$B$10,+'5.Variables'!$F26,+IF(P$9='5.Variables'!$B$34,+'5.Variables'!$F50,+IF(P$9='5.Variables'!$B$58,+'5.Variables'!$F65,+IF(P$9='5.Variables'!$B$72,+'5.Variables'!$F79,+IF(P$9='5.Variables'!$B$86,+'5.Variables'!$F93,+IF(P$9='5.Variables'!$B$100,+'5.Variables'!$F107,IF(P$9='5.Variables'!$B$32,+'5.Variables'!$F32,IF(P$9='5.Variables'!$B$56,+'5.Variables'!$F56,0))))))))</f>
        <v>0</v>
      </c>
      <c r="Q74" s="143"/>
      <c r="R74" s="154">
        <v>10856461.105507063</v>
      </c>
      <c r="S74" s="167">
        <f t="shared" si="6"/>
        <v>11407388.750983257</v>
      </c>
      <c r="T74" s="624">
        <f t="shared" si="7"/>
        <v>0.95170431572881153</v>
      </c>
      <c r="U74" s="167">
        <f t="shared" si="8"/>
        <v>10534779.202390455</v>
      </c>
      <c r="V74" s="171"/>
      <c r="W74" s="618"/>
      <c r="X74" s="143"/>
      <c r="Y74" s="147" t="s">
        <v>33</v>
      </c>
      <c r="Z74" s="147" t="s">
        <v>235</v>
      </c>
      <c r="AA74" s="147" t="s">
        <v>234</v>
      </c>
      <c r="AB74" s="147" t="s">
        <v>31</v>
      </c>
      <c r="AC74" s="30"/>
      <c r="AD74" s="144"/>
      <c r="AE74" s="144"/>
      <c r="AF74" s="143"/>
      <c r="AG74" s="143"/>
      <c r="AH74" s="143"/>
      <c r="AI74" s="143"/>
      <c r="AJ74" s="143"/>
      <c r="AK74" s="143"/>
      <c r="AL74" s="143"/>
      <c r="AM74" s="143"/>
      <c r="AN74" s="143"/>
      <c r="AO74" s="143"/>
      <c r="AP74" s="143"/>
      <c r="AQ74" s="143"/>
    </row>
    <row r="75" spans="1:43" x14ac:dyDescent="0.3">
      <c r="A75" s="339">
        <f t="shared" si="9"/>
        <v>65</v>
      </c>
      <c r="B75" s="166" t="str">
        <f>CONCATENATE('3. Consumption by Rate Class'!B80,"-",'3. Consumption by Rate Class'!C80)</f>
        <v>2018-May</v>
      </c>
      <c r="C75" s="154">
        <v>9875377.0999999996</v>
      </c>
      <c r="D75" s="154"/>
      <c r="E75" s="351">
        <v>233124</v>
      </c>
      <c r="F75" s="154">
        <v>245863.78</v>
      </c>
      <c r="G75" s="154"/>
      <c r="H75" s="367"/>
      <c r="I75" s="367"/>
      <c r="J75" s="167">
        <f t="shared" ref="J75:J106" si="14">SUM(C75:I75)</f>
        <v>10354364.879999999</v>
      </c>
      <c r="K75" s="167">
        <f>IF(K$9='5.Variables'!$B$10,+'5.Variables'!$G26,+IF(K$9='5.Variables'!$B$34,+'5.Variables'!$G50,+IF(K$9='5.Variables'!$B$58,+'5.Variables'!$G65,+IF(K$9='5.Variables'!$B$72,+'5.Variables'!$G79,+IF(K$9='5.Variables'!$B$86,+'5.Variables'!$G93,+IF(K$9='5.Variables'!$B$100,+'5.Variables'!$G107,IF(K$9='5.Variables'!$B$32,+'5.Variables'!$G32,IF(K$9='5.Variables'!$B$56,+'5.Variables'!$G56,0))))))))</f>
        <v>13724</v>
      </c>
      <c r="L75" s="292">
        <f>IF(L$9='5.Variables'!$B$10,+'5.Variables'!$G26,+IF(L$9='5.Variables'!$B$34,+'5.Variables'!$G50,+IF(L$9='5.Variables'!$B$58,+'5.Variables'!$G65,+IF(L$9='5.Variables'!$B$72,+'5.Variables'!$G79,+IF(L$9='5.Variables'!$B$86,+'5.Variables'!$G93,+IF(L$9='5.Variables'!$B$100,+'5.Variables'!$G107,IF(L$9='5.Variables'!$B$32,+'5.Variables'!$G32,IF(L$9='5.Variables'!$B$56,+'5.Variables'!$G56,0))))))))</f>
        <v>1</v>
      </c>
      <c r="M75" s="292">
        <f>IF(M$9='5.Variables'!$B$10,+'5.Variables'!$G26,+IF(M$9='5.Variables'!$B$34,+'5.Variables'!$G50,+IF(M$9='5.Variables'!$B$58,+'5.Variables'!$G65,+IF(M$9='5.Variables'!$B$72,+'5.Variables'!$G79,+IF(M$9='5.Variables'!$B$86,+'5.Variables'!$G93,+IF(M$9='5.Variables'!$B$100,+'5.Variables'!$G107,IF(M$9='5.Variables'!$B$32,+'5.Variables'!$G32,IF(M$9='5.Variables'!$B$56,+'5.Variables'!$G56,0))))))))</f>
        <v>31</v>
      </c>
      <c r="N75" s="292">
        <f>IF(N$9='5.Variables'!$B$10,+'5.Variables'!$G26,+IF(N$9='5.Variables'!$B$34,+'5.Variables'!$G50,+IF(N$9='5.Variables'!$B$58,+'5.Variables'!$G65,+IF(N$9='5.Variables'!$B$72,+'5.Variables'!$G79,+IF(N$9='5.Variables'!$B$86,+'5.Variables'!$G93,+IF(N$9='5.Variables'!$B$100,+'5.Variables'!$G107,IF(N$9='5.Variables'!$B$32,+'5.Variables'!$G32,IF(N$9='5.Variables'!$B$56,+'5.Variables'!$G56,0))))))))</f>
        <v>138.80000000000001</v>
      </c>
      <c r="O75" s="292">
        <f>IF(O$9='5.Variables'!$B$10,+'5.Variables'!$G26,+IF(O$9='5.Variables'!$B$34,+'5.Variables'!$G50,+IF(O$9='5.Variables'!$B$58,+'5.Variables'!$G65,+IF(O$9='5.Variables'!$B$72,+'5.Variables'!$G79,+IF(O$9='5.Variables'!$B$86,+'5.Variables'!$G93,+IF(O$9='5.Variables'!$B$100,+'5.Variables'!$G107,IF(O$9='5.Variables'!$B$32,+'5.Variables'!$G32,IF(O$9='5.Variables'!$B$56,+'5.Variables'!$G56,0))))))))</f>
        <v>26.8</v>
      </c>
      <c r="P75" s="292">
        <f>IF(P$9='5.Variables'!$B$10,+'5.Variables'!$G26,+IF(P$9='5.Variables'!$B$34,+'5.Variables'!$G50,+IF(P$9='5.Variables'!$B$58,+'5.Variables'!$G65,+IF(P$9='5.Variables'!$B$72,+'5.Variables'!$G79,+IF(P$9='5.Variables'!$B$86,+'5.Variables'!$G93,+IF(P$9='5.Variables'!$B$100,+'5.Variables'!$G107,IF(P$9='5.Variables'!$B$32,+'5.Variables'!$G32,IF(P$9='5.Variables'!$B$56,+'5.Variables'!$G56,0))))))))</f>
        <v>0</v>
      </c>
      <c r="Q75" s="143"/>
      <c r="R75" s="154">
        <v>10852643.596321367</v>
      </c>
      <c r="S75" s="167">
        <f t="shared" ref="S75:S106" si="15">$Y$25+($K75*$Y$26)+($L75*$Y$27)+($M75*$Y$28)+($N75*$Y$29)+($O75*$Y$30)+($P75*$Y$31)</f>
        <v>10990672.679346306</v>
      </c>
      <c r="T75" s="624">
        <f t="shared" ref="T75:T106" si="16">+R75/S75</f>
        <v>0.98744125250092074</v>
      </c>
      <c r="U75" s="167">
        <f t="shared" ref="U75:U106" si="17">+T75*J75</f>
        <v>10224327.025958745</v>
      </c>
      <c r="V75" s="171"/>
      <c r="W75" s="618"/>
      <c r="X75" s="143"/>
      <c r="Y75" s="148">
        <f>'4. Customer Growth'!B9</f>
        <v>2013</v>
      </c>
      <c r="Z75" s="536">
        <f>Z63</f>
        <v>136652392.50999999</v>
      </c>
      <c r="AA75" s="536">
        <f t="shared" ref="AA75:AA83" si="18">+AB63</f>
        <v>133029221.32035881</v>
      </c>
      <c r="AB75" s="173">
        <f t="shared" ref="AB75:AB84" si="19">IF(ABS(Z75-AA75)=0,0,ABS(Z75-AA75)/Z75)</f>
        <v>2.6513777937521583E-2</v>
      </c>
      <c r="AC75" s="30"/>
      <c r="AD75" s="144"/>
      <c r="AE75" s="144"/>
      <c r="AF75" s="143"/>
      <c r="AG75" s="143"/>
      <c r="AH75" s="143"/>
      <c r="AI75" s="143"/>
      <c r="AJ75" s="143"/>
      <c r="AK75" s="143"/>
      <c r="AL75" s="143"/>
      <c r="AM75" s="143"/>
      <c r="AN75" s="143"/>
      <c r="AO75" s="143"/>
      <c r="AP75" s="143"/>
      <c r="AQ75" s="143"/>
    </row>
    <row r="76" spans="1:43" x14ac:dyDescent="0.3">
      <c r="A76" s="339">
        <f t="shared" si="9"/>
        <v>66</v>
      </c>
      <c r="B76" s="166" t="str">
        <f>CONCATENATE('3. Consumption by Rate Class'!B81,"-",'3. Consumption by Rate Class'!C81)</f>
        <v>2018-June</v>
      </c>
      <c r="C76" s="154">
        <v>10350680.970000001</v>
      </c>
      <c r="D76" s="154"/>
      <c r="E76" s="351">
        <v>238013</v>
      </c>
      <c r="F76" s="154">
        <v>238712.53</v>
      </c>
      <c r="G76" s="154"/>
      <c r="H76" s="367"/>
      <c r="I76" s="367"/>
      <c r="J76" s="167">
        <f t="shared" si="14"/>
        <v>10827406.5</v>
      </c>
      <c r="K76" s="167">
        <f>IF(K$9='5.Variables'!$B$10,+'5.Variables'!$H26,+IF(K$9='5.Variables'!$B$34,+'5.Variables'!$H50,+IF(K$9='5.Variables'!$B$58,+'5.Variables'!$H65,+IF(K$9='5.Variables'!$B$72,+'5.Variables'!$H79,+IF(K$9='5.Variables'!$B$86,+'5.Variables'!$H93,+IF(K$9='5.Variables'!$B$100,+'5.Variables'!$H107,IF(K$9='5.Variables'!$B$32,+'5.Variables'!$H32,IF(K$9='5.Variables'!$B$56,+'5.Variables'!$H56,0))))))))</f>
        <v>13761</v>
      </c>
      <c r="L76" s="292">
        <f>IF(L$9='5.Variables'!$B$10,+'5.Variables'!$H26,+IF(L$9='5.Variables'!$B$34,+'5.Variables'!$H50,+IF(L$9='5.Variables'!$B$58,+'5.Variables'!$H65,+IF(L$9='5.Variables'!$B$72,+'5.Variables'!$H79,+IF(L$9='5.Variables'!$B$86,+'5.Variables'!$H93,+IF(L$9='5.Variables'!$B$100,+'5.Variables'!$H107,IF(L$9='5.Variables'!$B$32,+'5.Variables'!$H32,IF(L$9='5.Variables'!$B$56,+'5.Variables'!$H56,0))))))))</f>
        <v>0</v>
      </c>
      <c r="M76" s="292">
        <f>IF(M$9='5.Variables'!$B$10,+'5.Variables'!$H26,+IF(M$9='5.Variables'!$B$34,+'5.Variables'!$H50,+IF(M$9='5.Variables'!$B$58,+'5.Variables'!$H65,+IF(M$9='5.Variables'!$B$72,+'5.Variables'!$H79,+IF(M$9='5.Variables'!$B$86,+'5.Variables'!$H93,+IF(M$9='5.Variables'!$B$100,+'5.Variables'!$H107,IF(M$9='5.Variables'!$B$32,+'5.Variables'!$H32,IF(M$9='5.Variables'!$B$56,+'5.Variables'!$H56,0))))))))</f>
        <v>30</v>
      </c>
      <c r="N76" s="292">
        <f>IF(N$9='5.Variables'!$B$10,+'5.Variables'!$H26,+IF(N$9='5.Variables'!$B$34,+'5.Variables'!$H50,+IF(N$9='5.Variables'!$B$58,+'5.Variables'!$H65,+IF(N$9='5.Variables'!$B$72,+'5.Variables'!$H79,+IF(N$9='5.Variables'!$B$86,+'5.Variables'!$H93,+IF(N$9='5.Variables'!$B$100,+'5.Variables'!$H107,IF(N$9='5.Variables'!$B$32,+'5.Variables'!$H32,IF(N$9='5.Variables'!$B$56,+'5.Variables'!$H56,0))))))))</f>
        <v>66.400000000000006</v>
      </c>
      <c r="O76" s="292">
        <f>IF(O$9='5.Variables'!$B$10,+'5.Variables'!$H26,+IF(O$9='5.Variables'!$B$34,+'5.Variables'!$H50,+IF(O$9='5.Variables'!$B$58,+'5.Variables'!$H65,+IF(O$9='5.Variables'!$B$72,+'5.Variables'!$H79,+IF(O$9='5.Variables'!$B$86,+'5.Variables'!$H93,+IF(O$9='5.Variables'!$B$100,+'5.Variables'!$H107,IF(O$9='5.Variables'!$B$32,+'5.Variables'!$H32,IF(O$9='5.Variables'!$B$56,+'5.Variables'!$H56,0))))))))</f>
        <v>31.4</v>
      </c>
      <c r="P76" s="292">
        <f>IF(P$9='5.Variables'!$B$10,+'5.Variables'!$H26,+IF(P$9='5.Variables'!$B$34,+'5.Variables'!$H50,+IF(P$9='5.Variables'!$B$58,+'5.Variables'!$H65,+IF(P$9='5.Variables'!$B$72,+'5.Variables'!$H79,+IF(P$9='5.Variables'!$B$86,+'5.Variables'!$H93,+IF(P$9='5.Variables'!$B$100,+'5.Variables'!$H107,IF(P$9='5.Variables'!$B$32,+'5.Variables'!$H32,IF(P$9='5.Variables'!$B$56,+'5.Variables'!$H56,0))))))))</f>
        <v>0</v>
      </c>
      <c r="Q76" s="143"/>
      <c r="R76" s="154">
        <v>11403751.967884211</v>
      </c>
      <c r="S76" s="167">
        <f t="shared" si="15"/>
        <v>11225226.590878071</v>
      </c>
      <c r="T76" s="624">
        <f t="shared" si="16"/>
        <v>1.0159039441708209</v>
      </c>
      <c r="U76" s="167">
        <f t="shared" si="17"/>
        <v>10999604.968490783</v>
      </c>
      <c r="V76" s="171"/>
      <c r="W76" s="618"/>
      <c r="X76" s="143"/>
      <c r="Y76" s="148">
        <f>'4. Customer Growth'!B10</f>
        <v>2014</v>
      </c>
      <c r="Z76" s="536">
        <f t="shared" ref="Z76:Z83" si="20">Z64</f>
        <v>137567233.44999999</v>
      </c>
      <c r="AA76" s="536">
        <f t="shared" si="18"/>
        <v>134035276.45342146</v>
      </c>
      <c r="AB76" s="173">
        <f t="shared" si="19"/>
        <v>2.5674405946836534E-2</v>
      </c>
      <c r="AC76" s="30"/>
      <c r="AD76" s="737"/>
      <c r="AE76" s="144"/>
      <c r="AF76" s="143"/>
      <c r="AG76" s="143"/>
      <c r="AH76" s="143"/>
      <c r="AI76" s="143"/>
      <c r="AJ76" s="143"/>
      <c r="AK76" s="143"/>
      <c r="AL76" s="143"/>
      <c r="AM76" s="143"/>
      <c r="AN76" s="143"/>
      <c r="AO76" s="143"/>
      <c r="AP76" s="143"/>
      <c r="AQ76" s="143"/>
    </row>
    <row r="77" spans="1:43" x14ac:dyDescent="0.3">
      <c r="A77" s="339">
        <f t="shared" ref="A77:A140" si="21">+A76+1</f>
        <v>67</v>
      </c>
      <c r="B77" s="166" t="str">
        <f>CONCATENATE('3. Consumption by Rate Class'!B82,"-",'3. Consumption by Rate Class'!C82)</f>
        <v>2018-July</v>
      </c>
      <c r="C77" s="154">
        <v>13689624.529999999</v>
      </c>
      <c r="D77" s="154"/>
      <c r="E77" s="351">
        <v>276598</v>
      </c>
      <c r="F77" s="154">
        <v>249198.27</v>
      </c>
      <c r="G77" s="154"/>
      <c r="H77" s="367"/>
      <c r="I77" s="367"/>
      <c r="J77" s="167">
        <f t="shared" si="14"/>
        <v>14215420.799999999</v>
      </c>
      <c r="K77" s="167">
        <f>IF(K$9='5.Variables'!$B$10,+'5.Variables'!$I26,+IF(K$9='5.Variables'!$B$34,+'5.Variables'!$I50,+IF(K$9='5.Variables'!$B$58,+'5.Variables'!$I65,+IF(K$9='5.Variables'!$B$72,+'5.Variables'!$I79,+IF(K$9='5.Variables'!$B$86,+'5.Variables'!$I93,+IF(K$9='5.Variables'!$B$100,+'5.Variables'!$I107,IF(K$9='5.Variables'!$B$32,+'5.Variables'!$I32,IF(K$9='5.Variables'!$B$56,+'5.Variables'!$I56,0))))))))</f>
        <v>13761</v>
      </c>
      <c r="L77" s="292">
        <f>IF(L$9='5.Variables'!$B$10,+'5.Variables'!$I26,+IF(L$9='5.Variables'!$B$34,+'5.Variables'!$I50,+IF(L$9='5.Variables'!$B$58,+'5.Variables'!$I65,+IF(L$9='5.Variables'!$B$72,+'5.Variables'!$I79,+IF(L$9='5.Variables'!$B$86,+'5.Variables'!$I93,+IF(L$9='5.Variables'!$B$100,+'5.Variables'!$I107,IF(L$9='5.Variables'!$B$32,+'5.Variables'!$I32,IF(L$9='5.Variables'!$B$56,+'5.Variables'!$I56,0))))))))</f>
        <v>0</v>
      </c>
      <c r="M77" s="292">
        <f>IF(M$9='5.Variables'!$B$10,+'5.Variables'!$I26,+IF(M$9='5.Variables'!$B$34,+'5.Variables'!$I50,+IF(M$9='5.Variables'!$B$58,+'5.Variables'!$I65,+IF(M$9='5.Variables'!$B$72,+'5.Variables'!$I79,+IF(M$9='5.Variables'!$B$86,+'5.Variables'!$I93,+IF(M$9='5.Variables'!$B$100,+'5.Variables'!$I107,IF(M$9='5.Variables'!$B$32,+'5.Variables'!$I32,IF(M$9='5.Variables'!$B$56,+'5.Variables'!$I56,0))))))))</f>
        <v>31</v>
      </c>
      <c r="N77" s="292">
        <f>IF(N$9='5.Variables'!$B$10,+'5.Variables'!$I26,+IF(N$9='5.Variables'!$B$34,+'5.Variables'!$I50,+IF(N$9='5.Variables'!$B$58,+'5.Variables'!$I65,+IF(N$9='5.Variables'!$B$72,+'5.Variables'!$I79,+IF(N$9='5.Variables'!$B$86,+'5.Variables'!$I93,+IF(N$9='5.Variables'!$B$100,+'5.Variables'!$I107,IF(N$9='5.Variables'!$B$32,+'5.Variables'!$I32,IF(N$9='5.Variables'!$B$56,+'5.Variables'!$I56,0))))))))</f>
        <v>4.8</v>
      </c>
      <c r="O77" s="292">
        <f>IF(O$9='5.Variables'!$B$10,+'5.Variables'!$I26,+IF(O$9='5.Variables'!$B$34,+'5.Variables'!$I50,+IF(O$9='5.Variables'!$B$58,+'5.Variables'!$I65,+IF(O$9='5.Variables'!$B$72,+'5.Variables'!$I79,+IF(O$9='5.Variables'!$B$86,+'5.Variables'!$I93,+IF(O$9='5.Variables'!$B$100,+'5.Variables'!$I107,IF(O$9='5.Variables'!$B$32,+'5.Variables'!$I32,IF(O$9='5.Variables'!$B$56,+'5.Variables'!$I56,0))))))))</f>
        <v>109.3</v>
      </c>
      <c r="P77" s="292">
        <f>IF(P$9='5.Variables'!$B$10,+'5.Variables'!$I26,+IF(P$9='5.Variables'!$B$34,+'5.Variables'!$I50,+IF(P$9='5.Variables'!$B$58,+'5.Variables'!$I65,+IF(P$9='5.Variables'!$B$72,+'5.Variables'!$I79,+IF(P$9='5.Variables'!$B$86,+'5.Variables'!$I93,+IF(P$9='5.Variables'!$B$100,+'5.Variables'!$I107,IF(P$9='5.Variables'!$B$32,+'5.Variables'!$I32,IF(P$9='5.Variables'!$B$56,+'5.Variables'!$I56,0))))))))</f>
        <v>0</v>
      </c>
      <c r="Q77" s="143"/>
      <c r="R77" s="154">
        <v>13531090.557814708</v>
      </c>
      <c r="S77" s="167">
        <f t="shared" si="15"/>
        <v>14352516.876755476</v>
      </c>
      <c r="T77" s="624">
        <f t="shared" si="16"/>
        <v>0.94276778588770704</v>
      </c>
      <c r="U77" s="167">
        <f t="shared" si="17"/>
        <v>13401840.793078056</v>
      </c>
      <c r="V77" s="171"/>
      <c r="W77" s="618"/>
      <c r="X77" s="143"/>
      <c r="Y77" s="148">
        <f>'4. Customer Growth'!B11</f>
        <v>2015</v>
      </c>
      <c r="Z77" s="536">
        <f t="shared" si="20"/>
        <v>137993374.59999999</v>
      </c>
      <c r="AA77" s="536">
        <f t="shared" si="18"/>
        <v>137810831.37041879</v>
      </c>
      <c r="AB77" s="173">
        <f t="shared" si="19"/>
        <v>1.3228405357166115E-3</v>
      </c>
      <c r="AC77" s="30"/>
      <c r="AD77" s="737"/>
      <c r="AE77" s="144"/>
      <c r="AF77" s="143"/>
      <c r="AG77" s="143"/>
      <c r="AH77" s="143"/>
      <c r="AI77" s="143"/>
      <c r="AJ77" s="143"/>
      <c r="AK77" s="143"/>
      <c r="AL77" s="143"/>
      <c r="AM77" s="143"/>
      <c r="AN77" s="143"/>
      <c r="AO77" s="143"/>
      <c r="AP77" s="143"/>
      <c r="AQ77" s="143"/>
    </row>
    <row r="78" spans="1:43" x14ac:dyDescent="0.3">
      <c r="A78" s="339">
        <f t="shared" si="21"/>
        <v>68</v>
      </c>
      <c r="B78" s="166" t="str">
        <f>CONCATENATE('3. Consumption by Rate Class'!B83,"-",'3. Consumption by Rate Class'!C83)</f>
        <v>2018-August</v>
      </c>
      <c r="C78" s="154">
        <v>13621544.029999999</v>
      </c>
      <c r="D78" s="154"/>
      <c r="E78" s="351">
        <v>278925</v>
      </c>
      <c r="F78" s="154">
        <v>195987.16</v>
      </c>
      <c r="G78" s="154"/>
      <c r="H78" s="367"/>
      <c r="I78" s="367"/>
      <c r="J78" s="167">
        <f t="shared" si="14"/>
        <v>14096456.189999999</v>
      </c>
      <c r="K78" s="167">
        <f>IF(K$9='5.Variables'!$B$10,+'5.Variables'!$J26,+IF(K$9='5.Variables'!$B$34,+'5.Variables'!$J50,+IF(K$9='5.Variables'!$B$58,+'5.Variables'!$J65,+IF(K$9='5.Variables'!$B$72,+'5.Variables'!$J79,+IF(K$9='5.Variables'!$B$86,+'5.Variables'!$J93,+IF(K$9='5.Variables'!$B$100,+'5.Variables'!$J107,IF(K$9='5.Variables'!$B$32,+'5.Variables'!$J32,IF(K$9='5.Variables'!$B$56,+'5.Variables'!$J56,0))))))))</f>
        <v>13773</v>
      </c>
      <c r="L78" s="292">
        <f>IF(L$9='5.Variables'!$B$10,+'5.Variables'!$J26,+IF(L$9='5.Variables'!$B$34,+'5.Variables'!$J50,+IF(L$9='5.Variables'!$B$58,+'5.Variables'!$J65,+IF(L$9='5.Variables'!$B$72,+'5.Variables'!$J79,+IF(L$9='5.Variables'!$B$86,+'5.Variables'!$J93,+IF(L$9='5.Variables'!$B$100,+'5.Variables'!$J107,IF(L$9='5.Variables'!$B$32,+'5.Variables'!$J32,IF(L$9='5.Variables'!$B$56,+'5.Variables'!$J56,0))))))))</f>
        <v>0</v>
      </c>
      <c r="M78" s="292">
        <f>IF(M$9='5.Variables'!$B$10,+'5.Variables'!$J26,+IF(M$9='5.Variables'!$B$34,+'5.Variables'!$J50,+IF(M$9='5.Variables'!$B$58,+'5.Variables'!$J65,+IF(M$9='5.Variables'!$B$72,+'5.Variables'!$J79,+IF(M$9='5.Variables'!$B$86,+'5.Variables'!$J93,+IF(M$9='5.Variables'!$B$100,+'5.Variables'!$J107,IF(M$9='5.Variables'!$B$32,+'5.Variables'!$J32,IF(M$9='5.Variables'!$B$56,+'5.Variables'!$J56,0))))))))</f>
        <v>31</v>
      </c>
      <c r="N78" s="292">
        <f>IF(N$9='5.Variables'!$B$10,+'5.Variables'!$J26,+IF(N$9='5.Variables'!$B$34,+'5.Variables'!$J50,+IF(N$9='5.Variables'!$B$58,+'5.Variables'!$J65,+IF(N$9='5.Variables'!$B$72,+'5.Variables'!$J79,+IF(N$9='5.Variables'!$B$86,+'5.Variables'!$J93,+IF(N$9='5.Variables'!$B$100,+'5.Variables'!$J107,IF(N$9='5.Variables'!$B$32,+'5.Variables'!$J32,IF(N$9='5.Variables'!$B$56,+'5.Variables'!$J56,0))))))))</f>
        <v>3.7</v>
      </c>
      <c r="O78" s="292">
        <f>IF(O$9='5.Variables'!$B$10,+'5.Variables'!$J26,+IF(O$9='5.Variables'!$B$34,+'5.Variables'!$J50,+IF(O$9='5.Variables'!$B$58,+'5.Variables'!$J65,+IF(O$9='5.Variables'!$B$72,+'5.Variables'!$J79,+IF(O$9='5.Variables'!$B$86,+'5.Variables'!$J93,+IF(O$9='5.Variables'!$B$100,+'5.Variables'!$J107,IF(O$9='5.Variables'!$B$32,+'5.Variables'!$J32,IF(O$9='5.Variables'!$B$56,+'5.Variables'!$J56,0))))))))</f>
        <v>122.1</v>
      </c>
      <c r="P78" s="292">
        <f>IF(P$9='5.Variables'!$B$10,+'5.Variables'!$J26,+IF(P$9='5.Variables'!$B$34,+'5.Variables'!$J50,+IF(P$9='5.Variables'!$B$58,+'5.Variables'!$J65,+IF(P$9='5.Variables'!$B$72,+'5.Variables'!$J79,+IF(P$9='5.Variables'!$B$86,+'5.Variables'!$J93,+IF(P$9='5.Variables'!$B$100,+'5.Variables'!$J107,IF(P$9='5.Variables'!$B$32,+'5.Variables'!$J32,IF(P$9='5.Variables'!$B$56,+'5.Variables'!$J56,0))))))))</f>
        <v>0</v>
      </c>
      <c r="Q78" s="143"/>
      <c r="R78" s="154">
        <v>13260456.364508767</v>
      </c>
      <c r="S78" s="167">
        <f t="shared" si="15"/>
        <v>14859813.691586429</v>
      </c>
      <c r="T78" s="624">
        <f t="shared" si="16"/>
        <v>0.89237029748339225</v>
      </c>
      <c r="U78" s="167">
        <f t="shared" si="17"/>
        <v>12579258.803731905</v>
      </c>
      <c r="V78" s="171"/>
      <c r="W78" s="618"/>
      <c r="X78" s="143"/>
      <c r="Y78" s="148">
        <f>'4. Customer Growth'!B12</f>
        <v>2016</v>
      </c>
      <c r="Z78" s="536">
        <f t="shared" si="20"/>
        <v>137727428.06999999</v>
      </c>
      <c r="AA78" s="536">
        <f t="shared" si="18"/>
        <v>140510561.35024983</v>
      </c>
      <c r="AB78" s="173">
        <f t="shared" si="19"/>
        <v>2.0207545579340274E-2</v>
      </c>
      <c r="AC78" s="30"/>
      <c r="AD78" s="737"/>
      <c r="AE78" s="144"/>
      <c r="AF78" s="143"/>
      <c r="AG78" s="143"/>
      <c r="AH78" s="143"/>
      <c r="AI78" s="143"/>
      <c r="AJ78" s="143"/>
      <c r="AK78" s="143"/>
      <c r="AL78" s="143"/>
      <c r="AM78" s="143"/>
      <c r="AN78" s="143"/>
      <c r="AO78" s="143"/>
      <c r="AP78" s="143"/>
      <c r="AQ78" s="143"/>
    </row>
    <row r="79" spans="1:43" x14ac:dyDescent="0.3">
      <c r="A79" s="339">
        <f t="shared" si="21"/>
        <v>69</v>
      </c>
      <c r="B79" s="166" t="str">
        <f>CONCATENATE('3. Consumption by Rate Class'!B84,"-",'3. Consumption by Rate Class'!C84)</f>
        <v>2018-September</v>
      </c>
      <c r="C79" s="154">
        <v>10918383.85</v>
      </c>
      <c r="D79" s="154"/>
      <c r="E79" s="351">
        <v>242234</v>
      </c>
      <c r="F79" s="154">
        <v>158567.22</v>
      </c>
      <c r="G79" s="154"/>
      <c r="H79" s="367"/>
      <c r="I79" s="367"/>
      <c r="J79" s="167">
        <f t="shared" si="14"/>
        <v>11319185.07</v>
      </c>
      <c r="K79" s="167">
        <f>IF(K$9='5.Variables'!$B$10,+'5.Variables'!$K26,+IF(K$9='5.Variables'!$B$34,+'5.Variables'!$K50,+IF(K$9='5.Variables'!$B$58,+'5.Variables'!$K65,+IF(K$9='5.Variables'!$B$72,+'5.Variables'!$K79,+IF(K$9='5.Variables'!$B$86,+'5.Variables'!$K93,+IF(K$9='5.Variables'!$B$100,+'5.Variables'!$K107,IF(K$9='5.Variables'!$B$32,+'5.Variables'!$K32,IF(K$9='5.Variables'!$B$56,+'5.Variables'!$K56,0))))))))</f>
        <v>13798</v>
      </c>
      <c r="L79" s="292">
        <f>IF(L$9='5.Variables'!$B$10,+'5.Variables'!$K26,+IF(L$9='5.Variables'!$B$34,+'5.Variables'!$K50,+IF(L$9='5.Variables'!$B$58,+'5.Variables'!$K65,+IF(L$9='5.Variables'!$B$72,+'5.Variables'!$K79,+IF(L$9='5.Variables'!$B$86,+'5.Variables'!$K93,+IF(L$9='5.Variables'!$B$100,+'5.Variables'!$K107,IF(L$9='5.Variables'!$B$32,+'5.Variables'!$K32,IF(L$9='5.Variables'!$B$56,+'5.Variables'!$K56,0))))))))</f>
        <v>1</v>
      </c>
      <c r="M79" s="292">
        <f>IF(M$9='5.Variables'!$B$10,+'5.Variables'!$K26,+IF(M$9='5.Variables'!$B$34,+'5.Variables'!$K50,+IF(M$9='5.Variables'!$B$58,+'5.Variables'!$K65,+IF(M$9='5.Variables'!$B$72,+'5.Variables'!$K79,+IF(M$9='5.Variables'!$B$86,+'5.Variables'!$K93,+IF(M$9='5.Variables'!$B$100,+'5.Variables'!$K107,IF(M$9='5.Variables'!$B$32,+'5.Variables'!$K32,IF(M$9='5.Variables'!$B$56,+'5.Variables'!$K56,0))))))))</f>
        <v>30</v>
      </c>
      <c r="N79" s="292">
        <f>IF(N$9='5.Variables'!$B$10,+'5.Variables'!$K26,+IF(N$9='5.Variables'!$B$34,+'5.Variables'!$K50,+IF(N$9='5.Variables'!$B$58,+'5.Variables'!$K65,+IF(N$9='5.Variables'!$B$72,+'5.Variables'!$K79,+IF(N$9='5.Variables'!$B$86,+'5.Variables'!$K93,+IF(N$9='5.Variables'!$B$100,+'5.Variables'!$K107,IF(N$9='5.Variables'!$B$32,+'5.Variables'!$K32,IF(N$9='5.Variables'!$B$56,+'5.Variables'!$K56,0))))))))</f>
        <v>75.900000000000006</v>
      </c>
      <c r="O79" s="292">
        <f>IF(O$9='5.Variables'!$B$10,+'5.Variables'!$K26,+IF(O$9='5.Variables'!$B$34,+'5.Variables'!$K50,+IF(O$9='5.Variables'!$B$58,+'5.Variables'!$K65,+IF(O$9='5.Variables'!$B$72,+'5.Variables'!$K79,+IF(O$9='5.Variables'!$B$86,+'5.Variables'!$K93,+IF(O$9='5.Variables'!$B$100,+'5.Variables'!$K107,IF(O$9='5.Variables'!$B$32,+'5.Variables'!$K32,IF(O$9='5.Variables'!$B$56,+'5.Variables'!$K56,0))))))))</f>
        <v>54.8</v>
      </c>
      <c r="P79" s="292">
        <f>IF(P$9='5.Variables'!$B$10,+'5.Variables'!$K26,+IF(P$9='5.Variables'!$B$34,+'5.Variables'!$K50,+IF(P$9='5.Variables'!$B$58,+'5.Variables'!$K65,+IF(P$9='5.Variables'!$B$72,+'5.Variables'!$K79,+IF(P$9='5.Variables'!$B$86,+'5.Variables'!$K93,+IF(P$9='5.Variables'!$B$100,+'5.Variables'!$K107,IF(P$9='5.Variables'!$B$32,+'5.Variables'!$K32,IF(P$9='5.Variables'!$B$56,+'5.Variables'!$K56,0))))))))</f>
        <v>0</v>
      </c>
      <c r="Q79" s="143"/>
      <c r="R79" s="154">
        <v>10576874.347095935</v>
      </c>
      <c r="S79" s="167">
        <f t="shared" si="15"/>
        <v>11372449.616536524</v>
      </c>
      <c r="T79" s="624">
        <f t="shared" si="16"/>
        <v>0.93004363208751839</v>
      </c>
      <c r="U79" s="167">
        <f t="shared" si="17"/>
        <v>10527335.994773611</v>
      </c>
      <c r="V79" s="171"/>
      <c r="W79" s="618"/>
      <c r="X79" s="143"/>
      <c r="Y79" s="148">
        <f>'4. Customer Growth'!B13</f>
        <v>2017</v>
      </c>
      <c r="Z79" s="536">
        <f t="shared" si="20"/>
        <v>134234594</v>
      </c>
      <c r="AA79" s="536">
        <f t="shared" si="18"/>
        <v>145115867.00065205</v>
      </c>
      <c r="AB79" s="173">
        <f t="shared" si="19"/>
        <v>8.1061615164955497E-2</v>
      </c>
      <c r="AC79" s="30"/>
      <c r="AD79" s="737"/>
      <c r="AE79" s="144"/>
      <c r="AF79" s="143"/>
      <c r="AG79" s="143"/>
      <c r="AH79" s="143"/>
      <c r="AI79" s="143"/>
      <c r="AJ79" s="143"/>
      <c r="AK79" s="143"/>
      <c r="AL79" s="143"/>
      <c r="AM79" s="143"/>
      <c r="AN79" s="143"/>
      <c r="AO79" s="143"/>
      <c r="AP79" s="143"/>
      <c r="AQ79" s="143"/>
    </row>
    <row r="80" spans="1:43" x14ac:dyDescent="0.3">
      <c r="A80" s="339">
        <f t="shared" si="21"/>
        <v>70</v>
      </c>
      <c r="B80" s="166" t="str">
        <f>CONCATENATE('3. Consumption by Rate Class'!B85,"-",'3. Consumption by Rate Class'!C85)</f>
        <v>2018-October</v>
      </c>
      <c r="C80" s="154">
        <v>10483323.640000001</v>
      </c>
      <c r="D80" s="154"/>
      <c r="E80" s="610">
        <v>214460.46</v>
      </c>
      <c r="F80" s="154">
        <v>82153.02</v>
      </c>
      <c r="G80" s="154"/>
      <c r="H80" s="367"/>
      <c r="I80" s="367"/>
      <c r="J80" s="167">
        <f t="shared" si="14"/>
        <v>10779937.120000001</v>
      </c>
      <c r="K80" s="167">
        <f>IF(K$9='5.Variables'!$B$10,+'5.Variables'!$L26,+IF(K$9='5.Variables'!$B$34,+'5.Variables'!$L50,+IF(K$9='5.Variables'!$B$58,+'5.Variables'!$L65,+IF(K$9='5.Variables'!$B$72,+'5.Variables'!$L79,+IF(K$9='5.Variables'!$B$86,+'5.Variables'!$L93,+IF(K$9='5.Variables'!$B$100,+'5.Variables'!$L107,IF(K$9='5.Variables'!$B$32,+'5.Variables'!$L32,IF(K$9='5.Variables'!$B$56,+'5.Variables'!$L56,0))))))))</f>
        <v>13814</v>
      </c>
      <c r="L80" s="292">
        <f>IF(L$9='5.Variables'!$B$10,+'5.Variables'!$L26,+IF(L$9='5.Variables'!$B$34,+'5.Variables'!$L50,+IF(L$9='5.Variables'!$B$58,+'5.Variables'!$L65,+IF(L$9='5.Variables'!$B$72,+'5.Variables'!$L79,+IF(L$9='5.Variables'!$B$86,+'5.Variables'!$L93,+IF(L$9='5.Variables'!$B$100,+'5.Variables'!$L107,IF(L$9='5.Variables'!$B$32,+'5.Variables'!$L32,IF(L$9='5.Variables'!$B$56,+'5.Variables'!$L56,0))))))))</f>
        <v>1</v>
      </c>
      <c r="M80" s="292">
        <f>IF(M$9='5.Variables'!$B$10,+'5.Variables'!$L26,+IF(M$9='5.Variables'!$B$34,+'5.Variables'!$L50,+IF(M$9='5.Variables'!$B$58,+'5.Variables'!$L65,+IF(M$9='5.Variables'!$B$72,+'5.Variables'!$L79,+IF(M$9='5.Variables'!$B$86,+'5.Variables'!$L93,+IF(M$9='5.Variables'!$B$100,+'5.Variables'!$L107,IF(M$9='5.Variables'!$B$32,+'5.Variables'!$L32,IF(M$9='5.Variables'!$B$56,+'5.Variables'!$L56,0))))))))</f>
        <v>31</v>
      </c>
      <c r="N80" s="292">
        <f>IF(N$9='5.Variables'!$B$10,+'5.Variables'!$L26,+IF(N$9='5.Variables'!$B$34,+'5.Variables'!$L50,+IF(N$9='5.Variables'!$B$58,+'5.Variables'!$L65,+IF(N$9='5.Variables'!$B$72,+'5.Variables'!$L79,+IF(N$9='5.Variables'!$B$86,+'5.Variables'!$L93,+IF(N$9='5.Variables'!$B$100,+'5.Variables'!$L107,IF(N$9='5.Variables'!$B$32,+'5.Variables'!$L32,IF(N$9='5.Variables'!$B$56,+'5.Variables'!$L56,0))))))))</f>
        <v>279.5</v>
      </c>
      <c r="O80" s="292">
        <f>IF(O$9='5.Variables'!$B$10,+'5.Variables'!$L26,+IF(O$9='5.Variables'!$B$34,+'5.Variables'!$L50,+IF(O$9='5.Variables'!$B$58,+'5.Variables'!$L65,+IF(O$9='5.Variables'!$B$72,+'5.Variables'!$L79,+IF(O$9='5.Variables'!$B$86,+'5.Variables'!$L93,+IF(O$9='5.Variables'!$B$100,+'5.Variables'!$L107,IF(O$9='5.Variables'!$B$32,+'5.Variables'!$L32,IF(O$9='5.Variables'!$B$56,+'5.Variables'!$L56,0))))))))</f>
        <v>12.6</v>
      </c>
      <c r="P80" s="292">
        <f>IF(P$9='5.Variables'!$B$10,+'5.Variables'!$L26,+IF(P$9='5.Variables'!$B$34,+'5.Variables'!$L50,+IF(P$9='5.Variables'!$B$58,+'5.Variables'!$L65,+IF(P$9='5.Variables'!$B$72,+'5.Variables'!$L79,+IF(P$9='5.Variables'!$B$86,+'5.Variables'!$L93,+IF(P$9='5.Variables'!$B$100,+'5.Variables'!$L107,IF(P$9='5.Variables'!$B$32,+'5.Variables'!$L32,IF(P$9='5.Variables'!$B$56,+'5.Variables'!$L56,0))))))))</f>
        <v>0</v>
      </c>
      <c r="Q80" s="143"/>
      <c r="R80" s="154">
        <v>10686785.901164098</v>
      </c>
      <c r="S80" s="167">
        <f t="shared" si="15"/>
        <v>11326349.25779305</v>
      </c>
      <c r="T80" s="624">
        <f t="shared" si="16"/>
        <v>0.94353314187367976</v>
      </c>
      <c r="U80" s="167">
        <f t="shared" si="17"/>
        <v>10171227.940034308</v>
      </c>
      <c r="V80" s="171"/>
      <c r="W80" s="618"/>
      <c r="X80" s="143"/>
      <c r="Y80" s="148">
        <f>'4. Customer Growth'!B14</f>
        <v>2018</v>
      </c>
      <c r="Z80" s="536">
        <f t="shared" si="20"/>
        <v>144593587.54000002</v>
      </c>
      <c r="AA80" s="536">
        <f t="shared" si="18"/>
        <v>148650121.79243231</v>
      </c>
      <c r="AB80" s="173">
        <f t="shared" si="19"/>
        <v>2.8054731343532761E-2</v>
      </c>
      <c r="AC80" s="30"/>
      <c r="AD80" s="737"/>
      <c r="AE80" s="144"/>
      <c r="AF80" s="143"/>
      <c r="AG80" s="143"/>
      <c r="AH80" s="143"/>
      <c r="AI80" s="143"/>
      <c r="AJ80" s="143"/>
      <c r="AK80" s="143"/>
      <c r="AL80" s="143"/>
      <c r="AM80" s="143"/>
      <c r="AN80" s="143"/>
      <c r="AO80" s="143"/>
      <c r="AP80" s="143"/>
      <c r="AQ80" s="143"/>
    </row>
    <row r="81" spans="1:43" x14ac:dyDescent="0.3">
      <c r="A81" s="339">
        <f t="shared" si="21"/>
        <v>71</v>
      </c>
      <c r="B81" s="166" t="str">
        <f>CONCATENATE('3. Consumption by Rate Class'!B86,"-",'3. Consumption by Rate Class'!C86)</f>
        <v>2018-November</v>
      </c>
      <c r="C81" s="154">
        <v>11365095.9</v>
      </c>
      <c r="D81" s="154"/>
      <c r="E81" s="610">
        <v>198109.28</v>
      </c>
      <c r="F81" s="154">
        <v>21623.02</v>
      </c>
      <c r="G81" s="154"/>
      <c r="H81" s="367"/>
      <c r="I81" s="367"/>
      <c r="J81" s="167">
        <f t="shared" si="14"/>
        <v>11584828.199999999</v>
      </c>
      <c r="K81" s="167">
        <f>IF(K$9='5.Variables'!$B$10,+'5.Variables'!$M26,+IF(K$9='5.Variables'!$B$34,+'5.Variables'!$M50,+IF(K$9='5.Variables'!$B$58,+'5.Variables'!$M65,+IF(K$9='5.Variables'!$B$72,+'5.Variables'!$M79,+IF(K$9='5.Variables'!$B$86,+'5.Variables'!$M93,+IF(K$9='5.Variables'!$B$100,+'5.Variables'!$M107,IF(K$9='5.Variables'!$B$32,+'5.Variables'!$M32,IF(K$9='5.Variables'!$B$56,+'5.Variables'!$M56,0))))))))</f>
        <v>13812</v>
      </c>
      <c r="L81" s="292">
        <f>IF(L$9='5.Variables'!$B$10,+'5.Variables'!$M26,+IF(L$9='5.Variables'!$B$34,+'5.Variables'!$M50,+IF(L$9='5.Variables'!$B$58,+'5.Variables'!$M65,+IF(L$9='5.Variables'!$B$72,+'5.Variables'!$M79,+IF(L$9='5.Variables'!$B$86,+'5.Variables'!$M93,+IF(L$9='5.Variables'!$B$100,+'5.Variables'!$M107,IF(L$9='5.Variables'!$B$32,+'5.Variables'!$M32,IF(L$9='5.Variables'!$B$56,+'5.Variables'!$M56,0))))))))</f>
        <v>1</v>
      </c>
      <c r="M81" s="292">
        <f>IF(M$9='5.Variables'!$B$10,+'5.Variables'!$M26,+IF(M$9='5.Variables'!$B$34,+'5.Variables'!$M50,+IF(M$9='5.Variables'!$B$58,+'5.Variables'!$M65,+IF(M$9='5.Variables'!$B$72,+'5.Variables'!$M79,+IF(M$9='5.Variables'!$B$86,+'5.Variables'!$M93,+IF(M$9='5.Variables'!$B$100,+'5.Variables'!$M107,IF(M$9='5.Variables'!$B$32,+'5.Variables'!$M32,IF(M$9='5.Variables'!$B$56,+'5.Variables'!$M56,0))))))))</f>
        <v>30</v>
      </c>
      <c r="N81" s="292">
        <f>IF(N$9='5.Variables'!$B$10,+'5.Variables'!$M26,+IF(N$9='5.Variables'!$B$34,+'5.Variables'!$M50,+IF(N$9='5.Variables'!$B$58,+'5.Variables'!$M65,+IF(N$9='5.Variables'!$B$72,+'5.Variables'!$M79,+IF(N$9='5.Variables'!$B$86,+'5.Variables'!$M93,+IF(N$9='5.Variables'!$B$100,+'5.Variables'!$M107,IF(N$9='5.Variables'!$B$32,+'5.Variables'!$M32,IF(N$9='5.Variables'!$B$56,+'5.Variables'!$M56,0))))))))</f>
        <v>503</v>
      </c>
      <c r="O81" s="292">
        <f>IF(O$9='5.Variables'!$B$10,+'5.Variables'!$M26,+IF(O$9='5.Variables'!$B$34,+'5.Variables'!$M50,+IF(O$9='5.Variables'!$B$58,+'5.Variables'!$M65,+IF(O$9='5.Variables'!$B$72,+'5.Variables'!$M79,+IF(O$9='5.Variables'!$B$86,+'5.Variables'!$M93,+IF(O$9='5.Variables'!$B$100,+'5.Variables'!$M107,IF(O$9='5.Variables'!$B$32,+'5.Variables'!$M32,IF(O$9='5.Variables'!$B$56,+'5.Variables'!$M56,0))))))))</f>
        <v>0</v>
      </c>
      <c r="P81" s="292">
        <f>IF(P$9='5.Variables'!$B$10,+'5.Variables'!$M26,+IF(P$9='5.Variables'!$B$34,+'5.Variables'!$M50,+IF(P$9='5.Variables'!$B$58,+'5.Variables'!$M65,+IF(P$9='5.Variables'!$B$72,+'5.Variables'!$M79,+IF(P$9='5.Variables'!$B$86,+'5.Variables'!$M93,+IF(P$9='5.Variables'!$B$100,+'5.Variables'!$M107,IF(P$9='5.Variables'!$B$32,+'5.Variables'!$M32,IF(P$9='5.Variables'!$B$56,+'5.Variables'!$M56,0))))))))</f>
        <v>0</v>
      </c>
      <c r="Q81" s="143"/>
      <c r="R81" s="154">
        <v>11179344.537140474</v>
      </c>
      <c r="S81" s="167">
        <f t="shared" si="15"/>
        <v>11693956.059674576</v>
      </c>
      <c r="T81" s="624">
        <f t="shared" si="16"/>
        <v>0.95599337641530158</v>
      </c>
      <c r="U81" s="167">
        <f t="shared" si="17"/>
        <v>11075019.0261092</v>
      </c>
      <c r="V81" s="171"/>
      <c r="W81" s="618"/>
      <c r="X81" s="143"/>
      <c r="Y81" s="148">
        <f>'4. Customer Growth'!B15</f>
        <v>2019</v>
      </c>
      <c r="Z81" s="536">
        <f t="shared" si="20"/>
        <v>144125560.60999998</v>
      </c>
      <c r="AA81" s="536">
        <f t="shared" si="18"/>
        <v>145115867.00065205</v>
      </c>
      <c r="AB81" s="173">
        <f t="shared" si="19"/>
        <v>6.8711364345135405E-3</v>
      </c>
      <c r="AC81" s="30"/>
      <c r="AD81" s="737"/>
      <c r="AE81" s="144"/>
      <c r="AF81" s="143"/>
      <c r="AG81" s="143"/>
      <c r="AH81" s="143"/>
      <c r="AI81" s="143"/>
      <c r="AJ81" s="143"/>
      <c r="AK81" s="143"/>
      <c r="AL81" s="143"/>
      <c r="AM81" s="143"/>
      <c r="AN81" s="143"/>
      <c r="AO81" s="143"/>
      <c r="AP81" s="143"/>
      <c r="AQ81" s="143"/>
    </row>
    <row r="82" spans="1:43" ht="15" customHeight="1" x14ac:dyDescent="0.3">
      <c r="A82" s="339">
        <f t="shared" si="21"/>
        <v>72</v>
      </c>
      <c r="B82" s="166" t="str">
        <f>CONCATENATE('3. Consumption by Rate Class'!B87,"-",'3. Consumption by Rate Class'!C87)</f>
        <v>2018-December</v>
      </c>
      <c r="C82" s="154">
        <v>12814047.140000001</v>
      </c>
      <c r="D82" s="154"/>
      <c r="E82" s="610">
        <v>203709.57</v>
      </c>
      <c r="F82" s="154">
        <v>15121.92</v>
      </c>
      <c r="G82" s="154"/>
      <c r="H82" s="367"/>
      <c r="I82" s="367"/>
      <c r="J82" s="167">
        <f t="shared" si="14"/>
        <v>13032878.630000001</v>
      </c>
      <c r="K82" s="167">
        <f>IF(K$9='5.Variables'!$B$10,+'5.Variables'!$N26,+IF(K$9='5.Variables'!$B$34,+'5.Variables'!$N50,+IF(K$9='5.Variables'!$B$58,+'5.Variables'!$N65,+IF(K$9='5.Variables'!$B$72,+'5.Variables'!$N79,+IF(K$9='5.Variables'!$B$86,+'5.Variables'!$N93,+IF(K$9='5.Variables'!$B$100,+'5.Variables'!$N107,IF(K$9='5.Variables'!$B$32,+'5.Variables'!$N32,IF(K$9='5.Variables'!$B$56,+'5.Variables'!$N56,0))))))))</f>
        <v>13827</v>
      </c>
      <c r="L82" s="292">
        <f>IF(L$9='5.Variables'!$B$10,+'5.Variables'!$N26,+IF(L$9='5.Variables'!$B$34,+'5.Variables'!$N50,+IF(L$9='5.Variables'!$B$58,+'5.Variables'!$N65,+IF(L$9='5.Variables'!$B$72,+'5.Variables'!$N79,+IF(L$9='5.Variables'!$B$86,+'5.Variables'!$N93,+IF(L$9='5.Variables'!$B$100,+'5.Variables'!$N107,IF(L$9='5.Variables'!$B$32,+'5.Variables'!$N32,IF(L$9='5.Variables'!$B$56,+'5.Variables'!$N56,0))))))))</f>
        <v>0</v>
      </c>
      <c r="M82" s="292">
        <f>IF(M$9='5.Variables'!$B$10,+'5.Variables'!$N26,+IF(M$9='5.Variables'!$B$34,+'5.Variables'!$N50,+IF(M$9='5.Variables'!$B$58,+'5.Variables'!$N65,+IF(M$9='5.Variables'!$B$72,+'5.Variables'!$N79,+IF(M$9='5.Variables'!$B$86,+'5.Variables'!$N93,+IF(M$9='5.Variables'!$B$100,+'5.Variables'!$N107,IF(M$9='5.Variables'!$B$32,+'5.Variables'!$N32,IF(M$9='5.Variables'!$B$56,+'5.Variables'!$N56,0))))))))</f>
        <v>31</v>
      </c>
      <c r="N82" s="292">
        <f>IF(N$9='5.Variables'!$B$10,+'5.Variables'!$N26,+IF(N$9='5.Variables'!$B$34,+'5.Variables'!$N50,+IF(N$9='5.Variables'!$B$58,+'5.Variables'!$N65,+IF(N$9='5.Variables'!$B$72,+'5.Variables'!$N79,+IF(N$9='5.Variables'!$B$86,+'5.Variables'!$N93,+IF(N$9='5.Variables'!$B$100,+'5.Variables'!$N107,IF(N$9='5.Variables'!$B$32,+'5.Variables'!$N32,IF(N$9='5.Variables'!$B$56,+'5.Variables'!$N56,0))))))))</f>
        <v>588.29999999999995</v>
      </c>
      <c r="O82" s="292">
        <f>IF(O$9='5.Variables'!$B$10,+'5.Variables'!$N26,+IF(O$9='5.Variables'!$B$34,+'5.Variables'!$N50,+IF(O$9='5.Variables'!$B$58,+'5.Variables'!$N65,+IF(O$9='5.Variables'!$B$72,+'5.Variables'!$N79,+IF(O$9='5.Variables'!$B$86,+'5.Variables'!$N93,+IF(O$9='5.Variables'!$B$100,+'5.Variables'!$N107,IF(O$9='5.Variables'!$B$32,+'5.Variables'!$N32,IF(O$9='5.Variables'!$B$56,+'5.Variables'!$N56,0))))))))</f>
        <v>0</v>
      </c>
      <c r="P82" s="292">
        <f>IF(P$9='5.Variables'!$B$10,+'5.Variables'!$N26,+IF(P$9='5.Variables'!$B$34,+'5.Variables'!$N50,+IF(P$9='5.Variables'!$B$58,+'5.Variables'!$N65,+IF(P$9='5.Variables'!$B$72,+'5.Variables'!$N79,+IF(P$9='5.Variables'!$B$86,+'5.Variables'!$N93,+IF(P$9='5.Variables'!$B$100,+'5.Variables'!$N107,IF(P$9='5.Variables'!$B$32,+'5.Variables'!$N32,IF(P$9='5.Variables'!$B$56,+'5.Variables'!$N56,0))))))))</f>
        <v>0</v>
      </c>
      <c r="Q82" s="143"/>
      <c r="R82" s="154">
        <v>13399729.199157976</v>
      </c>
      <c r="S82" s="167">
        <f t="shared" si="15"/>
        <v>13482799.212733425</v>
      </c>
      <c r="T82" s="624">
        <f t="shared" si="16"/>
        <v>0.99383881549634023</v>
      </c>
      <c r="U82" s="167">
        <f t="shared" si="17"/>
        <v>12952580.660146765</v>
      </c>
      <c r="V82" s="171">
        <f>SUM(U71:U82)</f>
        <v>140544492.40871233</v>
      </c>
      <c r="W82" s="618"/>
      <c r="X82" s="143"/>
      <c r="Y82" s="148">
        <f>'4. Customer Growth'!B16</f>
        <v>2020</v>
      </c>
      <c r="Z82" s="536">
        <f t="shared" si="20"/>
        <v>150603831.59</v>
      </c>
      <c r="AA82" s="536">
        <f t="shared" si="18"/>
        <v>150850312.41998374</v>
      </c>
      <c r="AB82" s="173">
        <f t="shared" si="19"/>
        <v>1.6366172585486013E-3</v>
      </c>
      <c r="AC82" s="30"/>
      <c r="AD82" s="737"/>
      <c r="AE82" s="144"/>
      <c r="AF82" s="143"/>
      <c r="AG82" s="143"/>
      <c r="AH82" s="143"/>
      <c r="AI82" s="143"/>
      <c r="AJ82" s="143"/>
      <c r="AK82" s="143"/>
      <c r="AL82" s="143"/>
      <c r="AM82" s="143"/>
      <c r="AN82" s="143"/>
      <c r="AO82" s="143"/>
      <c r="AP82" s="143"/>
      <c r="AQ82" s="143"/>
    </row>
    <row r="83" spans="1:43" x14ac:dyDescent="0.3">
      <c r="A83" s="339">
        <f t="shared" si="21"/>
        <v>73</v>
      </c>
      <c r="B83" s="166" t="str">
        <f>CONCATENATE('3. Consumption by Rate Class'!B88,"-",'3. Consumption by Rate Class'!C88)</f>
        <v>2019-January</v>
      </c>
      <c r="C83" s="154">
        <v>13900952.76</v>
      </c>
      <c r="D83" s="154"/>
      <c r="E83" s="351">
        <v>201892.3</v>
      </c>
      <c r="F83" s="154">
        <v>34016.19</v>
      </c>
      <c r="G83" s="154"/>
      <c r="H83" s="367"/>
      <c r="I83" s="367"/>
      <c r="J83" s="167">
        <f t="shared" si="14"/>
        <v>14136861.25</v>
      </c>
      <c r="K83" s="167">
        <f>IF(K$9='5.Variables'!$B$10,+'5.Variables'!$C27,+IF(K$9='5.Variables'!$B$34,+'5.Variables'!$C51,+IF(K$9='5.Variables'!$B$58,+'5.Variables'!$C66,+IF(K$9='5.Variables'!$B$72,+'5.Variables'!$C80,+IF(K$9='5.Variables'!$B$86,+'5.Variables'!$C94,+IF(K$9='5.Variables'!$B$100,+'5.Variables'!$C108,IF(K$9='5.Variables'!$B$32,+'5.Variables'!$C32,IF(K$9='5.Variables'!$B$56,+'5.Variables'!$C56,0))))))))</f>
        <v>13857</v>
      </c>
      <c r="L83" s="292">
        <f>IF(L$9='5.Variables'!$B$10,+'5.Variables'!$C27,+IF(L$9='5.Variables'!$B$34,+'5.Variables'!$C51,+IF(L$9='5.Variables'!$B$58,+'5.Variables'!$C66,+IF(L$9='5.Variables'!$B$72,+'5.Variables'!$C80,+IF(L$9='5.Variables'!$B$86,+'5.Variables'!$C94,+IF(L$9='5.Variables'!$B$100,+'5.Variables'!$C108,IF(L$9='5.Variables'!$B$32,+'5.Variables'!$C32,IF(L$9='5.Variables'!$B$56,+'5.Variables'!$C56,0))))))))</f>
        <v>0</v>
      </c>
      <c r="M83" s="292">
        <f>IF(M$9='5.Variables'!$B$10,+'5.Variables'!$C27,+IF(M$9='5.Variables'!$B$34,+'5.Variables'!$C51,+IF(M$9='5.Variables'!$B$58,+'5.Variables'!$C66,+IF(M$9='5.Variables'!$B$72,+'5.Variables'!$C80,+IF(M$9='5.Variables'!$B$86,+'5.Variables'!$C94,+IF(M$9='5.Variables'!$B$100,+'5.Variables'!$C108,IF(M$9='5.Variables'!$B$32,+'5.Variables'!$C32,IF(M$9='5.Variables'!$B$56,+'5.Variables'!$C56,0))))))))</f>
        <v>31</v>
      </c>
      <c r="N83" s="292">
        <f>IF(N$9='5.Variables'!$B$10,+'5.Variables'!$C27,+IF(N$9='5.Variables'!$B$34,+'5.Variables'!$C51,+IF(N$9='5.Variables'!$B$58,+'5.Variables'!$C66,+IF(N$9='5.Variables'!$B$72,+'5.Variables'!$C80,+IF(N$9='5.Variables'!$B$86,+'5.Variables'!$C94,+IF(N$9='5.Variables'!$B$100,+'5.Variables'!$C108,IF(N$9='5.Variables'!$B$32,+'5.Variables'!$C32,IF(N$9='5.Variables'!$B$56,+'5.Variables'!$C56,0))))))))</f>
        <v>777.9</v>
      </c>
      <c r="O83" s="292">
        <f>IF(O$9='5.Variables'!$B$10,+'5.Variables'!$C27,+IF(O$9='5.Variables'!$B$34,+'5.Variables'!$C51,+IF(O$9='5.Variables'!$B$58,+'5.Variables'!$C66,+IF(O$9='5.Variables'!$B$72,+'5.Variables'!$C80,+IF(O$9='5.Variables'!$B$86,+'5.Variables'!$C94,+IF(O$9='5.Variables'!$B$100,+'5.Variables'!$C108,IF(O$9='5.Variables'!$B$32,+'5.Variables'!$C32,IF(O$9='5.Variables'!$B$56,+'5.Variables'!$C56,0))))))))</f>
        <v>0</v>
      </c>
      <c r="P83" s="292">
        <f>IF(P$9='5.Variables'!$B$10,+'5.Variables'!$C27,+IF(P$9='5.Variables'!$B$34,+'5.Variables'!$C51,+IF(P$9='5.Variables'!$B$58,+'5.Variables'!$C66,+IF(P$9='5.Variables'!$B$72,+'5.Variables'!$C80,+IF(P$9='5.Variables'!$B$86,+'5.Variables'!$C94,+IF(P$9='5.Variables'!$B$100,+'5.Variables'!$C108,IF(P$9='5.Variables'!$B$32,+'5.Variables'!$C32,IF(P$9='5.Variables'!$B$56,+'5.Variables'!$C56,0))))))))</f>
        <v>0</v>
      </c>
      <c r="Q83" s="143"/>
      <c r="R83" s="154">
        <v>14179540.011686562</v>
      </c>
      <c r="S83" s="167">
        <f t="shared" si="15"/>
        <v>14602609.484431431</v>
      </c>
      <c r="T83" s="624">
        <f t="shared" si="16"/>
        <v>0.9710278171037906</v>
      </c>
      <c r="U83" s="167">
        <f t="shared" si="17"/>
        <v>13727285.520286664</v>
      </c>
      <c r="V83" s="171"/>
      <c r="W83" s="618"/>
      <c r="X83" s="143"/>
      <c r="Y83" s="148">
        <f>'4. Customer Growth'!B17</f>
        <v>2021</v>
      </c>
      <c r="Z83" s="536">
        <f t="shared" si="20"/>
        <v>154199190.50999999</v>
      </c>
      <c r="AA83" s="536">
        <f t="shared" si="18"/>
        <v>150962375.2510975</v>
      </c>
      <c r="AB83" s="173">
        <f t="shared" si="19"/>
        <v>2.099113003250545E-2</v>
      </c>
      <c r="AC83" s="30"/>
      <c r="AD83" s="737"/>
      <c r="AE83" s="144"/>
      <c r="AF83" s="143"/>
      <c r="AG83" s="143"/>
      <c r="AH83" s="143"/>
      <c r="AI83" s="143"/>
      <c r="AJ83" s="143"/>
      <c r="AK83" s="143"/>
      <c r="AL83" s="143"/>
      <c r="AM83" s="143"/>
      <c r="AN83" s="143"/>
      <c r="AO83" s="143"/>
      <c r="AP83" s="143"/>
      <c r="AQ83" s="143"/>
    </row>
    <row r="84" spans="1:43" x14ac:dyDescent="0.3">
      <c r="A84" s="339">
        <f t="shared" si="21"/>
        <v>74</v>
      </c>
      <c r="B84" s="166" t="str">
        <f>CONCATENATE('3. Consumption by Rate Class'!B89,"-",'3. Consumption by Rate Class'!C89)</f>
        <v>2019-February</v>
      </c>
      <c r="C84" s="154">
        <v>12089793.720000001</v>
      </c>
      <c r="D84" s="154"/>
      <c r="E84" s="351">
        <v>184815.21</v>
      </c>
      <c r="F84" s="154">
        <v>39773.49</v>
      </c>
      <c r="G84" s="154"/>
      <c r="H84" s="367"/>
      <c r="I84" s="367"/>
      <c r="J84" s="167">
        <f t="shared" si="14"/>
        <v>12314382.420000002</v>
      </c>
      <c r="K84" s="167">
        <f>IF(K$9='5.Variables'!$B$10,+'5.Variables'!$D27,+IF(K$9='5.Variables'!$B$34,+'5.Variables'!$D51,+IF(K$9='5.Variables'!$B$58,+'5.Variables'!$D66,+IF(K$9='5.Variables'!$B$72,+'5.Variables'!$D80,+IF(K$9='5.Variables'!$B$86,+'5.Variables'!$D94,+IF(K$9='5.Variables'!$B$100,+'5.Variables'!$D108,IF(K$9='5.Variables'!$B$32,+'5.Variables'!$D32,IF(K$9='5.Variables'!$B$56,+'5.Variables'!$D56,0))))))))</f>
        <v>13849</v>
      </c>
      <c r="L84" s="292">
        <f>IF(L$9='5.Variables'!$B$10,+'5.Variables'!$D27,+IF(L$9='5.Variables'!$B$34,+'5.Variables'!$D51,+IF(L$9='5.Variables'!$B$58,+'5.Variables'!$D66,+IF(L$9='5.Variables'!$B$72,+'5.Variables'!$D80,+IF(L$9='5.Variables'!$B$86,+'5.Variables'!$D94,+IF(L$9='5.Variables'!$B$100,+'5.Variables'!$D108,IF(L$9='5.Variables'!$B$32,+'5.Variables'!$D32,IF(L$9='5.Variables'!$B$56,+'5.Variables'!$D56,0))))))))</f>
        <v>0</v>
      </c>
      <c r="M84" s="292">
        <f>IF(M$9='5.Variables'!$B$10,+'5.Variables'!$D27,+IF(M$9='5.Variables'!$B$34,+'5.Variables'!$D51,+IF(M$9='5.Variables'!$B$58,+'5.Variables'!$D66,+IF(M$9='5.Variables'!$B$72,+'5.Variables'!$D80,+IF(M$9='5.Variables'!$B$86,+'5.Variables'!$D94,+IF(M$9='5.Variables'!$B$100,+'5.Variables'!$D108,IF(M$9='5.Variables'!$B$32,+'5.Variables'!$D32,IF(M$9='5.Variables'!$B$56,+'5.Variables'!$D56,0))))))))</f>
        <v>28</v>
      </c>
      <c r="N84" s="292">
        <f>IF(N$9='5.Variables'!$B$10,+'5.Variables'!$D27,+IF(N$9='5.Variables'!$B$34,+'5.Variables'!$D51,+IF(N$9='5.Variables'!$B$58,+'5.Variables'!$D66,+IF(N$9='5.Variables'!$B$72,+'5.Variables'!$D80,+IF(N$9='5.Variables'!$B$86,+'5.Variables'!$D94,+IF(N$9='5.Variables'!$B$100,+'5.Variables'!$D108,IF(N$9='5.Variables'!$B$32,+'5.Variables'!$D32,IF(N$9='5.Variables'!$B$56,+'5.Variables'!$D56,0))))))))</f>
        <v>634.4</v>
      </c>
      <c r="O84" s="292">
        <f>IF(O$9='5.Variables'!$B$10,+'5.Variables'!$D27,+IF(O$9='5.Variables'!$B$34,+'5.Variables'!$D51,+IF(O$9='5.Variables'!$B$58,+'5.Variables'!$D66,+IF(O$9='5.Variables'!$B$72,+'5.Variables'!$D80,+IF(O$9='5.Variables'!$B$86,+'5.Variables'!$D94,+IF(O$9='5.Variables'!$B$100,+'5.Variables'!$D108,IF(O$9='5.Variables'!$B$32,+'5.Variables'!$D32,IF(O$9='5.Variables'!$B$56,+'5.Variables'!$D56,0))))))))</f>
        <v>0</v>
      </c>
      <c r="P84" s="292">
        <f>IF(P$9='5.Variables'!$B$10,+'5.Variables'!$D27,+IF(P$9='5.Variables'!$B$34,+'5.Variables'!$D51,+IF(P$9='5.Variables'!$B$58,+'5.Variables'!$D66,+IF(P$9='5.Variables'!$B$72,+'5.Variables'!$D80,+IF(P$9='5.Variables'!$B$86,+'5.Variables'!$D94,+IF(P$9='5.Variables'!$B$100,+'5.Variables'!$D108,IF(P$9='5.Variables'!$B$32,+'5.Variables'!$D32,IF(P$9='5.Variables'!$B$56,+'5.Variables'!$D56,0))))))))</f>
        <v>0</v>
      </c>
      <c r="Q84" s="143"/>
      <c r="R84" s="154">
        <v>12574926.077806253</v>
      </c>
      <c r="S84" s="167">
        <f t="shared" si="15"/>
        <v>12498596.141615218</v>
      </c>
      <c r="T84" s="624">
        <f t="shared" si="16"/>
        <v>1.0061070807734069</v>
      </c>
      <c r="U84" s="167">
        <f t="shared" si="17"/>
        <v>12389587.348113565</v>
      </c>
      <c r="V84" s="171"/>
      <c r="W84" s="618"/>
      <c r="X84" s="143"/>
      <c r="Y84" s="148">
        <f>'4. Customer Growth'!B18</f>
        <v>2022</v>
      </c>
      <c r="Z84" s="536">
        <f>Z72</f>
        <v>157082097.17000002</v>
      </c>
      <c r="AA84" s="536">
        <f>+AB72</f>
        <v>154882580.70166948</v>
      </c>
      <c r="AB84" s="173">
        <f t="shared" si="19"/>
        <v>1.4002337045132105E-2</v>
      </c>
      <c r="AC84" s="30"/>
      <c r="AD84" s="737"/>
      <c r="AE84" s="144"/>
      <c r="AF84" s="143"/>
      <c r="AG84" s="143"/>
      <c r="AH84" s="143"/>
      <c r="AI84" s="143"/>
      <c r="AJ84" s="143"/>
      <c r="AK84" s="143"/>
      <c r="AL84" s="143"/>
      <c r="AM84" s="143"/>
      <c r="AN84" s="143"/>
      <c r="AO84" s="143"/>
      <c r="AP84" s="143"/>
      <c r="AQ84" s="143"/>
    </row>
    <row r="85" spans="1:43" x14ac:dyDescent="0.3">
      <c r="A85" s="339">
        <f t="shared" si="21"/>
        <v>75</v>
      </c>
      <c r="B85" s="166" t="str">
        <f>CONCATENATE('3. Consumption by Rate Class'!B90,"-",'3. Consumption by Rate Class'!C90)</f>
        <v>2019-March</v>
      </c>
      <c r="C85" s="154">
        <v>12234304.98</v>
      </c>
      <c r="D85" s="154"/>
      <c r="E85" s="351">
        <v>204751.52</v>
      </c>
      <c r="F85" s="154">
        <v>116687.74</v>
      </c>
      <c r="G85" s="154"/>
      <c r="H85" s="367"/>
      <c r="I85" s="367"/>
      <c r="J85" s="167">
        <f t="shared" si="14"/>
        <v>12555744.24</v>
      </c>
      <c r="K85" s="167">
        <f>IF(K$9='5.Variables'!$B$10,+'5.Variables'!$E27,+IF(K$9='5.Variables'!$B$34,+'5.Variables'!$E51,+IF(K$9='5.Variables'!$B$58,+'5.Variables'!$E66,+IF(K$9='5.Variables'!$B$72,+'5.Variables'!$E80,+IF(K$9='5.Variables'!$B$86,+'5.Variables'!$E94,+IF(K$9='5.Variables'!$B$100,+'5.Variables'!$E108,IF(K$9='5.Variables'!$B$32,+'5.Variables'!$E32,IF(K$9='5.Variables'!$B$56,+'5.Variables'!$E56,0))))))))</f>
        <v>13868</v>
      </c>
      <c r="L85" s="292">
        <f>IF(L$9='5.Variables'!$B$10,+'5.Variables'!$E27,+IF(L$9='5.Variables'!$B$34,+'5.Variables'!$E51,+IF(L$9='5.Variables'!$B$58,+'5.Variables'!$E66,+IF(L$9='5.Variables'!$B$72,+'5.Variables'!$E80,+IF(L$9='5.Variables'!$B$86,+'5.Variables'!$E94,+IF(L$9='5.Variables'!$B$100,+'5.Variables'!$E108,IF(L$9='5.Variables'!$B$32,+'5.Variables'!$E32,IF(L$9='5.Variables'!$B$56,+'5.Variables'!$E56,0))))))))</f>
        <v>1</v>
      </c>
      <c r="M85" s="292">
        <f>IF(M$9='5.Variables'!$B$10,+'5.Variables'!$E27,+IF(M$9='5.Variables'!$B$34,+'5.Variables'!$E51,+IF(M$9='5.Variables'!$B$58,+'5.Variables'!$E66,+IF(M$9='5.Variables'!$B$72,+'5.Variables'!$E80,+IF(M$9='5.Variables'!$B$86,+'5.Variables'!$E94,+IF(M$9='5.Variables'!$B$100,+'5.Variables'!$E108,IF(M$9='5.Variables'!$B$32,+'5.Variables'!$E32,IF(M$9='5.Variables'!$B$56,+'5.Variables'!$E56,0))))))))</f>
        <v>31</v>
      </c>
      <c r="N85" s="292">
        <f>IF(N$9='5.Variables'!$B$10,+'5.Variables'!$E27,+IF(N$9='5.Variables'!$B$34,+'5.Variables'!$E51,+IF(N$9='5.Variables'!$B$58,+'5.Variables'!$E66,+IF(N$9='5.Variables'!$B$72,+'5.Variables'!$E80,+IF(N$9='5.Variables'!$B$86,+'5.Variables'!$E94,+IF(N$9='5.Variables'!$B$100,+'5.Variables'!$E108,IF(N$9='5.Variables'!$B$32,+'5.Variables'!$E32,IF(N$9='5.Variables'!$B$56,+'5.Variables'!$E56,0))))))))</f>
        <v>585.70000000000005</v>
      </c>
      <c r="O85" s="292">
        <f>IF(O$9='5.Variables'!$B$10,+'5.Variables'!$E27,+IF(O$9='5.Variables'!$B$34,+'5.Variables'!$E51,+IF(O$9='5.Variables'!$B$58,+'5.Variables'!$E66,+IF(O$9='5.Variables'!$B$72,+'5.Variables'!$E80,+IF(O$9='5.Variables'!$B$86,+'5.Variables'!$E94,+IF(O$9='5.Variables'!$B$100,+'5.Variables'!$E108,IF(O$9='5.Variables'!$B$32,+'5.Variables'!$E32,IF(O$9='5.Variables'!$B$56,+'5.Variables'!$E56,0))))))))</f>
        <v>0</v>
      </c>
      <c r="P85" s="292">
        <f>IF(P$9='5.Variables'!$B$10,+'5.Variables'!$E27,+IF(P$9='5.Variables'!$B$34,+'5.Variables'!$E51,+IF(P$9='5.Variables'!$B$58,+'5.Variables'!$E66,+IF(P$9='5.Variables'!$B$72,+'5.Variables'!$E80,+IF(P$9='5.Variables'!$B$86,+'5.Variables'!$E94,+IF(P$9='5.Variables'!$B$100,+'5.Variables'!$E108,IF(P$9='5.Variables'!$B$32,+'5.Variables'!$E32,IF(P$9='5.Variables'!$B$56,+'5.Variables'!$E56,0))))))))</f>
        <v>0</v>
      </c>
      <c r="Q85" s="143"/>
      <c r="R85" s="154">
        <v>12547409.110996099</v>
      </c>
      <c r="S85" s="167">
        <f t="shared" si="15"/>
        <v>12645169.036819635</v>
      </c>
      <c r="T85" s="624">
        <f t="shared" si="16"/>
        <v>0.99226899019389281</v>
      </c>
      <c r="U85" s="167">
        <f t="shared" si="17"/>
        <v>12458675.658157587</v>
      </c>
      <c r="V85" s="171"/>
      <c r="W85" s="618"/>
      <c r="X85" s="143"/>
      <c r="Y85" s="177" t="s">
        <v>44</v>
      </c>
      <c r="Z85" s="738"/>
      <c r="AA85" s="738"/>
      <c r="AB85" s="585">
        <f>AVERAGE(AB75:AB84)</f>
        <v>2.263361372786029E-2</v>
      </c>
      <c r="AC85" s="30"/>
      <c r="AD85" s="144"/>
      <c r="AE85" s="144"/>
      <c r="AF85" s="143"/>
      <c r="AG85" s="143"/>
      <c r="AH85" s="143"/>
      <c r="AI85" s="143"/>
      <c r="AJ85" s="143"/>
      <c r="AK85" s="143"/>
      <c r="AL85" s="143"/>
      <c r="AM85" s="143"/>
      <c r="AN85" s="143"/>
      <c r="AO85" s="143"/>
      <c r="AP85" s="143"/>
      <c r="AQ85" s="143"/>
    </row>
    <row r="86" spans="1:43" x14ac:dyDescent="0.3">
      <c r="A86" s="339">
        <f t="shared" si="21"/>
        <v>76</v>
      </c>
      <c r="B86" s="166" t="str">
        <f>CONCATENATE('3. Consumption by Rate Class'!B91,"-",'3. Consumption by Rate Class'!C91)</f>
        <v>2019-April</v>
      </c>
      <c r="C86" s="154">
        <v>10423342.369999999</v>
      </c>
      <c r="D86" s="154"/>
      <c r="E86" s="351">
        <v>203573.05</v>
      </c>
      <c r="F86" s="154">
        <v>148170.1</v>
      </c>
      <c r="G86" s="154"/>
      <c r="H86" s="367"/>
      <c r="I86" s="367"/>
      <c r="J86" s="167">
        <f t="shared" si="14"/>
        <v>10775085.52</v>
      </c>
      <c r="K86" s="167">
        <f>IF(K$9='5.Variables'!$B$10,+'5.Variables'!$F27,+IF(K$9='5.Variables'!$B$34,+'5.Variables'!$F51,+IF(K$9='5.Variables'!$B$58,+'5.Variables'!$F66,+IF(K$9='5.Variables'!$B$72,+'5.Variables'!$F80,+IF(K$9='5.Variables'!$B$86,+'5.Variables'!$F94,+IF(K$9='5.Variables'!$B$100,+'5.Variables'!$F108,IF(K$9='5.Variables'!$B$32,+'5.Variables'!$F32,IF(K$9='5.Variables'!$B$56,+'5.Variables'!$F56,0))))))))</f>
        <v>13865</v>
      </c>
      <c r="L86" s="292">
        <f>IF(L$9='5.Variables'!$B$10,+'5.Variables'!$F27,+IF(L$9='5.Variables'!$B$34,+'5.Variables'!$F51,+IF(L$9='5.Variables'!$B$58,+'5.Variables'!$F66,+IF(L$9='5.Variables'!$B$72,+'5.Variables'!$F80,+IF(L$9='5.Variables'!$B$86,+'5.Variables'!$F94,+IF(L$9='5.Variables'!$B$100,+'5.Variables'!$F108,IF(L$9='5.Variables'!$B$32,+'5.Variables'!$F32,IF(L$9='5.Variables'!$B$56,+'5.Variables'!$F56,0))))))))</f>
        <v>1</v>
      </c>
      <c r="M86" s="292">
        <f>IF(M$9='5.Variables'!$B$10,+'5.Variables'!$F27,+IF(M$9='5.Variables'!$B$34,+'5.Variables'!$F51,+IF(M$9='5.Variables'!$B$58,+'5.Variables'!$F66,+IF(M$9='5.Variables'!$B$72,+'5.Variables'!$F80,+IF(M$9='5.Variables'!$B$86,+'5.Variables'!$F94,+IF(M$9='5.Variables'!$B$100,+'5.Variables'!$F108,IF(M$9='5.Variables'!$B$32,+'5.Variables'!$F32,IF(M$9='5.Variables'!$B$56,+'5.Variables'!$F56,0))))))))</f>
        <v>30</v>
      </c>
      <c r="N86" s="292">
        <f>IF(N$9='5.Variables'!$B$10,+'5.Variables'!$F27,+IF(N$9='5.Variables'!$B$34,+'5.Variables'!$F51,+IF(N$9='5.Variables'!$B$58,+'5.Variables'!$F66,+IF(N$9='5.Variables'!$B$72,+'5.Variables'!$F80,+IF(N$9='5.Variables'!$B$86,+'5.Variables'!$F94,+IF(N$9='5.Variables'!$B$100,+'5.Variables'!$F108,IF(N$9='5.Variables'!$B$32,+'5.Variables'!$F32,IF(N$9='5.Variables'!$B$56,+'5.Variables'!$F56,0))))))))</f>
        <v>391.1</v>
      </c>
      <c r="O86" s="292">
        <f>IF(O$9='5.Variables'!$B$10,+'5.Variables'!$F27,+IF(O$9='5.Variables'!$B$34,+'5.Variables'!$F51,+IF(O$9='5.Variables'!$B$58,+'5.Variables'!$F66,+IF(O$9='5.Variables'!$B$72,+'5.Variables'!$F80,+IF(O$9='5.Variables'!$B$86,+'5.Variables'!$F94,+IF(O$9='5.Variables'!$B$100,+'5.Variables'!$F108,IF(O$9='5.Variables'!$B$32,+'5.Variables'!$F32,IF(O$9='5.Variables'!$B$56,+'5.Variables'!$F56,0))))))))</f>
        <v>0</v>
      </c>
      <c r="P86" s="292">
        <f>IF(P$9='5.Variables'!$B$10,+'5.Variables'!$F27,+IF(P$9='5.Variables'!$B$34,+'5.Variables'!$F51,+IF(P$9='5.Variables'!$B$58,+'5.Variables'!$F66,+IF(P$9='5.Variables'!$B$72,+'5.Variables'!$F80,+IF(P$9='5.Variables'!$B$86,+'5.Variables'!$F94,+IF(P$9='5.Variables'!$B$100,+'5.Variables'!$F108,IF(P$9='5.Variables'!$B$32,+'5.Variables'!$F32,IF(P$9='5.Variables'!$B$56,+'5.Variables'!$F56,0))))))))</f>
        <v>0</v>
      </c>
      <c r="Q86" s="143"/>
      <c r="R86" s="154">
        <v>11015460.160311831</v>
      </c>
      <c r="S86" s="167">
        <f t="shared" si="15"/>
        <v>11098038.838819645</v>
      </c>
      <c r="T86" s="624">
        <f t="shared" si="16"/>
        <v>0.99255916475810446</v>
      </c>
      <c r="U86" s="167">
        <f t="shared" si="17"/>
        <v>10694909.883928346</v>
      </c>
      <c r="V86" s="171"/>
      <c r="W86" s="618"/>
      <c r="X86" s="143"/>
      <c r="Y86" s="177" t="s">
        <v>46</v>
      </c>
      <c r="Z86" s="144"/>
      <c r="AA86" s="144"/>
      <c r="AB86" s="585">
        <f>MEDIAN(AB75:AB84)</f>
        <v>2.0599337805922862E-2</v>
      </c>
      <c r="AC86" s="30"/>
      <c r="AD86" s="144"/>
      <c r="AE86" s="144"/>
      <c r="AF86" s="143"/>
      <c r="AG86" s="143"/>
      <c r="AH86" s="143"/>
      <c r="AI86" s="143"/>
      <c r="AJ86" s="143"/>
      <c r="AK86" s="143"/>
      <c r="AL86" s="143"/>
      <c r="AM86" s="143"/>
      <c r="AN86" s="143"/>
      <c r="AO86" s="143"/>
      <c r="AP86" s="143"/>
      <c r="AQ86" s="143"/>
    </row>
    <row r="87" spans="1:43" x14ac:dyDescent="0.3">
      <c r="A87" s="339">
        <f t="shared" si="21"/>
        <v>77</v>
      </c>
      <c r="B87" s="166" t="str">
        <f>CONCATENATE('3. Consumption by Rate Class'!B92,"-",'3. Consumption by Rate Class'!C92)</f>
        <v>2019-May</v>
      </c>
      <c r="C87" s="154">
        <v>10124014.43</v>
      </c>
      <c r="D87" s="154"/>
      <c r="E87" s="351">
        <v>217454.37</v>
      </c>
      <c r="F87" s="154">
        <v>186415.58</v>
      </c>
      <c r="G87" s="154"/>
      <c r="H87" s="367"/>
      <c r="I87" s="367"/>
      <c r="J87" s="167">
        <f t="shared" si="14"/>
        <v>10527884.379999999</v>
      </c>
      <c r="K87" s="167">
        <f>IF(K$9='5.Variables'!$B$10,+'5.Variables'!$G27,+IF(K$9='5.Variables'!$B$34,+'5.Variables'!$G51,+IF(K$9='5.Variables'!$B$58,+'5.Variables'!$G66,+IF(K$9='5.Variables'!$B$72,+'5.Variables'!$G80,+IF(K$9='5.Variables'!$B$86,+'5.Variables'!$G94,+IF(K$9='5.Variables'!$B$100,+'5.Variables'!$G108,IF(K$9='5.Variables'!$B$32,+'5.Variables'!$G32,IF(K$9='5.Variables'!$B$56,+'5.Variables'!$G56,0))))))))</f>
        <v>13876</v>
      </c>
      <c r="L87" s="292">
        <f>IF(L$9='5.Variables'!$B$10,+'5.Variables'!$G27,+IF(L$9='5.Variables'!$B$34,+'5.Variables'!$G51,+IF(L$9='5.Variables'!$B$58,+'5.Variables'!$G66,+IF(L$9='5.Variables'!$B$72,+'5.Variables'!$G80,+IF(L$9='5.Variables'!$B$86,+'5.Variables'!$G94,+IF(L$9='5.Variables'!$B$100,+'5.Variables'!$G108,IF(L$9='5.Variables'!$B$32,+'5.Variables'!$G32,IF(L$9='5.Variables'!$B$56,+'5.Variables'!$G56,0))))))))</f>
        <v>1</v>
      </c>
      <c r="M87" s="292">
        <f>IF(M$9='5.Variables'!$B$10,+'5.Variables'!$G27,+IF(M$9='5.Variables'!$B$34,+'5.Variables'!$G51,+IF(M$9='5.Variables'!$B$58,+'5.Variables'!$G66,+IF(M$9='5.Variables'!$B$72,+'5.Variables'!$G80,+IF(M$9='5.Variables'!$B$86,+'5.Variables'!$G94,+IF(M$9='5.Variables'!$B$100,+'5.Variables'!$G108,IF(M$9='5.Variables'!$B$32,+'5.Variables'!$G32,IF(M$9='5.Variables'!$B$56,+'5.Variables'!$G56,0))))))))</f>
        <v>31</v>
      </c>
      <c r="N87" s="292">
        <f>IF(N$9='5.Variables'!$B$10,+'5.Variables'!$G27,+IF(N$9='5.Variables'!$B$34,+'5.Variables'!$G51,+IF(N$9='5.Variables'!$B$58,+'5.Variables'!$G66,+IF(N$9='5.Variables'!$B$72,+'5.Variables'!$G80,+IF(N$9='5.Variables'!$B$86,+'5.Variables'!$G94,+IF(N$9='5.Variables'!$B$100,+'5.Variables'!$G108,IF(N$9='5.Variables'!$B$32,+'5.Variables'!$G32,IF(N$9='5.Variables'!$B$56,+'5.Variables'!$G56,0))))))))</f>
        <v>237</v>
      </c>
      <c r="O87" s="292">
        <f>IF(O$9='5.Variables'!$B$10,+'5.Variables'!$G27,+IF(O$9='5.Variables'!$B$34,+'5.Variables'!$G51,+IF(O$9='5.Variables'!$B$58,+'5.Variables'!$G66,+IF(O$9='5.Variables'!$B$72,+'5.Variables'!$G80,+IF(O$9='5.Variables'!$B$86,+'5.Variables'!$G94,+IF(O$9='5.Variables'!$B$100,+'5.Variables'!$G108,IF(O$9='5.Variables'!$B$32,+'5.Variables'!$G32,IF(O$9='5.Variables'!$B$56,+'5.Variables'!$G56,0))))))))</f>
        <v>0</v>
      </c>
      <c r="P87" s="292">
        <f>IF(P$9='5.Variables'!$B$10,+'5.Variables'!$G27,+IF(P$9='5.Variables'!$B$34,+'5.Variables'!$G51,+IF(P$9='5.Variables'!$B$58,+'5.Variables'!$G66,+IF(P$9='5.Variables'!$B$72,+'5.Variables'!$G80,+IF(P$9='5.Variables'!$B$86,+'5.Variables'!$G94,+IF(P$9='5.Variables'!$B$100,+'5.Variables'!$G108,IF(P$9='5.Variables'!$B$32,+'5.Variables'!$G32,IF(P$9='5.Variables'!$B$56,+'5.Variables'!$G56,0))))))))</f>
        <v>0</v>
      </c>
      <c r="Q87" s="143"/>
      <c r="R87" s="154">
        <v>10992342.187826134</v>
      </c>
      <c r="S87" s="167">
        <f t="shared" si="15"/>
        <v>10643748.103715299</v>
      </c>
      <c r="T87" s="624">
        <f t="shared" si="16"/>
        <v>1.0327510648235987</v>
      </c>
      <c r="U87" s="167">
        <f t="shared" si="17"/>
        <v>10872683.803784732</v>
      </c>
      <c r="V87" s="171"/>
      <c r="W87" s="618"/>
      <c r="X87" s="143"/>
      <c r="Y87" s="143"/>
      <c r="Z87" s="143"/>
      <c r="AA87" s="143"/>
      <c r="AB87" s="143"/>
      <c r="AC87" s="143"/>
      <c r="AD87" s="143"/>
      <c r="AE87" s="143"/>
      <c r="AF87" s="143"/>
      <c r="AG87" s="143"/>
      <c r="AH87" s="143"/>
      <c r="AI87" s="143"/>
      <c r="AJ87" s="143"/>
      <c r="AK87" s="143"/>
      <c r="AL87" s="143"/>
      <c r="AM87" s="143"/>
      <c r="AN87" s="143"/>
      <c r="AO87" s="143"/>
      <c r="AP87" s="143"/>
      <c r="AQ87" s="143"/>
    </row>
    <row r="88" spans="1:43" x14ac:dyDescent="0.3">
      <c r="A88" s="339">
        <f t="shared" si="21"/>
        <v>78</v>
      </c>
      <c r="B88" s="166" t="str">
        <f>CONCATENATE('3. Consumption by Rate Class'!B93,"-",'3. Consumption by Rate Class'!C93)</f>
        <v>2019-June</v>
      </c>
      <c r="C88" s="154">
        <v>9963808.2200000007</v>
      </c>
      <c r="D88" s="154"/>
      <c r="E88" s="351">
        <v>229161.73</v>
      </c>
      <c r="F88" s="154">
        <v>230038.8</v>
      </c>
      <c r="G88" s="154"/>
      <c r="H88" s="367"/>
      <c r="I88" s="367"/>
      <c r="J88" s="167">
        <f t="shared" si="14"/>
        <v>10423008.750000002</v>
      </c>
      <c r="K88" s="167">
        <f>IF(K$9='5.Variables'!$B$10,+'5.Variables'!$H27,+IF(K$9='5.Variables'!$B$34,+'5.Variables'!$H51,+IF(K$9='5.Variables'!$B$58,+'5.Variables'!$H66,+IF(K$9='5.Variables'!$B$72,+'5.Variables'!$H80,+IF(K$9='5.Variables'!$B$86,+'5.Variables'!$H94,+IF(K$9='5.Variables'!$B$100,+'5.Variables'!$H108,IF(K$9='5.Variables'!$B$32,+'5.Variables'!$H32,IF(K$9='5.Variables'!$B$56,+'5.Variables'!$H56,0))))))))</f>
        <v>13877</v>
      </c>
      <c r="L88" s="292">
        <f>IF(L$9='5.Variables'!$B$10,+'5.Variables'!$H27,+IF(L$9='5.Variables'!$B$34,+'5.Variables'!$H51,+IF(L$9='5.Variables'!$B$58,+'5.Variables'!$H66,+IF(L$9='5.Variables'!$B$72,+'5.Variables'!$H80,+IF(L$9='5.Variables'!$B$86,+'5.Variables'!$H94,+IF(L$9='5.Variables'!$B$100,+'5.Variables'!$H108,IF(L$9='5.Variables'!$B$32,+'5.Variables'!$H32,IF(L$9='5.Variables'!$B$56,+'5.Variables'!$H56,0))))))))</f>
        <v>0</v>
      </c>
      <c r="M88" s="292">
        <f>IF(M$9='5.Variables'!$B$10,+'5.Variables'!$H27,+IF(M$9='5.Variables'!$B$34,+'5.Variables'!$H51,+IF(M$9='5.Variables'!$B$58,+'5.Variables'!$H66,+IF(M$9='5.Variables'!$B$72,+'5.Variables'!$H80,+IF(M$9='5.Variables'!$B$86,+'5.Variables'!$H94,+IF(M$9='5.Variables'!$B$100,+'5.Variables'!$H108,IF(M$9='5.Variables'!$B$32,+'5.Variables'!$H32,IF(M$9='5.Variables'!$B$56,+'5.Variables'!$H56,0))))))))</f>
        <v>30</v>
      </c>
      <c r="N88" s="292">
        <f>IF(N$9='5.Variables'!$B$10,+'5.Variables'!$H27,+IF(N$9='5.Variables'!$B$34,+'5.Variables'!$H51,+IF(N$9='5.Variables'!$B$58,+'5.Variables'!$H66,+IF(N$9='5.Variables'!$B$72,+'5.Variables'!$H80,+IF(N$9='5.Variables'!$B$86,+'5.Variables'!$H94,+IF(N$9='5.Variables'!$B$100,+'5.Variables'!$H108,IF(N$9='5.Variables'!$B$32,+'5.Variables'!$H32,IF(N$9='5.Variables'!$B$56,+'5.Variables'!$H56,0))))))))</f>
        <v>96.1</v>
      </c>
      <c r="O88" s="292">
        <f>IF(O$9='5.Variables'!$B$10,+'5.Variables'!$H27,+IF(O$9='5.Variables'!$B$34,+'5.Variables'!$H51,+IF(O$9='5.Variables'!$B$58,+'5.Variables'!$H66,+IF(O$9='5.Variables'!$B$72,+'5.Variables'!$H80,+IF(O$9='5.Variables'!$B$86,+'5.Variables'!$H94,+IF(O$9='5.Variables'!$B$100,+'5.Variables'!$H108,IF(O$9='5.Variables'!$B$32,+'5.Variables'!$H32,IF(O$9='5.Variables'!$B$56,+'5.Variables'!$H56,0))))))))</f>
        <v>16.899999999999999</v>
      </c>
      <c r="P88" s="292">
        <f>IF(P$9='5.Variables'!$B$10,+'5.Variables'!$H27,+IF(P$9='5.Variables'!$B$34,+'5.Variables'!$H51,+IF(P$9='5.Variables'!$B$58,+'5.Variables'!$H66,+IF(P$9='5.Variables'!$B$72,+'5.Variables'!$H80,+IF(P$9='5.Variables'!$B$86,+'5.Variables'!$H94,+IF(P$9='5.Variables'!$B$100,+'5.Variables'!$H108,IF(P$9='5.Variables'!$B$32,+'5.Variables'!$H32,IF(P$9='5.Variables'!$B$56,+'5.Variables'!$H56,0))))))))</f>
        <v>0</v>
      </c>
      <c r="Q88" s="143"/>
      <c r="R88" s="154">
        <v>11510364.050874691</v>
      </c>
      <c r="S88" s="167">
        <f t="shared" si="15"/>
        <v>10933575.941912036</v>
      </c>
      <c r="T88" s="624">
        <f t="shared" si="16"/>
        <v>1.0527538393684754</v>
      </c>
      <c r="U88" s="167">
        <f t="shared" si="17"/>
        <v>10972862.479333716</v>
      </c>
      <c r="V88" s="171"/>
      <c r="W88" s="618"/>
      <c r="X88" s="143"/>
      <c r="Y88" s="143" t="s">
        <v>89</v>
      </c>
      <c r="Z88" s="143"/>
      <c r="AA88" s="143"/>
      <c r="AB88" s="143"/>
      <c r="AC88" s="143"/>
      <c r="AD88" s="143"/>
      <c r="AE88" s="143"/>
      <c r="AF88" s="143"/>
      <c r="AG88" s="143"/>
      <c r="AH88" s="143"/>
      <c r="AI88" s="143"/>
      <c r="AJ88" s="143"/>
      <c r="AK88" s="143"/>
      <c r="AL88" s="143"/>
      <c r="AM88" s="143"/>
      <c r="AN88" s="143"/>
      <c r="AO88" s="143"/>
      <c r="AP88" s="143"/>
      <c r="AQ88" s="143"/>
    </row>
    <row r="89" spans="1:43" x14ac:dyDescent="0.3">
      <c r="A89" s="339">
        <f t="shared" si="21"/>
        <v>79</v>
      </c>
      <c r="B89" s="166" t="str">
        <f>CONCATENATE('3. Consumption by Rate Class'!B94,"-",'3. Consumption by Rate Class'!C94)</f>
        <v>2019-July</v>
      </c>
      <c r="C89" s="154">
        <v>13911423.380000001</v>
      </c>
      <c r="D89" s="154"/>
      <c r="E89" s="351">
        <v>275370.15000000002</v>
      </c>
      <c r="F89" s="154">
        <v>259763.25</v>
      </c>
      <c r="G89" s="154"/>
      <c r="H89" s="367"/>
      <c r="I89" s="367"/>
      <c r="J89" s="167">
        <f t="shared" si="14"/>
        <v>14446556.780000001</v>
      </c>
      <c r="K89" s="167">
        <f>IF(K$9='5.Variables'!$B$10,+'5.Variables'!$I27,+IF(K$9='5.Variables'!$B$34,+'5.Variables'!$I51,+IF(K$9='5.Variables'!$B$58,+'5.Variables'!$I66,+IF(K$9='5.Variables'!$B$72,+'5.Variables'!$I80,+IF(K$9='5.Variables'!$B$86,+'5.Variables'!$I94,+IF(K$9='5.Variables'!$B$100,+'5.Variables'!$I108,IF(K$9='5.Variables'!$B$32,+'5.Variables'!$I32,IF(K$9='5.Variables'!$B$56,+'5.Variables'!$I56,0))))))))</f>
        <v>13892</v>
      </c>
      <c r="L89" s="292">
        <f>IF(L$9='5.Variables'!$B$10,+'5.Variables'!$I27,+IF(L$9='5.Variables'!$B$34,+'5.Variables'!$I51,+IF(L$9='5.Variables'!$B$58,+'5.Variables'!$I66,+IF(L$9='5.Variables'!$B$72,+'5.Variables'!$I80,+IF(L$9='5.Variables'!$B$86,+'5.Variables'!$I94,+IF(L$9='5.Variables'!$B$100,+'5.Variables'!$I108,IF(L$9='5.Variables'!$B$32,+'5.Variables'!$I32,IF(L$9='5.Variables'!$B$56,+'5.Variables'!$I56,0))))))))</f>
        <v>0</v>
      </c>
      <c r="M89" s="292">
        <f>IF(M$9='5.Variables'!$B$10,+'5.Variables'!$I27,+IF(M$9='5.Variables'!$B$34,+'5.Variables'!$I51,+IF(M$9='5.Variables'!$B$58,+'5.Variables'!$I66,+IF(M$9='5.Variables'!$B$72,+'5.Variables'!$I80,+IF(M$9='5.Variables'!$B$86,+'5.Variables'!$I94,+IF(M$9='5.Variables'!$B$100,+'5.Variables'!$I108,IF(M$9='5.Variables'!$B$32,+'5.Variables'!$I32,IF(M$9='5.Variables'!$B$56,+'5.Variables'!$I56,0))))))))</f>
        <v>31</v>
      </c>
      <c r="N89" s="292">
        <f>IF(N$9='5.Variables'!$B$10,+'5.Variables'!$I27,+IF(N$9='5.Variables'!$B$34,+'5.Variables'!$I51,+IF(N$9='5.Variables'!$B$58,+'5.Variables'!$I66,+IF(N$9='5.Variables'!$B$72,+'5.Variables'!$I80,+IF(N$9='5.Variables'!$B$86,+'5.Variables'!$I94,+IF(N$9='5.Variables'!$B$100,+'5.Variables'!$I108,IF(N$9='5.Variables'!$B$32,+'5.Variables'!$I32,IF(N$9='5.Variables'!$B$56,+'5.Variables'!$I56,0))))))))</f>
        <v>4</v>
      </c>
      <c r="O89" s="292">
        <f>IF(O$9='5.Variables'!$B$10,+'5.Variables'!$I27,+IF(O$9='5.Variables'!$B$34,+'5.Variables'!$I51,+IF(O$9='5.Variables'!$B$58,+'5.Variables'!$I66,+IF(O$9='5.Variables'!$B$72,+'5.Variables'!$I80,+IF(O$9='5.Variables'!$B$86,+'5.Variables'!$I94,+IF(O$9='5.Variables'!$B$100,+'5.Variables'!$I108,IF(O$9='5.Variables'!$B$32,+'5.Variables'!$I32,IF(O$9='5.Variables'!$B$56,+'5.Variables'!$I56,0))))))))</f>
        <v>93.9</v>
      </c>
      <c r="P89" s="292">
        <f>IF(P$9='5.Variables'!$B$10,+'5.Variables'!$I27,+IF(P$9='5.Variables'!$B$34,+'5.Variables'!$I51,+IF(P$9='5.Variables'!$B$58,+'5.Variables'!$I66,+IF(P$9='5.Variables'!$B$72,+'5.Variables'!$I80,+IF(P$9='5.Variables'!$B$86,+'5.Variables'!$I94,+IF(P$9='5.Variables'!$B$100,+'5.Variables'!$I108,IF(P$9='5.Variables'!$B$32,+'5.Variables'!$I32,IF(P$9='5.Variables'!$B$56,+'5.Variables'!$I56,0))))))))</f>
        <v>0</v>
      </c>
      <c r="Q89" s="143"/>
      <c r="R89" s="154">
        <v>13651488.686019475</v>
      </c>
      <c r="S89" s="167">
        <f t="shared" si="15"/>
        <v>13863610.000767147</v>
      </c>
      <c r="T89" s="624">
        <f t="shared" si="16"/>
        <v>0.98469941705400432</v>
      </c>
      <c r="U89" s="167">
        <f t="shared" si="17"/>
        <v>14225516.039703574</v>
      </c>
      <c r="V89" s="171"/>
      <c r="W89" s="618"/>
      <c r="X89" s="143"/>
      <c r="Y89" s="143" t="s">
        <v>132</v>
      </c>
      <c r="Z89" s="143"/>
      <c r="AA89" s="143"/>
      <c r="AB89" s="143"/>
      <c r="AC89" s="143"/>
      <c r="AD89" s="143"/>
      <c r="AE89" s="143"/>
      <c r="AF89" s="143"/>
      <c r="AG89" s="143"/>
      <c r="AH89" s="143"/>
      <c r="AI89" s="143"/>
      <c r="AJ89" s="143"/>
      <c r="AK89" s="143"/>
      <c r="AL89" s="143"/>
      <c r="AM89" s="143"/>
      <c r="AN89" s="143"/>
      <c r="AO89" s="143"/>
      <c r="AP89" s="143"/>
      <c r="AQ89" s="143"/>
    </row>
    <row r="90" spans="1:43" x14ac:dyDescent="0.3">
      <c r="A90" s="339">
        <f t="shared" si="21"/>
        <v>80</v>
      </c>
      <c r="B90" s="166" t="str">
        <f>CONCATENATE('3. Consumption by Rate Class'!B95,"-",'3. Consumption by Rate Class'!C95)</f>
        <v>2019-August</v>
      </c>
      <c r="C90" s="154">
        <v>12353863.699999999</v>
      </c>
      <c r="D90" s="154"/>
      <c r="E90" s="351">
        <v>268373.45</v>
      </c>
      <c r="F90" s="154">
        <v>233288.17</v>
      </c>
      <c r="G90" s="154"/>
      <c r="H90" s="367"/>
      <c r="I90" s="367"/>
      <c r="J90" s="167">
        <f t="shared" si="14"/>
        <v>12855525.319999998</v>
      </c>
      <c r="K90" s="167">
        <f>IF(K$9='5.Variables'!$B$10,+'5.Variables'!$J27,+IF(K$9='5.Variables'!$B$34,+'5.Variables'!$J51,+IF(K$9='5.Variables'!$B$58,+'5.Variables'!$J66,+IF(K$9='5.Variables'!$B$72,+'5.Variables'!$J80,+IF(K$9='5.Variables'!$B$86,+'5.Variables'!$J94,+IF(K$9='5.Variables'!$B$100,+'5.Variables'!$J108,IF(K$9='5.Variables'!$B$32,+'5.Variables'!$J32,IF(K$9='5.Variables'!$B$56,+'5.Variables'!$J56,0))))))))</f>
        <v>13911</v>
      </c>
      <c r="L90" s="292">
        <f>IF(L$9='5.Variables'!$B$10,+'5.Variables'!$J27,+IF(L$9='5.Variables'!$B$34,+'5.Variables'!$J51,+IF(L$9='5.Variables'!$B$58,+'5.Variables'!$J66,+IF(L$9='5.Variables'!$B$72,+'5.Variables'!$J80,+IF(L$9='5.Variables'!$B$86,+'5.Variables'!$J94,+IF(L$9='5.Variables'!$B$100,+'5.Variables'!$J108,IF(L$9='5.Variables'!$B$32,+'5.Variables'!$J32,IF(L$9='5.Variables'!$B$56,+'5.Variables'!$J56,0))))))))</f>
        <v>0</v>
      </c>
      <c r="M90" s="292">
        <f>IF(M$9='5.Variables'!$B$10,+'5.Variables'!$J27,+IF(M$9='5.Variables'!$B$34,+'5.Variables'!$J51,+IF(M$9='5.Variables'!$B$58,+'5.Variables'!$J66,+IF(M$9='5.Variables'!$B$72,+'5.Variables'!$J80,+IF(M$9='5.Variables'!$B$86,+'5.Variables'!$J94,+IF(M$9='5.Variables'!$B$100,+'5.Variables'!$J108,IF(M$9='5.Variables'!$B$32,+'5.Variables'!$J32,IF(M$9='5.Variables'!$B$56,+'5.Variables'!$J56,0))))))))</f>
        <v>31</v>
      </c>
      <c r="N90" s="292">
        <f>IF(N$9='5.Variables'!$B$10,+'5.Variables'!$J27,+IF(N$9='5.Variables'!$B$34,+'5.Variables'!$J51,+IF(N$9='5.Variables'!$B$58,+'5.Variables'!$J66,+IF(N$9='5.Variables'!$B$72,+'5.Variables'!$J80,+IF(N$9='5.Variables'!$B$86,+'5.Variables'!$J94,+IF(N$9='5.Variables'!$B$100,+'5.Variables'!$J108,IF(N$9='5.Variables'!$B$32,+'5.Variables'!$J32,IF(N$9='5.Variables'!$B$56,+'5.Variables'!$J56,0))))))))</f>
        <v>7.3</v>
      </c>
      <c r="O90" s="292">
        <f>IF(O$9='5.Variables'!$B$10,+'5.Variables'!$J27,+IF(O$9='5.Variables'!$B$34,+'5.Variables'!$J51,+IF(O$9='5.Variables'!$B$58,+'5.Variables'!$J66,+IF(O$9='5.Variables'!$B$72,+'5.Variables'!$J80,+IF(O$9='5.Variables'!$B$86,+'5.Variables'!$J94,+IF(O$9='5.Variables'!$B$100,+'5.Variables'!$J108,IF(O$9='5.Variables'!$B$32,+'5.Variables'!$J32,IF(O$9='5.Variables'!$B$56,+'5.Variables'!$J56,0))))))))</f>
        <v>56.7</v>
      </c>
      <c r="P90" s="292">
        <f>IF(P$9='5.Variables'!$B$10,+'5.Variables'!$J27,+IF(P$9='5.Variables'!$B$34,+'5.Variables'!$J51,+IF(P$9='5.Variables'!$B$58,+'5.Variables'!$J66,+IF(P$9='5.Variables'!$B$72,+'5.Variables'!$J80,+IF(P$9='5.Variables'!$B$86,+'5.Variables'!$J94,+IF(P$9='5.Variables'!$B$100,+'5.Variables'!$J108,IF(P$9='5.Variables'!$B$32,+'5.Variables'!$J32,IF(P$9='5.Variables'!$B$56,+'5.Variables'!$J56,0))))))))</f>
        <v>0</v>
      </c>
      <c r="Q90" s="143"/>
      <c r="R90" s="154">
        <v>13387287.980480202</v>
      </c>
      <c r="S90" s="167">
        <f t="shared" si="15"/>
        <v>12439387.58905956</v>
      </c>
      <c r="T90" s="624">
        <f t="shared" si="16"/>
        <v>1.0762015319993985</v>
      </c>
      <c r="U90" s="167">
        <f t="shared" si="17"/>
        <v>13835136.044041056</v>
      </c>
      <c r="V90" s="171"/>
      <c r="W90" s="618"/>
      <c r="X90" s="143"/>
      <c r="AE90" s="143"/>
      <c r="AF90" s="143"/>
      <c r="AG90" s="143"/>
      <c r="AH90" s="143"/>
      <c r="AI90" s="143"/>
      <c r="AJ90" s="143"/>
      <c r="AK90" s="143"/>
      <c r="AL90" s="143"/>
      <c r="AM90" s="143"/>
      <c r="AN90" s="143"/>
      <c r="AO90" s="143"/>
      <c r="AP90" s="143"/>
      <c r="AQ90" s="143"/>
    </row>
    <row r="91" spans="1:43" x14ac:dyDescent="0.3">
      <c r="A91" s="339">
        <f t="shared" si="21"/>
        <v>81</v>
      </c>
      <c r="B91" s="166" t="str">
        <f>CONCATENATE('3. Consumption by Rate Class'!B96,"-",'3. Consumption by Rate Class'!C96)</f>
        <v>2019-September</v>
      </c>
      <c r="C91" s="154">
        <v>9705119.4000000004</v>
      </c>
      <c r="D91" s="154"/>
      <c r="E91" s="351">
        <v>242728.61</v>
      </c>
      <c r="F91" s="154">
        <v>140209.60999999999</v>
      </c>
      <c r="G91" s="154"/>
      <c r="H91" s="367"/>
      <c r="I91" s="367"/>
      <c r="J91" s="167">
        <f t="shared" si="14"/>
        <v>10088057.619999999</v>
      </c>
      <c r="K91" s="167">
        <f>IF(K$9='5.Variables'!$B$10,+'5.Variables'!$K27,+IF(K$9='5.Variables'!$B$34,+'5.Variables'!$K51,+IF(K$9='5.Variables'!$B$58,+'5.Variables'!$K66,+IF(K$9='5.Variables'!$B$72,+'5.Variables'!$K80,+IF(K$9='5.Variables'!$B$86,+'5.Variables'!$K94,+IF(K$9='5.Variables'!$B$100,+'5.Variables'!$K108,IF(K$9='5.Variables'!$B$32,+'5.Variables'!$K32,IF(K$9='5.Variables'!$B$56,+'5.Variables'!$K56,0))))))))</f>
        <v>13920</v>
      </c>
      <c r="L91" s="292">
        <f>IF(L$9='5.Variables'!$B$10,+'5.Variables'!$K27,+IF(L$9='5.Variables'!$B$34,+'5.Variables'!$K51,+IF(L$9='5.Variables'!$B$58,+'5.Variables'!$K66,+IF(L$9='5.Variables'!$B$72,+'5.Variables'!$K80,+IF(L$9='5.Variables'!$B$86,+'5.Variables'!$K94,+IF(L$9='5.Variables'!$B$100,+'5.Variables'!$K108,IF(L$9='5.Variables'!$B$32,+'5.Variables'!$K32,IF(L$9='5.Variables'!$B$56,+'5.Variables'!$K56,0))))))))</f>
        <v>1</v>
      </c>
      <c r="M91" s="292">
        <f>IF(M$9='5.Variables'!$B$10,+'5.Variables'!$K27,+IF(M$9='5.Variables'!$B$34,+'5.Variables'!$K51,+IF(M$9='5.Variables'!$B$58,+'5.Variables'!$K66,+IF(M$9='5.Variables'!$B$72,+'5.Variables'!$K80,+IF(M$9='5.Variables'!$B$86,+'5.Variables'!$K94,+IF(M$9='5.Variables'!$B$100,+'5.Variables'!$K108,IF(M$9='5.Variables'!$B$32,+'5.Variables'!$K32,IF(M$9='5.Variables'!$B$56,+'5.Variables'!$K56,0))))))))</f>
        <v>30</v>
      </c>
      <c r="N91" s="292">
        <f>IF(N$9='5.Variables'!$B$10,+'5.Variables'!$K27,+IF(N$9='5.Variables'!$B$34,+'5.Variables'!$K51,+IF(N$9='5.Variables'!$B$58,+'5.Variables'!$K66,+IF(N$9='5.Variables'!$B$72,+'5.Variables'!$K80,+IF(N$9='5.Variables'!$B$86,+'5.Variables'!$K94,+IF(N$9='5.Variables'!$B$100,+'5.Variables'!$K108,IF(N$9='5.Variables'!$B$32,+'5.Variables'!$K32,IF(N$9='5.Variables'!$B$56,+'5.Variables'!$K56,0))))))))</f>
        <v>61.6</v>
      </c>
      <c r="O91" s="292">
        <f>IF(O$9='5.Variables'!$B$10,+'5.Variables'!$K27,+IF(O$9='5.Variables'!$B$34,+'5.Variables'!$K51,+IF(O$9='5.Variables'!$B$58,+'5.Variables'!$K66,+IF(O$9='5.Variables'!$B$72,+'5.Variables'!$K80,+IF(O$9='5.Variables'!$B$86,+'5.Variables'!$K94,+IF(O$9='5.Variables'!$B$100,+'5.Variables'!$K108,IF(O$9='5.Variables'!$B$32,+'5.Variables'!$K32,IF(O$9='5.Variables'!$B$56,+'5.Variables'!$K56,0))))))))</f>
        <v>14.8</v>
      </c>
      <c r="P91" s="292">
        <f>IF(P$9='5.Variables'!$B$10,+'5.Variables'!$K27,+IF(P$9='5.Variables'!$B$34,+'5.Variables'!$K51,+IF(P$9='5.Variables'!$B$58,+'5.Variables'!$K66,+IF(P$9='5.Variables'!$B$72,+'5.Variables'!$K80,+IF(P$9='5.Variables'!$B$86,+'5.Variables'!$K94,+IF(P$9='5.Variables'!$B$100,+'5.Variables'!$K108,IF(P$9='5.Variables'!$B$32,+'5.Variables'!$K32,IF(P$9='5.Variables'!$B$56,+'5.Variables'!$K56,0))))))))</f>
        <v>0</v>
      </c>
      <c r="Q91" s="143"/>
      <c r="R91" s="154">
        <v>10689000.848172128</v>
      </c>
      <c r="S91" s="167">
        <f t="shared" si="15"/>
        <v>9831557.3829289842</v>
      </c>
      <c r="T91" s="624">
        <f t="shared" si="16"/>
        <v>1.0872133917187896</v>
      </c>
      <c r="U91" s="167">
        <f t="shared" si="17"/>
        <v>10967871.340894779</v>
      </c>
      <c r="V91" s="171"/>
      <c r="W91" s="618"/>
      <c r="X91" s="143"/>
      <c r="AE91" s="143"/>
      <c r="AF91" s="143"/>
      <c r="AG91" s="143"/>
      <c r="AH91" s="143"/>
      <c r="AI91" s="143"/>
      <c r="AJ91" s="143"/>
      <c r="AK91" s="143"/>
      <c r="AL91" s="143"/>
      <c r="AM91" s="143"/>
      <c r="AN91" s="143"/>
      <c r="AO91" s="143"/>
      <c r="AP91" s="143"/>
      <c r="AQ91" s="143"/>
    </row>
    <row r="92" spans="1:43" x14ac:dyDescent="0.3">
      <c r="A92" s="339">
        <f t="shared" si="21"/>
        <v>82</v>
      </c>
      <c r="B92" s="166" t="str">
        <f>CONCATENATE('3. Consumption by Rate Class'!B97,"-",'3. Consumption by Rate Class'!C97)</f>
        <v>2019-October</v>
      </c>
      <c r="C92" s="154">
        <v>10144367.210000001</v>
      </c>
      <c r="D92" s="154"/>
      <c r="E92" s="610">
        <v>219808.02</v>
      </c>
      <c r="F92" s="154">
        <v>110569.83</v>
      </c>
      <c r="G92" s="154"/>
      <c r="H92" s="367"/>
      <c r="I92" s="367"/>
      <c r="J92" s="167">
        <f t="shared" si="14"/>
        <v>10474745.060000001</v>
      </c>
      <c r="K92" s="167">
        <f>IF(K$9='5.Variables'!$B$10,+'5.Variables'!$L27,+IF(K$9='5.Variables'!$B$34,+'5.Variables'!$L51,+IF(K$9='5.Variables'!$B$58,+'5.Variables'!$L66,+IF(K$9='5.Variables'!$B$72,+'5.Variables'!$L80,+IF(K$9='5.Variables'!$B$86,+'5.Variables'!$L94,+IF(K$9='5.Variables'!$B$100,+'5.Variables'!$L108,IF(K$9='5.Variables'!$B$32,+'5.Variables'!$L32,IF(K$9='5.Variables'!$B$56,+'5.Variables'!$L56,0))))))))</f>
        <v>13921</v>
      </c>
      <c r="L92" s="292">
        <f>IF(L$9='5.Variables'!$B$10,+'5.Variables'!$L27,+IF(L$9='5.Variables'!$B$34,+'5.Variables'!$L51,+IF(L$9='5.Variables'!$B$58,+'5.Variables'!$L66,+IF(L$9='5.Variables'!$B$72,+'5.Variables'!$L80,+IF(L$9='5.Variables'!$B$86,+'5.Variables'!$L94,+IF(L$9='5.Variables'!$B$100,+'5.Variables'!$L108,IF(L$9='5.Variables'!$B$32,+'5.Variables'!$L32,IF(L$9='5.Variables'!$B$56,+'5.Variables'!$L56,0))))))))</f>
        <v>1</v>
      </c>
      <c r="M92" s="292">
        <f>IF(M$9='5.Variables'!$B$10,+'5.Variables'!$L27,+IF(M$9='5.Variables'!$B$34,+'5.Variables'!$L51,+IF(M$9='5.Variables'!$B$58,+'5.Variables'!$L66,+IF(M$9='5.Variables'!$B$72,+'5.Variables'!$L80,+IF(M$9='5.Variables'!$B$86,+'5.Variables'!$L94,+IF(M$9='5.Variables'!$B$100,+'5.Variables'!$L108,IF(M$9='5.Variables'!$B$32,+'5.Variables'!$L32,IF(M$9='5.Variables'!$B$56,+'5.Variables'!$L56,0))))))))</f>
        <v>31</v>
      </c>
      <c r="N92" s="292">
        <f>IF(N$9='5.Variables'!$B$10,+'5.Variables'!$L27,+IF(N$9='5.Variables'!$B$34,+'5.Variables'!$L51,+IF(N$9='5.Variables'!$B$58,+'5.Variables'!$L66,+IF(N$9='5.Variables'!$B$72,+'5.Variables'!$L80,+IF(N$9='5.Variables'!$B$86,+'5.Variables'!$L94,+IF(N$9='5.Variables'!$B$100,+'5.Variables'!$L108,IF(N$9='5.Variables'!$B$32,+'5.Variables'!$L32,IF(N$9='5.Variables'!$B$56,+'5.Variables'!$L56,0))))))))</f>
        <v>252.6</v>
      </c>
      <c r="O92" s="292">
        <f>IF(O$9='5.Variables'!$B$10,+'5.Variables'!$L27,+IF(O$9='5.Variables'!$B$34,+'5.Variables'!$L51,+IF(O$9='5.Variables'!$B$58,+'5.Variables'!$L66,+IF(O$9='5.Variables'!$B$72,+'5.Variables'!$L80,+IF(O$9='5.Variables'!$B$86,+'5.Variables'!$L94,+IF(O$9='5.Variables'!$B$100,+'5.Variables'!$L108,IF(O$9='5.Variables'!$B$32,+'5.Variables'!$L32,IF(O$9='5.Variables'!$B$56,+'5.Variables'!$L56,0))))))))</f>
        <v>3.8</v>
      </c>
      <c r="P92" s="292">
        <f>IF(P$9='5.Variables'!$B$10,+'5.Variables'!$L27,+IF(P$9='5.Variables'!$B$34,+'5.Variables'!$L51,+IF(P$9='5.Variables'!$B$58,+'5.Variables'!$L66,+IF(P$9='5.Variables'!$B$72,+'5.Variables'!$L80,+IF(P$9='5.Variables'!$B$86,+'5.Variables'!$L94,+IF(P$9='5.Variables'!$B$100,+'5.Variables'!$L108,IF(P$9='5.Variables'!$B$32,+'5.Variables'!$L32,IF(P$9='5.Variables'!$B$56,+'5.Variables'!$L56,0))))))))</f>
        <v>0</v>
      </c>
      <c r="Q92" s="143"/>
      <c r="R92" s="154">
        <v>10785126.357026007</v>
      </c>
      <c r="S92" s="167">
        <f t="shared" si="15"/>
        <v>10924184.738871194</v>
      </c>
      <c r="T92" s="624">
        <f t="shared" si="16"/>
        <v>0.98727059408375073</v>
      </c>
      <c r="U92" s="167">
        <f t="shared" si="17"/>
        <v>10341407.778262034</v>
      </c>
      <c r="V92" s="171"/>
      <c r="W92" s="618"/>
      <c r="X92" s="143"/>
      <c r="AE92" s="143"/>
      <c r="AF92" s="143"/>
      <c r="AG92" s="143"/>
      <c r="AH92" s="143"/>
      <c r="AI92" s="143"/>
      <c r="AJ92" s="143"/>
      <c r="AK92" s="143"/>
      <c r="AL92" s="143"/>
      <c r="AM92" s="143"/>
      <c r="AN92" s="143"/>
      <c r="AO92" s="143"/>
      <c r="AP92" s="143"/>
      <c r="AQ92" s="143"/>
    </row>
    <row r="93" spans="1:43" x14ac:dyDescent="0.3">
      <c r="A93" s="339">
        <f t="shared" si="21"/>
        <v>83</v>
      </c>
      <c r="B93" s="166" t="str">
        <f>CONCATENATE('3. Consumption by Rate Class'!B98,"-",'3. Consumption by Rate Class'!C98)</f>
        <v>2019-November</v>
      </c>
      <c r="C93" s="154">
        <v>11757130.6</v>
      </c>
      <c r="D93" s="169"/>
      <c r="E93" s="610">
        <v>203492.75</v>
      </c>
      <c r="F93" s="154">
        <v>33985.22</v>
      </c>
      <c r="G93" s="154"/>
      <c r="H93" s="367"/>
      <c r="I93" s="367"/>
      <c r="J93" s="167">
        <f t="shared" si="14"/>
        <v>11994608.57</v>
      </c>
      <c r="K93" s="167">
        <f>IF(K$9='5.Variables'!$B$10,+'5.Variables'!$M27,+IF(K$9='5.Variables'!$B$34,+'5.Variables'!$M51,+IF(K$9='5.Variables'!$B$58,+'5.Variables'!$M66,+IF(K$9='5.Variables'!$B$72,+'5.Variables'!$M80,+IF(K$9='5.Variables'!$B$86,+'5.Variables'!$M94,+IF(K$9='5.Variables'!$B$100,+'5.Variables'!$M108,IF(K$9='5.Variables'!$B$32,+'5.Variables'!$M32,IF(K$9='5.Variables'!$B$56,+'5.Variables'!$M56,0))))))))</f>
        <v>14005</v>
      </c>
      <c r="L93" s="292">
        <f>IF(L$9='5.Variables'!$B$10,+'5.Variables'!$M27,+IF(L$9='5.Variables'!$B$34,+'5.Variables'!$M51,+IF(L$9='5.Variables'!$B$58,+'5.Variables'!$M66,+IF(L$9='5.Variables'!$B$72,+'5.Variables'!$M80,+IF(L$9='5.Variables'!$B$86,+'5.Variables'!$M94,+IF(L$9='5.Variables'!$B$100,+'5.Variables'!$M108,IF(L$9='5.Variables'!$B$32,+'5.Variables'!$M32,IF(L$9='5.Variables'!$B$56,+'5.Variables'!$M56,0))))))))</f>
        <v>1</v>
      </c>
      <c r="M93" s="292">
        <f>IF(M$9='5.Variables'!$B$10,+'5.Variables'!$M27,+IF(M$9='5.Variables'!$B$34,+'5.Variables'!$M51,+IF(M$9='5.Variables'!$B$58,+'5.Variables'!$M66,+IF(M$9='5.Variables'!$B$72,+'5.Variables'!$M80,+IF(M$9='5.Variables'!$B$86,+'5.Variables'!$M94,+IF(M$9='5.Variables'!$B$100,+'5.Variables'!$M108,IF(M$9='5.Variables'!$B$32,+'5.Variables'!$M32,IF(M$9='5.Variables'!$B$56,+'5.Variables'!$M56,0))))))))</f>
        <v>30</v>
      </c>
      <c r="N93" s="292">
        <f>IF(N$9='5.Variables'!$B$10,+'5.Variables'!$M27,+IF(N$9='5.Variables'!$B$34,+'5.Variables'!$M51,+IF(N$9='5.Variables'!$B$58,+'5.Variables'!$M66,+IF(N$9='5.Variables'!$B$72,+'5.Variables'!$M80,+IF(N$9='5.Variables'!$B$86,+'5.Variables'!$M94,+IF(N$9='5.Variables'!$B$100,+'5.Variables'!$M108,IF(N$9='5.Variables'!$B$32,+'5.Variables'!$M32,IF(N$9='5.Variables'!$B$56,+'5.Variables'!$M56,0))))))))</f>
        <v>523.20000000000005</v>
      </c>
      <c r="O93" s="292">
        <f>IF(O$9='5.Variables'!$B$10,+'5.Variables'!$M27,+IF(O$9='5.Variables'!$B$34,+'5.Variables'!$M51,+IF(O$9='5.Variables'!$B$58,+'5.Variables'!$M66,+IF(O$9='5.Variables'!$B$72,+'5.Variables'!$M80,+IF(O$9='5.Variables'!$B$86,+'5.Variables'!$M94,+IF(O$9='5.Variables'!$B$100,+'5.Variables'!$M108,IF(O$9='5.Variables'!$B$32,+'5.Variables'!$M32,IF(O$9='5.Variables'!$B$56,+'5.Variables'!$M56,0))))))))</f>
        <v>0</v>
      </c>
      <c r="P93" s="292">
        <f>IF(P$9='5.Variables'!$B$10,+'5.Variables'!$M27,+IF(P$9='5.Variables'!$B$34,+'5.Variables'!$M51,+IF(P$9='5.Variables'!$B$58,+'5.Variables'!$M66,+IF(P$9='5.Variables'!$B$72,+'5.Variables'!$M80,+IF(P$9='5.Variables'!$B$86,+'5.Variables'!$M94,+IF(P$9='5.Variables'!$B$100,+'5.Variables'!$M108,IF(P$9='5.Variables'!$B$32,+'5.Variables'!$M32,IF(P$9='5.Variables'!$B$56,+'5.Variables'!$M56,0))))))))</f>
        <v>0</v>
      </c>
      <c r="Q93" s="143"/>
      <c r="R93" s="154">
        <v>11356724.985564291</v>
      </c>
      <c r="S93" s="167">
        <f t="shared" si="15"/>
        <v>11987703.656102836</v>
      </c>
      <c r="T93" s="624">
        <f t="shared" si="16"/>
        <v>0.94736450878001821</v>
      </c>
      <c r="U93" s="167">
        <f t="shared" si="17"/>
        <v>11363266.455926647</v>
      </c>
      <c r="V93" s="171"/>
      <c r="W93" s="618"/>
      <c r="X93" s="143"/>
      <c r="AE93" s="143"/>
      <c r="AF93" s="143"/>
      <c r="AG93" s="143"/>
      <c r="AH93" s="143"/>
      <c r="AI93" s="143"/>
      <c r="AJ93" s="143"/>
      <c r="AK93" s="143"/>
      <c r="AL93" s="143"/>
      <c r="AM93" s="143"/>
      <c r="AN93" s="143"/>
      <c r="AO93" s="143"/>
      <c r="AP93" s="143"/>
      <c r="AQ93" s="143"/>
    </row>
    <row r="94" spans="1:43" x14ac:dyDescent="0.3">
      <c r="A94" s="339">
        <f t="shared" si="21"/>
        <v>84</v>
      </c>
      <c r="B94" s="166" t="str">
        <f>CONCATENATE('3. Consumption by Rate Class'!B99,"-",'3. Consumption by Rate Class'!C99)</f>
        <v>2019-December</v>
      </c>
      <c r="C94" s="154">
        <v>13295537.15</v>
      </c>
      <c r="D94" s="154"/>
      <c r="E94" s="610">
        <v>216283.34</v>
      </c>
      <c r="F94" s="154">
        <v>21280.21</v>
      </c>
      <c r="G94" s="154"/>
      <c r="H94" s="367"/>
      <c r="I94" s="367"/>
      <c r="J94" s="167">
        <f t="shared" si="14"/>
        <v>13533100.700000001</v>
      </c>
      <c r="K94" s="167">
        <f>IF(K$9='5.Variables'!$B$10,+'5.Variables'!$N27,+IF(K$9='5.Variables'!$B$34,+'5.Variables'!$N51,+IF(K$9='5.Variables'!$B$58,+'5.Variables'!$N66,+IF(K$9='5.Variables'!$B$72,+'5.Variables'!$N80,+IF(K$9='5.Variables'!$B$86,+'5.Variables'!$N94,+IF(K$9='5.Variables'!$B$100,+'5.Variables'!$N108,IF(K$9='5.Variables'!$B$32,+'5.Variables'!$N32,IF(K$9='5.Variables'!$B$56,+'5.Variables'!$N56,0))))))))</f>
        <v>14039</v>
      </c>
      <c r="L94" s="292">
        <f>IF(L$9='5.Variables'!$B$10,+'5.Variables'!$N27,+IF(L$9='5.Variables'!$B$34,+'5.Variables'!$N51,+IF(L$9='5.Variables'!$B$58,+'5.Variables'!$N66,+IF(L$9='5.Variables'!$B$72,+'5.Variables'!$N80,+IF(L$9='5.Variables'!$B$86,+'5.Variables'!$N94,+IF(L$9='5.Variables'!$B$100,+'5.Variables'!$N108,IF(L$9='5.Variables'!$B$32,+'5.Variables'!$N32,IF(L$9='5.Variables'!$B$56,+'5.Variables'!$N56,0))))))))</f>
        <v>0</v>
      </c>
      <c r="M94" s="292">
        <f>IF(M$9='5.Variables'!$B$10,+'5.Variables'!$N27,+IF(M$9='5.Variables'!$B$34,+'5.Variables'!$N51,+IF(M$9='5.Variables'!$B$58,+'5.Variables'!$N66,+IF(M$9='5.Variables'!$B$72,+'5.Variables'!$N80,+IF(M$9='5.Variables'!$B$86,+'5.Variables'!$N94,+IF(M$9='5.Variables'!$B$100,+'5.Variables'!$N108,IF(M$9='5.Variables'!$B$32,+'5.Variables'!$N32,IF(M$9='5.Variables'!$B$56,+'5.Variables'!$N56,0))))))))</f>
        <v>31</v>
      </c>
      <c r="N94" s="292">
        <f>IF(N$9='5.Variables'!$B$10,+'5.Variables'!$N27,+IF(N$9='5.Variables'!$B$34,+'5.Variables'!$N51,+IF(N$9='5.Variables'!$B$58,+'5.Variables'!$N66,+IF(N$9='5.Variables'!$B$72,+'5.Variables'!$N80,+IF(N$9='5.Variables'!$B$86,+'5.Variables'!$N94,+IF(N$9='5.Variables'!$B$100,+'5.Variables'!$N108,IF(N$9='5.Variables'!$B$32,+'5.Variables'!$N32,IF(N$9='5.Variables'!$B$56,+'5.Variables'!$N56,0))))))))</f>
        <v>583.1</v>
      </c>
      <c r="O94" s="292">
        <f>IF(O$9='5.Variables'!$B$10,+'5.Variables'!$N27,+IF(O$9='5.Variables'!$B$34,+'5.Variables'!$N51,+IF(O$9='5.Variables'!$B$58,+'5.Variables'!$N66,+IF(O$9='5.Variables'!$B$72,+'5.Variables'!$N80,+IF(O$9='5.Variables'!$B$86,+'5.Variables'!$N94,+IF(O$9='5.Variables'!$B$100,+'5.Variables'!$N108,IF(O$9='5.Variables'!$B$32,+'5.Variables'!$N32,IF(O$9='5.Variables'!$B$56,+'5.Variables'!$N56,0))))))))</f>
        <v>0</v>
      </c>
      <c r="P94" s="292">
        <f>IF(P$9='5.Variables'!$B$10,+'5.Variables'!$N27,+IF(P$9='5.Variables'!$B$34,+'5.Variables'!$N51,+IF(P$9='5.Variables'!$B$58,+'5.Variables'!$N66,+IF(P$9='5.Variables'!$B$72,+'5.Variables'!$N80,+IF(P$9='5.Variables'!$B$86,+'5.Variables'!$N94,+IF(P$9='5.Variables'!$B$100,+'5.Variables'!$N108,IF(P$9='5.Variables'!$B$32,+'5.Variables'!$N32,IF(P$9='5.Variables'!$B$56,+'5.Variables'!$N56,0))))))))</f>
        <v>0</v>
      </c>
      <c r="Q94" s="143"/>
      <c r="R94" s="154">
        <v>13594571.971519889</v>
      </c>
      <c r="S94" s="167">
        <f t="shared" si="15"/>
        <v>13647686.085609047</v>
      </c>
      <c r="T94" s="624">
        <f t="shared" si="16"/>
        <v>0.99610819638171744</v>
      </c>
      <c r="U94" s="167">
        <f t="shared" si="17"/>
        <v>13480432.52972916</v>
      </c>
      <c r="V94" s="171">
        <f>SUM(U83:U94)</f>
        <v>145329634.88216186</v>
      </c>
      <c r="W94" s="618"/>
      <c r="X94" s="143"/>
      <c r="AE94" s="143"/>
      <c r="AF94" s="143"/>
      <c r="AG94" s="143"/>
      <c r="AH94" s="143"/>
      <c r="AI94" s="143"/>
      <c r="AJ94" s="143"/>
      <c r="AK94" s="143"/>
      <c r="AL94" s="143"/>
      <c r="AM94" s="143"/>
      <c r="AN94" s="143"/>
      <c r="AO94" s="143"/>
      <c r="AP94" s="143"/>
      <c r="AQ94" s="143"/>
    </row>
    <row r="95" spans="1:43" x14ac:dyDescent="0.3">
      <c r="A95" s="339">
        <f t="shared" si="21"/>
        <v>85</v>
      </c>
      <c r="B95" s="166" t="str">
        <f>CONCATENATE('3. Consumption by Rate Class'!B100,"-",'3. Consumption by Rate Class'!C100)</f>
        <v>2020-January</v>
      </c>
      <c r="C95" s="154">
        <v>13108024.91</v>
      </c>
      <c r="D95" s="154"/>
      <c r="E95" s="351">
        <v>212478.33</v>
      </c>
      <c r="F95" s="154">
        <v>10148.049999999999</v>
      </c>
      <c r="G95" s="154"/>
      <c r="H95" s="367"/>
      <c r="I95" s="367"/>
      <c r="J95" s="167">
        <f t="shared" si="14"/>
        <v>13330651.290000001</v>
      </c>
      <c r="K95" s="167">
        <f>IF(K$9='5.Variables'!$B$10,+'5.Variables'!$C28,+IF(K$9='5.Variables'!$B$34,+'5.Variables'!$C52,+IF(K$9='5.Variables'!$B$58,+'5.Variables'!$C67,+IF(K$9='5.Variables'!$B$72,+'5.Variables'!$C81,+IF(K$9='5.Variables'!$B$86,+'5.Variables'!$C95,+IF(K$9='5.Variables'!$B$100,+'5.Variables'!$C109,IF(K$9='5.Variables'!$B$32,+'5.Variables'!$C32,IF(K$9='5.Variables'!$B$56,+'5.Variables'!$C56,0))))))))</f>
        <v>14084</v>
      </c>
      <c r="L95" s="292">
        <f>IF(L$9='5.Variables'!$B$10,+'5.Variables'!$C28,+IF(L$9='5.Variables'!$B$34,+'5.Variables'!$C52,+IF(L$9='5.Variables'!$B$58,+'5.Variables'!$C67,+IF(L$9='5.Variables'!$B$72,+'5.Variables'!$C81,+IF(L$9='5.Variables'!$B$86,+'5.Variables'!$C95,+IF(L$9='5.Variables'!$B$100,+'5.Variables'!$C109,IF(L$9='5.Variables'!$B$32,+'5.Variables'!$C32,IF(L$9='5.Variables'!$B$56,+'5.Variables'!$C56,0))))))))</f>
        <v>0</v>
      </c>
      <c r="M95" s="292">
        <f>IF(M$9='5.Variables'!$B$10,+'5.Variables'!$C28,+IF(M$9='5.Variables'!$B$34,+'5.Variables'!$C52,+IF(M$9='5.Variables'!$B$58,+'5.Variables'!$C67,+IF(M$9='5.Variables'!$B$72,+'5.Variables'!$C81,+IF(M$9='5.Variables'!$B$86,+'5.Variables'!$C95,+IF(M$9='5.Variables'!$B$100,+'5.Variables'!$C109,IF(M$9='5.Variables'!$B$32,+'5.Variables'!$C32,IF(M$9='5.Variables'!$B$56,+'5.Variables'!$C56,0))))))))</f>
        <v>31</v>
      </c>
      <c r="N95" s="292">
        <f>IF(N$9='5.Variables'!$B$10,+'5.Variables'!$C28,+IF(N$9='5.Variables'!$B$34,+'5.Variables'!$C52,+IF(N$9='5.Variables'!$B$58,+'5.Variables'!$C67,+IF(N$9='5.Variables'!$B$72,+'5.Variables'!$C81,+IF(N$9='5.Variables'!$B$86,+'5.Variables'!$C95,+IF(N$9='5.Variables'!$B$100,+'5.Variables'!$C109,IF(N$9='5.Variables'!$B$32,+'5.Variables'!$C32,IF(N$9='5.Variables'!$B$56,+'5.Variables'!$C56,0))))))))</f>
        <v>613.79999999999995</v>
      </c>
      <c r="O95" s="292">
        <f>IF(O$9='5.Variables'!$B$10,+'5.Variables'!$C28,+IF(O$9='5.Variables'!$B$34,+'5.Variables'!$C52,+IF(O$9='5.Variables'!$B$58,+'5.Variables'!$C67,+IF(O$9='5.Variables'!$B$72,+'5.Variables'!$C81,+IF(O$9='5.Variables'!$B$86,+'5.Variables'!$C95,+IF(O$9='5.Variables'!$B$100,+'5.Variables'!$C109,IF(O$9='5.Variables'!$B$32,+'5.Variables'!$C32,IF(O$9='5.Variables'!$B$56,+'5.Variables'!$C56,0))))))))</f>
        <v>0</v>
      </c>
      <c r="P95" s="292">
        <f>IF(P$9='5.Variables'!$B$10,+'5.Variables'!$C28,+IF(P$9='5.Variables'!$B$34,+'5.Variables'!$C52,+IF(P$9='5.Variables'!$B$58,+'5.Variables'!$C67,+IF(P$9='5.Variables'!$B$72,+'5.Variables'!$C81,+IF(P$9='5.Variables'!$B$86,+'5.Variables'!$C95,+IF(P$9='5.Variables'!$B$100,+'5.Variables'!$C109,IF(P$9='5.Variables'!$B$32,+'5.Variables'!$C32,IF(P$9='5.Variables'!$B$56,+'5.Variables'!$C56,0))))))))</f>
        <v>0</v>
      </c>
      <c r="Q95" s="143"/>
      <c r="R95" s="154">
        <v>14388168.82926276</v>
      </c>
      <c r="S95" s="167">
        <f t="shared" si="15"/>
        <v>13865899.243219053</v>
      </c>
      <c r="T95" s="624">
        <f t="shared" si="16"/>
        <v>1.0376657566078245</v>
      </c>
      <c r="U95" s="167">
        <f t="shared" si="17"/>
        <v>13832760.356912922</v>
      </c>
      <c r="V95" s="171"/>
      <c r="W95" s="618"/>
      <c r="X95" s="143"/>
      <c r="AE95" s="143"/>
      <c r="AF95" s="143"/>
      <c r="AG95" s="143"/>
      <c r="AH95" s="143"/>
      <c r="AI95" s="143"/>
      <c r="AJ95" s="143"/>
      <c r="AK95" s="143"/>
      <c r="AL95" s="143"/>
      <c r="AM95" s="143"/>
      <c r="AN95" s="143"/>
      <c r="AO95" s="143"/>
      <c r="AP95" s="143"/>
      <c r="AQ95" s="143"/>
    </row>
    <row r="96" spans="1:43" x14ac:dyDescent="0.3">
      <c r="A96" s="339">
        <f t="shared" si="21"/>
        <v>86</v>
      </c>
      <c r="B96" s="166" t="str">
        <f>CONCATENATE('3. Consumption by Rate Class'!B101,"-",'3. Consumption by Rate Class'!C101)</f>
        <v>2020-February</v>
      </c>
      <c r="C96" s="154">
        <v>12246829.32</v>
      </c>
      <c r="D96" s="154"/>
      <c r="E96" s="351">
        <v>196247.52</v>
      </c>
      <c r="F96" s="154">
        <v>39431.1</v>
      </c>
      <c r="G96" s="154"/>
      <c r="H96" s="367"/>
      <c r="I96" s="367"/>
      <c r="J96" s="167">
        <f t="shared" si="14"/>
        <v>12482507.939999999</v>
      </c>
      <c r="K96" s="167">
        <f>IF(K$9='5.Variables'!$B$10,+'5.Variables'!$D28,+IF(K$9='5.Variables'!$B$34,+'5.Variables'!$D52,+IF(K$9='5.Variables'!$B$58,+'5.Variables'!$D67,+IF(K$9='5.Variables'!$B$72,+'5.Variables'!$D81,+IF(K$9='5.Variables'!$B$86,+'5.Variables'!$D95,+IF(K$9='5.Variables'!$B$100,+'5.Variables'!$D109,IF(K$9='5.Variables'!$B$32,+'5.Variables'!$D32,IF(K$9='5.Variables'!$B$56,+'5.Variables'!$D56,0))))))))</f>
        <v>14104</v>
      </c>
      <c r="L96" s="292">
        <f>IF(L$9='5.Variables'!$B$10,+'5.Variables'!$D28,+IF(L$9='5.Variables'!$B$34,+'5.Variables'!$D52,+IF(L$9='5.Variables'!$B$58,+'5.Variables'!$D67,+IF(L$9='5.Variables'!$B$72,+'5.Variables'!$D81,+IF(L$9='5.Variables'!$B$86,+'5.Variables'!$D95,+IF(L$9='5.Variables'!$B$100,+'5.Variables'!$D109,IF(L$9='5.Variables'!$B$32,+'5.Variables'!$D32,IF(L$9='5.Variables'!$B$56,+'5.Variables'!$D56,0))))))))</f>
        <v>0</v>
      </c>
      <c r="M96" s="292">
        <f>IF(M$9='5.Variables'!$B$10,+'5.Variables'!$D28,+IF(M$9='5.Variables'!$B$34,+'5.Variables'!$D52,+IF(M$9='5.Variables'!$B$58,+'5.Variables'!$D67,+IF(M$9='5.Variables'!$B$72,+'5.Variables'!$D81,+IF(M$9='5.Variables'!$B$86,+'5.Variables'!$D95,+IF(M$9='5.Variables'!$B$100,+'5.Variables'!$D109,IF(M$9='5.Variables'!$B$32,+'5.Variables'!$D32,IF(M$9='5.Variables'!$B$56,+'5.Variables'!$D56,0))))))))</f>
        <v>29</v>
      </c>
      <c r="N96" s="292">
        <f>IF(N$9='5.Variables'!$B$10,+'5.Variables'!$D28,+IF(N$9='5.Variables'!$B$34,+'5.Variables'!$D52,+IF(N$9='5.Variables'!$B$58,+'5.Variables'!$D67,+IF(N$9='5.Variables'!$B$72,+'5.Variables'!$D81,+IF(N$9='5.Variables'!$B$86,+'5.Variables'!$D95,+IF(N$9='5.Variables'!$B$100,+'5.Variables'!$D109,IF(N$9='5.Variables'!$B$32,+'5.Variables'!$D32,IF(N$9='5.Variables'!$B$56,+'5.Variables'!$D56,0))))))))</f>
        <v>621.70000000000005</v>
      </c>
      <c r="O96" s="292">
        <f>IF(O$9='5.Variables'!$B$10,+'5.Variables'!$D28,+IF(O$9='5.Variables'!$B$34,+'5.Variables'!$D52,+IF(O$9='5.Variables'!$B$58,+'5.Variables'!$D67,+IF(O$9='5.Variables'!$B$72,+'5.Variables'!$D81,+IF(O$9='5.Variables'!$B$86,+'5.Variables'!$D95,+IF(O$9='5.Variables'!$B$100,+'5.Variables'!$D109,IF(O$9='5.Variables'!$B$32,+'5.Variables'!$D32,IF(O$9='5.Variables'!$B$56,+'5.Variables'!$D56,0))))))))</f>
        <v>0</v>
      </c>
      <c r="P96" s="292">
        <f>IF(P$9='5.Variables'!$B$10,+'5.Variables'!$D28,+IF(P$9='5.Variables'!$B$34,+'5.Variables'!$D52,+IF(P$9='5.Variables'!$B$58,+'5.Variables'!$D67,+IF(P$9='5.Variables'!$B$72,+'5.Variables'!$D81,+IF(P$9='5.Variables'!$B$86,+'5.Variables'!$D95,+IF(P$9='5.Variables'!$B$100,+'5.Variables'!$D109,IF(P$9='5.Variables'!$B$32,+'5.Variables'!$D32,IF(P$9='5.Variables'!$B$56,+'5.Variables'!$D56,0))))))))</f>
        <v>0</v>
      </c>
      <c r="Q96" s="143"/>
      <c r="R96" s="154">
        <v>13232619.904630769</v>
      </c>
      <c r="S96" s="167">
        <f t="shared" si="15"/>
        <v>13083128.444694366</v>
      </c>
      <c r="T96" s="624">
        <f t="shared" si="16"/>
        <v>1.0114262777873304</v>
      </c>
      <c r="U96" s="167">
        <f t="shared" si="17"/>
        <v>12625136.543204997</v>
      </c>
      <c r="V96" s="171"/>
      <c r="W96" s="618"/>
      <c r="X96" s="143"/>
      <c r="AE96" s="143"/>
      <c r="AF96" s="143"/>
      <c r="AG96" s="143"/>
      <c r="AH96" s="143"/>
      <c r="AI96" s="143"/>
      <c r="AJ96" s="143"/>
      <c r="AK96" s="143"/>
      <c r="AL96" s="143"/>
      <c r="AM96" s="143"/>
      <c r="AN96" s="143"/>
      <c r="AO96" s="143"/>
      <c r="AP96" s="143"/>
      <c r="AQ96" s="143"/>
    </row>
    <row r="97" spans="1:43" x14ac:dyDescent="0.3">
      <c r="A97" s="339">
        <f t="shared" si="21"/>
        <v>87</v>
      </c>
      <c r="B97" s="166" t="str">
        <f>CONCATENATE('3. Consumption by Rate Class'!B102,"-",'3. Consumption by Rate Class'!C102)</f>
        <v>2020-March</v>
      </c>
      <c r="C97" s="154">
        <v>11915050.17</v>
      </c>
      <c r="D97" s="154"/>
      <c r="E97" s="351">
        <v>207493.16</v>
      </c>
      <c r="F97" s="154">
        <v>121450.72</v>
      </c>
      <c r="G97" s="154"/>
      <c r="H97" s="367"/>
      <c r="I97" s="367"/>
      <c r="J97" s="167">
        <f t="shared" si="14"/>
        <v>12243994.050000001</v>
      </c>
      <c r="K97" s="167">
        <f>IF(K$9='5.Variables'!$B$10,+'5.Variables'!$E28,+IF(K$9='5.Variables'!$B$34,+'5.Variables'!$E52,+IF(K$9='5.Variables'!$B$58,+'5.Variables'!$E67,+IF(K$9='5.Variables'!$B$72,+'5.Variables'!$E81,+IF(K$9='5.Variables'!$B$86,+'5.Variables'!$E95,+IF(K$9='5.Variables'!$B$100,+'5.Variables'!$E109,IF(K$9='5.Variables'!$B$32,+'5.Variables'!$E32,IF(K$9='5.Variables'!$B$56,+'5.Variables'!E56,0))))))))</f>
        <v>14121</v>
      </c>
      <c r="L97" s="292">
        <f>IF(L$9='5.Variables'!$B$10,+'5.Variables'!$E28,+IF(L$9='5.Variables'!$B$34,+'5.Variables'!$E52,+IF(L$9='5.Variables'!$B$58,+'5.Variables'!$E67,+IF(L$9='5.Variables'!$B$72,+'5.Variables'!$E81,+IF(L$9='5.Variables'!$B$86,+'5.Variables'!$E95,+IF(L$9='5.Variables'!$B$100,+'5.Variables'!$E109,IF(L$9='5.Variables'!$B$32,+'5.Variables'!$E32,IF(L$9='5.Variables'!$B$56,+'5.Variables'!F56,0))))))))</f>
        <v>1</v>
      </c>
      <c r="M97" s="292">
        <f>IF(M$9='5.Variables'!$B$10,+'5.Variables'!$E28,+IF(M$9='5.Variables'!$B$34,+'5.Variables'!$E52,+IF(M$9='5.Variables'!$B$58,+'5.Variables'!$E67,+IF(M$9='5.Variables'!$B$72,+'5.Variables'!$E81,+IF(M$9='5.Variables'!$B$86,+'5.Variables'!$E95,+IF(M$9='5.Variables'!$B$100,+'5.Variables'!$E109,IF(M$9='5.Variables'!$B$32,+'5.Variables'!$E32,IF(M$9='5.Variables'!$B$56,+'5.Variables'!G56,0))))))))</f>
        <v>31</v>
      </c>
      <c r="N97" s="292">
        <f>IF(N$9='5.Variables'!$B$10,+'5.Variables'!$E28,+IF(N$9='5.Variables'!$B$34,+'5.Variables'!$E52,+IF(N$9='5.Variables'!$B$58,+'5.Variables'!$E67,+IF(N$9='5.Variables'!$B$72,+'5.Variables'!$E81,+IF(N$9='5.Variables'!$B$86,+'5.Variables'!$E95,+IF(N$9='5.Variables'!$B$100,+'5.Variables'!$E109,IF(N$9='5.Variables'!$B$32,+'5.Variables'!$E32,IF(N$9='5.Variables'!$B$56,+'5.Variables'!H56,0))))))))</f>
        <v>486.1</v>
      </c>
      <c r="O97" s="292">
        <f>IF(O$9='5.Variables'!$B$10,+'5.Variables'!$E28,+IF(O$9='5.Variables'!$B$34,+'5.Variables'!$E52,+IF(O$9='5.Variables'!$B$58,+'5.Variables'!$E67,+IF(O$9='5.Variables'!$B$72,+'5.Variables'!$E81,+IF(O$9='5.Variables'!$B$86,+'5.Variables'!$E95,+IF(O$9='5.Variables'!$B$100,+'5.Variables'!$E109,IF(O$9='5.Variables'!$B$32,+'5.Variables'!$E32,IF(O$9='5.Variables'!$B$56,+'5.Variables'!I56,0))))))))</f>
        <v>0</v>
      </c>
      <c r="P97" s="292">
        <f>IF(P$9='5.Variables'!$B$10,+'5.Variables'!$E28,+IF(P$9='5.Variables'!$B$34,+'5.Variables'!$E52,+IF(P$9='5.Variables'!$B$58,+'5.Variables'!$E67,+IF(P$9='5.Variables'!$B$72,+'5.Variables'!$E81,+IF(P$9='5.Variables'!$B$86,+'5.Variables'!$E95,+IF(P$9='5.Variables'!$B$100,+'5.Variables'!$E109,IF(P$9='5.Variables'!$B$32,+'5.Variables'!$E32,IF(P$9='5.Variables'!$B$56,+'5.Variables'!J56,0))))))))</f>
        <v>0</v>
      </c>
      <c r="Q97" s="143"/>
      <c r="R97" s="154">
        <v>16223954.624608755</v>
      </c>
      <c r="S97" s="167">
        <f t="shared" si="15"/>
        <v>12303922.975940073</v>
      </c>
      <c r="T97" s="624">
        <f t="shared" si="16"/>
        <v>1.3186001453629204</v>
      </c>
      <c r="U97" s="167">
        <f t="shared" si="17"/>
        <v>16144932.334152734</v>
      </c>
      <c r="V97" s="171"/>
      <c r="W97" s="618"/>
      <c r="X97" s="143"/>
      <c r="AE97" s="143"/>
      <c r="AF97" s="143"/>
      <c r="AG97" s="143"/>
      <c r="AH97" s="143"/>
      <c r="AI97" s="143"/>
      <c r="AJ97" s="143"/>
      <c r="AK97" s="143"/>
      <c r="AL97" s="143"/>
      <c r="AM97" s="143"/>
      <c r="AN97" s="143"/>
      <c r="AO97" s="143"/>
      <c r="AP97" s="143"/>
      <c r="AQ97" s="143"/>
    </row>
    <row r="98" spans="1:43" x14ac:dyDescent="0.3">
      <c r="A98" s="339">
        <f t="shared" si="21"/>
        <v>88</v>
      </c>
      <c r="B98" s="166" t="str">
        <f>CONCATENATE('3. Consumption by Rate Class'!B103,"-",'3. Consumption by Rate Class'!C103)</f>
        <v>2020-April</v>
      </c>
      <c r="C98" s="154">
        <v>10832586.26</v>
      </c>
      <c r="D98" s="154"/>
      <c r="E98" s="351">
        <v>196988.14</v>
      </c>
      <c r="F98" s="154">
        <v>182612.16</v>
      </c>
      <c r="G98" s="154"/>
      <c r="H98" s="367"/>
      <c r="I98" s="367"/>
      <c r="J98" s="167">
        <f t="shared" si="14"/>
        <v>11212186.560000001</v>
      </c>
      <c r="K98" s="167">
        <f>IF(K$9='5.Variables'!$B$10,+'5.Variables'!$F28,+IF(K$9='5.Variables'!$B$34,+'5.Variables'!$F52,+IF(K$9='5.Variables'!$B$58,+'5.Variables'!$F67,+IF(K$9='5.Variables'!$B$72,+'5.Variables'!$F81,+IF(K$9='5.Variables'!$B$86,+'5.Variables'!$F95,+IF(K$9='5.Variables'!$B$100,+'5.Variables'!$F109,IF(K$9='5.Variables'!$B$32,+'5.Variables'!$F32,IF(K$9='5.Variables'!$B$56,+'5.Variables'!$F56,0))))))))</f>
        <v>14142</v>
      </c>
      <c r="L98" s="292">
        <f>IF(L$9='5.Variables'!$B$10,+'5.Variables'!$F28,+IF(L$9='5.Variables'!$B$34,+'5.Variables'!$F52,+IF(L$9='5.Variables'!$B$58,+'5.Variables'!$F67,+IF(L$9='5.Variables'!$B$72,+'5.Variables'!$F81,+IF(L$9='5.Variables'!$B$86,+'5.Variables'!$F95,+IF(L$9='5.Variables'!$B$100,+'5.Variables'!$F109,IF(L$9='5.Variables'!$B$32,+'5.Variables'!$F32,IF(L$9='5.Variables'!$B$56,+'5.Variables'!$F56,0))))))))</f>
        <v>1</v>
      </c>
      <c r="M98" s="292">
        <f>IF(M$9='5.Variables'!$B$10,+'5.Variables'!$F28,+IF(M$9='5.Variables'!$B$34,+'5.Variables'!$F52,+IF(M$9='5.Variables'!$B$58,+'5.Variables'!$F67,+IF(M$9='5.Variables'!$B$72,+'5.Variables'!$F81,+IF(M$9='5.Variables'!$B$86,+'5.Variables'!$F95,+IF(M$9='5.Variables'!$B$100,+'5.Variables'!$F109,IF(M$9='5.Variables'!$B$32,+'5.Variables'!$F32,IF(M$9='5.Variables'!$B$56,+'5.Variables'!$F56,0))))))))</f>
        <v>30</v>
      </c>
      <c r="N98" s="292">
        <f>IF(N$9='5.Variables'!$B$10,+'5.Variables'!$F28,+IF(N$9='5.Variables'!$B$34,+'5.Variables'!$F52,+IF(N$9='5.Variables'!$B$58,+'5.Variables'!$F67,+IF(N$9='5.Variables'!$B$72,+'5.Variables'!$F81,+IF(N$9='5.Variables'!$B$86,+'5.Variables'!$F95,+IF(N$9='5.Variables'!$B$100,+'5.Variables'!$F109,IF(N$9='5.Variables'!$B$32,+'5.Variables'!$F32,IF(N$9='5.Variables'!$B$56,+'5.Variables'!$F56,0))))))))</f>
        <v>398.6</v>
      </c>
      <c r="O98" s="292">
        <f>IF(O$9='5.Variables'!$B$10,+'5.Variables'!$F28,+IF(O$9='5.Variables'!$B$34,+'5.Variables'!$F52,+IF(O$9='5.Variables'!$B$58,+'5.Variables'!$F67,+IF(O$9='5.Variables'!$B$72,+'5.Variables'!$F81,+IF(O$9='5.Variables'!$B$86,+'5.Variables'!$F95,+IF(O$9='5.Variables'!$B$100,+'5.Variables'!$F109,IF(O$9='5.Variables'!$B$32,+'5.Variables'!$F32,IF(O$9='5.Variables'!$B$56,+'5.Variables'!$F56,0))))))))</f>
        <v>0</v>
      </c>
      <c r="P98" s="292">
        <f>IF(P$9='5.Variables'!$B$10,+'5.Variables'!$F28,+IF(P$9='5.Variables'!$B$34,+'5.Variables'!$F52,+IF(P$9='5.Variables'!$B$58,+'5.Variables'!$F67,+IF(P$9='5.Variables'!$B$72,+'5.Variables'!$F81,+IF(P$9='5.Variables'!$B$86,+'5.Variables'!$F95,+IF(P$9='5.Variables'!$B$100,+'5.Variables'!$F109,IF(P$9='5.Variables'!$B$32,+'5.Variables'!$F32,IF(P$9='5.Variables'!$B$56,+'5.Variables'!$F56,0))))))))</f>
        <v>0</v>
      </c>
      <c r="Q98" s="143"/>
      <c r="R98" s="154">
        <v>11270042.461935652</v>
      </c>
      <c r="S98" s="167">
        <f t="shared" si="15"/>
        <v>11395826.764702542</v>
      </c>
      <c r="T98" s="624">
        <f t="shared" si="16"/>
        <v>0.9889622486052092</v>
      </c>
      <c r="U98" s="167">
        <f t="shared" si="17"/>
        <v>11088429.232158706</v>
      </c>
      <c r="V98" s="171"/>
      <c r="W98" s="618"/>
      <c r="X98" s="143"/>
      <c r="AE98" s="143"/>
      <c r="AF98" s="143"/>
      <c r="AG98" s="143"/>
      <c r="AH98" s="143"/>
      <c r="AI98" s="143"/>
      <c r="AJ98" s="143"/>
      <c r="AK98" s="143"/>
      <c r="AL98" s="143"/>
      <c r="AM98" s="143"/>
      <c r="AN98" s="143"/>
      <c r="AO98" s="143"/>
      <c r="AP98" s="143"/>
      <c r="AQ98" s="143"/>
    </row>
    <row r="99" spans="1:43" x14ac:dyDescent="0.3">
      <c r="A99" s="339">
        <f t="shared" si="21"/>
        <v>89</v>
      </c>
      <c r="B99" s="166" t="str">
        <f>CONCATENATE('3. Consumption by Rate Class'!B104,"-",'3. Consumption by Rate Class'!C104)</f>
        <v>2020-May</v>
      </c>
      <c r="C99" s="154">
        <v>10843267</v>
      </c>
      <c r="D99" s="154"/>
      <c r="E99" s="351">
        <v>226185.9</v>
      </c>
      <c r="F99" s="154">
        <v>227575.58</v>
      </c>
      <c r="G99" s="154"/>
      <c r="H99" s="367"/>
      <c r="I99" s="367"/>
      <c r="J99" s="167">
        <f t="shared" si="14"/>
        <v>11297028.48</v>
      </c>
      <c r="K99" s="167">
        <f>IF(K$9='5.Variables'!$B$10,+'5.Variables'!$G28,+IF(K$9='5.Variables'!$B$34,+'5.Variables'!$G52,+IF(K$9='5.Variables'!$B$58,+'5.Variables'!$G67,+IF(K$9='5.Variables'!$B$72,+'5.Variables'!$G81,+IF(K$9='5.Variables'!$B$86,+'5.Variables'!$G95,+IF(K$9='5.Variables'!$B$100,+'5.Variables'!$G109,IF(K$9='5.Variables'!$B$32,+'5.Variables'!$G32,IF(K$9='5.Variables'!$B$56,+'5.Variables'!$G56,0))))))))</f>
        <v>14173.5</v>
      </c>
      <c r="L99" s="292">
        <f>IF(L$9='5.Variables'!$B$10,+'5.Variables'!$G28,+IF(L$9='5.Variables'!$B$34,+'5.Variables'!$G52,+IF(L$9='5.Variables'!$B$58,+'5.Variables'!$G67,+IF(L$9='5.Variables'!$B$72,+'5.Variables'!$G81,+IF(L$9='5.Variables'!$B$86,+'5.Variables'!$G95,+IF(L$9='5.Variables'!$B$100,+'5.Variables'!$G109,IF(L$9='5.Variables'!$B$32,+'5.Variables'!$G32,IF(L$9='5.Variables'!$B$56,+'5.Variables'!$G56,0))))))))</f>
        <v>1</v>
      </c>
      <c r="M99" s="292">
        <f>IF(M$9='5.Variables'!$B$10,+'5.Variables'!$G28,+IF(M$9='5.Variables'!$B$34,+'5.Variables'!$G52,+IF(M$9='5.Variables'!$B$58,+'5.Variables'!$G67,+IF(M$9='5.Variables'!$B$72,+'5.Variables'!$G81,+IF(M$9='5.Variables'!$B$86,+'5.Variables'!$G95,+IF(M$9='5.Variables'!$B$100,+'5.Variables'!$G109,IF(M$9='5.Variables'!$B$32,+'5.Variables'!$G32,IF(M$9='5.Variables'!$B$56,+'5.Variables'!$G56,0))))))))</f>
        <v>31</v>
      </c>
      <c r="N99" s="292">
        <f>IF(N$9='5.Variables'!$B$10,+'5.Variables'!$G28,+IF(N$9='5.Variables'!$B$34,+'5.Variables'!$G52,+IF(N$9='5.Variables'!$B$58,+'5.Variables'!$G67,+IF(N$9='5.Variables'!$B$72,+'5.Variables'!$G81,+IF(N$9='5.Variables'!$B$86,+'5.Variables'!$G95,+IF(N$9='5.Variables'!$B$100,+'5.Variables'!$G109,IF(N$9='5.Variables'!$B$32,+'5.Variables'!$G32,IF(N$9='5.Variables'!$B$56,+'5.Variables'!$G56,0))))))))</f>
        <v>246.2</v>
      </c>
      <c r="O99" s="292">
        <f>IF(O$9='5.Variables'!$B$10,+'5.Variables'!$G28,+IF(O$9='5.Variables'!$B$34,+'5.Variables'!$G52,+IF(O$9='5.Variables'!$B$58,+'5.Variables'!$G67,+IF(O$9='5.Variables'!$B$72,+'5.Variables'!$G81,+IF(O$9='5.Variables'!$B$86,+'5.Variables'!$G95,+IF(O$9='5.Variables'!$B$100,+'5.Variables'!$G109,IF(O$9='5.Variables'!$B$32,+'5.Variables'!$G32,IF(O$9='5.Variables'!$B$56,+'5.Variables'!$G56,0))))))))</f>
        <v>19.399999999999999</v>
      </c>
      <c r="P99" s="292">
        <f>IF(P$9='5.Variables'!$B$10,+'5.Variables'!$G28,+IF(P$9='5.Variables'!$B$34,+'5.Variables'!$G52,+IF(P$9='5.Variables'!$B$58,+'5.Variables'!$G67,+IF(P$9='5.Variables'!$B$72,+'5.Variables'!$G81,+IF(P$9='5.Variables'!$B$86,+'5.Variables'!$G95,+IF(P$9='5.Variables'!$B$100,+'5.Variables'!$G109,IF(P$9='5.Variables'!$B$32,+'5.Variables'!$G32,IF(P$9='5.Variables'!$B$56,+'5.Variables'!$G56,0))))))))</f>
        <v>0</v>
      </c>
      <c r="Q99" s="143"/>
      <c r="R99" s="154">
        <v>11265765.417909477</v>
      </c>
      <c r="S99" s="167">
        <f t="shared" si="15"/>
        <v>11731930.638271542</v>
      </c>
      <c r="T99" s="624">
        <f t="shared" si="16"/>
        <v>0.96026525942445007</v>
      </c>
      <c r="U99" s="167">
        <f t="shared" si="17"/>
        <v>10848143.984072601</v>
      </c>
      <c r="V99" s="171"/>
      <c r="W99" s="618"/>
      <c r="X99" s="143"/>
      <c r="AE99" s="143"/>
      <c r="AF99" s="143"/>
      <c r="AG99" s="143"/>
      <c r="AH99" s="143"/>
      <c r="AI99" s="143"/>
      <c r="AJ99" s="143"/>
      <c r="AK99" s="143"/>
      <c r="AL99" s="143"/>
      <c r="AM99" s="143"/>
      <c r="AN99" s="143"/>
      <c r="AO99" s="143"/>
      <c r="AP99" s="143"/>
      <c r="AQ99" s="143"/>
    </row>
    <row r="100" spans="1:43" x14ac:dyDescent="0.3">
      <c r="A100" s="339">
        <f t="shared" si="21"/>
        <v>90</v>
      </c>
      <c r="B100" s="166" t="str">
        <f>CONCATENATE('3. Consumption by Rate Class'!B105,"-",'3. Consumption by Rate Class'!C105)</f>
        <v>2020-June</v>
      </c>
      <c r="C100" s="154">
        <v>11408378.16</v>
      </c>
      <c r="D100" s="154"/>
      <c r="E100" s="351">
        <v>249449.17</v>
      </c>
      <c r="F100" s="154">
        <v>270115.96999999997</v>
      </c>
      <c r="G100" s="154"/>
      <c r="H100" s="367"/>
      <c r="I100" s="367"/>
      <c r="J100" s="167">
        <f t="shared" si="14"/>
        <v>11927943.300000001</v>
      </c>
      <c r="K100" s="167">
        <f>IF(K$9='5.Variables'!$B$10,+'5.Variables'!$H28,+IF(K$9='5.Variables'!$B$34,+'5.Variables'!$H52,+IF(K$9='5.Variables'!$B$58,+'5.Variables'!$H67,+IF(K$9='5.Variables'!$B$72,+'5.Variables'!$H81,+IF(K$9='5.Variables'!$B$86,+'5.Variables'!$H95,+IF(K$9='5.Variables'!$B$100,+'5.Variables'!$H109,IF(K$9='5.Variables'!$B$32,+'5.Variables'!$H32,IF(K$9='5.Variables'!$B$56,+'5.Variables'!$H56,0))))))))</f>
        <v>14205</v>
      </c>
      <c r="L100" s="292">
        <f>IF(L$9='5.Variables'!$B$10,+'5.Variables'!$H28,+IF(L$9='5.Variables'!$B$34,+'5.Variables'!$H52,+IF(L$9='5.Variables'!$B$58,+'5.Variables'!$H67,+IF(L$9='5.Variables'!$B$72,+'5.Variables'!$H81,+IF(L$9='5.Variables'!$B$86,+'5.Variables'!$H95,+IF(L$9='5.Variables'!$B$100,+'5.Variables'!$H109,IF(L$9='5.Variables'!$B$32,+'5.Variables'!$H32,IF(L$9='5.Variables'!$B$56,+'5.Variables'!$H56,0))))))))</f>
        <v>0</v>
      </c>
      <c r="M100" s="292">
        <f>IF(M$9='5.Variables'!$B$10,+'5.Variables'!$H28,+IF(M$9='5.Variables'!$B$34,+'5.Variables'!$H52,+IF(M$9='5.Variables'!$B$58,+'5.Variables'!$H67,+IF(M$9='5.Variables'!$B$72,+'5.Variables'!$H81,+IF(M$9='5.Variables'!$B$86,+'5.Variables'!$H95,+IF(M$9='5.Variables'!$B$100,+'5.Variables'!$H109,IF(M$9='5.Variables'!$B$32,+'5.Variables'!$H32,IF(M$9='5.Variables'!$B$56,+'5.Variables'!$H56,0))))))))</f>
        <v>30</v>
      </c>
      <c r="N100" s="292">
        <f>IF(N$9='5.Variables'!$B$10,+'5.Variables'!$H28,+IF(N$9='5.Variables'!$B$34,+'5.Variables'!$H52,+IF(N$9='5.Variables'!$B$58,+'5.Variables'!$H67,+IF(N$9='5.Variables'!$B$72,+'5.Variables'!$H81,+IF(N$9='5.Variables'!$B$86,+'5.Variables'!$H95,+IF(N$9='5.Variables'!$B$100,+'5.Variables'!$H109,IF(N$9='5.Variables'!$B$32,+'5.Variables'!$H32,IF(N$9='5.Variables'!$B$56,+'5.Variables'!$H56,0))))))))</f>
        <v>56.1</v>
      </c>
      <c r="O100" s="292">
        <f>IF(O$9='5.Variables'!$B$10,+'5.Variables'!$H28,+IF(O$9='5.Variables'!$B$34,+'5.Variables'!$H52,+IF(O$9='5.Variables'!$B$58,+'5.Variables'!$H67,+IF(O$9='5.Variables'!$B$72,+'5.Variables'!$H81,+IF(O$9='5.Variables'!$B$86,+'5.Variables'!$H95,+IF(O$9='5.Variables'!$B$100,+'5.Variables'!$H109,IF(O$9='5.Variables'!$B$32,+'5.Variables'!$H32,IF(O$9='5.Variables'!$B$56,+'5.Variables'!$H56,0))))))))</f>
        <v>45.2</v>
      </c>
      <c r="P100" s="292">
        <f>IF(P$9='5.Variables'!$B$10,+'5.Variables'!$H28,+IF(P$9='5.Variables'!$B$34,+'5.Variables'!$H52,+IF(P$9='5.Variables'!$B$58,+'5.Variables'!$H67,+IF(P$9='5.Variables'!$B$72,+'5.Variables'!$H81,+IF(P$9='5.Variables'!$B$86,+'5.Variables'!$H95,+IF(P$9='5.Variables'!$B$100,+'5.Variables'!$H109,IF(P$9='5.Variables'!$B$32,+'5.Variables'!$H32,IF(P$9='5.Variables'!$B$56,+'5.Variables'!$H56,0))))))))</f>
        <v>0</v>
      </c>
      <c r="Q100" s="143"/>
      <c r="R100" s="154">
        <v>11811818.906227084</v>
      </c>
      <c r="S100" s="167">
        <f t="shared" si="15"/>
        <v>12115828.609066749</v>
      </c>
      <c r="T100" s="624">
        <f t="shared" si="16"/>
        <v>0.97490805518558077</v>
      </c>
      <c r="U100" s="167">
        <f t="shared" si="17"/>
        <v>11628648.004966879</v>
      </c>
      <c r="V100" s="171"/>
      <c r="W100" s="618"/>
      <c r="X100" s="143"/>
      <c r="AE100" s="143"/>
      <c r="AF100" s="143"/>
      <c r="AG100" s="143"/>
      <c r="AH100" s="143"/>
      <c r="AI100" s="143"/>
      <c r="AJ100" s="143"/>
      <c r="AK100" s="143"/>
      <c r="AL100" s="143"/>
      <c r="AM100" s="143"/>
      <c r="AN100" s="143"/>
      <c r="AO100" s="143"/>
      <c r="AP100" s="143"/>
      <c r="AQ100" s="143"/>
    </row>
    <row r="101" spans="1:43" x14ac:dyDescent="0.3">
      <c r="A101" s="339">
        <f t="shared" si="21"/>
        <v>91</v>
      </c>
      <c r="B101" s="166" t="str">
        <f>CONCATENATE('3. Consumption by Rate Class'!B106,"-",'3. Consumption by Rate Class'!C106)</f>
        <v>2020-July</v>
      </c>
      <c r="C101" s="154">
        <v>15505390.18</v>
      </c>
      <c r="D101" s="154"/>
      <c r="E101" s="351">
        <v>300371.33</v>
      </c>
      <c r="F101" s="154">
        <v>234893.1</v>
      </c>
      <c r="G101" s="154"/>
      <c r="H101" s="367"/>
      <c r="I101" s="367"/>
      <c r="J101" s="167">
        <f t="shared" si="14"/>
        <v>16040654.609999999</v>
      </c>
      <c r="K101" s="167">
        <f>IF(K$9='5.Variables'!$B$10,+'5.Variables'!$I28,+IF(K$9='5.Variables'!$B$34,+'5.Variables'!$I52,+IF(K$9='5.Variables'!$B$58,+'5.Variables'!$I67,+IF(K$9='5.Variables'!$B$72,+'5.Variables'!$I81,+IF(K$9='5.Variables'!$B$86,+'5.Variables'!$I95,+IF(K$9='5.Variables'!$B$100,+'5.Variables'!$I109,IF(K$9='5.Variables'!$B$32,+'5.Variables'!$I32,IF(K$9='5.Variables'!$B$56,+'5.Variables'!$I56,0))))))))</f>
        <v>14219</v>
      </c>
      <c r="L101" s="292">
        <f>IF(L$9='5.Variables'!$B$10,+'5.Variables'!$I28,+IF(L$9='5.Variables'!$B$34,+'5.Variables'!$I52,+IF(L$9='5.Variables'!$B$58,+'5.Variables'!$I67,+IF(L$9='5.Variables'!$B$72,+'5.Variables'!$I81,+IF(L$9='5.Variables'!$B$86,+'5.Variables'!$I95,+IF(L$9='5.Variables'!$B$100,+'5.Variables'!$I109,IF(L$9='5.Variables'!$B$32,+'5.Variables'!$I32,IF(L$9='5.Variables'!$B$56,+'5.Variables'!$I56,0))))))))</f>
        <v>0</v>
      </c>
      <c r="M101" s="292">
        <f>IF(M$9='5.Variables'!$B$10,+'5.Variables'!$I28,+IF(M$9='5.Variables'!$B$34,+'5.Variables'!$I52,+IF(M$9='5.Variables'!$B$58,+'5.Variables'!$I67,+IF(M$9='5.Variables'!$B$72,+'5.Variables'!$I81,+IF(M$9='5.Variables'!$B$86,+'5.Variables'!$I95,+IF(M$9='5.Variables'!$B$100,+'5.Variables'!$I109,IF(M$9='5.Variables'!$B$32,+'5.Variables'!$I32,IF(M$9='5.Variables'!$B$56,+'5.Variables'!$I56,0))))))))</f>
        <v>31</v>
      </c>
      <c r="N101" s="292">
        <f>IF(N$9='5.Variables'!$B$10,+'5.Variables'!$I28,+IF(N$9='5.Variables'!$B$34,+'5.Variables'!$I52,+IF(N$9='5.Variables'!$B$58,+'5.Variables'!$I67,+IF(N$9='5.Variables'!$B$72,+'5.Variables'!$I81,+IF(N$9='5.Variables'!$B$86,+'5.Variables'!$I95,+IF(N$9='5.Variables'!$B$100,+'5.Variables'!$I109,IF(N$9='5.Variables'!$B$32,+'5.Variables'!$I32,IF(N$9='5.Variables'!$B$56,+'5.Variables'!$I56,0))))))))</f>
        <v>0</v>
      </c>
      <c r="O101" s="292">
        <f>IF(O$9='5.Variables'!$B$10,+'5.Variables'!$I28,+IF(O$9='5.Variables'!$B$34,+'5.Variables'!$I52,+IF(O$9='5.Variables'!$B$58,+'5.Variables'!$I67,+IF(O$9='5.Variables'!$B$72,+'5.Variables'!$I81,+IF(O$9='5.Variables'!$B$86,+'5.Variables'!$I95,+IF(O$9='5.Variables'!$B$100,+'5.Variables'!$I109,IF(O$9='5.Variables'!$B$32,+'5.Variables'!$I32,IF(O$9='5.Variables'!$B$56,+'5.Variables'!$I56,0))))))))</f>
        <v>139.4</v>
      </c>
      <c r="P101" s="292">
        <f>IF(P$9='5.Variables'!$B$10,+'5.Variables'!$I28,+IF(P$9='5.Variables'!$B$34,+'5.Variables'!$I52,+IF(P$9='5.Variables'!$B$58,+'5.Variables'!$I67,+IF(P$9='5.Variables'!$B$72,+'5.Variables'!$I81,+IF(P$9='5.Variables'!$B$86,+'5.Variables'!$I95,+IF(P$9='5.Variables'!$B$100,+'5.Variables'!$I109,IF(P$9='5.Variables'!$B$32,+'5.Variables'!$I32,IF(P$9='5.Variables'!$B$56,+'5.Variables'!$I56,0))))))))</f>
        <v>0</v>
      </c>
      <c r="Q101" s="143"/>
      <c r="R101" s="154">
        <v>13952024.471690916</v>
      </c>
      <c r="S101" s="167">
        <f t="shared" si="15"/>
        <v>15927705.799455937</v>
      </c>
      <c r="T101" s="624">
        <f t="shared" si="16"/>
        <v>0.87595945375682993</v>
      </c>
      <c r="U101" s="167">
        <f t="shared" si="17"/>
        <v>14050963.050077576</v>
      </c>
      <c r="V101" s="171"/>
      <c r="W101" s="618"/>
      <c r="X101" s="143"/>
      <c r="AE101" s="143"/>
      <c r="AF101" s="143"/>
      <c r="AG101" s="143"/>
      <c r="AH101" s="143"/>
      <c r="AI101" s="143"/>
      <c r="AJ101" s="143"/>
      <c r="AK101" s="143"/>
      <c r="AL101" s="143"/>
      <c r="AM101" s="143"/>
      <c r="AN101" s="143"/>
      <c r="AO101" s="143"/>
      <c r="AP101" s="143"/>
      <c r="AQ101" s="143"/>
    </row>
    <row r="102" spans="1:43" x14ac:dyDescent="0.3">
      <c r="A102" s="339">
        <f t="shared" si="21"/>
        <v>92</v>
      </c>
      <c r="B102" s="166" t="str">
        <f>CONCATENATE('3. Consumption by Rate Class'!B107,"-",'3. Consumption by Rate Class'!C107)</f>
        <v>2020-August</v>
      </c>
      <c r="C102" s="154">
        <v>13862181.6</v>
      </c>
      <c r="D102" s="154"/>
      <c r="E102" s="351">
        <v>280947.03000000003</v>
      </c>
      <c r="F102" s="154">
        <v>205025.87</v>
      </c>
      <c r="G102" s="154"/>
      <c r="H102" s="367"/>
      <c r="I102" s="367"/>
      <c r="J102" s="167">
        <f t="shared" si="14"/>
        <v>14348154.499999998</v>
      </c>
      <c r="K102" s="167">
        <f>IF(K$9='5.Variables'!$B$10,+'5.Variables'!$J28,+IF(K$9='5.Variables'!$B$34,+'5.Variables'!$J52,+IF(K$9='5.Variables'!$B$58,+'5.Variables'!$J67,+IF(K$9='5.Variables'!$B$72,+'5.Variables'!$J81,+IF(K$9='5.Variables'!$B$86,+'5.Variables'!$J95,+IF(K$9='5.Variables'!$B$100,+'5.Variables'!$J109,IF(K$9='5.Variables'!$B$32,+'5.Variables'!$J32,IF(K$9='5.Variables'!$B$56,+'5.Variables'!$J56,0))))))))</f>
        <v>14249</v>
      </c>
      <c r="L102" s="292">
        <f>IF(L$9='5.Variables'!$B$10,+'5.Variables'!$J28,+IF(L$9='5.Variables'!$B$34,+'5.Variables'!$J52,+IF(L$9='5.Variables'!$B$58,+'5.Variables'!$J67,+IF(L$9='5.Variables'!$B$72,+'5.Variables'!$J81,+IF(L$9='5.Variables'!$B$86,+'5.Variables'!$J95,+IF(L$9='5.Variables'!$B$100,+'5.Variables'!$J109,IF(L$9='5.Variables'!$B$32,+'5.Variables'!$J32,IF(L$9='5.Variables'!$B$56,+'5.Variables'!$J56,0))))))))</f>
        <v>0</v>
      </c>
      <c r="M102" s="292">
        <f>IF(M$9='5.Variables'!$B$10,+'5.Variables'!$J28,+IF(M$9='5.Variables'!$B$34,+'5.Variables'!$J52,+IF(M$9='5.Variables'!$B$58,+'5.Variables'!$J67,+IF(M$9='5.Variables'!$B$72,+'5.Variables'!$J81,+IF(M$9='5.Variables'!$B$86,+'5.Variables'!$J95,+IF(M$9='5.Variables'!$B$100,+'5.Variables'!$J109,IF(M$9='5.Variables'!$B$32,+'5.Variables'!$J32,IF(M$9='5.Variables'!$B$56,+'5.Variables'!$J56,0))))))))</f>
        <v>31</v>
      </c>
      <c r="N102" s="292">
        <f>IF(N$9='5.Variables'!$B$10,+'5.Variables'!$J28,+IF(N$9='5.Variables'!$B$34,+'5.Variables'!$J52,+IF(N$9='5.Variables'!$B$58,+'5.Variables'!$J67,+IF(N$9='5.Variables'!$B$72,+'5.Variables'!$J81,+IF(N$9='5.Variables'!$B$86,+'5.Variables'!$J95,+IF(N$9='5.Variables'!$B$100,+'5.Variables'!$J109,IF(N$9='5.Variables'!$B$32,+'5.Variables'!$J32,IF(N$9='5.Variables'!$B$56,+'5.Variables'!$J56,0))))))))</f>
        <v>3.4</v>
      </c>
      <c r="O102" s="292">
        <f>IF(O$9='5.Variables'!$B$10,+'5.Variables'!$J28,+IF(O$9='5.Variables'!$B$34,+'5.Variables'!$J52,+IF(O$9='5.Variables'!$B$58,+'5.Variables'!$J67,+IF(O$9='5.Variables'!$B$72,+'5.Variables'!$J81,+IF(O$9='5.Variables'!$B$86,+'5.Variables'!$J95,+IF(O$9='5.Variables'!$B$100,+'5.Variables'!$J109,IF(O$9='5.Variables'!$B$32,+'5.Variables'!$J32,IF(O$9='5.Variables'!$B$56,+'5.Variables'!$J56,0))))))))</f>
        <v>81.3</v>
      </c>
      <c r="P102" s="292">
        <f>IF(P$9='5.Variables'!$B$10,+'5.Variables'!$J28,+IF(P$9='5.Variables'!$B$34,+'5.Variables'!$J52,+IF(P$9='5.Variables'!$B$58,+'5.Variables'!$J67,+IF(P$9='5.Variables'!$B$72,+'5.Variables'!$J81,+IF(P$9='5.Variables'!$B$86,+'5.Variables'!$J95,+IF(P$9='5.Variables'!$B$100,+'5.Variables'!$J109,IF(P$9='5.Variables'!$B$32,+'5.Variables'!$J32,IF(P$9='5.Variables'!$B$56,+'5.Variables'!$J56,0))))))))</f>
        <v>0</v>
      </c>
      <c r="Q102" s="143"/>
      <c r="R102" s="154">
        <v>13697933.532642119</v>
      </c>
      <c r="S102" s="167">
        <f t="shared" si="15"/>
        <v>13693509.82343106</v>
      </c>
      <c r="T102" s="624">
        <f t="shared" si="16"/>
        <v>1.0003230515235393</v>
      </c>
      <c r="U102" s="167">
        <f t="shared" si="17"/>
        <v>14352789.693171199</v>
      </c>
      <c r="V102" s="171"/>
      <c r="W102" s="618"/>
      <c r="X102" s="143"/>
      <c r="AE102" s="143"/>
      <c r="AF102" s="143"/>
      <c r="AG102" s="143"/>
      <c r="AH102" s="143"/>
      <c r="AI102" s="143"/>
      <c r="AJ102" s="143"/>
      <c r="AK102" s="143"/>
      <c r="AL102" s="143"/>
      <c r="AM102" s="143"/>
      <c r="AN102" s="143"/>
      <c r="AO102" s="143"/>
      <c r="AP102" s="143"/>
      <c r="AQ102" s="143"/>
    </row>
    <row r="103" spans="1:43" x14ac:dyDescent="0.3">
      <c r="A103" s="339">
        <f t="shared" si="21"/>
        <v>93</v>
      </c>
      <c r="B103" s="166" t="str">
        <f>CONCATENATE('3. Consumption by Rate Class'!B108,"-",'3. Consumption by Rate Class'!C108)</f>
        <v>2020-September</v>
      </c>
      <c r="C103" s="154">
        <v>10501257.49</v>
      </c>
      <c r="D103" s="154"/>
      <c r="E103" s="351">
        <v>233218.7</v>
      </c>
      <c r="F103" s="154">
        <v>161354.26999999999</v>
      </c>
      <c r="G103" s="154"/>
      <c r="H103" s="367"/>
      <c r="I103" s="367"/>
      <c r="J103" s="167">
        <f t="shared" si="14"/>
        <v>10895830.459999999</v>
      </c>
      <c r="K103" s="167">
        <f>IF(K$9='5.Variables'!$B$10,+'5.Variables'!$K28,+IF(K$9='5.Variables'!$B$34,+'5.Variables'!$K52,+IF(K$9='5.Variables'!$B$58,+'5.Variables'!$K67,+IF(K$9='5.Variables'!$B$72,+'5.Variables'!$K81,+IF(K$9='5.Variables'!$B$86,+'5.Variables'!$K95,+IF(K$9='5.Variables'!$B$100,+'5.Variables'!$K109,IF(K$9='5.Variables'!$B$32,+'5.Variables'!$K32,IF(K$9='5.Variables'!$B$56,+'5.Variables'!$C56,0))))))))</f>
        <v>14271</v>
      </c>
      <c r="L103" s="292">
        <f>IF(L$9='5.Variables'!$B$10,+'5.Variables'!$K28,+IF(L$9='5.Variables'!$B$34,+'5.Variables'!$K52,+IF(L$9='5.Variables'!$B$58,+'5.Variables'!$K67,+IF(L$9='5.Variables'!$B$72,+'5.Variables'!$K81,+IF(L$9='5.Variables'!$B$86,+'5.Variables'!$K95,+IF(L$9='5.Variables'!$B$100,+'5.Variables'!$K109,IF(L$9='5.Variables'!$B$32,+'5.Variables'!$K32,IF(L$9='5.Variables'!$B$56,+'5.Variables'!$C56,0))))))))</f>
        <v>1</v>
      </c>
      <c r="M103" s="292">
        <f>IF(M$9='5.Variables'!$B$10,+'5.Variables'!$K28,+IF(M$9='5.Variables'!$B$34,+'5.Variables'!$K52,+IF(M$9='5.Variables'!$B$58,+'5.Variables'!$K67,+IF(M$9='5.Variables'!$B$72,+'5.Variables'!$K81,+IF(M$9='5.Variables'!$B$86,+'5.Variables'!$K95,+IF(M$9='5.Variables'!$B$100,+'5.Variables'!$K109,IF(M$9='5.Variables'!$B$32,+'5.Variables'!$K32,IF(M$9='5.Variables'!$B$56,+'5.Variables'!$C56,0))))))))</f>
        <v>30</v>
      </c>
      <c r="N103" s="292">
        <f>IF(N$9='5.Variables'!$B$10,+'5.Variables'!$K28,+IF(N$9='5.Variables'!$B$34,+'5.Variables'!$K52,+IF(N$9='5.Variables'!$B$58,+'5.Variables'!$K67,+IF(N$9='5.Variables'!$B$72,+'5.Variables'!$K81,+IF(N$9='5.Variables'!$B$86,+'5.Variables'!$K95,+IF(N$9='5.Variables'!$B$100,+'5.Variables'!$K109,IF(N$9='5.Variables'!$B$32,+'5.Variables'!$K32,IF(N$9='5.Variables'!$B$56,+'5.Variables'!$C56,0))))))))</f>
        <v>84.6</v>
      </c>
      <c r="O103" s="292">
        <f>IF(O$9='5.Variables'!$B$10,+'5.Variables'!$K28,+IF(O$9='5.Variables'!$B$34,+'5.Variables'!$K52,+IF(O$9='5.Variables'!$B$58,+'5.Variables'!$K67,+IF(O$9='5.Variables'!$B$72,+'5.Variables'!$K81,+IF(O$9='5.Variables'!$B$86,+'5.Variables'!$K95,+IF(O$9='5.Variables'!$B$100,+'5.Variables'!$K109,IF(O$9='5.Variables'!$B$32,+'5.Variables'!$K32,IF(O$9='5.Variables'!$B$56,+'5.Variables'!$C56,0))))))))</f>
        <v>23</v>
      </c>
      <c r="P103" s="292">
        <f>IF(P$9='5.Variables'!$B$10,+'5.Variables'!$K28,+IF(P$9='5.Variables'!$B$34,+'5.Variables'!$K52,+IF(P$9='5.Variables'!$B$58,+'5.Variables'!$K67,+IF(P$9='5.Variables'!$B$72,+'5.Variables'!$K81,+IF(P$9='5.Variables'!$B$86,+'5.Variables'!$K95,+IF(P$9='5.Variables'!$B$100,+'5.Variables'!$K109,IF(P$9='5.Variables'!$B$32,+'5.Variables'!$K32,IF(P$9='5.Variables'!$B$56,+'5.Variables'!$C56,0))))))))</f>
        <v>0</v>
      </c>
      <c r="Q103" s="143"/>
      <c r="R103" s="154">
        <v>9606656.8162606731</v>
      </c>
      <c r="S103" s="167">
        <f t="shared" si="15"/>
        <v>10608629.290945884</v>
      </c>
      <c r="T103" s="624">
        <f t="shared" si="16"/>
        <v>0.90555118411571212</v>
      </c>
      <c r="U103" s="167">
        <f t="shared" si="17"/>
        <v>9866732.1749770436</v>
      </c>
      <c r="V103" s="171"/>
      <c r="W103" s="618"/>
      <c r="X103" s="143"/>
      <c r="AE103" s="143"/>
      <c r="AF103" s="143"/>
      <c r="AG103" s="143"/>
      <c r="AH103" s="143"/>
      <c r="AI103" s="143"/>
      <c r="AJ103" s="143"/>
      <c r="AK103" s="143"/>
      <c r="AL103" s="143"/>
      <c r="AM103" s="143"/>
      <c r="AN103" s="143"/>
      <c r="AO103" s="143"/>
      <c r="AP103" s="143"/>
      <c r="AQ103" s="143"/>
    </row>
    <row r="104" spans="1:43" x14ac:dyDescent="0.3">
      <c r="A104" s="339">
        <f t="shared" si="21"/>
        <v>94</v>
      </c>
      <c r="B104" s="166" t="str">
        <f>CONCATENATE('3. Consumption by Rate Class'!B109,"-",'3. Consumption by Rate Class'!C109)</f>
        <v>2020-October</v>
      </c>
      <c r="C104" s="154">
        <v>10967477.16</v>
      </c>
      <c r="D104" s="154"/>
      <c r="E104" s="610">
        <v>213043.64</v>
      </c>
      <c r="F104" s="154">
        <v>95630.51</v>
      </c>
      <c r="G104" s="154"/>
      <c r="H104" s="367"/>
      <c r="I104" s="367"/>
      <c r="J104" s="167">
        <f t="shared" si="14"/>
        <v>11276151.310000001</v>
      </c>
      <c r="K104" s="167">
        <f>IF(K$9='5.Variables'!$B$10,+'5.Variables'!$L28,+IF(K$9='5.Variables'!$B$34,+'5.Variables'!$L52,+IF(K$9='5.Variables'!$B$58,+'5.Variables'!$L67,+IF(K$9='5.Variables'!$B$72,+'5.Variables'!$L81,+IF(K$9='5.Variables'!$B$86,+'5.Variables'!$L95,+IF(K$9='5.Variables'!$B$100,+'5.Variables'!$L109,IF(K$9='5.Variables'!$B$32,+'5.Variables'!$L32,IF(K$9='5.Variables'!$B$56,+'5.Variables'!$L56,0))))))))</f>
        <v>14279</v>
      </c>
      <c r="L104" s="292">
        <f>IF(L$9='5.Variables'!$B$10,+'5.Variables'!$L28,+IF(L$9='5.Variables'!$B$34,+'5.Variables'!$L52,+IF(L$9='5.Variables'!$B$58,+'5.Variables'!$L67,+IF(L$9='5.Variables'!$B$72,+'5.Variables'!$L81,+IF(L$9='5.Variables'!$B$86,+'5.Variables'!$L95,+IF(L$9='5.Variables'!$B$100,+'5.Variables'!$L109,IF(L$9='5.Variables'!$B$32,+'5.Variables'!$L32,IF(L$9='5.Variables'!$B$56,+'5.Variables'!$L56,0))))))))</f>
        <v>1</v>
      </c>
      <c r="M104" s="292">
        <f>IF(M$9='5.Variables'!$B$10,+'5.Variables'!$L28,+IF(M$9='5.Variables'!$B$34,+'5.Variables'!$L52,+IF(M$9='5.Variables'!$B$58,+'5.Variables'!$L67,+IF(M$9='5.Variables'!$B$72,+'5.Variables'!$L81,+IF(M$9='5.Variables'!$B$86,+'5.Variables'!$L95,+IF(M$9='5.Variables'!$B$100,+'5.Variables'!$L109,IF(M$9='5.Variables'!$B$32,+'5.Variables'!$L32,IF(M$9='5.Variables'!$B$56,+'5.Variables'!$L56,0))))))))</f>
        <v>31</v>
      </c>
      <c r="N104" s="292">
        <f>IF(N$9='5.Variables'!$B$10,+'5.Variables'!$L28,+IF(N$9='5.Variables'!$B$34,+'5.Variables'!$L52,+IF(N$9='5.Variables'!$B$58,+'5.Variables'!$L67,+IF(N$9='5.Variables'!$B$72,+'5.Variables'!$L81,+IF(N$9='5.Variables'!$B$86,+'5.Variables'!$L95,+IF(N$9='5.Variables'!$B$100,+'5.Variables'!$L109,IF(N$9='5.Variables'!$B$32,+'5.Variables'!$L32,IF(N$9='5.Variables'!$B$56,+'5.Variables'!$L56,0))))))))</f>
        <v>279.89999999999998</v>
      </c>
      <c r="O104" s="292">
        <f>IF(O$9='5.Variables'!$B$10,+'5.Variables'!$L28,+IF(O$9='5.Variables'!$B$34,+'5.Variables'!$L52,+IF(O$9='5.Variables'!$B$58,+'5.Variables'!$L67,+IF(O$9='5.Variables'!$B$72,+'5.Variables'!$L81,+IF(O$9='5.Variables'!$B$86,+'5.Variables'!$L95,+IF(O$9='5.Variables'!$B$100,+'5.Variables'!$L109,IF(O$9='5.Variables'!$B$32,+'5.Variables'!$L32,IF(O$9='5.Variables'!$B$56,+'5.Variables'!$L56,0))))))))</f>
        <v>0</v>
      </c>
      <c r="P104" s="292">
        <f>IF(P$9='5.Variables'!$B$10,+'5.Variables'!$L28,+IF(P$9='5.Variables'!$B$34,+'5.Variables'!$L52,+IF(P$9='5.Variables'!$B$58,+'5.Variables'!$L67,+IF(P$9='5.Variables'!$B$72,+'5.Variables'!$L81,+IF(P$9='5.Variables'!$B$86,+'5.Variables'!$L95,+IF(P$9='5.Variables'!$B$100,+'5.Variables'!$L109,IF(P$9='5.Variables'!$B$32,+'5.Variables'!$L32,IF(P$9='5.Variables'!$B$56,+'5.Variables'!$L56,0))))))))</f>
        <v>0</v>
      </c>
      <c r="Q104" s="143"/>
      <c r="R104" s="154">
        <v>11114153.302806972</v>
      </c>
      <c r="S104" s="167">
        <f t="shared" si="15"/>
        <v>11261269.355901035</v>
      </c>
      <c r="T104" s="624">
        <f t="shared" si="16"/>
        <v>0.98693610387562813</v>
      </c>
      <c r="U104" s="167">
        <f t="shared" si="17"/>
        <v>11128840.840603461</v>
      </c>
      <c r="V104" s="171"/>
      <c r="W104" s="618"/>
      <c r="X104" s="143"/>
      <c r="AE104" s="143"/>
      <c r="AF104" s="143"/>
      <c r="AG104" s="143"/>
      <c r="AH104" s="143"/>
      <c r="AI104" s="143"/>
      <c r="AJ104" s="143"/>
      <c r="AK104" s="143"/>
      <c r="AL104" s="143"/>
      <c r="AM104" s="143"/>
      <c r="AN104" s="143"/>
      <c r="AO104" s="143"/>
      <c r="AP104" s="143"/>
      <c r="AQ104" s="143"/>
    </row>
    <row r="105" spans="1:43" x14ac:dyDescent="0.3">
      <c r="A105" s="339">
        <f t="shared" si="21"/>
        <v>95</v>
      </c>
      <c r="B105" s="166" t="str">
        <f>CONCATENATE('3. Consumption by Rate Class'!B110,"-",'3. Consumption by Rate Class'!C110)</f>
        <v>2020-November</v>
      </c>
      <c r="C105" s="154">
        <v>11227626.33</v>
      </c>
      <c r="D105" s="154"/>
      <c r="E105" s="610">
        <v>210669.65</v>
      </c>
      <c r="F105" s="154">
        <v>57638.98</v>
      </c>
      <c r="G105" s="154"/>
      <c r="H105" s="367"/>
      <c r="I105" s="367"/>
      <c r="J105" s="167">
        <f t="shared" si="14"/>
        <v>11495934.960000001</v>
      </c>
      <c r="K105" s="167">
        <f>IF(K$9='5.Variables'!$B$10,+'5.Variables'!$M28,+IF(K$9='5.Variables'!$B$34,+'5.Variables'!$M52,+IF(K$9='5.Variables'!$B$58,+'5.Variables'!$M67,+IF(K$9='5.Variables'!$B$72,+'5.Variables'!$M81,+IF(K$9='5.Variables'!$B$86,+'5.Variables'!$M95,+IF(K$9='5.Variables'!$B$100,+'5.Variables'!$M109,IF(K$9='5.Variables'!$B$32,+'5.Variables'!$M32,IF(K$9='5.Variables'!$B$56,+'5.Variables'!$M56,0))))))))</f>
        <v>14280</v>
      </c>
      <c r="L105" s="292">
        <f>IF(L$9='5.Variables'!$B$10,+'5.Variables'!$M28,+IF(L$9='5.Variables'!$B$34,+'5.Variables'!$M52,+IF(L$9='5.Variables'!$B$58,+'5.Variables'!$M67,+IF(L$9='5.Variables'!$B$72,+'5.Variables'!$M81,+IF(L$9='5.Variables'!$B$86,+'5.Variables'!$M95,+IF(L$9='5.Variables'!$B$100,+'5.Variables'!$M109,IF(L$9='5.Variables'!$B$32,+'5.Variables'!$M32,IF(L$9='5.Variables'!$B$56,+'5.Variables'!$M56,0))))))))</f>
        <v>1</v>
      </c>
      <c r="M105" s="292">
        <f>IF(M$9='5.Variables'!$B$10,+'5.Variables'!$M28,+IF(M$9='5.Variables'!$B$34,+'5.Variables'!$M52,+IF(M$9='5.Variables'!$B$58,+'5.Variables'!$M67,+IF(M$9='5.Variables'!$B$72,+'5.Variables'!$M81,+IF(M$9='5.Variables'!$B$86,+'5.Variables'!$M95,+IF(M$9='5.Variables'!$B$100,+'5.Variables'!$M109,IF(M$9='5.Variables'!$B$32,+'5.Variables'!$M32,IF(M$9='5.Variables'!$B$56,+'5.Variables'!$M56,0))))))))</f>
        <v>30</v>
      </c>
      <c r="N105" s="292">
        <f>IF(N$9='5.Variables'!$B$10,+'5.Variables'!$M28,+IF(N$9='5.Variables'!$B$34,+'5.Variables'!$M52,+IF(N$9='5.Variables'!$B$58,+'5.Variables'!$M67,+IF(N$9='5.Variables'!$B$72,+'5.Variables'!$M81,+IF(N$9='5.Variables'!$B$86,+'5.Variables'!$M95,+IF(N$9='5.Variables'!$B$100,+'5.Variables'!$M109,IF(N$9='5.Variables'!$B$32,+'5.Variables'!$M32,IF(N$9='5.Variables'!$B$56,+'5.Variables'!$M56,0))))))))</f>
        <v>296.10000000000002</v>
      </c>
      <c r="O105" s="292">
        <f>IF(O$9='5.Variables'!$B$10,+'5.Variables'!$M28,+IF(O$9='5.Variables'!$B$34,+'5.Variables'!$M52,+IF(O$9='5.Variables'!$B$58,+'5.Variables'!$M67,+IF(O$9='5.Variables'!$B$72,+'5.Variables'!$M81,+IF(O$9='5.Variables'!$B$86,+'5.Variables'!$M95,+IF(O$9='5.Variables'!$B$100,+'5.Variables'!$M109,IF(O$9='5.Variables'!$B$32,+'5.Variables'!$M32,IF(O$9='5.Variables'!$B$56,+'5.Variables'!$M56,0))))))))</f>
        <v>5.4</v>
      </c>
      <c r="P105" s="292">
        <f>IF(P$9='5.Variables'!$B$10,+'5.Variables'!$M28,+IF(P$9='5.Variables'!$B$34,+'5.Variables'!$M52,+IF(P$9='5.Variables'!$B$58,+'5.Variables'!$M67,+IF(P$9='5.Variables'!$B$72,+'5.Variables'!$M81,+IF(P$9='5.Variables'!$B$86,+'5.Variables'!$M95,+IF(P$9='5.Variables'!$B$100,+'5.Variables'!$M109,IF(P$9='5.Variables'!$B$32,+'5.Variables'!$M32,IF(P$9='5.Variables'!$B$56,+'5.Variables'!$M56,0))))))))</f>
        <v>0</v>
      </c>
      <c r="Q105" s="143"/>
      <c r="R105" s="154">
        <v>11609469.147826206</v>
      </c>
      <c r="S105" s="167">
        <f t="shared" si="15"/>
        <v>11144217.917297959</v>
      </c>
      <c r="T105" s="624">
        <f t="shared" si="16"/>
        <v>1.0417482172352435</v>
      </c>
      <c r="U105" s="167">
        <f t="shared" si="17"/>
        <v>11975869.750032311</v>
      </c>
      <c r="V105" s="171"/>
      <c r="W105" s="618"/>
      <c r="X105" s="143"/>
      <c r="AE105" s="143"/>
      <c r="AF105" s="143"/>
      <c r="AG105" s="143"/>
      <c r="AH105" s="143"/>
      <c r="AI105" s="143"/>
      <c r="AJ105" s="143"/>
      <c r="AK105" s="143"/>
      <c r="AL105" s="143"/>
      <c r="AM105" s="143"/>
      <c r="AN105" s="143"/>
      <c r="AO105" s="143"/>
      <c r="AP105" s="143"/>
      <c r="AQ105" s="143"/>
    </row>
    <row r="106" spans="1:43" x14ac:dyDescent="0.3">
      <c r="A106" s="339">
        <f t="shared" si="21"/>
        <v>96</v>
      </c>
      <c r="B106" s="166" t="str">
        <f>CONCATENATE('3. Consumption by Rate Class'!B111,"-",'3. Consumption by Rate Class'!C111)</f>
        <v>2020-December</v>
      </c>
      <c r="C106" s="154">
        <v>13826833.73</v>
      </c>
      <c r="D106" s="154"/>
      <c r="E106" s="610">
        <v>207777.22</v>
      </c>
      <c r="F106" s="154">
        <v>18183.18</v>
      </c>
      <c r="G106" s="154"/>
      <c r="H106" s="367"/>
      <c r="I106" s="367"/>
      <c r="J106" s="167">
        <f t="shared" si="14"/>
        <v>14052794.130000001</v>
      </c>
      <c r="K106" s="167">
        <f>IF(K$9='5.Variables'!$B$10,+'5.Variables'!$N28,+IF(K$9='5.Variables'!$B$34,+'5.Variables'!$N52,+IF(K$9='5.Variables'!$B$58,+'5.Variables'!$N67,+IF(K$9='5.Variables'!$B$72,+'5.Variables'!$N81,+IF(K$9='5.Variables'!$B$86,+'5.Variables'!$N95,+IF(K$9='5.Variables'!$B$100,+'5.Variables'!$N109,IF(K$9='5.Variables'!$B$32,+'5.Variables'!$N32,IF(K$9='5.Variables'!$B$56,+'5.Variables'!$N56,0))))))))</f>
        <v>14294</v>
      </c>
      <c r="L106" s="292">
        <f>IF(L$9='5.Variables'!$B$10,+'5.Variables'!$N28,+IF(L$9='5.Variables'!$B$34,+'5.Variables'!$N52,+IF(L$9='5.Variables'!$B$58,+'5.Variables'!$N67,+IF(L$9='5.Variables'!$B$72,+'5.Variables'!$N81,+IF(L$9='5.Variables'!$B$86,+'5.Variables'!$N95,+IF(L$9='5.Variables'!$B$100,+'5.Variables'!$N109,IF(L$9='5.Variables'!$B$32,+'5.Variables'!$N32,IF(L$9='5.Variables'!$B$56,+'5.Variables'!$N56,0))))))))</f>
        <v>0</v>
      </c>
      <c r="M106" s="292">
        <f>IF(M$9='5.Variables'!$B$10,+'5.Variables'!$N28,+IF(M$9='5.Variables'!$B$34,+'5.Variables'!$N52,+IF(M$9='5.Variables'!$B$58,+'5.Variables'!$N67,+IF(M$9='5.Variables'!$B$72,+'5.Variables'!$N81,+IF(M$9='5.Variables'!$B$86,+'5.Variables'!$N95,+IF(M$9='5.Variables'!$B$100,+'5.Variables'!$N109,IF(M$9='5.Variables'!$B$32,+'5.Variables'!$N32,IF(M$9='5.Variables'!$B$56,+'5.Variables'!$N56,0))))))))</f>
        <v>31</v>
      </c>
      <c r="N106" s="292">
        <f>IF(N$9='5.Variables'!$B$10,+'5.Variables'!$N28,+IF(N$9='5.Variables'!$B$34,+'5.Variables'!$N52,+IF(N$9='5.Variables'!$B$58,+'5.Variables'!$N67,+IF(N$9='5.Variables'!$B$72,+'5.Variables'!$N81,+IF(N$9='5.Variables'!$B$86,+'5.Variables'!$N95,+IF(N$9='5.Variables'!$B$100,+'5.Variables'!$N109,IF(N$9='5.Variables'!$B$32,+'5.Variables'!$N32,IF(N$9='5.Variables'!$B$56,+'5.Variables'!$N56,0))))))))</f>
        <v>554.70000000000005</v>
      </c>
      <c r="O106" s="292">
        <f>IF(O$9='5.Variables'!$B$10,+'5.Variables'!$N28,+IF(O$9='5.Variables'!$B$34,+'5.Variables'!$N52,+IF(O$9='5.Variables'!$B$58,+'5.Variables'!$N67,+IF(O$9='5.Variables'!$B$72,+'5.Variables'!$N81,+IF(O$9='5.Variables'!$B$86,+'5.Variables'!$N95,+IF(O$9='5.Variables'!$B$100,+'5.Variables'!$N109,IF(O$9='5.Variables'!$B$32,+'5.Variables'!$N32,IF(O$9='5.Variables'!$B$56,+'5.Variables'!$N56,0))))))))</f>
        <v>0</v>
      </c>
      <c r="P106" s="292">
        <f>IF(P$9='5.Variables'!$B$10,+'5.Variables'!$N28,+IF(P$9='5.Variables'!$B$34,+'5.Variables'!$N52,+IF(P$9='5.Variables'!$B$58,+'5.Variables'!$N67,+IF(P$9='5.Variables'!$B$72,+'5.Variables'!$N81,+IF(P$9='5.Variables'!$B$86,+'5.Variables'!$N95,+IF(P$9='5.Variables'!$B$100,+'5.Variables'!$N109,IF(P$9='5.Variables'!$B$32,+'5.Variables'!$N32,IF(P$9='5.Variables'!$B$56,+'5.Variables'!$N56,0))))))))</f>
        <v>0</v>
      </c>
      <c r="Q106" s="143"/>
      <c r="R106" s="154">
        <v>13828934.740162756</v>
      </c>
      <c r="S106" s="167">
        <f t="shared" si="15"/>
        <v>13718443.557057546</v>
      </c>
      <c r="T106" s="624">
        <f t="shared" si="16"/>
        <v>1.0080542069255638</v>
      </c>
      <c r="U106" s="167">
        <f t="shared" si="17"/>
        <v>14165978.241805369</v>
      </c>
      <c r="V106" s="171">
        <f>SUM(U95:U106)</f>
        <v>151709224.20613581</v>
      </c>
      <c r="W106" s="618"/>
      <c r="X106" s="143"/>
      <c r="AE106" s="143"/>
      <c r="AF106" s="143"/>
      <c r="AG106" s="143"/>
      <c r="AH106" s="143"/>
      <c r="AI106" s="143"/>
      <c r="AJ106" s="143"/>
      <c r="AK106" s="143"/>
      <c r="AL106" s="143"/>
      <c r="AM106" s="143"/>
      <c r="AN106" s="143"/>
      <c r="AO106" s="143"/>
      <c r="AP106" s="143"/>
      <c r="AQ106" s="143"/>
    </row>
    <row r="107" spans="1:43" x14ac:dyDescent="0.3">
      <c r="A107" s="339">
        <f t="shared" si="21"/>
        <v>97</v>
      </c>
      <c r="B107" s="166" t="str">
        <f>CONCATENATE('3. Consumption by Rate Class'!B112,"-",'3. Consumption by Rate Class'!C112)</f>
        <v>2021-January</v>
      </c>
      <c r="C107" s="154">
        <v>14127144.220000001</v>
      </c>
      <c r="D107" s="154"/>
      <c r="E107" s="351">
        <v>201299.4</v>
      </c>
      <c r="F107" s="154">
        <v>3181.99</v>
      </c>
      <c r="G107" s="154"/>
      <c r="H107" s="367"/>
      <c r="I107" s="367"/>
      <c r="J107" s="167">
        <f t="shared" ref="J107:J130" si="22">SUM(C107:I107)</f>
        <v>14331625.610000001</v>
      </c>
      <c r="K107" s="167">
        <f>IF(K$9='5.Variables'!$B$10,+'5.Variables'!$C29,+IF(K$9='5.Variables'!$B$34,+'5.Variables'!$C53,+IF(K$9='5.Variables'!$B$58,+'5.Variables'!$C68,+IF(K$9='5.Variables'!$B$72,+'5.Variables'!$C82,+IF(K$9='5.Variables'!$B$86,+'5.Variables'!$C96,+IF(K$9='5.Variables'!$B$100,+'5.Variables'!$C110,IF(K$9='5.Variables'!$B$32,+'5.Variables'!$C32,IF(K$9='5.Variables'!$B$56,+'5.Variables'!$C56,0))))))))</f>
        <v>14313</v>
      </c>
      <c r="L107" s="292">
        <f>IF(L$9='5.Variables'!$B$10,+'5.Variables'!$C29,+IF(L$9='5.Variables'!$B$34,+'5.Variables'!$C53,+IF(L$9='5.Variables'!$B$58,+'5.Variables'!$C68,+IF(L$9='5.Variables'!$B$72,+'5.Variables'!$C82,+IF(L$9='5.Variables'!$B$86,+'5.Variables'!$C96,+IF(L$9='5.Variables'!$B$100,+'5.Variables'!$C110,IF(L$9='5.Variables'!$B$32,+'5.Variables'!$C32,IF(L$9='5.Variables'!$B$56,+'5.Variables'!$C56,0))))))))</f>
        <v>0</v>
      </c>
      <c r="M107" s="292">
        <f>IF(M$9='5.Variables'!$B$10,+'5.Variables'!$C29,+IF(M$9='5.Variables'!$B$34,+'5.Variables'!$C53,+IF(M$9='5.Variables'!$B$58,+'5.Variables'!$C68,+IF(M$9='5.Variables'!$B$72,+'5.Variables'!$C82,+IF(M$9='5.Variables'!$B$86,+'5.Variables'!$C96,+IF(M$9='5.Variables'!$B$100,+'5.Variables'!$C110,IF(M$9='5.Variables'!$B$32,+'5.Variables'!$C32,IF(M$9='5.Variables'!$B$56,+'5.Variables'!$C56,0))))))))</f>
        <v>31</v>
      </c>
      <c r="N107" s="292">
        <f>IF(N$9='5.Variables'!$B$10,+'5.Variables'!$C29,+IF(N$9='5.Variables'!$B$34,+'5.Variables'!$C53,+IF(N$9='5.Variables'!$B$58,+'5.Variables'!$C68,+IF(N$9='5.Variables'!$B$72,+'5.Variables'!$C82,+IF(N$9='5.Variables'!$B$86,+'5.Variables'!$C96,+IF(N$9='5.Variables'!$B$100,+'5.Variables'!$C110,IF(N$9='5.Variables'!$B$32,+'5.Variables'!$C32,IF(N$9='5.Variables'!$B$56,+'5.Variables'!$C56,0))))))))</f>
        <v>636.70000000000005</v>
      </c>
      <c r="O107" s="292">
        <f>IF(O$9='5.Variables'!$B$10,+'5.Variables'!$C29,+IF(O$9='5.Variables'!$B$34,+'5.Variables'!$C53,+IF(O$9='5.Variables'!$B$58,+'5.Variables'!$C68,+IF(O$9='5.Variables'!$B$72,+'5.Variables'!$C82,+IF(O$9='5.Variables'!$B$86,+'5.Variables'!$C96,+IF(O$9='5.Variables'!$B$100,+'5.Variables'!$C110,IF(O$9='5.Variables'!$B$32,+'5.Variables'!$C32,IF(O$9='5.Variables'!$B$56,+'5.Variables'!$C56,0))))))))</f>
        <v>0</v>
      </c>
      <c r="P107" s="292">
        <f>IF(P$9='5.Variables'!$B$10,+'5.Variables'!$C29,+IF(P$9='5.Variables'!$B$34,+'5.Variables'!$C53,+IF(P$9='5.Variables'!$B$58,+'5.Variables'!$C68,+IF(P$9='5.Variables'!$B$72,+'5.Variables'!$C82,+IF(P$9='5.Variables'!$B$86,+'5.Variables'!$C96,+IF(P$9='5.Variables'!$B$100,+'5.Variables'!$C110,IF(P$9='5.Variables'!$B$32,+'5.Variables'!$C32,IF(P$9='5.Variables'!$B$56,+'5.Variables'!$C56,0))))))))</f>
        <v>0</v>
      </c>
      <c r="Q107" s="143"/>
      <c r="R107" s="154">
        <v>14598635.786200864</v>
      </c>
      <c r="S107" s="167">
        <f t="shared" ref="S107:S138" si="23">$Y$25+($K107*$Y$26)+($L107*$Y$27)+($M107*$Y$28)+($N107*$Y$29)+($O107*$Y$30)+($P107*$Y$31)</f>
        <v>14208287.37289487</v>
      </c>
      <c r="T107" s="624">
        <f t="shared" ref="T107:T130" si="24">+R107/S107</f>
        <v>1.0274732909788031</v>
      </c>
      <c r="U107" s="167">
        <f t="shared" ref="U107:U129" si="25">+T107*J107</f>
        <v>14725362.530582799</v>
      </c>
      <c r="V107" s="171"/>
      <c r="W107" s="618"/>
      <c r="X107" s="143"/>
      <c r="AE107" s="143"/>
      <c r="AF107" s="143"/>
      <c r="AG107" s="143"/>
      <c r="AH107" s="143"/>
      <c r="AI107" s="143"/>
      <c r="AJ107" s="143"/>
      <c r="AK107" s="143"/>
      <c r="AL107" s="143"/>
      <c r="AM107" s="143"/>
      <c r="AN107" s="143"/>
      <c r="AO107" s="143"/>
      <c r="AP107" s="143"/>
      <c r="AQ107" s="143"/>
    </row>
    <row r="108" spans="1:43" x14ac:dyDescent="0.3">
      <c r="A108" s="339">
        <f t="shared" si="21"/>
        <v>98</v>
      </c>
      <c r="B108" s="166" t="str">
        <f>CONCATENATE('3. Consumption by Rate Class'!B113,"-",'3. Consumption by Rate Class'!C113)</f>
        <v>2021-February</v>
      </c>
      <c r="C108" s="154">
        <v>13322300.050000001</v>
      </c>
      <c r="D108" s="154"/>
      <c r="E108" s="351">
        <v>178935.21</v>
      </c>
      <c r="F108" s="154">
        <v>6516.33</v>
      </c>
      <c r="G108" s="154"/>
      <c r="H108" s="367"/>
      <c r="I108" s="367"/>
      <c r="J108" s="167">
        <f t="shared" si="22"/>
        <v>13507751.590000002</v>
      </c>
      <c r="K108" s="167">
        <f>IF(K$9='5.Variables'!$B$10,+'5.Variables'!$D29,+IF(K$9='5.Variables'!$B$34,+'5.Variables'!$D53,+IF(K$9='5.Variables'!$B$58,+'5.Variables'!$D68,+IF(K$9='5.Variables'!$B$72,+'5.Variables'!$D82,+IF(K$9='5.Variables'!$B$86,+'5.Variables'!$D96,+IF(K$9='5.Variables'!$B$100,+'5.Variables'!$D110,IF(K$9='5.Variables'!$B$32,+'5.Variables'!$D32,IF(K$9='5.Variables'!$B$56,+'5.Variables'!$D56,0))))))))</f>
        <v>14322</v>
      </c>
      <c r="L108" s="292">
        <f>IF(L$9='5.Variables'!$B$10,+'5.Variables'!$D29,+IF(L$9='5.Variables'!$B$34,+'5.Variables'!$D53,+IF(L$9='5.Variables'!$B$58,+'5.Variables'!$D68,+IF(L$9='5.Variables'!$B$72,+'5.Variables'!$D82,+IF(L$9='5.Variables'!$B$86,+'5.Variables'!$D96,+IF(L$9='5.Variables'!$B$100,+'5.Variables'!$D110,IF(L$9='5.Variables'!$B$32,+'5.Variables'!$D32,IF(L$9='5.Variables'!$B$56,+'5.Variables'!$D56,0))))))))</f>
        <v>0</v>
      </c>
      <c r="M108" s="292">
        <f>IF(M$9='5.Variables'!$B$10,+'5.Variables'!$D29,+IF(M$9='5.Variables'!$B$34,+'5.Variables'!$D53,+IF(M$9='5.Variables'!$B$58,+'5.Variables'!$D68,+IF(M$9='5.Variables'!$B$72,+'5.Variables'!$D82,+IF(M$9='5.Variables'!$B$86,+'5.Variables'!$D96,+IF(M$9='5.Variables'!$B$100,+'5.Variables'!$D110,IF(M$9='5.Variables'!$B$32,+'5.Variables'!$D32,IF(M$9='5.Variables'!$B$56,+'5.Variables'!$D56,0))))))))</f>
        <v>28</v>
      </c>
      <c r="N108" s="292">
        <f>IF(N$9='5.Variables'!$B$10,+'5.Variables'!$D29,+IF(N$9='5.Variables'!$B$34,+'5.Variables'!$D53,+IF(N$9='5.Variables'!$B$58,+'5.Variables'!$D68,+IF(N$9='5.Variables'!$B$72,+'5.Variables'!$D82,+IF(N$9='5.Variables'!$B$86,+'5.Variables'!$D96,+IF(N$9='5.Variables'!$B$100,+'5.Variables'!$D110,IF(N$9='5.Variables'!$B$32,+'5.Variables'!$D32,IF(N$9='5.Variables'!$B$56,+'5.Variables'!$D56,0))))))))</f>
        <v>639.6</v>
      </c>
      <c r="O108" s="292">
        <f>IF(O$9='5.Variables'!$B$10,+'5.Variables'!$D29,+IF(O$9='5.Variables'!$B$34,+'5.Variables'!$D53,+IF(O$9='5.Variables'!$B$58,+'5.Variables'!$D68,+IF(O$9='5.Variables'!$B$72,+'5.Variables'!$D82,+IF(O$9='5.Variables'!$B$86,+'5.Variables'!$D96,+IF(O$9='5.Variables'!$B$100,+'5.Variables'!$D110,IF(O$9='5.Variables'!$B$32,+'5.Variables'!$D32,IF(O$9='5.Variables'!$B$56,+'5.Variables'!$D56,0))))))))</f>
        <v>0</v>
      </c>
      <c r="P108" s="292">
        <f>IF(P$9='5.Variables'!$B$10,+'5.Variables'!$D29,+IF(P$9='5.Variables'!$B$34,+'5.Variables'!$D53,+IF(P$9='5.Variables'!$B$58,+'5.Variables'!$D68,+IF(P$9='5.Variables'!$B$72,+'5.Variables'!$D82,+IF(P$9='5.Variables'!$B$86,+'5.Variables'!$D96,+IF(P$9='5.Variables'!$B$100,+'5.Variables'!$D110,IF(P$9='5.Variables'!$B$32,+'5.Variables'!$D32,IF(P$9='5.Variables'!$B$56,+'5.Variables'!$D56,0))))))))</f>
        <v>0</v>
      </c>
      <c r="Q108" s="143"/>
      <c r="R108" s="154">
        <v>13009646.036896747</v>
      </c>
      <c r="S108" s="167">
        <f t="shared" si="23"/>
        <v>12963272.000192005</v>
      </c>
      <c r="T108" s="624">
        <f t="shared" si="24"/>
        <v>1.0035773404048032</v>
      </c>
      <c r="U108" s="167">
        <f t="shared" si="25"/>
        <v>13556073.415540952</v>
      </c>
      <c r="V108" s="171"/>
      <c r="W108" s="618"/>
      <c r="X108" s="143"/>
      <c r="AE108" s="143"/>
      <c r="AF108" s="143"/>
      <c r="AG108" s="143"/>
      <c r="AH108" s="143"/>
      <c r="AI108" s="143"/>
      <c r="AJ108" s="143"/>
      <c r="AK108" s="143"/>
      <c r="AL108" s="143"/>
      <c r="AM108" s="143"/>
      <c r="AN108" s="143"/>
      <c r="AO108" s="143"/>
      <c r="AP108" s="143"/>
      <c r="AQ108" s="143"/>
    </row>
    <row r="109" spans="1:43" x14ac:dyDescent="0.3">
      <c r="A109" s="339">
        <f t="shared" si="21"/>
        <v>99</v>
      </c>
      <c r="B109" s="166" t="str">
        <f>CONCATENATE('3. Consumption by Rate Class'!B114,"-",'3. Consumption by Rate Class'!C114)</f>
        <v>2021-March</v>
      </c>
      <c r="C109" s="154">
        <v>12551973.98</v>
      </c>
      <c r="D109" s="154"/>
      <c r="E109" s="351">
        <v>205201.67</v>
      </c>
      <c r="F109" s="154">
        <v>143798.21</v>
      </c>
      <c r="G109" s="154"/>
      <c r="H109" s="367"/>
      <c r="I109" s="367"/>
      <c r="J109" s="167">
        <f t="shared" si="22"/>
        <v>12900973.860000001</v>
      </c>
      <c r="K109" s="167">
        <f>IF(K$9='5.Variables'!$B$10,+'5.Variables'!$E29,+IF(K$9='5.Variables'!$B$34,+'5.Variables'!$E53,+IF(K$9='5.Variables'!$B$58,+'5.Variables'!$E68,+IF(K$9='5.Variables'!$B$72,+'5.Variables'!$E82,+IF(K$9='5.Variables'!$B$86,+'5.Variables'!$E96,+IF(K$9='5.Variables'!$B$100,+'5.Variables'!$E110,IF(K$9='5.Variables'!$B$32,+'5.Variables'!$E32,IF(K$9='5.Variables'!$B$56,+'5.Variables'!$E56,0))))))))</f>
        <v>14345</v>
      </c>
      <c r="L109" s="292">
        <f>IF(L$9='5.Variables'!$B$10,+'5.Variables'!$E29,+IF(L$9='5.Variables'!$B$34,+'5.Variables'!$E53,+IF(L$9='5.Variables'!$B$58,+'5.Variables'!$E68,+IF(L$9='5.Variables'!$B$72,+'5.Variables'!$E82,+IF(L$9='5.Variables'!$B$86,+'5.Variables'!$E96,+IF(L$9='5.Variables'!$B$100,+'5.Variables'!$E110,IF(L$9='5.Variables'!$B$32,+'5.Variables'!$E32,IF(L$9='5.Variables'!$B$56,+'5.Variables'!$E56,0))))))))</f>
        <v>1</v>
      </c>
      <c r="M109" s="292">
        <f>IF(M$9='5.Variables'!$B$10,+'5.Variables'!$E29,+IF(M$9='5.Variables'!$B$34,+'5.Variables'!$E53,+IF(M$9='5.Variables'!$B$58,+'5.Variables'!$E68,+IF(M$9='5.Variables'!$B$72,+'5.Variables'!$E82,+IF(M$9='5.Variables'!$B$86,+'5.Variables'!$E96,+IF(M$9='5.Variables'!$B$100,+'5.Variables'!$E110,IF(M$9='5.Variables'!$B$32,+'5.Variables'!$E32,IF(M$9='5.Variables'!$B$56,+'5.Variables'!$E56,0))))))))</f>
        <v>31</v>
      </c>
      <c r="N109" s="292">
        <f>IF(N$9='5.Variables'!$B$10,+'5.Variables'!$E29,+IF(N$9='5.Variables'!$B$34,+'5.Variables'!$E53,+IF(N$9='5.Variables'!$B$58,+'5.Variables'!$E68,+IF(N$9='5.Variables'!$B$72,+'5.Variables'!$E82,+IF(N$9='5.Variables'!$B$86,+'5.Variables'!$E96,+IF(N$9='5.Variables'!$B$100,+'5.Variables'!$E110,IF(N$9='5.Variables'!$B$32,+'5.Variables'!$E32,IF(N$9='5.Variables'!$B$56,+'5.Variables'!$E56,0))))))))</f>
        <v>460.9</v>
      </c>
      <c r="O109" s="292">
        <f>IF(O$9='5.Variables'!$B$10,+'5.Variables'!$E29,+IF(O$9='5.Variables'!$B$34,+'5.Variables'!$E53,+IF(O$9='5.Variables'!$B$58,+'5.Variables'!$E68,+IF(O$9='5.Variables'!$B$72,+'5.Variables'!$E82,+IF(O$9='5.Variables'!$B$86,+'5.Variables'!$E96,+IF(O$9='5.Variables'!$B$100,+'5.Variables'!$E110,IF(O$9='5.Variables'!$B$32,+'5.Variables'!$E32,IF(O$9='5.Variables'!$B$56,+'5.Variables'!$E56,0))))))))</f>
        <v>0</v>
      </c>
      <c r="P109" s="292">
        <f>IF(P$9='5.Variables'!$B$10,+'5.Variables'!$E29,+IF(P$9='5.Variables'!$B$34,+'5.Variables'!$E53,+IF(P$9='5.Variables'!$B$58,+'5.Variables'!$E68,+IF(P$9='5.Variables'!$B$72,+'5.Variables'!$E82,+IF(P$9='5.Variables'!$B$86,+'5.Variables'!$E96,+IF(P$9='5.Variables'!$B$100,+'5.Variables'!$E110,IF(P$9='5.Variables'!$B$32,+'5.Variables'!$E32,IF(P$9='5.Variables'!$B$56,+'5.Variables'!$E56,0))))))))</f>
        <v>0</v>
      </c>
      <c r="Q109" s="143"/>
      <c r="R109" s="154">
        <v>12985805.348810403</v>
      </c>
      <c r="S109" s="167">
        <f t="shared" si="23"/>
        <v>12364623.686962919</v>
      </c>
      <c r="T109" s="624">
        <f t="shared" si="24"/>
        <v>1.0502386225067608</v>
      </c>
      <c r="U109" s="167">
        <f t="shared" si="25"/>
        <v>13549101.015722129</v>
      </c>
      <c r="V109" s="171"/>
      <c r="W109" s="618"/>
      <c r="X109" s="143"/>
      <c r="AE109" s="143"/>
      <c r="AF109" s="143"/>
      <c r="AG109" s="143"/>
      <c r="AH109" s="143"/>
      <c r="AI109" s="143"/>
      <c r="AJ109" s="143"/>
      <c r="AK109" s="143"/>
      <c r="AL109" s="143"/>
      <c r="AM109" s="143"/>
      <c r="AN109" s="143"/>
      <c r="AO109" s="143"/>
      <c r="AP109" s="143"/>
      <c r="AQ109" s="143"/>
    </row>
    <row r="110" spans="1:43" x14ac:dyDescent="0.3">
      <c r="A110" s="339">
        <f t="shared" si="21"/>
        <v>100</v>
      </c>
      <c r="B110" s="166" t="str">
        <f>CONCATENATE('3. Consumption by Rate Class'!B115,"-",'3. Consumption by Rate Class'!C115)</f>
        <v>2021-April</v>
      </c>
      <c r="C110" s="154">
        <v>10695600.1</v>
      </c>
      <c r="D110" s="154"/>
      <c r="E110" s="351">
        <v>207001.49</v>
      </c>
      <c r="F110" s="154">
        <v>176139.49</v>
      </c>
      <c r="G110" s="154"/>
      <c r="H110" s="367"/>
      <c r="I110" s="367"/>
      <c r="J110" s="167">
        <f t="shared" si="22"/>
        <v>11078741.08</v>
      </c>
      <c r="K110" s="167">
        <f>IF(K$9='5.Variables'!$B$10,+'5.Variables'!$F29,+IF(K$9='5.Variables'!$B$34,+'5.Variables'!$F53,+IF(K$9='5.Variables'!$B$58,+'5.Variables'!$F68,+IF(K$9='5.Variables'!$B$72,+'5.Variables'!$F82,+IF(K$9='5.Variables'!$B$86,+'5.Variables'!$F96,+IF(K$9='5.Variables'!$B$100,+'5.Variables'!$F110,IF(K$9='5.Variables'!$B$32,+'5.Variables'!$F32,IF(K$9='5.Variables'!$B$56,+'5.Variables'!$F56,0))))))))</f>
        <v>14361</v>
      </c>
      <c r="L110" s="292">
        <f>IF(L$9='5.Variables'!$B$10,+'5.Variables'!$F29,+IF(L$9='5.Variables'!$B$34,+'5.Variables'!$F53,+IF(L$9='5.Variables'!$B$58,+'5.Variables'!$F68,+IF(L$9='5.Variables'!$B$72,+'5.Variables'!$F82,+IF(L$9='5.Variables'!$B$86,+'5.Variables'!$F96,+IF(L$9='5.Variables'!$B$100,+'5.Variables'!$F110,IF(L$9='5.Variables'!$B$32,+'5.Variables'!$F32,IF(L$9='5.Variables'!$B$56,+'5.Variables'!$F56,0))))))))</f>
        <v>1</v>
      </c>
      <c r="M110" s="292">
        <f>IF(M$9='5.Variables'!$B$10,+'5.Variables'!$F29,+IF(M$9='5.Variables'!$B$34,+'5.Variables'!$F53,+IF(M$9='5.Variables'!$B$58,+'5.Variables'!$F68,+IF(M$9='5.Variables'!$B$72,+'5.Variables'!$F82,+IF(M$9='5.Variables'!$B$86,+'5.Variables'!$F96,+IF(M$9='5.Variables'!$B$100,+'5.Variables'!$F110,IF(M$9='5.Variables'!$B$32,+'5.Variables'!$F32,IF(M$9='5.Variables'!$B$56,+'5.Variables'!$F56,0))))))))</f>
        <v>30</v>
      </c>
      <c r="N110" s="292">
        <f>IF(N$9='5.Variables'!$B$10,+'5.Variables'!$F29,+IF(N$9='5.Variables'!$B$34,+'5.Variables'!$F53,+IF(N$9='5.Variables'!$B$58,+'5.Variables'!$F68,+IF(N$9='5.Variables'!$B$72,+'5.Variables'!$F82,+IF(N$9='5.Variables'!$B$86,+'5.Variables'!$F96,+IF(N$9='5.Variables'!$B$100,+'5.Variables'!$F110,IF(N$9='5.Variables'!$B$32,+'5.Variables'!$F32,IF(N$9='5.Variables'!$B$56,+'5.Variables'!$F56,0))))))))</f>
        <v>315.10000000000002</v>
      </c>
      <c r="O110" s="292">
        <f>IF(O$9='5.Variables'!$B$10,+'5.Variables'!$F29,+IF(O$9='5.Variables'!$B$34,+'5.Variables'!$F53,+IF(O$9='5.Variables'!$B$58,+'5.Variables'!$F68,+IF(O$9='5.Variables'!$B$72,+'5.Variables'!$F82,+IF(O$9='5.Variables'!$B$86,+'5.Variables'!$F96,+IF(O$9='5.Variables'!$B$100,+'5.Variables'!$F110,IF(O$9='5.Variables'!$B$32,+'5.Variables'!$F32,IF(O$9='5.Variables'!$B$56,+'5.Variables'!$F56,0))))))))</f>
        <v>0.3</v>
      </c>
      <c r="P110" s="292">
        <f>IF(P$9='5.Variables'!$B$10,+'5.Variables'!$F29,+IF(P$9='5.Variables'!$B$34,+'5.Variables'!$F53,+IF(P$9='5.Variables'!$B$58,+'5.Variables'!$F68,+IF(P$9='5.Variables'!$B$72,+'5.Variables'!$F82,+IF(P$9='5.Variables'!$B$86,+'5.Variables'!$F96,+IF(P$9='5.Variables'!$B$100,+'5.Variables'!$F110,IF(P$9='5.Variables'!$B$32,+'5.Variables'!$F32,IF(P$9='5.Variables'!$B$56,+'5.Variables'!$F56,0))))))))</f>
        <v>0</v>
      </c>
      <c r="Q110" s="143"/>
      <c r="R110" s="154">
        <v>11471318.722064231</v>
      </c>
      <c r="S110" s="167">
        <f t="shared" si="23"/>
        <v>11127860.208163302</v>
      </c>
      <c r="T110" s="624">
        <f t="shared" si="24"/>
        <v>1.0308647401635196</v>
      </c>
      <c r="U110" s="167">
        <f t="shared" si="25"/>
        <v>11420683.544773111</v>
      </c>
      <c r="V110" s="171"/>
      <c r="W110" s="618"/>
      <c r="X110" s="143"/>
      <c r="Y110" s="143"/>
      <c r="Z110" s="143"/>
      <c r="AA110" s="143"/>
      <c r="AB110" s="143"/>
      <c r="AC110" s="143"/>
      <c r="AD110" s="143"/>
      <c r="AE110" s="143"/>
      <c r="AF110" s="143"/>
      <c r="AG110" s="143"/>
      <c r="AH110" s="143"/>
      <c r="AI110" s="143"/>
      <c r="AJ110" s="143"/>
      <c r="AK110" s="143"/>
      <c r="AL110" s="143"/>
      <c r="AM110" s="143"/>
      <c r="AN110" s="143"/>
      <c r="AO110" s="143"/>
      <c r="AP110" s="143"/>
      <c r="AQ110" s="143"/>
    </row>
    <row r="111" spans="1:43" x14ac:dyDescent="0.3">
      <c r="A111" s="339">
        <f t="shared" si="21"/>
        <v>101</v>
      </c>
      <c r="B111" s="166" t="str">
        <f>CONCATENATE('3. Consumption by Rate Class'!B116,"-",'3. Consumption by Rate Class'!C116)</f>
        <v>2021-May</v>
      </c>
      <c r="C111" s="154">
        <v>10920120.109999999</v>
      </c>
      <c r="D111" s="154"/>
      <c r="E111" s="351">
        <v>230199.33</v>
      </c>
      <c r="F111" s="154">
        <v>231895.98</v>
      </c>
      <c r="G111" s="154"/>
      <c r="H111" s="367"/>
      <c r="I111" s="367"/>
      <c r="J111" s="167">
        <f t="shared" si="22"/>
        <v>11382215.42</v>
      </c>
      <c r="K111" s="167">
        <f>IF(K$9='5.Variables'!$B$10,+'5.Variables'!$G29,+IF(K$9='5.Variables'!$B$34,+'5.Variables'!$G53,+IF(K$9='5.Variables'!$B$58,+'5.Variables'!$G68,+IF(K$9='5.Variables'!$B$72,+'5.Variables'!$G82,+IF(K$9='5.Variables'!$B$86,+'5.Variables'!$G96,+IF(K$9='5.Variables'!$B$100,+'5.Variables'!$G110,IF(K$9='5.Variables'!$B$32,+'5.Variables'!$G32,IF(K$9='5.Variables'!$B$56,+'5.Variables'!$G56,0))))))))</f>
        <v>14378</v>
      </c>
      <c r="L111" s="292">
        <f>IF(L$9='5.Variables'!$B$10,+'5.Variables'!$G29,+IF(L$9='5.Variables'!$B$34,+'5.Variables'!$G53,+IF(L$9='5.Variables'!$B$58,+'5.Variables'!$G68,+IF(L$9='5.Variables'!$B$72,+'5.Variables'!$G82,+IF(L$9='5.Variables'!$B$86,+'5.Variables'!$G96,+IF(L$9='5.Variables'!$B$100,+'5.Variables'!$G110,IF(L$9='5.Variables'!$B$32,+'5.Variables'!$G32,IF(L$9='5.Variables'!$B$56,+'5.Variables'!$G56,0))))))))</f>
        <v>1</v>
      </c>
      <c r="M111" s="292">
        <f>IF(M$9='5.Variables'!$B$10,+'5.Variables'!$G29,+IF(M$9='5.Variables'!$B$34,+'5.Variables'!$G53,+IF(M$9='5.Variables'!$B$58,+'5.Variables'!$G68,+IF(M$9='5.Variables'!$B$72,+'5.Variables'!$G82,+IF(M$9='5.Variables'!$B$86,+'5.Variables'!$G96,+IF(M$9='5.Variables'!$B$100,+'5.Variables'!$G110,IF(M$9='5.Variables'!$B$32,+'5.Variables'!$G32,IF(M$9='5.Variables'!$B$56,+'5.Variables'!$G56,0))))))))</f>
        <v>31</v>
      </c>
      <c r="N111" s="292">
        <f>IF(N$9='5.Variables'!$B$10,+'5.Variables'!$G29,+IF(N$9='5.Variables'!$B$34,+'5.Variables'!$G53,+IF(N$9='5.Variables'!$B$58,+'5.Variables'!$G68,+IF(N$9='5.Variables'!$B$72,+'5.Variables'!$G82,+IF(N$9='5.Variables'!$B$86,+'5.Variables'!$G96,+IF(N$9='5.Variables'!$B$100,+'5.Variables'!$G110,IF(N$9='5.Variables'!$B$32,+'5.Variables'!$G32,IF(N$9='5.Variables'!$B$56,+'5.Variables'!$G56,0))))))))</f>
        <v>206</v>
      </c>
      <c r="O111" s="292">
        <f>IF(O$9='5.Variables'!$B$10,+'5.Variables'!$G29,+IF(O$9='5.Variables'!$B$34,+'5.Variables'!$G53,+IF(O$9='5.Variables'!$B$58,+'5.Variables'!$G68,+IF(O$9='5.Variables'!$B$72,+'5.Variables'!$G82,+IF(O$9='5.Variables'!$B$86,+'5.Variables'!$G96,+IF(O$9='5.Variables'!$B$100,+'5.Variables'!$G110,IF(O$9='5.Variables'!$B$32,+'5.Variables'!$G32,IF(O$9='5.Variables'!$B$56,+'5.Variables'!$G56,0))))))))</f>
        <v>16</v>
      </c>
      <c r="P111" s="292">
        <f>IF(P$9='5.Variables'!$B$10,+'5.Variables'!$G29,+IF(P$9='5.Variables'!$B$34,+'5.Variables'!$G53,+IF(P$9='5.Variables'!$B$58,+'5.Variables'!$G68,+IF(P$9='5.Variables'!$B$72,+'5.Variables'!$G82,+IF(P$9='5.Variables'!$B$86,+'5.Variables'!$G96,+IF(P$9='5.Variables'!$B$100,+'5.Variables'!$G110,IF(P$9='5.Variables'!$B$32,+'5.Variables'!$G32,IF(P$9='5.Variables'!$B$56,+'5.Variables'!$G56,0))))))))</f>
        <v>0</v>
      </c>
      <c r="Q111" s="143"/>
      <c r="R111" s="154">
        <v>11453715.167664248</v>
      </c>
      <c r="S111" s="167">
        <f t="shared" si="23"/>
        <v>11554793.841054471</v>
      </c>
      <c r="T111" s="624">
        <f t="shared" si="24"/>
        <v>0.9912522304784801</v>
      </c>
      <c r="U111" s="167">
        <f t="shared" si="25"/>
        <v>11282646.42286155</v>
      </c>
      <c r="V111" s="171"/>
      <c r="W111" s="618"/>
      <c r="X111" s="143"/>
      <c r="Y111" s="143"/>
      <c r="Z111" s="143"/>
      <c r="AA111" s="143"/>
      <c r="AB111" s="143"/>
      <c r="AC111" s="143"/>
      <c r="AD111" s="143"/>
      <c r="AE111" s="143"/>
      <c r="AF111" s="143"/>
      <c r="AG111" s="143"/>
      <c r="AH111" s="143"/>
      <c r="AI111" s="143"/>
      <c r="AJ111" s="143"/>
      <c r="AK111" s="143"/>
      <c r="AL111" s="143"/>
      <c r="AM111" s="143"/>
      <c r="AN111" s="143"/>
      <c r="AO111" s="143"/>
      <c r="AP111" s="143"/>
      <c r="AQ111" s="143"/>
    </row>
    <row r="112" spans="1:43" x14ac:dyDescent="0.3">
      <c r="A112" s="339">
        <f t="shared" si="21"/>
        <v>102</v>
      </c>
      <c r="B112" s="166" t="str">
        <f>CONCATENATE('3. Consumption by Rate Class'!B117,"-",'3. Consumption by Rate Class'!C117)</f>
        <v>2021-June</v>
      </c>
      <c r="C112" s="154">
        <v>12524914.77</v>
      </c>
      <c r="D112" s="154"/>
      <c r="E112" s="351">
        <v>257441.96</v>
      </c>
      <c r="F112" s="154">
        <v>218931.78</v>
      </c>
      <c r="G112" s="154"/>
      <c r="H112" s="367"/>
      <c r="I112" s="367"/>
      <c r="J112" s="167">
        <f t="shared" si="22"/>
        <v>13001288.51</v>
      </c>
      <c r="K112" s="167">
        <f>IF(K$9='5.Variables'!$B$10,+'5.Variables'!$H29,+IF(K$9='5.Variables'!$B$34,+'5.Variables'!$H53,+IF(K$9='5.Variables'!$B$58,+'5.Variables'!$H68,+IF(K$9='5.Variables'!$B$72,+'5.Variables'!$H82,+IF(K$9='5.Variables'!$B$86,+'5.Variables'!$H96,+IF(K$9='5.Variables'!$B$100,+'5.Variables'!$H110,IF(K$9='5.Variables'!$B$32,+'5.Variables'!$H32,IF(K$9='5.Variables'!$B$56,+'5.Variables'!$H56,0))))))))</f>
        <v>14404</v>
      </c>
      <c r="L112" s="292">
        <f>IF(L$9='5.Variables'!$B$10,+'5.Variables'!$H29,+IF(L$9='5.Variables'!$B$34,+'5.Variables'!$H53,+IF(L$9='5.Variables'!$B$58,+'5.Variables'!$H68,+IF(L$9='5.Variables'!$B$72,+'5.Variables'!$H82,+IF(L$9='5.Variables'!$B$86,+'5.Variables'!$H96,+IF(L$9='5.Variables'!$B$100,+'5.Variables'!$H110,IF(L$9='5.Variables'!$B$32,+'5.Variables'!$H32,IF(L$9='5.Variables'!$B$56,+'5.Variables'!$H56,0))))))))</f>
        <v>0</v>
      </c>
      <c r="M112" s="292">
        <f>IF(M$9='5.Variables'!$B$10,+'5.Variables'!$H29,+IF(M$9='5.Variables'!$B$34,+'5.Variables'!$H53,+IF(M$9='5.Variables'!$B$58,+'5.Variables'!$H68,+IF(M$9='5.Variables'!$B$72,+'5.Variables'!$H82,+IF(M$9='5.Variables'!$B$86,+'5.Variables'!$H96,+IF(M$9='5.Variables'!$B$100,+'5.Variables'!$H110,IF(M$9='5.Variables'!$B$32,+'5.Variables'!$H32,IF(M$9='5.Variables'!$B$56,+'5.Variables'!$H56,0))))))))</f>
        <v>30</v>
      </c>
      <c r="N112" s="292">
        <f>IF(N$9='5.Variables'!$B$10,+'5.Variables'!$H29,+IF(N$9='5.Variables'!$B$34,+'5.Variables'!$H53,+IF(N$9='5.Variables'!$B$58,+'5.Variables'!$H68,+IF(N$9='5.Variables'!$B$72,+'5.Variables'!$H82,+IF(N$9='5.Variables'!$B$86,+'5.Variables'!$H96,+IF(N$9='5.Variables'!$B$100,+'5.Variables'!$H110,IF(N$9='5.Variables'!$B$32,+'5.Variables'!$H32,IF(N$9='5.Variables'!$B$56,+'5.Variables'!$H56,0))))))))</f>
        <v>22.7</v>
      </c>
      <c r="O112" s="292">
        <f>IF(O$9='5.Variables'!$B$10,+'5.Variables'!$H29,+IF(O$9='5.Variables'!$B$34,+'5.Variables'!$H53,+IF(O$9='5.Variables'!$B$58,+'5.Variables'!$H68,+IF(O$9='5.Variables'!$B$72,+'5.Variables'!$H82,+IF(O$9='5.Variables'!$B$86,+'5.Variables'!$H96,+IF(O$9='5.Variables'!$B$100,+'5.Variables'!$H110,IF(O$9='5.Variables'!$B$32,+'5.Variables'!$H32,IF(O$9='5.Variables'!$B$56,+'5.Variables'!$H56,0))))))))</f>
        <v>83</v>
      </c>
      <c r="P112" s="292">
        <f>IF(P$9='5.Variables'!$B$10,+'5.Variables'!$H29,+IF(P$9='5.Variables'!$B$34,+'5.Variables'!$H53,+IF(P$9='5.Variables'!$B$58,+'5.Variables'!$H68,+IF(P$9='5.Variables'!$B$72,+'5.Variables'!$H82,+IF(P$9='5.Variables'!$B$86,+'5.Variables'!$H96,+IF(P$9='5.Variables'!$B$100,+'5.Variables'!$H110,IF(P$9='5.Variables'!$B$32,+'5.Variables'!$H32,IF(P$9='5.Variables'!$B$56,+'5.Variables'!$H56,0))))))))</f>
        <v>0</v>
      </c>
      <c r="Q112" s="143"/>
      <c r="R112" s="154">
        <v>11994713.772736616</v>
      </c>
      <c r="S112" s="167">
        <f t="shared" si="23"/>
        <v>13590569.23936199</v>
      </c>
      <c r="T112" s="624">
        <f t="shared" si="24"/>
        <v>0.88257626016110191</v>
      </c>
      <c r="U112" s="167">
        <f t="shared" si="25"/>
        <v>11474628.590431305</v>
      </c>
      <c r="V112" s="171"/>
      <c r="W112" s="618"/>
      <c r="X112" s="143"/>
      <c r="AB112" s="143"/>
      <c r="AC112" s="143"/>
      <c r="AD112" s="143"/>
      <c r="AE112" s="143"/>
      <c r="AF112" s="143"/>
      <c r="AG112" s="143"/>
      <c r="AH112" s="143"/>
      <c r="AI112" s="143"/>
      <c r="AJ112" s="143"/>
      <c r="AK112" s="143"/>
      <c r="AL112" s="143"/>
      <c r="AM112" s="143"/>
      <c r="AN112" s="143"/>
      <c r="AO112" s="143"/>
      <c r="AP112" s="143"/>
      <c r="AQ112" s="143"/>
    </row>
    <row r="113" spans="1:43" x14ac:dyDescent="0.3">
      <c r="A113" s="339">
        <f t="shared" si="21"/>
        <v>103</v>
      </c>
      <c r="B113" s="166" t="str">
        <f>CONCATENATE('3. Consumption by Rate Class'!B118,"-",'3. Consumption by Rate Class'!C118)</f>
        <v>2021-July</v>
      </c>
      <c r="C113" s="154">
        <v>13320916.810000001</v>
      </c>
      <c r="D113" s="154"/>
      <c r="E113" s="351">
        <v>270720.65000000002</v>
      </c>
      <c r="F113" s="154">
        <v>198486.93</v>
      </c>
      <c r="G113" s="154"/>
      <c r="H113" s="367"/>
      <c r="I113" s="367"/>
      <c r="J113" s="167">
        <f t="shared" si="22"/>
        <v>13790124.390000001</v>
      </c>
      <c r="K113" s="167">
        <f>IF(K$9='5.Variables'!$B$10,+'5.Variables'!$I29,+IF(K$9='5.Variables'!$B$34,+'5.Variables'!$I53,+IF(K$9='5.Variables'!$B$58,+'5.Variables'!$I68,+IF(K$9='5.Variables'!$B$72,+'5.Variables'!$I82,+IF(K$9='5.Variables'!$B$86,+'5.Variables'!$I96,+IF(K$9='5.Variables'!$B$100,+'5.Variables'!$I110,IF(K$9='5.Variables'!$B$32,+'5.Variables'!$I32,IF(K$9='5.Variables'!$B$56,+'5.Variables'!$I56,0))))))))</f>
        <v>14417</v>
      </c>
      <c r="L113" s="292">
        <f>IF(L$9='5.Variables'!$B$10,+'5.Variables'!$I29,+IF(L$9='5.Variables'!$B$34,+'5.Variables'!$I53,+IF(L$9='5.Variables'!$B$58,+'5.Variables'!$I68,+IF(L$9='5.Variables'!$B$72,+'5.Variables'!$I82,+IF(L$9='5.Variables'!$B$86,+'5.Variables'!$I96,+IF(L$9='5.Variables'!$B$100,+'5.Variables'!$I110,IF(L$9='5.Variables'!$B$32,+'5.Variables'!$I32,IF(L$9='5.Variables'!$B$56,+'5.Variables'!$I56,0))))))))</f>
        <v>0</v>
      </c>
      <c r="M113" s="292">
        <f>IF(M$9='5.Variables'!$B$10,+'5.Variables'!$I29,+IF(M$9='5.Variables'!$B$34,+'5.Variables'!$I53,+IF(M$9='5.Variables'!$B$58,+'5.Variables'!$I68,+IF(M$9='5.Variables'!$B$72,+'5.Variables'!$I82,+IF(M$9='5.Variables'!$B$86,+'5.Variables'!$I96,+IF(M$9='5.Variables'!$B$100,+'5.Variables'!$I110,IF(M$9='5.Variables'!$B$32,+'5.Variables'!$I32,IF(M$9='5.Variables'!$B$56,+'5.Variables'!$I56,0))))))))</f>
        <v>31</v>
      </c>
      <c r="N113" s="292">
        <f>IF(N$9='5.Variables'!$B$10,+'5.Variables'!$I29,+IF(N$9='5.Variables'!$B$34,+'5.Variables'!$I53,+IF(N$9='5.Variables'!$B$58,+'5.Variables'!$I68,+IF(N$9='5.Variables'!$B$72,+'5.Variables'!$I82,+IF(N$9='5.Variables'!$B$86,+'5.Variables'!$I96,+IF(N$9='5.Variables'!$B$100,+'5.Variables'!$I110,IF(N$9='5.Variables'!$B$32,+'5.Variables'!$I32,IF(N$9='5.Variables'!$B$56,+'5.Variables'!$I56,0))))))))</f>
        <v>14.2</v>
      </c>
      <c r="O113" s="292">
        <f>IF(O$9='5.Variables'!$B$10,+'5.Variables'!$I29,+IF(O$9='5.Variables'!$B$34,+'5.Variables'!$I53,+IF(O$9='5.Variables'!$B$58,+'5.Variables'!$I68,+IF(O$9='5.Variables'!$B$72,+'5.Variables'!$I82,+IF(O$9='5.Variables'!$B$86,+'5.Variables'!$I96,+IF(O$9='5.Variables'!$B$100,+'5.Variables'!$I110,IF(O$9='5.Variables'!$B$32,+'5.Variables'!$I32,IF(O$9='5.Variables'!$B$56,+'5.Variables'!$I56,0))))))))</f>
        <v>57.2</v>
      </c>
      <c r="P113" s="292">
        <f>IF(P$9='5.Variables'!$B$10,+'5.Variables'!$I29,+IF(P$9='5.Variables'!$B$34,+'5.Variables'!$I53,+IF(P$9='5.Variables'!$B$58,+'5.Variables'!$I68,+IF(P$9='5.Variables'!$B$72,+'5.Variables'!$I82,+IF(P$9='5.Variables'!$B$86,+'5.Variables'!$I96,+IF(P$9='5.Variables'!$B$100,+'5.Variables'!$I110,IF(P$9='5.Variables'!$B$32,+'5.Variables'!$I32,IF(P$9='5.Variables'!$B$56,+'5.Variables'!$I56,0))))))))</f>
        <v>0</v>
      </c>
      <c r="Q113" s="143"/>
      <c r="R113" s="154">
        <v>14134000.268519495</v>
      </c>
      <c r="S113" s="167">
        <f t="shared" si="23"/>
        <v>12963819.022078536</v>
      </c>
      <c r="T113" s="624">
        <f t="shared" si="24"/>
        <v>1.0902651637181942</v>
      </c>
      <c r="U113" s="167">
        <f t="shared" si="25"/>
        <v>15034892.225757614</v>
      </c>
      <c r="V113" s="171"/>
      <c r="W113" s="618"/>
      <c r="X113" s="143"/>
      <c r="Y113" s="143"/>
      <c r="Z113" s="143"/>
      <c r="AA113" s="143"/>
      <c r="AB113" s="143"/>
      <c r="AC113" s="143"/>
      <c r="AD113" s="143"/>
      <c r="AE113" s="143"/>
      <c r="AF113" s="143"/>
      <c r="AG113" s="143"/>
      <c r="AH113" s="143"/>
      <c r="AI113" s="143"/>
      <c r="AJ113" s="143"/>
      <c r="AK113" s="143"/>
      <c r="AL113" s="143"/>
      <c r="AM113" s="143"/>
      <c r="AN113" s="143"/>
      <c r="AO113" s="143"/>
      <c r="AP113" s="143"/>
      <c r="AQ113" s="143"/>
    </row>
    <row r="114" spans="1:43" x14ac:dyDescent="0.3">
      <c r="A114" s="339">
        <f t="shared" si="21"/>
        <v>104</v>
      </c>
      <c r="B114" s="166" t="str">
        <f>CONCATENATE('3. Consumption by Rate Class'!B119,"-",'3. Consumption by Rate Class'!C119)</f>
        <v>2021-August</v>
      </c>
      <c r="C114" s="154">
        <v>15442609.630000001</v>
      </c>
      <c r="D114" s="154"/>
      <c r="E114" s="351">
        <v>289570.98</v>
      </c>
      <c r="F114" s="154">
        <v>204494.11</v>
      </c>
      <c r="G114" s="154"/>
      <c r="H114" s="367"/>
      <c r="I114" s="367"/>
      <c r="J114" s="167">
        <f t="shared" si="22"/>
        <v>15936674.720000001</v>
      </c>
      <c r="K114" s="167">
        <f>IF(K$9='5.Variables'!$B$10,+'5.Variables'!$J29,+IF(K$9='5.Variables'!$B$34,+'5.Variables'!$J53,+IF(K$9='5.Variables'!$B$58,+'5.Variables'!$J68,+IF(K$9='5.Variables'!$B$72,+'5.Variables'!$J82,+IF(K$9='5.Variables'!$B$86,+'5.Variables'!$J96,+IF(K$9='5.Variables'!$B$100,+'5.Variables'!$J110,IF(K$9='5.Variables'!$B$32,+'5.Variables'!$J32,IF(K$9='5.Variables'!$B$56,+'5.Variables'!$J56,0))))))))</f>
        <v>14419</v>
      </c>
      <c r="L114" s="292">
        <f>IF(L$9='5.Variables'!$B$10,+'5.Variables'!$J29,+IF(L$9='5.Variables'!$B$34,+'5.Variables'!$J53,+IF(L$9='5.Variables'!$B$58,+'5.Variables'!$J68,+IF(L$9='5.Variables'!$B$72,+'5.Variables'!$J82,+IF(L$9='5.Variables'!$B$86,+'5.Variables'!$J96,+IF(L$9='5.Variables'!$B$100,+'5.Variables'!$J110,IF(L$9='5.Variables'!$B$32,+'5.Variables'!$J32,IF(L$9='5.Variables'!$B$56,+'5.Variables'!$J56,0))))))))</f>
        <v>0</v>
      </c>
      <c r="M114" s="292">
        <f>IF(M$9='5.Variables'!$B$10,+'5.Variables'!$J29,+IF(M$9='5.Variables'!$B$34,+'5.Variables'!$J53,+IF(M$9='5.Variables'!$B$58,+'5.Variables'!$J68,+IF(M$9='5.Variables'!$B$72,+'5.Variables'!$J82,+IF(M$9='5.Variables'!$B$86,+'5.Variables'!$J96,+IF(M$9='5.Variables'!$B$100,+'5.Variables'!$J110,IF(M$9='5.Variables'!$B$32,+'5.Variables'!$J32,IF(M$9='5.Variables'!$B$56,+'5.Variables'!$J56,0))))))))</f>
        <v>31</v>
      </c>
      <c r="N114" s="292">
        <f>IF(N$9='5.Variables'!$B$10,+'5.Variables'!$J29,+IF(N$9='5.Variables'!$B$34,+'5.Variables'!$J53,+IF(N$9='5.Variables'!$B$58,+'5.Variables'!$J68,+IF(N$9='5.Variables'!$B$72,+'5.Variables'!$J82,+IF(N$9='5.Variables'!$B$86,+'5.Variables'!$J96,+IF(N$9='5.Variables'!$B$100,+'5.Variables'!$J110,IF(N$9='5.Variables'!$B$32,+'5.Variables'!$J32,IF(N$9='5.Variables'!$B$56,+'5.Variables'!$J56,0))))))))</f>
        <v>3.5</v>
      </c>
      <c r="O114" s="292">
        <f>IF(O$9='5.Variables'!$B$10,+'5.Variables'!$J29,+IF(O$9='5.Variables'!$B$34,+'5.Variables'!$J53,+IF(O$9='5.Variables'!$B$58,+'5.Variables'!$J68,+IF(O$9='5.Variables'!$B$72,+'5.Variables'!$J82,+IF(O$9='5.Variables'!$B$86,+'5.Variables'!$J96,+IF(O$9='5.Variables'!$B$100,+'5.Variables'!$J110,IF(O$9='5.Variables'!$B$32,+'5.Variables'!$J32,IF(O$9='5.Variables'!$B$56,+'5.Variables'!$J56,0))))))))</f>
        <v>113.6</v>
      </c>
      <c r="P114" s="292">
        <f>IF(P$9='5.Variables'!$B$10,+'5.Variables'!$J29,+IF(P$9='5.Variables'!$B$34,+'5.Variables'!$J53,+IF(P$9='5.Variables'!$B$58,+'5.Variables'!$J68,+IF(P$9='5.Variables'!$B$72,+'5.Variables'!$J82,+IF(P$9='5.Variables'!$B$86,+'5.Variables'!$J96,+IF(P$9='5.Variables'!$B$100,+'5.Variables'!$J110,IF(P$9='5.Variables'!$B$32,+'5.Variables'!$J32,IF(P$9='5.Variables'!$B$56,+'5.Variables'!$J56,0))))))))</f>
        <v>0</v>
      </c>
      <c r="Q114" s="143"/>
      <c r="R114" s="154">
        <v>13854175.378404029</v>
      </c>
      <c r="S114" s="167">
        <f t="shared" si="23"/>
        <v>15118619.553143458</v>
      </c>
      <c r="T114" s="624">
        <f t="shared" si="24"/>
        <v>0.91636510395047766</v>
      </c>
      <c r="U114" s="167">
        <f t="shared" si="25"/>
        <v>14603812.58641775</v>
      </c>
      <c r="V114" s="171"/>
      <c r="W114" s="618"/>
      <c r="X114" s="143"/>
      <c r="Y114" s="143"/>
      <c r="Z114" s="143"/>
      <c r="AA114" s="143"/>
      <c r="AB114" s="143"/>
      <c r="AC114" s="143"/>
      <c r="AD114" s="143"/>
      <c r="AE114" s="143"/>
      <c r="AF114" s="143"/>
      <c r="AG114" s="143"/>
      <c r="AH114" s="143"/>
      <c r="AI114" s="143"/>
      <c r="AJ114" s="143"/>
      <c r="AK114" s="143"/>
      <c r="AL114" s="143"/>
      <c r="AM114" s="143"/>
      <c r="AN114" s="143"/>
      <c r="AO114" s="143"/>
      <c r="AP114" s="143"/>
      <c r="AQ114" s="143"/>
    </row>
    <row r="115" spans="1:43" x14ac:dyDescent="0.3">
      <c r="A115" s="339">
        <f t="shared" si="21"/>
        <v>105</v>
      </c>
      <c r="B115" s="166" t="str">
        <f>CONCATENATE('3. Consumption by Rate Class'!B120,"-",'3. Consumption by Rate Class'!C120)</f>
        <v>2021-September</v>
      </c>
      <c r="C115" s="154">
        <v>10775917.75</v>
      </c>
      <c r="D115" s="154"/>
      <c r="E115" s="351">
        <v>243251.37</v>
      </c>
      <c r="F115" s="154">
        <v>154991.73000000001</v>
      </c>
      <c r="G115" s="154"/>
      <c r="H115" s="367"/>
      <c r="I115" s="367"/>
      <c r="J115" s="167">
        <f t="shared" si="22"/>
        <v>11174160.85</v>
      </c>
      <c r="K115" s="167">
        <f>IF(K$9='5.Variables'!$B$10,+'5.Variables'!$K29,+IF(K$9='5.Variables'!$B$34,+'5.Variables'!$K53,+IF(K$9='5.Variables'!$B$58,+'5.Variables'!$K68,+IF(K$9='5.Variables'!$B$72,+'5.Variables'!$K82,+IF(K$9='5.Variables'!$B$86,+'5.Variables'!$K96,+IF(K$9='5.Variables'!$B$100,+'5.Variables'!$K110,IF(K$9='5.Variables'!$B$32,+'5.Variables'!$K32,IF(K$9='5.Variables'!$B$56,+'5.Variables'!$K56,0))))))))</f>
        <v>14431</v>
      </c>
      <c r="L115" s="292">
        <f>IF(L$9='5.Variables'!$B$10,+'5.Variables'!$K29,+IF(L$9='5.Variables'!$B$34,+'5.Variables'!$K53,+IF(L$9='5.Variables'!$B$58,+'5.Variables'!$K68,+IF(L$9='5.Variables'!$B$72,+'5.Variables'!$K82,+IF(L$9='5.Variables'!$B$86,+'5.Variables'!$K96,+IF(L$9='5.Variables'!$B$100,+'5.Variables'!$K110,IF(L$9='5.Variables'!$B$32,+'5.Variables'!$K32,IF(L$9='5.Variables'!$B$56,+'5.Variables'!$K56,0))))))))</f>
        <v>1</v>
      </c>
      <c r="M115" s="292">
        <f>IF(M$9='5.Variables'!$B$10,+'5.Variables'!$K29,+IF(M$9='5.Variables'!$B$34,+'5.Variables'!$K53,+IF(M$9='5.Variables'!$B$58,+'5.Variables'!$K68,+IF(M$9='5.Variables'!$B$72,+'5.Variables'!$K82,+IF(M$9='5.Variables'!$B$86,+'5.Variables'!$K96,+IF(M$9='5.Variables'!$B$100,+'5.Variables'!$K110,IF(M$9='5.Variables'!$B$32,+'5.Variables'!$K32,IF(M$9='5.Variables'!$B$56,+'5.Variables'!$K56,0))))))))</f>
        <v>30</v>
      </c>
      <c r="N115" s="292">
        <f>IF(N$9='5.Variables'!$B$10,+'5.Variables'!$K29,+IF(N$9='5.Variables'!$B$34,+'5.Variables'!$K53,+IF(N$9='5.Variables'!$B$58,+'5.Variables'!$K68,+IF(N$9='5.Variables'!$B$72,+'5.Variables'!$K82,+IF(N$9='5.Variables'!$B$86,+'5.Variables'!$K96,+IF(N$9='5.Variables'!$B$100,+'5.Variables'!$K110,IF(N$9='5.Variables'!$B$32,+'5.Variables'!$K32,IF(N$9='5.Variables'!$B$56,+'5.Variables'!$K56,0))))))))</f>
        <v>52.9</v>
      </c>
      <c r="O115" s="292">
        <f>IF(O$9='5.Variables'!$B$10,+'5.Variables'!$K29,+IF(O$9='5.Variables'!$B$34,+'5.Variables'!$K53,+IF(O$9='5.Variables'!$B$58,+'5.Variables'!$K68,+IF(O$9='5.Variables'!$B$72,+'5.Variables'!$K82,+IF(O$9='5.Variables'!$B$86,+'5.Variables'!$K96,+IF(O$9='5.Variables'!$B$100,+'5.Variables'!$K110,IF(O$9='5.Variables'!$B$32,+'5.Variables'!$K32,IF(O$9='5.Variables'!$B$56,+'5.Variables'!$K56,0))))))))</f>
        <v>18.899999999999999</v>
      </c>
      <c r="P115" s="292">
        <f>IF(P$9='5.Variables'!$B$10,+'5.Variables'!$K29,+IF(P$9='5.Variables'!$B$34,+'5.Variables'!$K53,+IF(P$9='5.Variables'!$B$58,+'5.Variables'!$K68,+IF(P$9='5.Variables'!$B$72,+'5.Variables'!$K82,+IF(P$9='5.Variables'!$B$86,+'5.Variables'!$K96,+IF(P$9='5.Variables'!$B$100,+'5.Variables'!$K110,IF(P$9='5.Variables'!$B$32,+'5.Variables'!$K32,IF(P$9='5.Variables'!$B$56,+'5.Variables'!$K56,0))))))))</f>
        <v>0</v>
      </c>
      <c r="Q115" s="143"/>
      <c r="R115" s="154">
        <v>11158645.455138816</v>
      </c>
      <c r="S115" s="167">
        <f t="shared" si="23"/>
        <v>10412074.066892527</v>
      </c>
      <c r="T115" s="624">
        <f t="shared" si="24"/>
        <v>1.0717024661417052</v>
      </c>
      <c r="U115" s="167">
        <f t="shared" si="25"/>
        <v>11975375.740009092</v>
      </c>
      <c r="V115" s="171"/>
      <c r="W115" s="618"/>
      <c r="X115" s="143"/>
      <c r="Y115" s="143"/>
      <c r="Z115" s="143"/>
      <c r="AA115" s="143"/>
      <c r="AB115" s="143"/>
      <c r="AC115" s="143"/>
      <c r="AD115" s="143"/>
      <c r="AE115" s="143"/>
      <c r="AF115" s="143"/>
      <c r="AG115" s="143"/>
      <c r="AH115" s="143"/>
      <c r="AI115" s="143"/>
      <c r="AJ115" s="143"/>
      <c r="AK115" s="143"/>
      <c r="AL115" s="143"/>
      <c r="AM115" s="143"/>
      <c r="AN115" s="143"/>
      <c r="AO115" s="143"/>
      <c r="AP115" s="143"/>
      <c r="AQ115" s="143"/>
    </row>
    <row r="116" spans="1:43" x14ac:dyDescent="0.3">
      <c r="A116" s="339">
        <f t="shared" si="21"/>
        <v>106</v>
      </c>
      <c r="B116" s="166" t="str">
        <f>CONCATENATE('3. Consumption by Rate Class'!B121,"-",'3. Consumption by Rate Class'!C121)</f>
        <v>2021-October</v>
      </c>
      <c r="C116" s="154">
        <v>10796234.01</v>
      </c>
      <c r="D116" s="154"/>
      <c r="E116" s="610">
        <v>239652.42</v>
      </c>
      <c r="F116" s="154">
        <v>84374.94</v>
      </c>
      <c r="G116" s="154"/>
      <c r="H116" s="367"/>
      <c r="I116" s="367"/>
      <c r="J116" s="167">
        <f t="shared" si="22"/>
        <v>11120261.369999999</v>
      </c>
      <c r="K116" s="167">
        <f>IF(K$9='5.Variables'!$B$10,+'5.Variables'!$L29,+IF(K$9='5.Variables'!$B$34,+'5.Variables'!$L53,+IF(K$9='5.Variables'!$B$58,+'5.Variables'!$L68,+IF(K$9='5.Variables'!$B$72,+'5.Variables'!$L82,+IF(K$9='5.Variables'!$B$86,+'5.Variables'!$L96,+IF(K$9='5.Variables'!$B$100,+'5.Variables'!$L110,IF(K$9='5.Variables'!$B$32,+'5.Variables'!$L32,IF(K$9='5.Variables'!$B$56,+'5.Variables'!$L56,0))))))))</f>
        <v>14467</v>
      </c>
      <c r="L116" s="292">
        <f>IF(L$9='5.Variables'!$B$10,+'5.Variables'!$L29,+IF(L$9='5.Variables'!$B$34,+'5.Variables'!$L53,+IF(L$9='5.Variables'!$B$58,+'5.Variables'!$L68,+IF(L$9='5.Variables'!$B$72,+'5.Variables'!$L82,+IF(L$9='5.Variables'!$B$86,+'5.Variables'!$L96,+IF(L$9='5.Variables'!$B$100,+'5.Variables'!$L110,IF(L$9='5.Variables'!$B$32,+'5.Variables'!$L32,IF(L$9='5.Variables'!$B$56,+'5.Variables'!$L56,0))))))))</f>
        <v>1</v>
      </c>
      <c r="M116" s="292">
        <f>IF(M$9='5.Variables'!$B$10,+'5.Variables'!$L29,+IF(M$9='5.Variables'!$B$34,+'5.Variables'!$L53,+IF(M$9='5.Variables'!$B$58,+'5.Variables'!$L68,+IF(M$9='5.Variables'!$B$72,+'5.Variables'!$L82,+IF(M$9='5.Variables'!$B$86,+'5.Variables'!$L96,+IF(M$9='5.Variables'!$B$100,+'5.Variables'!$L110,IF(M$9='5.Variables'!$B$32,+'5.Variables'!$L32,IF(M$9='5.Variables'!$B$56,+'5.Variables'!$L56,0))))))))</f>
        <v>31</v>
      </c>
      <c r="N116" s="292">
        <f>IF(N$9='5.Variables'!$B$10,+'5.Variables'!$L29,+IF(N$9='5.Variables'!$B$34,+'5.Variables'!$L53,+IF(N$9='5.Variables'!$B$58,+'5.Variables'!$L68,+IF(N$9='5.Variables'!$B$72,+'5.Variables'!$L82,+IF(N$9='5.Variables'!$B$86,+'5.Variables'!$L96,+IF(N$9='5.Variables'!$B$100,+'5.Variables'!$L110,IF(N$9='5.Variables'!$B$32,+'5.Variables'!$L32,IF(N$9='5.Variables'!$B$56,+'5.Variables'!$L56,0))))))))</f>
        <v>137.30000000000001</v>
      </c>
      <c r="O116" s="292">
        <f>IF(O$9='5.Variables'!$B$10,+'5.Variables'!$L29,+IF(O$9='5.Variables'!$B$34,+'5.Variables'!$L53,+IF(O$9='5.Variables'!$B$58,+'5.Variables'!$L68,+IF(O$9='5.Variables'!$B$72,+'5.Variables'!$L82,+IF(O$9='5.Variables'!$B$86,+'5.Variables'!$L96,+IF(O$9='5.Variables'!$B$100,+'5.Variables'!$L110,IF(O$9='5.Variables'!$B$32,+'5.Variables'!$L32,IF(O$9='5.Variables'!$B$56,+'5.Variables'!$L56,0))))))))</f>
        <v>14.2</v>
      </c>
      <c r="P116" s="292">
        <f>IF(P$9='5.Variables'!$B$10,+'5.Variables'!$L29,+IF(P$9='5.Variables'!$B$34,+'5.Variables'!$L53,+IF(P$9='5.Variables'!$B$58,+'5.Variables'!$L68,+IF(P$9='5.Variables'!$B$72,+'5.Variables'!$L82,+IF(P$9='5.Variables'!$B$86,+'5.Variables'!$L96,+IF(P$9='5.Variables'!$B$100,+'5.Variables'!$L110,IF(P$9='5.Variables'!$B$32,+'5.Variables'!$L32,IF(P$9='5.Variables'!$B$56,+'5.Variables'!$L56,0))))))))</f>
        <v>0</v>
      </c>
      <c r="Q116" s="143"/>
      <c r="R116" s="154">
        <v>11286938.402826028</v>
      </c>
      <c r="S116" s="167">
        <f t="shared" si="23"/>
        <v>11170148.723946765</v>
      </c>
      <c r="T116" s="624">
        <f t="shared" si="24"/>
        <v>1.0104555169107898</v>
      </c>
      <c r="U116" s="167">
        <f t="shared" si="25"/>
        <v>11236529.450806437</v>
      </c>
      <c r="V116" s="171"/>
      <c r="W116" s="618"/>
      <c r="X116" s="143"/>
      <c r="Y116" s="143"/>
      <c r="Z116" s="143"/>
      <c r="AA116" s="143"/>
      <c r="AB116" s="143"/>
      <c r="AC116" s="143"/>
      <c r="AD116" s="143"/>
      <c r="AE116" s="143"/>
      <c r="AF116" s="143"/>
      <c r="AG116" s="143"/>
      <c r="AH116" s="143"/>
      <c r="AI116" s="143"/>
      <c r="AJ116" s="143"/>
      <c r="AK116" s="143"/>
      <c r="AL116" s="143"/>
      <c r="AM116" s="143"/>
      <c r="AN116" s="143"/>
      <c r="AO116" s="143"/>
      <c r="AP116" s="143"/>
      <c r="AQ116" s="143"/>
    </row>
    <row r="117" spans="1:43" x14ac:dyDescent="0.3">
      <c r="A117" s="339">
        <f t="shared" si="21"/>
        <v>107</v>
      </c>
      <c r="B117" s="166" t="str">
        <f>CONCATENATE('3. Consumption by Rate Class'!B122,"-",'3. Consumption by Rate Class'!C122)</f>
        <v>2021-November</v>
      </c>
      <c r="C117" s="154">
        <v>11778395.460000001</v>
      </c>
      <c r="D117" s="154"/>
      <c r="E117" s="610">
        <v>204698.54</v>
      </c>
      <c r="F117" s="154">
        <v>48111.42</v>
      </c>
      <c r="G117" s="154"/>
      <c r="H117" s="367"/>
      <c r="I117" s="367"/>
      <c r="J117" s="167">
        <f t="shared" si="22"/>
        <v>12031205.42</v>
      </c>
      <c r="K117" s="167">
        <f>IF(K$9='5.Variables'!$B$10,+'5.Variables'!$M29,+IF(K$9='5.Variables'!$B$34,+'5.Variables'!$M53,+IF(K$9='5.Variables'!$B$58,+'5.Variables'!$M68,+IF(K$9='5.Variables'!$B$72,+'5.Variables'!$M82,+IF(K$9='5.Variables'!$B$86,+'5.Variables'!$M96,+IF(K$9='5.Variables'!$B$100,+'5.Variables'!$M110,IF(K$9='5.Variables'!$B$32,+'5.Variables'!$M32,IF(K$9='5.Variables'!$B$56,+'5.Variables'!$M56,0))))))))</f>
        <v>14500</v>
      </c>
      <c r="L117" s="292">
        <f>IF(L$9='5.Variables'!$B$10,+'5.Variables'!$M29,+IF(L$9='5.Variables'!$B$34,+'5.Variables'!$M53,+IF(L$9='5.Variables'!$B$58,+'5.Variables'!$M68,+IF(L$9='5.Variables'!$B$72,+'5.Variables'!$M82,+IF(L$9='5.Variables'!$B$86,+'5.Variables'!$M96,+IF(L$9='5.Variables'!$B$100,+'5.Variables'!$M110,IF(L$9='5.Variables'!$B$32,+'5.Variables'!$M32,IF(L$9='5.Variables'!$B$56,+'5.Variables'!$M56,0))))))))</f>
        <v>1</v>
      </c>
      <c r="M117" s="292">
        <f>IF(M$9='5.Variables'!$B$10,+'5.Variables'!$M29,+IF(M$9='5.Variables'!$B$34,+'5.Variables'!$M53,+IF(M$9='5.Variables'!$B$58,+'5.Variables'!$M68,+IF(M$9='5.Variables'!$B$72,+'5.Variables'!$M82,+IF(M$9='5.Variables'!$B$86,+'5.Variables'!$M96,+IF(M$9='5.Variables'!$B$100,+'5.Variables'!$M110,IF(M$9='5.Variables'!$B$32,+'5.Variables'!$M32,IF(M$9='5.Variables'!$B$56,+'5.Variables'!$M56,0))))))))</f>
        <v>30</v>
      </c>
      <c r="N117" s="292">
        <f>IF(N$9='5.Variables'!$B$10,+'5.Variables'!$M29,+IF(N$9='5.Variables'!$B$34,+'5.Variables'!$M53,+IF(N$9='5.Variables'!$B$58,+'5.Variables'!$M68,+IF(N$9='5.Variables'!$B$72,+'5.Variables'!$M82,+IF(N$9='5.Variables'!$B$86,+'5.Variables'!$M96,+IF(N$9='5.Variables'!$B$100,+'5.Variables'!$M110,IF(N$9='5.Variables'!$B$32,+'5.Variables'!$M32,IF(N$9='5.Variables'!$B$56,+'5.Variables'!$M56,0))))))))</f>
        <v>412.5</v>
      </c>
      <c r="O117" s="292">
        <f>IF(O$9='5.Variables'!$B$10,+'5.Variables'!$M29,+IF(O$9='5.Variables'!$B$34,+'5.Variables'!$M53,+IF(O$9='5.Variables'!$B$58,+'5.Variables'!$M68,+IF(O$9='5.Variables'!$B$72,+'5.Variables'!$M82,+IF(O$9='5.Variables'!$B$86,+'5.Variables'!$M96,+IF(O$9='5.Variables'!$B$100,+'5.Variables'!$M110,IF(O$9='5.Variables'!$B$32,+'5.Variables'!$M32,IF(O$9='5.Variables'!$B$56,+'5.Variables'!$M56,0))))))))</f>
        <v>0</v>
      </c>
      <c r="P117" s="292">
        <f>IF(P$9='5.Variables'!$B$10,+'5.Variables'!$M29,+IF(P$9='5.Variables'!$B$34,+'5.Variables'!$M53,+IF(P$9='5.Variables'!$B$58,+'5.Variables'!$M68,+IF(P$9='5.Variables'!$B$72,+'5.Variables'!$M82,+IF(P$9='5.Variables'!$B$86,+'5.Variables'!$M96,+IF(P$9='5.Variables'!$B$100,+'5.Variables'!$M110,IF(P$9='5.Variables'!$B$32,+'5.Variables'!$M32,IF(P$9='5.Variables'!$B$56,+'5.Variables'!$M56,0))))))))</f>
        <v>0</v>
      </c>
      <c r="Q117" s="143"/>
      <c r="R117" s="154">
        <v>11811664.477635738</v>
      </c>
      <c r="S117" s="167">
        <f t="shared" si="23"/>
        <v>11804928.134110328</v>
      </c>
      <c r="T117" s="624">
        <f t="shared" si="24"/>
        <v>1.0005706382494566</v>
      </c>
      <c r="U117" s="167">
        <f t="shared" si="25"/>
        <v>12038070.885999721</v>
      </c>
      <c r="V117" s="171"/>
      <c r="W117" s="618"/>
      <c r="X117" s="143"/>
      <c r="Y117" s="143"/>
      <c r="Z117" s="143"/>
      <c r="AA117" s="143"/>
      <c r="AB117" s="143"/>
      <c r="AC117" s="143"/>
      <c r="AD117" s="143"/>
      <c r="AE117" s="143"/>
      <c r="AF117" s="143"/>
      <c r="AG117" s="143"/>
      <c r="AH117" s="143"/>
      <c r="AI117" s="143"/>
      <c r="AJ117" s="143"/>
      <c r="AK117" s="143"/>
      <c r="AL117" s="143"/>
      <c r="AM117" s="143"/>
      <c r="AN117" s="143"/>
      <c r="AO117" s="143"/>
      <c r="AP117" s="143"/>
      <c r="AQ117" s="143"/>
    </row>
    <row r="118" spans="1:43" x14ac:dyDescent="0.3">
      <c r="A118" s="339">
        <f t="shared" si="21"/>
        <v>108</v>
      </c>
      <c r="B118" s="166" t="str">
        <f>CONCATENATE('3. Consumption by Rate Class'!B123,"-",'3. Consumption by Rate Class'!C123)</f>
        <v>2021-December</v>
      </c>
      <c r="C118" s="154">
        <v>13705374.73</v>
      </c>
      <c r="D118" s="154"/>
      <c r="E118" s="610">
        <v>210866.97</v>
      </c>
      <c r="F118" s="154">
        <v>27925.99</v>
      </c>
      <c r="G118" s="154"/>
      <c r="H118" s="367"/>
      <c r="I118" s="367"/>
      <c r="J118" s="167">
        <f t="shared" si="22"/>
        <v>13944167.690000001</v>
      </c>
      <c r="K118" s="167">
        <f>IF(K$9='5.Variables'!$B$10,+'5.Variables'!$N29,+IF(K$9='5.Variables'!$B$34,+'5.Variables'!$N53,+IF(K$9='5.Variables'!$B$58,+'5.Variables'!$N68,+IF(K$9='5.Variables'!$B$72,+'5.Variables'!$N82,+IF(K$9='5.Variables'!$B$86,+'5.Variables'!$N96,+IF(K$9='5.Variables'!$B$100,+'5.Variables'!$N110,IF(K$9='5.Variables'!$B$32,+'5.Variables'!$N32,IF(K$9='5.Variables'!$B$56,+'5.Variables'!$N56,0))))))))</f>
        <v>14526</v>
      </c>
      <c r="L118" s="292">
        <f>IF(L$9='5.Variables'!$B$10,+'5.Variables'!$N29,+IF(L$9='5.Variables'!$B$34,+'5.Variables'!$N53,+IF(L$9='5.Variables'!$B$58,+'5.Variables'!$N68,+IF(L$9='5.Variables'!$B$72,+'5.Variables'!$N82,+IF(L$9='5.Variables'!$B$86,+'5.Variables'!$N96,+IF(L$9='5.Variables'!$B$100,+'5.Variables'!$N110,IF(L$9='5.Variables'!$B$32,+'5.Variables'!$N32,IF(L$9='5.Variables'!$B$56,+'5.Variables'!$N56,0))))))))</f>
        <v>0</v>
      </c>
      <c r="M118" s="292">
        <f>IF(M$9='5.Variables'!$B$10,+'5.Variables'!$N29,+IF(M$9='5.Variables'!$B$34,+'5.Variables'!$N53,+IF(M$9='5.Variables'!$B$58,+'5.Variables'!$N68,+IF(M$9='5.Variables'!$B$72,+'5.Variables'!$N82,+IF(M$9='5.Variables'!$B$86,+'5.Variables'!$N96,+IF(M$9='5.Variables'!$B$100,+'5.Variables'!$N110,IF(M$9='5.Variables'!$B$32,+'5.Variables'!$N32,IF(M$9='5.Variables'!$B$56,+'5.Variables'!$N56,0))))))))</f>
        <v>31</v>
      </c>
      <c r="N118" s="292">
        <f>IF(N$9='5.Variables'!$B$10,+'5.Variables'!$N29,+IF(N$9='5.Variables'!$B$34,+'5.Variables'!$N53,+IF(N$9='5.Variables'!$B$58,+'5.Variables'!$N68,+IF(N$9='5.Variables'!$B$72,+'5.Variables'!$N82,+IF(N$9='5.Variables'!$B$86,+'5.Variables'!$N96,+IF(N$9='5.Variables'!$B$100,+'5.Variables'!$N110,IF(N$9='5.Variables'!$B$32,+'5.Variables'!$N32,IF(N$9='5.Variables'!$B$56,+'5.Variables'!$N56,0))))))))</f>
        <v>511.6</v>
      </c>
      <c r="O118" s="292">
        <f>IF(O$9='5.Variables'!$B$10,+'5.Variables'!$N29,+IF(O$9='5.Variables'!$B$34,+'5.Variables'!$N53,+IF(O$9='5.Variables'!$B$58,+'5.Variables'!$N68,+IF(O$9='5.Variables'!$B$72,+'5.Variables'!$N82,+IF(O$9='5.Variables'!$B$86,+'5.Variables'!$N96,+IF(O$9='5.Variables'!$B$100,+'5.Variables'!$N110,IF(O$9='5.Variables'!$B$32,+'5.Variables'!$N32,IF(O$9='5.Variables'!$B$56,+'5.Variables'!$N56,0))))))))</f>
        <v>0</v>
      </c>
      <c r="P118" s="292">
        <f>IF(P$9='5.Variables'!$B$10,+'5.Variables'!$N29,+IF(P$9='5.Variables'!$B$34,+'5.Variables'!$N53,+IF(P$9='5.Variables'!$B$58,+'5.Variables'!$N68,+IF(P$9='5.Variables'!$B$72,+'5.Variables'!$N82,+IF(P$9='5.Variables'!$B$86,+'5.Variables'!$N96,+IF(P$9='5.Variables'!$B$100,+'5.Variables'!$N110,IF(P$9='5.Variables'!$B$32,+'5.Variables'!$N32,IF(P$9='5.Variables'!$B$56,+'5.Variables'!$N56,0))))))))</f>
        <v>0</v>
      </c>
      <c r="Q118" s="143"/>
      <c r="R118" s="154">
        <v>14042158.906143717</v>
      </c>
      <c r="S118" s="167">
        <f t="shared" si="23"/>
        <v>13683379.402296353</v>
      </c>
      <c r="T118" s="624">
        <f t="shared" si="24"/>
        <v>1.0262200947075364</v>
      </c>
      <c r="U118" s="167">
        <f t="shared" si="25"/>
        <v>14309785.087449571</v>
      </c>
      <c r="V118" s="171">
        <f>SUM(U107:U118)</f>
        <v>155206961.49635202</v>
      </c>
      <c r="W118" s="618"/>
      <c r="X118" s="143"/>
      <c r="Y118" s="143"/>
      <c r="Z118" s="143"/>
      <c r="AA118" s="143"/>
      <c r="AB118" s="143"/>
      <c r="AC118" s="143"/>
      <c r="AD118" s="143"/>
      <c r="AE118" s="143"/>
      <c r="AF118" s="143"/>
      <c r="AG118" s="143"/>
      <c r="AH118" s="143"/>
      <c r="AI118" s="143"/>
      <c r="AJ118" s="143"/>
      <c r="AK118" s="143"/>
      <c r="AL118" s="143"/>
      <c r="AM118" s="143"/>
      <c r="AN118" s="143"/>
      <c r="AO118" s="143"/>
      <c r="AP118" s="143"/>
      <c r="AQ118" s="143"/>
    </row>
    <row r="119" spans="1:43" x14ac:dyDescent="0.3">
      <c r="A119" s="339">
        <f t="shared" si="21"/>
        <v>109</v>
      </c>
      <c r="B119" s="166" t="str">
        <f>CONCATENATE('3. Consumption by Rate Class'!B124,"-",'3. Consumption by Rate Class'!C124)</f>
        <v>2022-January</v>
      </c>
      <c r="C119" s="154">
        <v>15856085.710000001</v>
      </c>
      <c r="D119" s="154"/>
      <c r="E119" s="351">
        <v>221620.23</v>
      </c>
      <c r="F119" s="154">
        <v>5541.3</v>
      </c>
      <c r="G119" s="154"/>
      <c r="H119" s="367"/>
      <c r="I119" s="367"/>
      <c r="J119" s="167">
        <f t="shared" si="22"/>
        <v>16083247.240000002</v>
      </c>
      <c r="K119" s="167">
        <f>IF(K$9='5.Variables'!$B$10,+'5.Variables'!$C30,+IF(K$9='5.Variables'!$B$34,+'5.Variables'!$C54,+IF(K$9='5.Variables'!$B$58,+'5.Variables'!$C69,+IF(K$9='5.Variables'!$B$72,+'5.Variables'!$C83,+IF(K$9='5.Variables'!$B$86,+'5.Variables'!$C97,+IF(K$9='5.Variables'!$B$100,+'5.Variables'!$C111,IF(K$9='5.Variables'!$B$32,+'5.Variables'!$C32,IF(K$9='5.Variables'!$B$56,+'5.Variables'!$C56,0))))))))</f>
        <v>14546</v>
      </c>
      <c r="L119" s="292">
        <f>IF(L$9='5.Variables'!$B$10,+'5.Variables'!$C30,+IF(L$9='5.Variables'!$B$34,+'5.Variables'!$C54,+IF(L$9='5.Variables'!$B$58,+'5.Variables'!$C69,+IF(L$9='5.Variables'!$B$72,+'5.Variables'!$C83,+IF(L$9='5.Variables'!$B$86,+'5.Variables'!$C97,+IF(L$9='5.Variables'!$B$100,+'5.Variables'!$C111,IF(L$9='5.Variables'!$B$32,+'5.Variables'!$C32,IF(L$9='5.Variables'!$B$56,+'5.Variables'!$C56,0))))))))</f>
        <v>0</v>
      </c>
      <c r="M119" s="292">
        <f>IF(M$9='5.Variables'!$B$10,+'5.Variables'!$C30,+IF(M$9='5.Variables'!$B$34,+'5.Variables'!$C54,+IF(M$9='5.Variables'!$B$58,+'5.Variables'!$C69,+IF(M$9='5.Variables'!$B$72,+'5.Variables'!$C83,+IF(M$9='5.Variables'!$B$86,+'5.Variables'!$C97,+IF(M$9='5.Variables'!$B$100,+'5.Variables'!$C111,IF(M$9='5.Variables'!$B$32,+'5.Variables'!$C32,IF(M$9='5.Variables'!$B$56,+'5.Variables'!$C56,0))))))))</f>
        <v>31</v>
      </c>
      <c r="N119" s="292">
        <f>IF(N$9='5.Variables'!$B$10,+'5.Variables'!$C30,+IF(N$9='5.Variables'!$B$34,+'5.Variables'!$C54,+IF(N$9='5.Variables'!$B$58,+'5.Variables'!$C69,+IF(N$9='5.Variables'!$B$72,+'5.Variables'!$C83,+IF(N$9='5.Variables'!$B$86,+'5.Variables'!$C97,+IF(N$9='5.Variables'!$B$100,+'5.Variables'!$C111,IF(N$9='5.Variables'!$B$32,+'5.Variables'!$C32,IF(N$9='5.Variables'!$B$56,+'5.Variables'!$C56,0))))))))</f>
        <v>827</v>
      </c>
      <c r="O119" s="292">
        <f>IF(O$9='5.Variables'!$B$10,+'5.Variables'!$C30,+IF(O$9='5.Variables'!$B$34,+'5.Variables'!$C54,+IF(O$9='5.Variables'!$B$58,+'5.Variables'!$C69,+IF(O$9='5.Variables'!$B$72,+'5.Variables'!$C83,+IF(O$9='5.Variables'!$B$86,+'5.Variables'!$C97,+IF(O$9='5.Variables'!$B$100,+'5.Variables'!$C111,IF(O$9='5.Variables'!$B$32,+'5.Variables'!$C32,IF(O$9='5.Variables'!$B$56,+'5.Variables'!$C56,0))))))))</f>
        <v>0</v>
      </c>
      <c r="P119" s="292">
        <f>IF(P$9='5.Variables'!$B$10,+'5.Variables'!$C30,+IF(P$9='5.Variables'!$B$34,+'5.Variables'!$C54,+IF(P$9='5.Variables'!$B$58,+'5.Variables'!$C69,+IF(P$9='5.Variables'!$B$72,+'5.Variables'!$C83,+IF(P$9='5.Variables'!$B$86,+'5.Variables'!$C97,+IF(P$9='5.Variables'!$B$100,+'5.Variables'!$C111,IF(P$9='5.Variables'!$B$32,+'5.Variables'!$C32,IF(P$9='5.Variables'!$B$56,+'5.Variables'!$C56,0))))))))</f>
        <v>0</v>
      </c>
      <c r="Q119" s="143"/>
      <c r="R119" s="154">
        <v>14812779.021862777</v>
      </c>
      <c r="S119" s="167">
        <f>$Y$25+($K119*$Y$26)+($L119*$Y$27)+($M119*$Y$28)+($N119*$Y$29)+($O119*$Y$30)+($P119*$Y$31)</f>
        <v>15518701.31475706</v>
      </c>
      <c r="T119" s="624">
        <f t="shared" si="24"/>
        <v>0.95451150978574428</v>
      </c>
      <c r="U119" s="167">
        <f t="shared" si="25"/>
        <v>15351644.605309807</v>
      </c>
      <c r="V119" s="171"/>
      <c r="W119" s="618"/>
      <c r="X119" s="143"/>
      <c r="Y119" s="143"/>
      <c r="Z119" s="143"/>
      <c r="AA119" s="143"/>
      <c r="AB119" s="143"/>
      <c r="AC119" s="143"/>
      <c r="AD119" s="143"/>
      <c r="AE119" s="143"/>
      <c r="AF119" s="143"/>
      <c r="AG119" s="143"/>
      <c r="AH119" s="143"/>
      <c r="AI119" s="143"/>
      <c r="AJ119" s="143"/>
      <c r="AK119" s="143"/>
      <c r="AL119" s="143"/>
      <c r="AM119" s="143"/>
      <c r="AN119" s="143"/>
      <c r="AO119" s="143"/>
      <c r="AP119" s="143"/>
      <c r="AQ119" s="143"/>
    </row>
    <row r="120" spans="1:43" x14ac:dyDescent="0.3">
      <c r="A120" s="339">
        <f t="shared" si="21"/>
        <v>110</v>
      </c>
      <c r="B120" s="166" t="str">
        <f>CONCATENATE('3. Consumption by Rate Class'!B125,"-",'3. Consumption by Rate Class'!C125)</f>
        <v>2022-February</v>
      </c>
      <c r="C120" s="154">
        <v>13630051.550000001</v>
      </c>
      <c r="D120" s="154"/>
      <c r="E120" s="351">
        <v>202672.99</v>
      </c>
      <c r="F120" s="154">
        <v>22570.880000000001</v>
      </c>
      <c r="G120" s="154"/>
      <c r="H120" s="367"/>
      <c r="I120" s="367"/>
      <c r="J120" s="167">
        <f t="shared" si="22"/>
        <v>13855295.420000002</v>
      </c>
      <c r="K120" s="167">
        <f>IF(K$9='5.Variables'!$B$10,+'5.Variables'!$D30,+IF(K$9='5.Variables'!$B$34,+'5.Variables'!$D54,+IF(K$9='5.Variables'!$B$58,+'5.Variables'!$D69,+IF(K$9='5.Variables'!$B$72,+'5.Variables'!$D83,+IF(K$9='5.Variables'!$B$86,+'5.Variables'!$D97,+IF(K$9='5.Variables'!$B$100,+'5.Variables'!$D111,IF(K$9='5.Variables'!$B$32,+'5.Variables'!$D32,IF(K$9='5.Variables'!$B$56,+'5.Variables'!$D56,0))))))))</f>
        <v>14562</v>
      </c>
      <c r="L120" s="292">
        <f>IF(L$9='5.Variables'!$B$10,+'5.Variables'!$D30,+IF(L$9='5.Variables'!$B$34,+'5.Variables'!$D54,+IF(L$9='5.Variables'!$B$58,+'5.Variables'!$D69,+IF(L$9='5.Variables'!$B$72,+'5.Variables'!$D83,+IF(L$9='5.Variables'!$B$86,+'5.Variables'!$D97,+IF(L$9='5.Variables'!$B$100,+'5.Variables'!$D111,IF(L$9='5.Variables'!$B$32,+'5.Variables'!$D32,IF(L$9='5.Variables'!$B$56,+'5.Variables'!$D56,0))))))))</f>
        <v>0</v>
      </c>
      <c r="M120" s="292">
        <f>IF(M$9='5.Variables'!$B$10,+'5.Variables'!$D30,+IF(M$9='5.Variables'!$B$34,+'5.Variables'!$D54,+IF(M$9='5.Variables'!$B$58,+'5.Variables'!$D69,+IF(M$9='5.Variables'!$B$72,+'5.Variables'!$D83,+IF(M$9='5.Variables'!$B$86,+'5.Variables'!$D97,+IF(M$9='5.Variables'!$B$100,+'5.Variables'!$D111,IF(M$9='5.Variables'!$B$32,+'5.Variables'!$D32,IF(M$9='5.Variables'!$B$56,+'5.Variables'!$D56,0))))))))</f>
        <v>28</v>
      </c>
      <c r="N120" s="292">
        <f>IF(N$9='5.Variables'!$B$10,+'5.Variables'!$D30,+IF(N$9='5.Variables'!$B$34,+'5.Variables'!$D54,+IF(N$9='5.Variables'!$B$58,+'5.Variables'!$D69,+IF(N$9='5.Variables'!$B$72,+'5.Variables'!$D83,+IF(N$9='5.Variables'!$B$86,+'5.Variables'!$D97,+IF(N$9='5.Variables'!$B$100,+'5.Variables'!$D111,IF(N$9='5.Variables'!$B$32,+'5.Variables'!$D32,IF(N$9='5.Variables'!$B$56,+'5.Variables'!$D56,0))))))))</f>
        <v>642.1</v>
      </c>
      <c r="O120" s="292">
        <f>IF(O$9='5.Variables'!$B$10,+'5.Variables'!$D30,+IF(O$9='5.Variables'!$B$34,+'5.Variables'!$D54,+IF(O$9='5.Variables'!$B$58,+'5.Variables'!$D69,+IF(O$9='5.Variables'!$B$72,+'5.Variables'!$D83,+IF(O$9='5.Variables'!$B$86,+'5.Variables'!$D97,+IF(O$9='5.Variables'!$B$100,+'5.Variables'!$D111,IF(O$9='5.Variables'!$B$32,+'5.Variables'!$D32,IF(O$9='5.Variables'!$B$56,+'5.Variables'!$D56,0))))))))</f>
        <v>0</v>
      </c>
      <c r="P120" s="292">
        <f>IF(P$9='5.Variables'!$B$10,+'5.Variables'!$D30,+IF(P$9='5.Variables'!$B$34,+'5.Variables'!$D54,+IF(P$9='5.Variables'!$B$58,+'5.Variables'!$D69,+IF(P$9='5.Variables'!$B$72,+'5.Variables'!$D83,+IF(P$9='5.Variables'!$B$86,+'5.Variables'!$D97,+IF(P$9='5.Variables'!$B$100,+'5.Variables'!$D111,IF(P$9='5.Variables'!$B$32,+'5.Variables'!$D32,IF(P$9='5.Variables'!$B$56,+'5.Variables'!$D56,0))))))))</f>
        <v>0</v>
      </c>
      <c r="Q120" s="143"/>
      <c r="R120" s="154">
        <v>13230222.760325328</v>
      </c>
      <c r="S120" s="167">
        <f t="shared" si="23"/>
        <v>13198250.598373611</v>
      </c>
      <c r="T120" s="624">
        <f t="shared" si="24"/>
        <v>1.0024224545301221</v>
      </c>
      <c r="U120" s="167">
        <f t="shared" si="25"/>
        <v>13888859.24315636</v>
      </c>
      <c r="V120" s="171"/>
      <c r="W120" s="618"/>
      <c r="X120" s="143"/>
      <c r="Y120" s="143"/>
      <c r="Z120" s="143"/>
      <c r="AA120" s="143"/>
      <c r="AB120" s="143"/>
      <c r="AC120" s="143"/>
      <c r="AD120" s="143"/>
      <c r="AE120" s="143"/>
      <c r="AF120" s="143"/>
      <c r="AG120" s="143"/>
      <c r="AH120" s="143"/>
      <c r="AI120" s="143"/>
      <c r="AJ120" s="143"/>
      <c r="AK120" s="143"/>
      <c r="AL120" s="143"/>
      <c r="AM120" s="143"/>
      <c r="AN120" s="143"/>
      <c r="AO120" s="143"/>
      <c r="AP120" s="143"/>
      <c r="AQ120" s="143"/>
    </row>
    <row r="121" spans="1:43" x14ac:dyDescent="0.3">
      <c r="A121" s="339">
        <f t="shared" si="21"/>
        <v>111</v>
      </c>
      <c r="B121" s="166" t="str">
        <f>CONCATENATE('3. Consumption by Rate Class'!B126,"-",'3. Consumption by Rate Class'!C126)</f>
        <v>2022-March</v>
      </c>
      <c r="C121" s="154">
        <v>13339493.23</v>
      </c>
      <c r="D121" s="154"/>
      <c r="E121" s="351">
        <v>228573.65</v>
      </c>
      <c r="F121" s="154">
        <v>94639.95</v>
      </c>
      <c r="G121" s="154"/>
      <c r="H121" s="367"/>
      <c r="I121" s="367"/>
      <c r="J121" s="167">
        <f t="shared" si="22"/>
        <v>13662706.83</v>
      </c>
      <c r="K121" s="167">
        <f>IF(K$9='5.Variables'!$B$10,+'5.Variables'!$E30,+IF(K$9='5.Variables'!$B$34,+'5.Variables'!$E54,+IF(K$9='5.Variables'!$B$58,+'5.Variables'!$E69,+IF(K$9='5.Variables'!$B$72,+'5.Variables'!$E83,+IF(K$9='5.Variables'!$B$86,+'5.Variables'!$E97,+IF(K$9='5.Variables'!$B$100,+'5.Variables'!$E111,IF(K$9='5.Variables'!$B$32,+'5.Variables'!$E32,IF(K$9='5.Variables'!$B$56,+'5.Variables'!$E56,0))))))))</f>
        <v>14563</v>
      </c>
      <c r="L121" s="292">
        <f>IF(L$9='5.Variables'!$B$10,+'5.Variables'!$E30,+IF(L$9='5.Variables'!$B$34,+'5.Variables'!$E54,+IF(L$9='5.Variables'!$B$58,+'5.Variables'!$E69,+IF(L$9='5.Variables'!$B$72,+'5.Variables'!$E83,+IF(L$9='5.Variables'!$B$86,+'5.Variables'!$E97,+IF(L$9='5.Variables'!$B$100,+'5.Variables'!$E111,IF(L$9='5.Variables'!$B$32,+'5.Variables'!$E32,IF(L$9='5.Variables'!$B$56,+'5.Variables'!$E56,0))))))))</f>
        <v>1</v>
      </c>
      <c r="M121" s="292">
        <f>IF(M$9='5.Variables'!$B$10,+'5.Variables'!$E30,+IF(M$9='5.Variables'!$B$34,+'5.Variables'!$E54,+IF(M$9='5.Variables'!$B$58,+'5.Variables'!$E69,+IF(M$9='5.Variables'!$B$72,+'5.Variables'!$E83,+IF(M$9='5.Variables'!$B$86,+'5.Variables'!$E97,+IF(M$9='5.Variables'!$B$100,+'5.Variables'!$E111,IF(M$9='5.Variables'!$B$32,+'5.Variables'!$E32,IF(M$9='5.Variables'!$B$56,+'5.Variables'!$E56,0))))))))</f>
        <v>31</v>
      </c>
      <c r="N121" s="292">
        <f>IF(N$9='5.Variables'!$B$10,+'5.Variables'!$E30,+IF(N$9='5.Variables'!$B$34,+'5.Variables'!$E54,+IF(N$9='5.Variables'!$B$58,+'5.Variables'!$E69,+IF(N$9='5.Variables'!$B$72,+'5.Variables'!$E83,+IF(N$9='5.Variables'!$B$86,+'5.Variables'!$E97,+IF(N$9='5.Variables'!$B$100,+'5.Variables'!$E111,IF(N$9='5.Variables'!$B$32,+'5.Variables'!$E32,IF(N$9='5.Variables'!$B$56,+'5.Variables'!$E56,0))))))))</f>
        <v>539.9</v>
      </c>
      <c r="O121" s="292">
        <f>IF(O$9='5.Variables'!$B$10,+'5.Variables'!$E30,+IF(O$9='5.Variables'!$B$34,+'5.Variables'!$E54,+IF(O$9='5.Variables'!$B$58,+'5.Variables'!$E69,+IF(O$9='5.Variables'!$B$72,+'5.Variables'!$E83,+IF(O$9='5.Variables'!$B$86,+'5.Variables'!$E97,+IF(O$9='5.Variables'!$B$100,+'5.Variables'!$E111,IF(O$9='5.Variables'!$B$32,+'5.Variables'!$E32,IF(O$9='5.Variables'!$B$56,+'5.Variables'!$E56,0))))))))</f>
        <v>0</v>
      </c>
      <c r="P121" s="292">
        <f>IF(P$9='5.Variables'!$B$10,+'5.Variables'!$E30,+IF(P$9='5.Variables'!$B$34,+'5.Variables'!$E54,+IF(P$9='5.Variables'!$B$58,+'5.Variables'!$E69,+IF(P$9='5.Variables'!$B$72,+'5.Variables'!$E83,+IF(P$9='5.Variables'!$B$86,+'5.Variables'!$E97,+IF(P$9='5.Variables'!$B$100,+'5.Variables'!$E111,IF(P$9='5.Variables'!$B$32,+'5.Variables'!$E32,IF(P$9='5.Variables'!$B$56,+'5.Variables'!$E56,0))))))))</f>
        <v>0</v>
      </c>
      <c r="Q121" s="143"/>
      <c r="R121" s="154">
        <v>13186162.539258029</v>
      </c>
      <c r="S121" s="167">
        <f t="shared" si="23"/>
        <v>13020080.119606143</v>
      </c>
      <c r="T121" s="624">
        <f t="shared" si="24"/>
        <v>1.0127558677155752</v>
      </c>
      <c r="U121" s="167">
        <f t="shared" si="25"/>
        <v>13836986.510960167</v>
      </c>
      <c r="V121" s="171"/>
      <c r="W121" s="618"/>
      <c r="X121" s="143"/>
      <c r="Y121" s="143"/>
      <c r="Z121" s="143"/>
      <c r="AA121" s="143"/>
      <c r="AB121" s="143"/>
      <c r="AC121" s="143"/>
      <c r="AD121" s="143"/>
      <c r="AE121" s="143"/>
      <c r="AF121" s="143"/>
      <c r="AG121" s="143"/>
      <c r="AH121" s="143"/>
      <c r="AI121" s="143"/>
      <c r="AJ121" s="143"/>
      <c r="AK121" s="143"/>
      <c r="AL121" s="143"/>
      <c r="AM121" s="143"/>
      <c r="AN121" s="143"/>
      <c r="AO121" s="143"/>
      <c r="AP121" s="143"/>
      <c r="AQ121" s="143"/>
    </row>
    <row r="122" spans="1:43" x14ac:dyDescent="0.3">
      <c r="A122" s="339">
        <f t="shared" si="21"/>
        <v>112</v>
      </c>
      <c r="B122" s="166" t="str">
        <f>CONCATENATE('3. Consumption by Rate Class'!B127,"-",'3. Consumption by Rate Class'!C127)</f>
        <v>2022-April</v>
      </c>
      <c r="C122" s="154">
        <v>11179449.449999999</v>
      </c>
      <c r="D122" s="154"/>
      <c r="E122" s="351">
        <v>212541.61</v>
      </c>
      <c r="F122" s="154">
        <v>162169.75</v>
      </c>
      <c r="G122" s="154"/>
      <c r="H122" s="367"/>
      <c r="I122" s="367"/>
      <c r="J122" s="167">
        <f t="shared" si="22"/>
        <v>11554160.809999999</v>
      </c>
      <c r="K122" s="167">
        <f>IF(K$9='5.Variables'!$B$10,+'5.Variables'!$F30,+IF(K$9='5.Variables'!$B$34,+'5.Variables'!$F54,+IF(K$9='5.Variables'!$B$58,+'5.Variables'!$F69,+IF(K$9='5.Variables'!$B$72,+'5.Variables'!$F83,+IF(K$9='5.Variables'!$B$86,+'5.Variables'!$F97,+IF(K$9='5.Variables'!$B$100,+'5.Variables'!$F111,IF(K$9='5.Variables'!$B$32,+'5.Variables'!$F32,IF(K$9='5.Variables'!$B$56,+'5.Variables'!$F56,0))))))))</f>
        <v>14616</v>
      </c>
      <c r="L122" s="292">
        <f>IF(L$9='5.Variables'!$B$10,+'5.Variables'!$F30,+IF(L$9='5.Variables'!$B$34,+'5.Variables'!$F54,+IF(L$9='5.Variables'!$B$58,+'5.Variables'!$F69,+IF(L$9='5.Variables'!$B$72,+'5.Variables'!$F83,+IF(L$9='5.Variables'!$B$86,+'5.Variables'!$F97,+IF(L$9='5.Variables'!$B$100,+'5.Variables'!$F111,IF(L$9='5.Variables'!$B$32,+'5.Variables'!$F32,IF(L$9='5.Variables'!$B$56,+'5.Variables'!$F56,0))))))))</f>
        <v>1</v>
      </c>
      <c r="M122" s="292">
        <f>IF(M$9='5.Variables'!$B$10,+'5.Variables'!$F30,+IF(M$9='5.Variables'!$B$34,+'5.Variables'!$F54,+IF(M$9='5.Variables'!$B$58,+'5.Variables'!$F69,+IF(M$9='5.Variables'!$B$72,+'5.Variables'!$F83,+IF(M$9='5.Variables'!$B$86,+'5.Variables'!$F97,+IF(M$9='5.Variables'!$B$100,+'5.Variables'!$F111,IF(M$9='5.Variables'!$B$32,+'5.Variables'!$F32,IF(M$9='5.Variables'!$B$56,+'5.Variables'!$F56,0))))))))</f>
        <v>30</v>
      </c>
      <c r="N122" s="292">
        <f>IF(N$9='5.Variables'!$B$10,+'5.Variables'!$F30,+IF(N$9='5.Variables'!$B$34,+'5.Variables'!$F54,+IF(N$9='5.Variables'!$B$58,+'5.Variables'!$F69,+IF(N$9='5.Variables'!$B$72,+'5.Variables'!$F83,+IF(N$9='5.Variables'!$B$86,+'5.Variables'!$F97,+IF(N$9='5.Variables'!$B$100,+'5.Variables'!$F111,IF(N$9='5.Variables'!$B$32,+'5.Variables'!$F32,IF(N$9='5.Variables'!$B$56,+'5.Variables'!$F56,0))))))))</f>
        <v>373.5</v>
      </c>
      <c r="O122" s="292">
        <f>IF(O$9='5.Variables'!$B$10,+'5.Variables'!$F30,+IF(O$9='5.Variables'!$B$34,+'5.Variables'!$F54,+IF(O$9='5.Variables'!$B$58,+'5.Variables'!$F69,+IF(O$9='5.Variables'!$B$72,+'5.Variables'!$F83,+IF(O$9='5.Variables'!$B$86,+'5.Variables'!$F97,+IF(O$9='5.Variables'!$B$100,+'5.Variables'!$F111,IF(O$9='5.Variables'!$B$32,+'5.Variables'!$F32,IF(O$9='5.Variables'!$B$56,+'5.Variables'!$F56,0))))))))</f>
        <v>0</v>
      </c>
      <c r="P122" s="292">
        <f>IF(P$9='5.Variables'!$B$10,+'5.Variables'!$F30,+IF(P$9='5.Variables'!$B$34,+'5.Variables'!$F54,+IF(P$9='5.Variables'!$B$58,+'5.Variables'!$F69,+IF(P$9='5.Variables'!$B$72,+'5.Variables'!$F83,+IF(P$9='5.Variables'!$B$86,+'5.Variables'!$F97,+IF(P$9='5.Variables'!$B$100,+'5.Variables'!$F111,IF(P$9='5.Variables'!$B$32,+'5.Variables'!$F32,IF(P$9='5.Variables'!$B$56,+'5.Variables'!$F56,0))))))))</f>
        <v>0</v>
      </c>
      <c r="Q122" s="143"/>
      <c r="R122" s="154">
        <v>11705681.490707098</v>
      </c>
      <c r="S122" s="167">
        <f t="shared" si="23"/>
        <v>11686870.970953614</v>
      </c>
      <c r="T122" s="624">
        <f t="shared" si="24"/>
        <v>1.0016095428622627</v>
      </c>
      <c r="U122" s="167">
        <f t="shared" si="25"/>
        <v>11572757.727061169</v>
      </c>
      <c r="V122" s="171"/>
      <c r="W122" s="618"/>
      <c r="X122" s="143"/>
      <c r="Y122" s="143"/>
      <c r="Z122" s="143"/>
      <c r="AA122" s="143"/>
      <c r="AB122" s="143"/>
      <c r="AC122" s="143"/>
      <c r="AD122" s="143"/>
      <c r="AE122" s="143"/>
      <c r="AF122" s="143"/>
      <c r="AG122" s="143"/>
      <c r="AH122" s="143"/>
      <c r="AI122" s="143"/>
      <c r="AJ122" s="143"/>
      <c r="AK122" s="143"/>
      <c r="AL122" s="143"/>
      <c r="AM122" s="143"/>
      <c r="AN122" s="143"/>
      <c r="AO122" s="143"/>
      <c r="AP122" s="143"/>
      <c r="AQ122" s="143"/>
    </row>
    <row r="123" spans="1:43" x14ac:dyDescent="0.3">
      <c r="A123" s="339">
        <f t="shared" si="21"/>
        <v>113</v>
      </c>
      <c r="B123" s="166" t="str">
        <f>CONCATENATE('3. Consumption by Rate Class'!B128,"-",'3. Consumption by Rate Class'!C128)</f>
        <v>2022-May</v>
      </c>
      <c r="C123" s="154">
        <v>11155592.32</v>
      </c>
      <c r="D123" s="154"/>
      <c r="E123" s="351">
        <v>236246.23</v>
      </c>
      <c r="F123" s="154">
        <v>212232.54</v>
      </c>
      <c r="G123" s="154"/>
      <c r="H123" s="367"/>
      <c r="I123" s="367"/>
      <c r="J123" s="167">
        <f t="shared" si="22"/>
        <v>11604071.09</v>
      </c>
      <c r="K123" s="167">
        <f>IF(K$9='5.Variables'!$B$10,+'5.Variables'!$G30,+IF(K$9='5.Variables'!$B$34,+'5.Variables'!$G54,+IF(K$9='5.Variables'!$B$58,+'5.Variables'!$G69,+IF(K$9='5.Variables'!$B$72,+'5.Variables'!$G83,+IF(K$9='5.Variables'!$B$86,+'5.Variables'!$G97,+IF(K$9='5.Variables'!$B$100,+'5.Variables'!$G111,IF(K$9='5.Variables'!$B$32,+'5.Variables'!$G32,IF(K$9='5.Variables'!$B$56,+'5.Variables'!$G56,0))))))))</f>
        <v>14629</v>
      </c>
      <c r="L123" s="292">
        <f>IF(L$9='5.Variables'!$B$10,+'5.Variables'!$G30,+IF(L$9='5.Variables'!$B$34,+'5.Variables'!$G54,+IF(L$9='5.Variables'!$B$58,+'5.Variables'!$G69,+IF(L$9='5.Variables'!$B$72,+'5.Variables'!$G83,+IF(L$9='5.Variables'!$B$86,+'5.Variables'!$G97,+IF(L$9='5.Variables'!$B$100,+'5.Variables'!$G111,IF(L$9='5.Variables'!$B$32,+'5.Variables'!$G32,IF(L$9='5.Variables'!$B$56,+'5.Variables'!$G56,0))))))))</f>
        <v>1</v>
      </c>
      <c r="M123" s="292">
        <f>IF(M$9='5.Variables'!$B$10,+'5.Variables'!$G30,+IF(M$9='5.Variables'!$B$34,+'5.Variables'!$G54,+IF(M$9='5.Variables'!$B$58,+'5.Variables'!$G69,+IF(M$9='5.Variables'!$B$72,+'5.Variables'!$G83,+IF(M$9='5.Variables'!$B$86,+'5.Variables'!$G97,+IF(M$9='5.Variables'!$B$100,+'5.Variables'!$G111,IF(M$9='5.Variables'!$B$32,+'5.Variables'!$G32,IF(M$9='5.Variables'!$B$56,+'5.Variables'!$G56,0))))))))</f>
        <v>31</v>
      </c>
      <c r="N123" s="292">
        <f>IF(N$9='5.Variables'!$B$10,+'5.Variables'!$G30,+IF(N$9='5.Variables'!$B$34,+'5.Variables'!$G54,+IF(N$9='5.Variables'!$B$58,+'5.Variables'!$G69,+IF(N$9='5.Variables'!$B$72,+'5.Variables'!$G83,+IF(N$9='5.Variables'!$B$86,+'5.Variables'!$G97,+IF(N$9='5.Variables'!$B$100,+'5.Variables'!$G111,IF(N$9='5.Variables'!$B$32,+'5.Variables'!$G32,IF(N$9='5.Variables'!$B$56,+'5.Variables'!$G56,0))))))))</f>
        <v>144.1</v>
      </c>
      <c r="O123" s="292">
        <f>IF(O$9='5.Variables'!$B$10,+'5.Variables'!$G30,+IF(O$9='5.Variables'!$B$34,+'5.Variables'!$G54,+IF(O$9='5.Variables'!$B$58,+'5.Variables'!$G69,+IF(O$9='5.Variables'!$B$72,+'5.Variables'!$G83,+IF(O$9='5.Variables'!$B$86,+'5.Variables'!$G97,+IF(O$9='5.Variables'!$B$100,+'5.Variables'!$G111,IF(O$9='5.Variables'!$B$32,+'5.Variables'!$G32,IF(O$9='5.Variables'!$B$56,+'5.Variables'!$G56,0))))))))</f>
        <v>29.9</v>
      </c>
      <c r="P123" s="292">
        <f>IF(P$9='5.Variables'!$B$10,+'5.Variables'!$G30,+IF(P$9='5.Variables'!$B$34,+'5.Variables'!$G54,+IF(P$9='5.Variables'!$B$58,+'5.Variables'!$G69,+IF(P$9='5.Variables'!$B$72,+'5.Variables'!$G83,+IF(P$9='5.Variables'!$B$86,+'5.Variables'!$G97,+IF(P$9='5.Variables'!$B$100,+'5.Variables'!$G111,IF(P$9='5.Variables'!$B$32,+'5.Variables'!$G32,IF(P$9='5.Variables'!$B$56,+'5.Variables'!$G56,0))))))))</f>
        <v>0</v>
      </c>
      <c r="Q123" s="143"/>
      <c r="R123" s="154">
        <v>11684401.657583304</v>
      </c>
      <c r="S123" s="167">
        <f t="shared" si="23"/>
        <v>11974687.315944633</v>
      </c>
      <c r="T123" s="624">
        <f t="shared" si="24"/>
        <v>0.97575839345927595</v>
      </c>
      <c r="U123" s="167">
        <f t="shared" si="25"/>
        <v>11322769.764365628</v>
      </c>
      <c r="V123" s="171"/>
      <c r="W123" s="618"/>
      <c r="X123" s="143"/>
      <c r="Y123" s="143"/>
      <c r="Z123" s="143"/>
      <c r="AA123" s="143"/>
      <c r="AB123" s="143"/>
      <c r="AC123" s="143"/>
      <c r="AD123" s="143"/>
      <c r="AE123" s="143"/>
      <c r="AF123" s="143"/>
      <c r="AG123" s="143"/>
      <c r="AH123" s="143"/>
      <c r="AI123" s="143"/>
      <c r="AJ123" s="143"/>
      <c r="AK123" s="143"/>
      <c r="AL123" s="143"/>
      <c r="AM123" s="143"/>
      <c r="AN123" s="143"/>
      <c r="AO123" s="143"/>
      <c r="AP123" s="143"/>
      <c r="AQ123" s="143"/>
    </row>
    <row r="124" spans="1:43" x14ac:dyDescent="0.3">
      <c r="A124" s="339">
        <f t="shared" si="21"/>
        <v>114</v>
      </c>
      <c r="B124" s="166" t="str">
        <f>CONCATENATE('3. Consumption by Rate Class'!B129,"-",'3. Consumption by Rate Class'!C129)</f>
        <v>2022-June</v>
      </c>
      <c r="C124" s="154">
        <v>11493285</v>
      </c>
      <c r="D124" s="154"/>
      <c r="E124" s="351">
        <v>241643.37</v>
      </c>
      <c r="F124" s="154">
        <v>217707.59</v>
      </c>
      <c r="G124" s="154"/>
      <c r="H124" s="367"/>
      <c r="I124" s="367"/>
      <c r="J124" s="167">
        <f t="shared" si="22"/>
        <v>11952635.959999999</v>
      </c>
      <c r="K124" s="167">
        <f>IF(K$9='5.Variables'!$B$10,+'5.Variables'!$H30,+IF(K$9='5.Variables'!$B$34,+'5.Variables'!$H54,+IF(K$9='5.Variables'!$B$58,+'5.Variables'!$H69,+IF(K$9='5.Variables'!$B$72,+'5.Variables'!$H83,+IF(K$9='5.Variables'!$B$86,+'5.Variables'!$H97,+IF(K$9='5.Variables'!$B$100,+'5.Variables'!$H111,IF(K$9='5.Variables'!$B$32,+'5.Variables'!$H32,IF(K$9='5.Variables'!$B$56,+'5.Variables'!$H56,0))))))))</f>
        <v>14671</v>
      </c>
      <c r="L124" s="292">
        <f>IF(L$9='5.Variables'!$B$10,+'5.Variables'!$H30,+IF(L$9='5.Variables'!$B$34,+'5.Variables'!$H54,+IF(L$9='5.Variables'!$B$58,+'5.Variables'!$H69,+IF(L$9='5.Variables'!$B$72,+'5.Variables'!$H83,+IF(L$9='5.Variables'!$B$86,+'5.Variables'!$H97,+IF(L$9='5.Variables'!$B$100,+'5.Variables'!$H111,IF(L$9='5.Variables'!$B$32,+'5.Variables'!$H32,IF(L$9='5.Variables'!$B$56,+'5.Variables'!$H56,0))))))))</f>
        <v>0</v>
      </c>
      <c r="M124" s="292">
        <f>IF(M$9='5.Variables'!$B$10,+'5.Variables'!$H30,+IF(M$9='5.Variables'!$B$34,+'5.Variables'!$H54,+IF(M$9='5.Variables'!$B$58,+'5.Variables'!$H69,+IF(M$9='5.Variables'!$B$72,+'5.Variables'!$H83,+IF(M$9='5.Variables'!$B$86,+'5.Variables'!$H97,+IF(M$9='5.Variables'!$B$100,+'5.Variables'!$H111,IF(M$9='5.Variables'!$B$32,+'5.Variables'!$H32,IF(M$9='5.Variables'!$B$56,+'5.Variables'!$H56,0))))))))</f>
        <v>30</v>
      </c>
      <c r="N124" s="292">
        <f>IF(N$9='5.Variables'!$B$10,+'5.Variables'!$H30,+IF(N$9='5.Variables'!$B$34,+'5.Variables'!$H54,+IF(N$9='5.Variables'!$B$58,+'5.Variables'!$H69,+IF(N$9='5.Variables'!$B$72,+'5.Variables'!$H83,+IF(N$9='5.Variables'!$B$86,+'5.Variables'!$H97,+IF(N$9='5.Variables'!$B$100,+'5.Variables'!$H111,IF(N$9='5.Variables'!$B$32,+'5.Variables'!$H32,IF(N$9='5.Variables'!$B$56,+'5.Variables'!$H56,0))))))))</f>
        <v>50.9</v>
      </c>
      <c r="O124" s="292">
        <f>IF(O$9='5.Variables'!$B$10,+'5.Variables'!$H30,+IF(O$9='5.Variables'!$B$34,+'5.Variables'!$H54,+IF(O$9='5.Variables'!$B$58,+'5.Variables'!$H69,+IF(O$9='5.Variables'!$B$72,+'5.Variables'!$H83,+IF(O$9='5.Variables'!$B$86,+'5.Variables'!$H97,+IF(O$9='5.Variables'!$B$100,+'5.Variables'!$H111,IF(O$9='5.Variables'!$B$32,+'5.Variables'!$H32,IF(O$9='5.Variables'!$B$56,+'5.Variables'!$H56,0))))))))</f>
        <v>27.4</v>
      </c>
      <c r="P124" s="292">
        <f>IF(P$9='5.Variables'!$B$10,+'5.Variables'!$H30,+IF(P$9='5.Variables'!$B$34,+'5.Variables'!$H54,+IF(P$9='5.Variables'!$B$58,+'5.Variables'!$H69,+IF(P$9='5.Variables'!$B$72,+'5.Variables'!$H83,+IF(P$9='5.Variables'!$B$86,+'5.Variables'!$H97,+IF(P$9='5.Variables'!$B$100,+'5.Variables'!$H111,IF(P$9='5.Variables'!$B$32,+'5.Variables'!$H32,IF(P$9='5.Variables'!$B$56,+'5.Variables'!$H56,0))))))))</f>
        <v>0</v>
      </c>
      <c r="Q124" s="143"/>
      <c r="R124" s="154">
        <v>12240105.377550911</v>
      </c>
      <c r="S124" s="167">
        <f t="shared" si="23"/>
        <v>11815224.375966372</v>
      </c>
      <c r="T124" s="624">
        <f t="shared" si="24"/>
        <v>1.0359604682962094</v>
      </c>
      <c r="U124" s="167">
        <f t="shared" si="25"/>
        <v>12382458.34649571</v>
      </c>
      <c r="V124" s="171"/>
      <c r="W124" s="618"/>
      <c r="X124" s="143"/>
      <c r="Y124" s="143"/>
      <c r="Z124" s="143"/>
      <c r="AA124" s="143"/>
      <c r="AB124" s="143"/>
      <c r="AC124" s="143"/>
      <c r="AD124" s="143"/>
      <c r="AE124" s="143"/>
      <c r="AF124" s="143"/>
      <c r="AG124" s="143"/>
      <c r="AH124" s="143"/>
      <c r="AI124" s="143"/>
      <c r="AJ124" s="143"/>
      <c r="AK124" s="143"/>
      <c r="AL124" s="143"/>
      <c r="AM124" s="143"/>
      <c r="AN124" s="143"/>
      <c r="AO124" s="143"/>
      <c r="AP124" s="143"/>
      <c r="AQ124" s="143"/>
    </row>
    <row r="125" spans="1:43" x14ac:dyDescent="0.3">
      <c r="A125" s="339">
        <f t="shared" si="21"/>
        <v>115</v>
      </c>
      <c r="B125" s="166" t="str">
        <f>CONCATENATE('3. Consumption by Rate Class'!B130,"-",'3. Consumption by Rate Class'!C130)</f>
        <v>2022-July</v>
      </c>
      <c r="C125" s="154">
        <v>13900904.560000001</v>
      </c>
      <c r="D125" s="154"/>
      <c r="E125" s="351">
        <v>285107.88</v>
      </c>
      <c r="F125" s="154">
        <v>208831.99</v>
      </c>
      <c r="G125" s="154"/>
      <c r="H125" s="367"/>
      <c r="I125" s="367"/>
      <c r="J125" s="167">
        <f t="shared" si="22"/>
        <v>14394844.430000002</v>
      </c>
      <c r="K125" s="167">
        <f>IF(K$9='5.Variables'!$B$10,+'5.Variables'!$I30,+IF(K$9='5.Variables'!$B$34,+'5.Variables'!$I54,+IF(K$9='5.Variables'!$B$58,+'5.Variables'!$I69,+IF(K$9='5.Variables'!$B$72,+'5.Variables'!$I83,+IF(K$9='5.Variables'!$B$86,+'5.Variables'!$I97,+IF(K$9='5.Variables'!$B$100,+'5.Variables'!$I111,IF(K$9='5.Variables'!$B$32,+'5.Variables'!$I32,IF(K$9='5.Variables'!$B$56,+'5.Variables'!$I56,0))))))))</f>
        <v>14692</v>
      </c>
      <c r="L125" s="292">
        <f>IF(L$9='5.Variables'!$B$10,+'5.Variables'!$I30,+IF(L$9='5.Variables'!$B$34,+'5.Variables'!$I54,+IF(L$9='5.Variables'!$B$58,+'5.Variables'!$I69,+IF(L$9='5.Variables'!$B$72,+'5.Variables'!$I83,+IF(L$9='5.Variables'!$B$86,+'5.Variables'!$I97,+IF(L$9='5.Variables'!$B$100,+'5.Variables'!$I111,IF(L$9='5.Variables'!$B$32,+'5.Variables'!$I32,IF(L$9='5.Variables'!$B$56,+'5.Variables'!$I56,0))))))))</f>
        <v>0</v>
      </c>
      <c r="M125" s="292">
        <f>IF(M$9='5.Variables'!$B$10,+'5.Variables'!$I30,+IF(M$9='5.Variables'!$B$34,+'5.Variables'!$I54,+IF(M$9='5.Variables'!$B$58,+'5.Variables'!$I69,+IF(M$9='5.Variables'!$B$72,+'5.Variables'!$I83,+IF(M$9='5.Variables'!$B$86,+'5.Variables'!$I97,+IF(M$9='5.Variables'!$B$100,+'5.Variables'!$I111,IF(M$9='5.Variables'!$B$32,+'5.Variables'!$I32,IF(M$9='5.Variables'!$B$56,+'5.Variables'!$I56,0))))))))</f>
        <v>31</v>
      </c>
      <c r="N125" s="292">
        <f>IF(N$9='5.Variables'!$B$10,+'5.Variables'!$I30,+IF(N$9='5.Variables'!$B$34,+'5.Variables'!$I54,+IF(N$9='5.Variables'!$B$58,+'5.Variables'!$I69,+IF(N$9='5.Variables'!$B$72,+'5.Variables'!$I83,+IF(N$9='5.Variables'!$B$86,+'5.Variables'!$I97,+IF(N$9='5.Variables'!$B$100,+'5.Variables'!$I111,IF(N$9='5.Variables'!$B$32,+'5.Variables'!$I32,IF(N$9='5.Variables'!$B$56,+'5.Variables'!$I56,0))))))))</f>
        <v>10.5</v>
      </c>
      <c r="O125" s="292">
        <f>IF(O$9='5.Variables'!$B$10,+'5.Variables'!$I30,+IF(O$9='5.Variables'!$B$34,+'5.Variables'!$I54,+IF(O$9='5.Variables'!$B$58,+'5.Variables'!$I69,+IF(O$9='5.Variables'!$B$72,+'5.Variables'!$I83,+IF(O$9='5.Variables'!$B$86,+'5.Variables'!$I97,+IF(O$9='5.Variables'!$B$100,+'5.Variables'!$I111,IF(O$9='5.Variables'!$B$32,+'5.Variables'!$I32,IF(O$9='5.Variables'!$B$56,+'5.Variables'!$I56,0))))))))</f>
        <v>74.599999999999994</v>
      </c>
      <c r="P125" s="292">
        <f>IF(P$9='5.Variables'!$B$10,+'5.Variables'!$I30,+IF(P$9='5.Variables'!$B$34,+'5.Variables'!$I54,+IF(P$9='5.Variables'!$B$58,+'5.Variables'!$I69,+IF(P$9='5.Variables'!$B$72,+'5.Variables'!$I83,+IF(P$9='5.Variables'!$B$86,+'5.Variables'!$I97,+IF(P$9='5.Variables'!$B$100,+'5.Variables'!$I111,IF(P$9='5.Variables'!$B$32,+'5.Variables'!$I32,IF(P$9='5.Variables'!$B$56,+'5.Variables'!$I56,0))))))))</f>
        <v>0</v>
      </c>
      <c r="Q125" s="143"/>
      <c r="R125" s="154">
        <v>14386744.430781409</v>
      </c>
      <c r="S125" s="167">
        <f t="shared" si="23"/>
        <v>13878476.814532921</v>
      </c>
      <c r="T125" s="624">
        <f t="shared" si="24"/>
        <v>1.0366227233031979</v>
      </c>
      <c r="U125" s="167">
        <f t="shared" si="25"/>
        <v>14922022.834552472</v>
      </c>
      <c r="V125" s="171"/>
      <c r="W125" s="618"/>
      <c r="X125" s="143"/>
      <c r="Y125" s="143"/>
      <c r="Z125" s="143"/>
      <c r="AA125" s="143"/>
      <c r="AB125" s="143"/>
      <c r="AC125" s="143"/>
      <c r="AD125" s="143"/>
      <c r="AE125" s="143"/>
      <c r="AF125" s="143"/>
      <c r="AG125" s="143"/>
      <c r="AH125" s="143"/>
      <c r="AI125" s="143"/>
      <c r="AJ125" s="143"/>
      <c r="AK125" s="143"/>
      <c r="AL125" s="143"/>
      <c r="AM125" s="143"/>
      <c r="AN125" s="143"/>
      <c r="AO125" s="143"/>
      <c r="AP125" s="143"/>
      <c r="AQ125" s="143"/>
    </row>
    <row r="126" spans="1:43" x14ac:dyDescent="0.3">
      <c r="A126" s="339">
        <f t="shared" si="21"/>
        <v>116</v>
      </c>
      <c r="B126" s="166" t="str">
        <f>CONCATENATE('3. Consumption by Rate Class'!B131,"-",'3. Consumption by Rate Class'!C131)</f>
        <v>2022-August</v>
      </c>
      <c r="C126" s="154">
        <v>14218399.68</v>
      </c>
      <c r="D126" s="154"/>
      <c r="E126" s="351">
        <v>292429.07</v>
      </c>
      <c r="F126" s="154">
        <v>189673.16</v>
      </c>
      <c r="G126" s="154"/>
      <c r="H126" s="367"/>
      <c r="I126" s="367"/>
      <c r="J126" s="167">
        <f t="shared" si="22"/>
        <v>14700501.91</v>
      </c>
      <c r="K126" s="167">
        <f>IF(K$9='5.Variables'!$B$10,+'5.Variables'!$J30,+IF(K$9='5.Variables'!$B$34,+'5.Variables'!$J54,+IF(K$9='5.Variables'!$B$58,+'5.Variables'!$J69,+IF(K$9='5.Variables'!$B$72,+'5.Variables'!$J83,+IF(K$9='5.Variables'!$B$86,+'5.Variables'!$J97,+IF(K$9='5.Variables'!$B$100,+'5.Variables'!$J111,IF(K$9='5.Variables'!$B$32,+'5.Variables'!$J32,IF(K$9='5.Variables'!$B$56,+'5.Variables'!$J56,0))))))))</f>
        <v>14725</v>
      </c>
      <c r="L126" s="292">
        <f>IF(L$9='5.Variables'!$B$10,+'5.Variables'!$J30,+IF(L$9='5.Variables'!$B$34,+'5.Variables'!$J54,+IF(L$9='5.Variables'!$B$58,+'5.Variables'!$J69,+IF(L$9='5.Variables'!$B$72,+'5.Variables'!$J83,+IF(L$9='5.Variables'!$B$86,+'5.Variables'!$J97,+IF(L$9='5.Variables'!$B$100,+'5.Variables'!$J111,IF(L$9='5.Variables'!$B$32,+'5.Variables'!$J32,IF(L$9='5.Variables'!$B$56,+'5.Variables'!$J56,0))))))))</f>
        <v>0</v>
      </c>
      <c r="M126" s="292">
        <f>IF(M$9='5.Variables'!$B$10,+'5.Variables'!$J30,+IF(M$9='5.Variables'!$B$34,+'5.Variables'!$J54,+IF(M$9='5.Variables'!$B$58,+'5.Variables'!$J69,+IF(M$9='5.Variables'!$B$72,+'5.Variables'!$J83,+IF(M$9='5.Variables'!$B$86,+'5.Variables'!$J97,+IF(M$9='5.Variables'!$B$100,+'5.Variables'!$J111,IF(M$9='5.Variables'!$B$32,+'5.Variables'!$J32,IF(M$9='5.Variables'!$B$56,+'5.Variables'!$J56,0))))))))</f>
        <v>31</v>
      </c>
      <c r="N126" s="292">
        <f>IF(N$9='5.Variables'!$B$10,+'5.Variables'!$J30,+IF(N$9='5.Variables'!$B$34,+'5.Variables'!$J54,+IF(N$9='5.Variables'!$B$58,+'5.Variables'!$J69,+IF(N$9='5.Variables'!$B$72,+'5.Variables'!$J83,+IF(N$9='5.Variables'!$B$86,+'5.Variables'!$J97,+IF(N$9='5.Variables'!$B$100,+'5.Variables'!$J111,IF(N$9='5.Variables'!$B$32,+'5.Variables'!$J32,IF(N$9='5.Variables'!$B$56,+'5.Variables'!$J56,0))))))))</f>
        <v>5.0999999999999996</v>
      </c>
      <c r="O126" s="292">
        <f>IF(O$9='5.Variables'!$B$10,+'5.Variables'!$J30,+IF(O$9='5.Variables'!$B$34,+'5.Variables'!$J54,+IF(O$9='5.Variables'!$B$58,+'5.Variables'!$J69,+IF(O$9='5.Variables'!$B$72,+'5.Variables'!$J83,+IF(O$9='5.Variables'!$B$86,+'5.Variables'!$J97,+IF(O$9='5.Variables'!$B$100,+'5.Variables'!$J111,IF(O$9='5.Variables'!$B$32,+'5.Variables'!$J32,IF(O$9='5.Variables'!$B$56,+'5.Variables'!$J56,0))))))))</f>
        <v>86</v>
      </c>
      <c r="P126" s="292">
        <f>IF(P$9='5.Variables'!$B$10,+'5.Variables'!$J30,+IF(P$9='5.Variables'!$B$34,+'5.Variables'!$J54,+IF(P$9='5.Variables'!$B$58,+'5.Variables'!$J69,+IF(P$9='5.Variables'!$B$72,+'5.Variables'!$J83,+IF(P$9='5.Variables'!$B$86,+'5.Variables'!$J97,+IF(P$9='5.Variables'!$B$100,+'5.Variables'!$J111,IF(P$9='5.Variables'!$B$32,+'5.Variables'!$J32,IF(P$9='5.Variables'!$B$56,+'5.Variables'!$J56,0))))))))</f>
        <v>0</v>
      </c>
      <c r="Q126" s="143"/>
      <c r="R126" s="154">
        <v>14135410.700775471</v>
      </c>
      <c r="S126" s="167">
        <f t="shared" si="23"/>
        <v>14325330.467700299</v>
      </c>
      <c r="T126" s="624">
        <f t="shared" si="24"/>
        <v>0.98674238145130089</v>
      </c>
      <c r="U126" s="167">
        <f t="shared" si="25"/>
        <v>14505608.263202798</v>
      </c>
      <c r="V126" s="171"/>
      <c r="W126" s="618"/>
      <c r="X126" s="143"/>
      <c r="Y126" s="143"/>
      <c r="Z126" s="143"/>
      <c r="AA126" s="143"/>
      <c r="AB126" s="143"/>
      <c r="AC126" s="143"/>
      <c r="AD126" s="143"/>
      <c r="AE126" s="143"/>
      <c r="AF126" s="143"/>
      <c r="AG126" s="143"/>
      <c r="AH126" s="143"/>
      <c r="AI126" s="143"/>
      <c r="AJ126" s="143"/>
      <c r="AK126" s="143"/>
      <c r="AL126" s="143"/>
      <c r="AM126" s="143"/>
      <c r="AN126" s="143"/>
      <c r="AO126" s="143"/>
      <c r="AP126" s="143"/>
      <c r="AQ126" s="143"/>
    </row>
    <row r="127" spans="1:43" x14ac:dyDescent="0.3">
      <c r="A127" s="339">
        <f t="shared" si="21"/>
        <v>117</v>
      </c>
      <c r="B127" s="166" t="str">
        <f>CONCATENATE('3. Consumption by Rate Class'!B132,"-",'3. Consumption by Rate Class'!C132)</f>
        <v>2022-September</v>
      </c>
      <c r="C127" s="154">
        <v>11324279.640000001</v>
      </c>
      <c r="D127" s="154"/>
      <c r="E127" s="351">
        <v>251379.35</v>
      </c>
      <c r="F127" s="154">
        <v>135232.5</v>
      </c>
      <c r="G127" s="154"/>
      <c r="H127" s="367"/>
      <c r="I127" s="367"/>
      <c r="J127" s="167">
        <f t="shared" si="22"/>
        <v>11710891.49</v>
      </c>
      <c r="K127" s="167">
        <f>IF(K$9='5.Variables'!$B$10,+'5.Variables'!$K30,+IF(K$9='5.Variables'!$B$34,+'5.Variables'!$K54,+IF(K$9='5.Variables'!$B$58,+'5.Variables'!$K69,+IF(K$9='5.Variables'!$B$72,+'5.Variables'!$K83,+IF(K$9='5.Variables'!$B$86,+'5.Variables'!$K97,+IF(K$9='5.Variables'!$B$100,+'5.Variables'!$K111,IF(K$9='5.Variables'!$B$32,+'5.Variables'!$K32,IF(K$9='5.Variables'!$B$56,+'5.Variables'!$K56,0))))))))</f>
        <v>14744</v>
      </c>
      <c r="L127" s="292">
        <f>IF(L$9='5.Variables'!$B$10,+'5.Variables'!$K30,+IF(L$9='5.Variables'!$B$34,+'5.Variables'!$K54,+IF(L$9='5.Variables'!$B$58,+'5.Variables'!$K69,+IF(L$9='5.Variables'!$B$72,+'5.Variables'!$K83,+IF(L$9='5.Variables'!$B$86,+'5.Variables'!$K97,+IF(L$9='5.Variables'!$B$100,+'5.Variables'!$K111,IF(L$9='5.Variables'!$B$32,+'5.Variables'!$K32,IF(L$9='5.Variables'!$B$56,+'5.Variables'!$K56,0))))))))</f>
        <v>1</v>
      </c>
      <c r="M127" s="292">
        <f>IF(M$9='5.Variables'!$B$10,+'5.Variables'!$K30,+IF(M$9='5.Variables'!$B$34,+'5.Variables'!$K54,+IF(M$9='5.Variables'!$B$58,+'5.Variables'!$K69,+IF(M$9='5.Variables'!$B$72,+'5.Variables'!$K83,+IF(M$9='5.Variables'!$B$86,+'5.Variables'!$K97,+IF(M$9='5.Variables'!$B$100,+'5.Variables'!$K111,IF(M$9='5.Variables'!$B$32,+'5.Variables'!$K32,IF(M$9='5.Variables'!$B$56,+'5.Variables'!$K56,0))))))))</f>
        <v>30</v>
      </c>
      <c r="N127" s="292">
        <f>IF(N$9='5.Variables'!$B$10,+'5.Variables'!$K30,+IF(N$9='5.Variables'!$B$34,+'5.Variables'!$K54,+IF(N$9='5.Variables'!$B$58,+'5.Variables'!$K69,+IF(N$9='5.Variables'!$B$72,+'5.Variables'!$K83,+IF(N$9='5.Variables'!$B$86,+'5.Variables'!$K97,+IF(N$9='5.Variables'!$B$100,+'5.Variables'!$K111,IF(N$9='5.Variables'!$B$32,+'5.Variables'!$K32,IF(N$9='5.Variables'!$B$56,+'5.Variables'!$K56,0))))))))</f>
        <v>67.599999999999994</v>
      </c>
      <c r="O127" s="292">
        <f>IF(O$9='5.Variables'!$B$10,+'5.Variables'!$K30,+IF(O$9='5.Variables'!$B$34,+'5.Variables'!$K54,+IF(O$9='5.Variables'!$B$58,+'5.Variables'!$K69,+IF(O$9='5.Variables'!$B$72,+'5.Variables'!$K83,+IF(O$9='5.Variables'!$B$86,+'5.Variables'!$K97,+IF(O$9='5.Variables'!$B$100,+'5.Variables'!$K111,IF(O$9='5.Variables'!$B$32,+'5.Variables'!$K32,IF(O$9='5.Variables'!$B$56,+'5.Variables'!$K56,0))))))))</f>
        <v>37.9</v>
      </c>
      <c r="P127" s="292">
        <f>IF(P$9='5.Variables'!$B$10,+'5.Variables'!$K30,+IF(P$9='5.Variables'!$B$34,+'5.Variables'!$K54,+IF(P$9='5.Variables'!$B$58,+'5.Variables'!$K69,+IF(P$9='5.Variables'!$B$72,+'5.Variables'!$K83,+IF(P$9='5.Variables'!$B$86,+'5.Variables'!$K97,+IF(P$9='5.Variables'!$B$100,+'5.Variables'!$K111,IF(P$9='5.Variables'!$B$32,+'5.Variables'!$K32,IF(P$9='5.Variables'!$B$56,+'5.Variables'!$K56,0))))))))</f>
        <v>0</v>
      </c>
      <c r="Q127" s="143"/>
      <c r="R127" s="154">
        <v>11446314.265276922</v>
      </c>
      <c r="S127" s="167">
        <f t="shared" si="23"/>
        <v>11530479.905849228</v>
      </c>
      <c r="T127" s="624">
        <f t="shared" si="24"/>
        <v>0.99270059518254661</v>
      </c>
      <c r="U127" s="167">
        <f t="shared" si="25"/>
        <v>11625408.95224122</v>
      </c>
      <c r="V127" s="171"/>
      <c r="W127" s="618"/>
      <c r="X127" s="143"/>
      <c r="Y127" s="143"/>
      <c r="Z127" s="143"/>
      <c r="AA127" s="143"/>
      <c r="AB127" s="143"/>
      <c r="AC127" s="143"/>
      <c r="AD127" s="143"/>
      <c r="AE127" s="143"/>
      <c r="AF127" s="143"/>
      <c r="AG127" s="143"/>
      <c r="AH127" s="143"/>
      <c r="AI127" s="143"/>
      <c r="AJ127" s="143"/>
      <c r="AK127" s="143"/>
      <c r="AL127" s="143"/>
      <c r="AM127" s="143"/>
      <c r="AN127" s="143"/>
      <c r="AO127" s="143"/>
      <c r="AP127" s="143"/>
      <c r="AQ127" s="143"/>
    </row>
    <row r="128" spans="1:43" x14ac:dyDescent="0.3">
      <c r="A128" s="339">
        <f t="shared" si="21"/>
        <v>118</v>
      </c>
      <c r="B128" s="166" t="str">
        <f>CONCATENATE('3. Consumption by Rate Class'!B133,"-",'3. Consumption by Rate Class'!C133)</f>
        <v>2022-October</v>
      </c>
      <c r="C128" s="154">
        <v>10976851.130000001</v>
      </c>
      <c r="D128" s="154"/>
      <c r="E128" s="610">
        <v>225716.73</v>
      </c>
      <c r="F128" s="154">
        <v>112333.89</v>
      </c>
      <c r="G128" s="154"/>
      <c r="H128" s="367"/>
      <c r="I128" s="367"/>
      <c r="J128" s="167">
        <f t="shared" si="22"/>
        <v>11314901.750000002</v>
      </c>
      <c r="K128" s="167">
        <f>IF(K$9='5.Variables'!$B$10,+'5.Variables'!$L30,+IF(K$9='5.Variables'!$B$34,+'5.Variables'!$L54,+IF(K$9='5.Variables'!$B$58,+'5.Variables'!$L69,+IF(K$9='5.Variables'!$B$72,+'5.Variables'!$L83,+IF(K$9='5.Variables'!$B$86,+'5.Variables'!$L97,+IF(K$9='5.Variables'!$B$100,+'5.Variables'!$L111,IF(K$9='5.Variables'!$B$32,+'5.Variables'!$L32,IF(K$9='5.Variables'!$B$56,+'5.Variables'!$L56,0))))))))</f>
        <v>14820</v>
      </c>
      <c r="L128" s="292">
        <f>IF(L$9='5.Variables'!$B$10,+'5.Variables'!$L30,+IF(L$9='5.Variables'!$B$34,+'5.Variables'!$L54,+IF(L$9='5.Variables'!$B$58,+'5.Variables'!$L69,+IF(L$9='5.Variables'!$B$72,+'5.Variables'!$L83,+IF(L$9='5.Variables'!$B$86,+'5.Variables'!$L97,+IF(L$9='5.Variables'!$B$100,+'5.Variables'!$L111,IF(L$9='5.Variables'!$B$32,+'5.Variables'!$L32,IF(L$9='5.Variables'!$B$56,+'5.Variables'!$L56,0))))))))</f>
        <v>1</v>
      </c>
      <c r="M128" s="292">
        <f>IF(M$9='5.Variables'!$B$10,+'5.Variables'!$L30,+IF(M$9='5.Variables'!$B$34,+'5.Variables'!$L54,+IF(M$9='5.Variables'!$B$58,+'5.Variables'!$L69,+IF(M$9='5.Variables'!$B$72,+'5.Variables'!$L83,+IF(M$9='5.Variables'!$B$86,+'5.Variables'!$L97,+IF(M$9='5.Variables'!$B$100,+'5.Variables'!$L111,IF(M$9='5.Variables'!$B$32,+'5.Variables'!$L32,IF(M$9='5.Variables'!$B$56,+'5.Variables'!$L56,0))))))))</f>
        <v>31</v>
      </c>
      <c r="N128" s="292">
        <f>IF(N$9='5.Variables'!$B$10,+'5.Variables'!$L30,+IF(N$9='5.Variables'!$B$34,+'5.Variables'!$L54,+IF(N$9='5.Variables'!$B$58,+'5.Variables'!$L69,+IF(N$9='5.Variables'!$B$72,+'5.Variables'!$L83,+IF(N$9='5.Variables'!$B$86,+'5.Variables'!$L97,+IF(N$9='5.Variables'!$B$100,+'5.Variables'!$L111,IF(N$9='5.Variables'!$B$32,+'5.Variables'!$L32,IF(N$9='5.Variables'!$B$56,+'5.Variables'!$L56,0))))))))</f>
        <v>237.9</v>
      </c>
      <c r="O128" s="292">
        <f>IF(O$9='5.Variables'!$B$10,+'5.Variables'!$L30,+IF(O$9='5.Variables'!$B$34,+'5.Variables'!$L54,+IF(O$9='5.Variables'!$B$58,+'5.Variables'!$L69,+IF(O$9='5.Variables'!$B$72,+'5.Variables'!$L83,+IF(O$9='5.Variables'!$B$86,+'5.Variables'!$L97,+IF(O$9='5.Variables'!$B$100,+'5.Variables'!$L111,IF(O$9='5.Variables'!$B$32,+'5.Variables'!$L32,IF(O$9='5.Variables'!$B$56,+'5.Variables'!$L56,0))))))))</f>
        <v>1.4</v>
      </c>
      <c r="P128" s="292">
        <f>IF(P$9='5.Variables'!$B$10,+'5.Variables'!$L30,+IF(P$9='5.Variables'!$B$34,+'5.Variables'!$L54,+IF(P$9='5.Variables'!$B$58,+'5.Variables'!$L69,+IF(P$9='5.Variables'!$B$72,+'5.Variables'!$L83,+IF(P$9='5.Variables'!$B$86,+'5.Variables'!$L97,+IF(P$9='5.Variables'!$B$100,+'5.Variables'!$L111,IF(P$9='5.Variables'!$B$32,+'5.Variables'!$L32,IF(P$9='5.Variables'!$B$56,+'5.Variables'!$L56,0))))))))</f>
        <v>0</v>
      </c>
      <c r="Q128" s="143"/>
      <c r="R128" s="154">
        <v>11611370.000202231</v>
      </c>
      <c r="S128" s="167">
        <f t="shared" si="23"/>
        <v>11571506.957833845</v>
      </c>
      <c r="T128" s="624">
        <f t="shared" si="24"/>
        <v>1.0034449309423263</v>
      </c>
      <c r="U128" s="167">
        <f t="shared" si="25"/>
        <v>11353880.805147959</v>
      </c>
      <c r="V128" s="171"/>
      <c r="W128" s="618"/>
      <c r="X128" s="143"/>
      <c r="Y128" s="143"/>
      <c r="Z128" s="143"/>
      <c r="AA128" s="143"/>
      <c r="AB128" s="143"/>
      <c r="AC128" s="143"/>
      <c r="AD128" s="143"/>
      <c r="AE128" s="143"/>
      <c r="AF128" s="143"/>
      <c r="AG128" s="143"/>
      <c r="AH128" s="143"/>
      <c r="AI128" s="143"/>
      <c r="AJ128" s="143"/>
      <c r="AK128" s="143"/>
      <c r="AL128" s="143"/>
      <c r="AM128" s="143"/>
      <c r="AN128" s="143"/>
      <c r="AO128" s="143"/>
      <c r="AP128" s="143"/>
      <c r="AQ128" s="143"/>
    </row>
    <row r="129" spans="1:43" x14ac:dyDescent="0.3">
      <c r="A129" s="339">
        <f t="shared" si="21"/>
        <v>119</v>
      </c>
      <c r="B129" s="166" t="str">
        <f>CONCATENATE('3. Consumption by Rate Class'!B134,"-",'3. Consumption by Rate Class'!C134)</f>
        <v>2022-November</v>
      </c>
      <c r="C129" s="154">
        <v>11621738.41</v>
      </c>
      <c r="D129" s="154"/>
      <c r="E129" s="610">
        <v>213971.39</v>
      </c>
      <c r="F129" s="154">
        <v>44811.95</v>
      </c>
      <c r="G129" s="154"/>
      <c r="H129" s="367"/>
      <c r="I129" s="367"/>
      <c r="J129" s="167">
        <f t="shared" si="22"/>
        <v>11880521.75</v>
      </c>
      <c r="K129" s="167">
        <f>IF(K$9='5.Variables'!$B$10,+'5.Variables'!$M30,+IF(K$9='5.Variables'!$B$34,+'5.Variables'!$M54,+IF(K$9='5.Variables'!$B$58,+'5.Variables'!$M69,+IF(K$9='5.Variables'!$B$72,+'5.Variables'!$M83,+IF(K$9='5.Variables'!$B$86,+'5.Variables'!$M97,+IF(K$9='5.Variables'!$B$100,+'5.Variables'!$M111,IF(K$9='5.Variables'!$B$32,+'5.Variables'!$M32,IF(K$9='5.Variables'!$B$56,+'5.Variables'!$M56,0))))))))</f>
        <v>14889</v>
      </c>
      <c r="L129" s="292">
        <f>IF(L$9='5.Variables'!$B$10,+'5.Variables'!$M30,+IF(L$9='5.Variables'!$B$34,+'5.Variables'!$M54,+IF(L$9='5.Variables'!$B$58,+'5.Variables'!$M69,+IF(L$9='5.Variables'!$B$72,+'5.Variables'!$M83,+IF(L$9='5.Variables'!$B$86,+'5.Variables'!$M97,+IF(L$9='5.Variables'!$B$100,+'5.Variables'!$M111,IF(L$9='5.Variables'!$B$32,+'5.Variables'!$M32,IF(L$9='5.Variables'!$B$56,+'5.Variables'!$M56,0))))))))</f>
        <v>1</v>
      </c>
      <c r="M129" s="292">
        <f>IF(M$9='5.Variables'!$B$10,+'5.Variables'!$M30,+IF(M$9='5.Variables'!$B$34,+'5.Variables'!$M54,+IF(M$9='5.Variables'!$B$58,+'5.Variables'!$M69,+IF(M$9='5.Variables'!$B$72,+'5.Variables'!$M83,+IF(M$9='5.Variables'!$B$86,+'5.Variables'!$M97,+IF(M$9='5.Variables'!$B$100,+'5.Variables'!$M111,IF(M$9='5.Variables'!$B$32,+'5.Variables'!$M32,IF(M$9='5.Variables'!$B$56,+'5.Variables'!$M56,0))))))))</f>
        <v>30</v>
      </c>
      <c r="N129" s="292">
        <f>IF(N$9='5.Variables'!$B$10,+'5.Variables'!$M30,+IF(N$9='5.Variables'!$B$34,+'5.Variables'!$M54,+IF(N$9='5.Variables'!$B$58,+'5.Variables'!$M69,+IF(N$9='5.Variables'!$B$72,+'5.Variables'!$M83,+IF(N$9='5.Variables'!$B$86,+'5.Variables'!$M97,+IF(N$9='5.Variables'!$B$100,+'5.Variables'!$M111,IF(N$9='5.Variables'!$B$32,+'5.Variables'!$M32,IF(N$9='5.Variables'!$B$56,+'5.Variables'!$M56,0))))))))</f>
        <v>365</v>
      </c>
      <c r="O129" s="292">
        <f>IF(O$9='5.Variables'!$B$10,+'5.Variables'!$M30,+IF(O$9='5.Variables'!$B$34,+'5.Variables'!$M54,+IF(O$9='5.Variables'!$B$58,+'5.Variables'!$M69,+IF(O$9='5.Variables'!$B$72,+'5.Variables'!$M83,+IF(O$9='5.Variables'!$B$86,+'5.Variables'!$M97,+IF(O$9='5.Variables'!$B$100,+'5.Variables'!$M111,IF(O$9='5.Variables'!$B$32,+'5.Variables'!$M32,IF(O$9='5.Variables'!$B$56,+'5.Variables'!$M56,0))))))))</f>
        <v>5.0999999999999996</v>
      </c>
      <c r="P129" s="292">
        <f>IF(P$9='5.Variables'!$B$10,+'5.Variables'!$M30,+IF(P$9='5.Variables'!$B$34,+'5.Variables'!$M54,+IF(P$9='5.Variables'!$B$58,+'5.Variables'!$M69,+IF(P$9='5.Variables'!$B$72,+'5.Variables'!$M83,+IF(P$9='5.Variables'!$B$86,+'5.Variables'!$M97,+IF(P$9='5.Variables'!$B$100,+'5.Variables'!$M111,IF(P$9='5.Variables'!$B$32,+'5.Variables'!$M32,IF(P$9='5.Variables'!$B$56,+'5.Variables'!$M56,0))))))))</f>
        <v>0</v>
      </c>
      <c r="Q129" s="143"/>
      <c r="R129" s="154">
        <v>12169182.583526229</v>
      </c>
      <c r="S129" s="167">
        <f t="shared" si="23"/>
        <v>12089067.221108133</v>
      </c>
      <c r="T129" s="624">
        <f t="shared" si="24"/>
        <v>1.0066270921447282</v>
      </c>
      <c r="U129" s="167">
        <f t="shared" si="25"/>
        <v>11959255.062364697</v>
      </c>
      <c r="V129" s="171"/>
      <c r="W129" s="618"/>
      <c r="X129" s="143"/>
      <c r="Y129" s="143"/>
      <c r="Z129" s="143"/>
      <c r="AA129" s="143"/>
      <c r="AB129" s="143"/>
      <c r="AC129" s="143"/>
      <c r="AD129" s="143"/>
      <c r="AE129" s="143"/>
      <c r="AF129" s="143"/>
      <c r="AG129" s="143"/>
      <c r="AH129" s="143"/>
      <c r="AI129" s="143"/>
      <c r="AJ129" s="143"/>
      <c r="AK129" s="143"/>
      <c r="AL129" s="143"/>
      <c r="AM129" s="143"/>
      <c r="AN129" s="143"/>
      <c r="AO129" s="143"/>
      <c r="AP129" s="143"/>
      <c r="AQ129" s="143"/>
    </row>
    <row r="130" spans="1:43" x14ac:dyDescent="0.3">
      <c r="A130" s="339">
        <f t="shared" si="21"/>
        <v>120</v>
      </c>
      <c r="B130" s="166" t="str">
        <f>CONCATENATE('3. Consumption by Rate Class'!B135,"-",'3. Consumption by Rate Class'!C135)</f>
        <v>2022-December</v>
      </c>
      <c r="C130" s="154">
        <v>14136095.050000001</v>
      </c>
      <c r="D130" s="154"/>
      <c r="E130" s="610">
        <v>209970.95</v>
      </c>
      <c r="F130" s="154">
        <v>22252.49</v>
      </c>
      <c r="G130" s="154"/>
      <c r="H130" s="367"/>
      <c r="I130" s="367"/>
      <c r="J130" s="167">
        <f t="shared" si="22"/>
        <v>14368318.49</v>
      </c>
      <c r="K130" s="167">
        <f>IF(K$9='5.Variables'!$B$10,+'5.Variables'!$N30,+IF(K$9='5.Variables'!$B$34,+'5.Variables'!$N54,+IF(K$9='5.Variables'!$B$58,+'5.Variables'!$N69,+IF(K$9='5.Variables'!$B$72,+'5.Variables'!$N83,+IF(K$9='5.Variables'!$B$86,+'5.Variables'!$N97,+IF(K$9='5.Variables'!$B$100,+'5.Variables'!$N111,IF(K$9='5.Variables'!$B$32,+'5.Variables'!$N32,IF(K$9='5.Variables'!$B$56,+'5.Variables'!$N56,0))))))))</f>
        <v>14899</v>
      </c>
      <c r="L130" s="292">
        <f>IF(L$9='5.Variables'!$B$10,+'5.Variables'!$N30,+IF(L$9='5.Variables'!$B$34,+'5.Variables'!$N54,+IF(L$9='5.Variables'!$B$58,+'5.Variables'!$N69,+IF(L$9='5.Variables'!$B$72,+'5.Variables'!$N83,+IF(L$9='5.Variables'!$B$86,+'5.Variables'!$N97,+IF(L$9='5.Variables'!$B$100,+'5.Variables'!$N111,IF(L$9='5.Variables'!$B$32,+'5.Variables'!$N32,IF(L$9='5.Variables'!$B$56,+'5.Variables'!$N56,0))))))))</f>
        <v>0</v>
      </c>
      <c r="M130" s="292">
        <f>IF(M$9='5.Variables'!$B$10,+'5.Variables'!$N30,+IF(M$9='5.Variables'!$B$34,+'5.Variables'!$N54,+IF(M$9='5.Variables'!$B$58,+'5.Variables'!$N69,+IF(M$9='5.Variables'!$B$72,+'5.Variables'!$N83,+IF(M$9='5.Variables'!$B$86,+'5.Variables'!$N97,+IF(M$9='5.Variables'!$B$100,+'5.Variables'!$N111,IF(M$9='5.Variables'!$B$32,+'5.Variables'!$N32,IF(M$9='5.Variables'!$B$56,+'5.Variables'!$N56,0))))))))</f>
        <v>31</v>
      </c>
      <c r="N130" s="292">
        <f>IF(N$9='5.Variables'!$B$10,+'5.Variables'!$N30,+IF(N$9='5.Variables'!$B$34,+'5.Variables'!$N54,+IF(N$9='5.Variables'!$B$58,+'5.Variables'!$N69,+IF(N$9='5.Variables'!$B$72,+'5.Variables'!$N83,+IF(N$9='5.Variables'!$B$86,+'5.Variables'!$N97,+IF(N$9='5.Variables'!$B$100,+'5.Variables'!$N111,IF(N$9='5.Variables'!$B$32,+'5.Variables'!$N32,IF(N$9='5.Variables'!$B$56,+'5.Variables'!$N56,0))))))))</f>
        <v>554.6</v>
      </c>
      <c r="O130" s="292">
        <f>IF(O$9='5.Variables'!$B$10,+'5.Variables'!$N30,+IF(O$9='5.Variables'!$B$34,+'5.Variables'!$N54,+IF(O$9='5.Variables'!$B$58,+'5.Variables'!$N69,+IF(O$9='5.Variables'!$B$72,+'5.Variables'!$N83,+IF(O$9='5.Variables'!$B$86,+'5.Variables'!$N97,+IF(O$9='5.Variables'!$B$100,+'5.Variables'!$N111,IF(O$9='5.Variables'!$B$32,+'5.Variables'!$N32,IF(O$9='5.Variables'!$B$56,+'5.Variables'!$N56,0))))))))</f>
        <v>0</v>
      </c>
      <c r="P130" s="292">
        <f>IF(P$9='5.Variables'!$B$10,+'5.Variables'!$N30,+IF(P$9='5.Variables'!$B$34,+'5.Variables'!$N54,+IF(P$9='5.Variables'!$B$58,+'5.Variables'!$N69,+IF(P$9='5.Variables'!$B$72,+'5.Variables'!$N83,+IF(P$9='5.Variables'!$B$86,+'5.Variables'!$N97,+IF(P$9='5.Variables'!$B$100,+'5.Variables'!$N111,IF(P$9='5.Variables'!$B$32,+'5.Variables'!$N32,IF(P$9='5.Variables'!$B$56,+'5.Variables'!$N56,0))))))))</f>
        <v>0</v>
      </c>
      <c r="Q130" s="143"/>
      <c r="R130" s="154">
        <v>14384971.897138968</v>
      </c>
      <c r="S130" s="167">
        <f t="shared" si="23"/>
        <v>14273904.639043637</v>
      </c>
      <c r="T130" s="624">
        <f t="shared" si="24"/>
        <v>1.0077811405431087</v>
      </c>
      <c r="U130" s="167">
        <f>+T130*J130</f>
        <v>14480120.395538839</v>
      </c>
      <c r="V130" s="171">
        <f>SUM(U119:U130)</f>
        <v>157201772.51039681</v>
      </c>
      <c r="W130" s="618"/>
      <c r="X130" s="143"/>
      <c r="Y130" s="143"/>
      <c r="Z130" s="143"/>
      <c r="AA130" s="143"/>
      <c r="AB130" s="143"/>
      <c r="AC130" s="143"/>
      <c r="AD130" s="143"/>
      <c r="AE130" s="143"/>
      <c r="AF130" s="143"/>
      <c r="AG130" s="143"/>
      <c r="AH130" s="143"/>
      <c r="AI130" s="143"/>
      <c r="AJ130" s="143"/>
      <c r="AK130" s="143"/>
      <c r="AL130" s="143"/>
      <c r="AM130" s="143"/>
      <c r="AN130" s="143"/>
      <c r="AO130" s="143"/>
      <c r="AP130" s="143"/>
      <c r="AQ130" s="143"/>
    </row>
    <row r="131" spans="1:43" x14ac:dyDescent="0.3">
      <c r="A131" s="339">
        <f>+A130+1</f>
        <v>121</v>
      </c>
      <c r="B131" s="166" t="str">
        <f>CONCATENATE('3. Consumption by Rate Class'!B136,"-",'3. Consumption by Rate Class'!C136)</f>
        <v>2023-January</v>
      </c>
      <c r="C131" s="586"/>
      <c r="D131" s="179"/>
      <c r="E131" s="368"/>
      <c r="F131" s="179"/>
      <c r="G131" s="179"/>
      <c r="H131" s="179"/>
      <c r="I131" s="179"/>
      <c r="J131" s="144"/>
      <c r="K131" s="564">
        <f>IF(K$10=$B$160,+AVERAGE(K11,K23,K35,K47,K59,K71,K83,K95,K107,K119),+IF(K$10=$B$161,+(EXP((LN(+'4. Customer Growth'!$Y$34)/12))*$K130),IF($K$10=$B$162,+$A131*$C$167+$D$167,0)))</f>
        <v>14926.881721621357</v>
      </c>
      <c r="L131" s="565">
        <f>IF(L$10=$B$160,+AVERAGE(L11,L23,L35,L47,L59,L71,L83,L95,L107,L119),+IF(L$10=$B$161,+(EXP((LN(+'4. Customer Growth'!$Y$34)/12))*$K130),IF($N$10=$B$162,+$A131*$C$168+$D$168,0)))</f>
        <v>0</v>
      </c>
      <c r="M131" s="565">
        <f>IF(M$10=$B$160,+AVERAGE(M11,M23,M35,M47,M59,M71,M83,M95,M107,M119),+IF(M$10=$B$161,+(EXP((LN(+'4. Customer Growth'!$Y$34)/12))*$O130),IF($O$10=$B$162,+$A131*$C$169+$D$169,0)))</f>
        <v>31</v>
      </c>
      <c r="N131" s="565">
        <f>IF(N$10=$B$160,+AVERAGE(N11,N23,N35,N47,N59,N71,N83,N95,N107,N119),+IF(N$10=$B$161,+(EXP((LN(+'4. Customer Growth'!$Y$34)/12))*$N130),IF($N$10=$B$162,+$A131*$C$170+$D$170,0)))</f>
        <v>704.45999999999992</v>
      </c>
      <c r="O131" s="565">
        <f>IF(O$10=$B$160,+AVERAGE(O11,O23,O35,O47,O59,O71,O83,O95,O107,O119),+IF(O$10=$B$161,+(EXP((LN(+'4. Customer Growth'!$Y$34)/12))*$O130),IF($O$10=$B$162,+$A131*$C$171+$D$171,0)))</f>
        <v>0</v>
      </c>
      <c r="P131" s="341">
        <f>IF(P$10=$B$160,+AVERAGE(P11,P23,P35,P47,P59,P71,P83,P95,P107,P119),+IF(P$10=$B$161,+(EXP((LN(+'4. Customer Growth'!$Y$34)/12))*$P130),IF($P$10=$B$162,+$A131*$C$172+$D$172,0)))</f>
        <v>0</v>
      </c>
      <c r="Q131" s="143"/>
      <c r="R131" s="167"/>
      <c r="S131" s="167">
        <f t="shared" si="23"/>
        <v>15162835.864233926</v>
      </c>
      <c r="T131" s="167"/>
      <c r="U131" s="167">
        <f t="shared" ref="U131:U154" si="26">$Y$25+($K131*$Y$26)+($L131*$Y$27)+($M131*$Y$28)+($N131*$Y$29)+($O131*$Y$30)+($P131*$Y$31)</f>
        <v>15162835.864233926</v>
      </c>
      <c r="V131" s="571"/>
      <c r="W131" s="619"/>
      <c r="X131" s="143"/>
      <c r="Y131" s="143"/>
      <c r="Z131" s="143"/>
      <c r="AA131" s="143"/>
      <c r="AB131" s="143"/>
      <c r="AC131" s="143"/>
      <c r="AD131" s="143"/>
      <c r="AE131" s="143"/>
      <c r="AF131" s="143"/>
      <c r="AG131" s="143"/>
      <c r="AH131" s="143"/>
      <c r="AI131" s="143"/>
      <c r="AJ131" s="143"/>
      <c r="AK131" s="143"/>
      <c r="AL131" s="143"/>
      <c r="AM131" s="143"/>
      <c r="AN131" s="143"/>
      <c r="AO131" s="143"/>
      <c r="AP131" s="143"/>
      <c r="AQ131" s="143"/>
    </row>
    <row r="132" spans="1:43" x14ac:dyDescent="0.3">
      <c r="A132" s="339">
        <f t="shared" si="21"/>
        <v>122</v>
      </c>
      <c r="B132" s="166" t="str">
        <f>CONCATENATE('3. Consumption by Rate Class'!B137,"-",'3. Consumption by Rate Class'!C137)</f>
        <v>2023-February</v>
      </c>
      <c r="C132" s="586"/>
      <c r="D132" s="448"/>
      <c r="E132" s="179"/>
      <c r="F132" s="179"/>
      <c r="G132" s="179"/>
      <c r="H132" s="179"/>
      <c r="I132" s="179"/>
      <c r="J132" s="144"/>
      <c r="K132" s="564">
        <f>IF(K$10=$B$160,+AVERAGE(K12,K24,K36,K48,K60,K72,K84,K96,K108,K120),+IF(K$10=$B$161,+(EXP((LN(+'4. Customer Growth'!$Y$34)/12))*$K131),IF($K$10=$B$162,+$A132*$C$167+$D$167,0)))</f>
        <v>14954.815620596937</v>
      </c>
      <c r="L132" s="565">
        <f>IF(L$10=$B$160,+AVERAGE(L12,L24,L36,L48,L60,L72,L84,L96,L108,L120),+IF(L$10=$B$161,+(EXP((LN(+'4. Customer Growth'!$Y$34)/12))*$K131),IF($N$10=$B$162,+$A132*$C$168+$D$168,0)))</f>
        <v>0</v>
      </c>
      <c r="M132" s="565">
        <f>IF(M$10=$B$160,+AVERAGE(M12,M24,M36,M48,M60,M72,M84,M96,M108,M120),+IF(M$10=$B$161,+(EXP((LN(+'4. Customer Growth'!$Y$34)/12))*$O131),IF($O$10=$B$162,+$A132*$C$169+$D$169,0)))</f>
        <v>28.2</v>
      </c>
      <c r="N132" s="565">
        <f>IF(N$10=$B$160,+AVERAGE(N12,N24,N36,N48,N60,N72,N84,N96,N108,N120),+IF(N$10=$B$161,+(EXP((LN(+'4. Customer Growth'!$Y$34)/12))*$N131),IF($N$10=$B$162,+$A132*$C$170+$D$170,0)))</f>
        <v>647.65000000000009</v>
      </c>
      <c r="O132" s="565">
        <f>IF(O$10=$B$160,+AVERAGE(O12,O24,O36,O48,O60,O72,O84,O96,O108,O120),+IF(O$10=$B$161,+(EXP((LN(+'4. Customer Growth'!$Y$34)/12))*$O131),IF($O$10=$B$162,+$A132*$C$171+$D$171,0)))</f>
        <v>0</v>
      </c>
      <c r="P132" s="341">
        <f>IF(P$10=$B$160,+AVERAGE(P12,P24,P36,P48,P60,P72,P84,P96,P108,P120),+IF(P$10=$B$161,+(EXP((LN(+'4. Customer Growth'!$Y$34)/12))*$P131),IF($P$10=$B$162,+$A132*$C$172+$D$172,0)))</f>
        <v>0</v>
      </c>
      <c r="Q132" s="143"/>
      <c r="R132" s="167"/>
      <c r="S132" s="167">
        <f t="shared" si="23"/>
        <v>13675913.899056809</v>
      </c>
      <c r="T132" s="167"/>
      <c r="U132" s="167">
        <f t="shared" si="26"/>
        <v>13675913.899056809</v>
      </c>
      <c r="V132" s="571"/>
      <c r="W132" s="619"/>
      <c r="X132" s="143"/>
      <c r="Y132" s="143"/>
      <c r="Z132" s="143"/>
      <c r="AA132" s="143"/>
      <c r="AB132" s="143"/>
      <c r="AC132" s="143"/>
      <c r="AD132" s="143"/>
      <c r="AE132" s="143"/>
      <c r="AF132" s="143"/>
      <c r="AG132" s="143"/>
      <c r="AH132" s="143"/>
      <c r="AI132" s="143"/>
      <c r="AJ132" s="143"/>
      <c r="AK132" s="143"/>
      <c r="AL132" s="143"/>
      <c r="AM132" s="143"/>
      <c r="AN132" s="143"/>
      <c r="AO132" s="143"/>
      <c r="AP132" s="143"/>
      <c r="AQ132" s="143"/>
    </row>
    <row r="133" spans="1:43" x14ac:dyDescent="0.3">
      <c r="A133" s="339">
        <f t="shared" si="21"/>
        <v>123</v>
      </c>
      <c r="B133" s="166" t="str">
        <f>CONCATENATE('3. Consumption by Rate Class'!B138,"-",'3. Consumption by Rate Class'!C138)</f>
        <v>2023-March</v>
      </c>
      <c r="C133" s="586"/>
      <c r="D133" s="179"/>
      <c r="E133" s="448"/>
      <c r="F133" s="179"/>
      <c r="G133" s="179"/>
      <c r="H133" s="179"/>
      <c r="I133" s="179"/>
      <c r="J133" s="144"/>
      <c r="K133" s="564">
        <f>IF(K$10=$B$160,+AVERAGE(K13,K25,K37,K49,K61,K73,K85,K97,K109,K121),+IF(K$10=$B$161,+(EXP((LN(+'4. Customer Growth'!$Y$34)/12))*$K132),IF($K$10=$B$162,+$A133*$C$167+$D$167,0)))</f>
        <v>14982.801794570507</v>
      </c>
      <c r="L133" s="565">
        <f>IF(L$10=$B$160,+AVERAGE(L13,L25,L37,L49,L61,L73,L85,L97,L109,L121),+IF(L$10=$B$161,+(EXP((LN(+'4. Customer Growth'!$Y$34)/12))*$K132),IF($N$10=$B$162,+$A133*$C$168+$D$168,0)))</f>
        <v>1</v>
      </c>
      <c r="M133" s="565">
        <f>IF(M$10=$B$160,+AVERAGE(M13,M25,M37,M49,M61,M73,M85,M97,M109,M121),+IF(M$10=$B$161,+(EXP((LN(+'4. Customer Growth'!$Y$34)/12))*$O132),IF($O$10=$B$162,+$A133*$C$169+$D$169,0)))</f>
        <v>31</v>
      </c>
      <c r="N133" s="565">
        <f>IF(N$10=$B$160,+AVERAGE(N13,N25,N37,N49,N61,N73,N85,N97,N109,N121),+IF(N$10=$B$161,+(EXP((LN(+'4. Customer Growth'!$Y$34)/12))*$N132),IF($N$10=$B$162,+$A133*$C$170+$D$170,0)))</f>
        <v>568.7299999999999</v>
      </c>
      <c r="O133" s="565">
        <f>IF(O$10=$B$160,+AVERAGE(O13,O25,O37,O49,O61,O73,O85,O97,O109,O121),+IF(O$10=$B$161,+(EXP((LN(+'4. Customer Growth'!$Y$34)/12))*$O132),IF($O$10=$B$162,+$A133*$C$171+$D$171,0)))</f>
        <v>0</v>
      </c>
      <c r="P133" s="341">
        <f>IF(P$10=$B$160,+AVERAGE(P13,P25,P37,P49,P61,P73,P85,P97,P109,P121),+IF(P$10=$B$161,+(EXP((LN(+'4. Customer Growth'!$Y$34)/12))*$P132),IF($P$10=$B$162,+$A133*$C$172+$D$172,0)))</f>
        <v>0</v>
      </c>
      <c r="Q133" s="143"/>
      <c r="R133" s="167"/>
      <c r="S133" s="167">
        <f t="shared" si="23"/>
        <v>13571989.640657198</v>
      </c>
      <c r="T133" s="167"/>
      <c r="U133" s="167">
        <f t="shared" si="26"/>
        <v>13571989.640657198</v>
      </c>
      <c r="V133" s="571"/>
      <c r="W133" s="619"/>
      <c r="X133" s="143"/>
      <c r="Y133" s="143"/>
      <c r="Z133" s="143"/>
      <c r="AA133" s="143"/>
      <c r="AB133" s="143"/>
      <c r="AC133" s="143"/>
      <c r="AD133" s="143"/>
      <c r="AE133" s="143"/>
      <c r="AF133" s="143"/>
      <c r="AG133" s="143"/>
      <c r="AH133" s="143"/>
      <c r="AI133" s="143"/>
      <c r="AJ133" s="143"/>
      <c r="AK133" s="143"/>
      <c r="AL133" s="143"/>
      <c r="AM133" s="143"/>
      <c r="AN133" s="143"/>
      <c r="AO133" s="143"/>
      <c r="AP133" s="143"/>
      <c r="AQ133" s="143"/>
    </row>
    <row r="134" spans="1:43" x14ac:dyDescent="0.3">
      <c r="A134" s="339">
        <f t="shared" si="21"/>
        <v>124</v>
      </c>
      <c r="B134" s="166" t="str">
        <f>CONCATENATE('3. Consumption by Rate Class'!B139,"-",'3. Consumption by Rate Class'!C139)</f>
        <v>2023-April</v>
      </c>
      <c r="C134" s="586"/>
      <c r="D134" s="179"/>
      <c r="E134" s="448"/>
      <c r="F134" s="179"/>
      <c r="G134" s="179"/>
      <c r="H134" s="179"/>
      <c r="I134" s="179"/>
      <c r="J134" s="144"/>
      <c r="K134" s="564">
        <f>IF(K$10=$B$160,+AVERAGE(K14,K26,K38,K50,K62,K74,K86,K98,K110,K122),+IF(K$10=$B$161,+(EXP((LN(+'4. Customer Growth'!$Y$34)/12))*$K133),IF($K$10=$B$162,+$A134*$C$167+$D$167,0)))</f>
        <v>15010.840341368559</v>
      </c>
      <c r="L134" s="565">
        <f>IF(L$10=$B$160,+AVERAGE(L14,L26,L38,L50,L62,L74,L86,L98,L110,L122),+IF(L$10=$B$161,+(EXP((LN(+'4. Customer Growth'!$Y$34)/12))*$K133),IF($N$10=$B$162,+$A134*$C$168+$D$168,0)))</f>
        <v>1</v>
      </c>
      <c r="M134" s="565">
        <f>IF(M$10=$B$160,+AVERAGE(M14,M26,M38,M50,M62,M74,M86,M98,M110,M122),+IF(M$10=$B$161,+(EXP((LN(+'4. Customer Growth'!$Y$34)/12))*$O133),IF($O$10=$B$162,+$A134*$C$169+$D$169,0)))</f>
        <v>30</v>
      </c>
      <c r="N134" s="565">
        <f>IF(N$10=$B$160,+AVERAGE(N14,N26,N38,N50,N62,N74,N86,N98,N110,N122),+IF(N$10=$B$161,+(EXP((LN(+'4. Customer Growth'!$Y$34)/12))*$N133),IF($N$10=$B$162,+$A134*$C$170+$D$170,0)))</f>
        <v>376.21999999999997</v>
      </c>
      <c r="O134" s="565">
        <f>IF(O$10=$B$160,+AVERAGE(O14,O26,O38,O50,O62,O74,O86,O98,O110,O122),+IF(O$10=$B$161,+(EXP((LN(+'4. Customer Growth'!$Y$34)/12))*$O133),IF($O$10=$B$162,+$A134*$C$171+$D$171,0)))</f>
        <v>0.08</v>
      </c>
      <c r="P134" s="341">
        <f>IF(P$10=$B$160,+AVERAGE(P14,P26,P38,P50,P62,P74,P86,P98,P110,P122),+IF(P$10=$B$161,+(EXP((LN(+'4. Customer Growth'!$Y$34)/12))*$P133),IF($P$10=$B$162,+$A134*$C$172+$D$172,0)))</f>
        <v>0</v>
      </c>
      <c r="Q134" s="143"/>
      <c r="R134" s="167"/>
      <c r="S134" s="167">
        <f t="shared" si="23"/>
        <v>12068567.277275844</v>
      </c>
      <c r="T134" s="167"/>
      <c r="U134" s="167">
        <f t="shared" si="26"/>
        <v>12068567.277275844</v>
      </c>
      <c r="V134" s="571"/>
      <c r="W134" s="619"/>
      <c r="X134" s="143"/>
      <c r="Y134" s="143"/>
      <c r="Z134" s="143"/>
      <c r="AA134" s="143"/>
      <c r="AB134" s="143"/>
      <c r="AC134" s="143"/>
      <c r="AD134" s="143"/>
      <c r="AE134" s="143"/>
      <c r="AF134" s="143"/>
      <c r="AG134" s="143"/>
      <c r="AH134" s="143"/>
      <c r="AI134" s="143"/>
      <c r="AJ134" s="143"/>
      <c r="AK134" s="143"/>
      <c r="AL134" s="143"/>
      <c r="AM134" s="143"/>
      <c r="AN134" s="143"/>
      <c r="AO134" s="143"/>
      <c r="AP134" s="143"/>
      <c r="AQ134" s="143"/>
    </row>
    <row r="135" spans="1:43" x14ac:dyDescent="0.3">
      <c r="A135" s="339">
        <f t="shared" si="21"/>
        <v>125</v>
      </c>
      <c r="B135" s="166" t="str">
        <f>CONCATENATE('3. Consumption by Rate Class'!B140,"-",'3. Consumption by Rate Class'!C140)</f>
        <v>2023-May</v>
      </c>
      <c r="C135" s="586"/>
      <c r="D135" s="179"/>
      <c r="E135" s="179"/>
      <c r="F135" s="179"/>
      <c r="G135" s="179"/>
      <c r="H135" s="181"/>
      <c r="I135" s="179"/>
      <c r="J135" s="144"/>
      <c r="K135" s="564">
        <f>IF(K$10=$B$160,+AVERAGE(K15,K27,K39,K51,K63,K75,K87,K99,K111,K123),+IF(K$10=$B$161,+(EXP((LN(+'4. Customer Growth'!$Y$34)/12))*$K134),IF($K$10=$B$162,+$A135*$C$167+$D$167,0)))</f>
        <v>15038.93135900066</v>
      </c>
      <c r="L135" s="565">
        <f>IF(L$10=$B$160,+AVERAGE(L15,L27,L39,L51,L63,L75,L87,L99,L111,L123),+IF(L$10=$B$161,+(EXP((LN(+'4. Customer Growth'!$Y$34)/12))*$K134),IF($N$10=$B$162,+$A135*$C$168+$D$168,0)))</f>
        <v>1</v>
      </c>
      <c r="M135" s="565">
        <f>IF(M$10=$B$160,+AVERAGE(M15,M27,M39,M51,M63,M75,M87,M99,M111,M123),+IF(M$10=$B$161,+(EXP((LN(+'4. Customer Growth'!$Y$34)/12))*$O134),IF($O$10=$B$162,+$A135*$C$169+$D$169,0)))</f>
        <v>31</v>
      </c>
      <c r="N135" s="565">
        <f>IF(N$10=$B$160,+AVERAGE(N15,N27,N39,N51,N63,N75,N87,N99,N111,N123),+IF(N$10=$B$161,+(EXP((LN(+'4. Customer Growth'!$Y$34)/12))*$N134),IF($N$10=$B$162,+$A135*$C$170+$D$170,0)))</f>
        <v>189.33999999999997</v>
      </c>
      <c r="O135" s="565">
        <f>IF(O$10=$B$160,+AVERAGE(O15,O27,O39,O51,O63,O75,O87,O99,O111,O123),+IF(O$10=$B$161,+(EXP((LN(+'4. Customer Growth'!$Y$34)/12))*$O134),IF($O$10=$B$162,+$A135*$C$171+$D$171,0)))</f>
        <v>15.87</v>
      </c>
      <c r="P135" s="341">
        <f>IF(P$10=$B$160,+AVERAGE(P15,P27,P39,P51,P63,P75,P87,P99,P111,P123),+IF(P$10=$B$161,+(EXP((LN(+'4. Customer Growth'!$Y$34)/12))*$P134),IF($P$10=$B$162,+$A135*$C$172+$D$172,0)))</f>
        <v>0</v>
      </c>
      <c r="Q135" s="143"/>
      <c r="R135" s="167"/>
      <c r="S135" s="167">
        <f t="shared" si="23"/>
        <v>12061157.140912432</v>
      </c>
      <c r="T135" s="167"/>
      <c r="U135" s="167">
        <f t="shared" si="26"/>
        <v>12061157.140912432</v>
      </c>
      <c r="V135" s="571"/>
      <c r="W135" s="619"/>
      <c r="X135" s="143"/>
      <c r="Y135" s="143"/>
      <c r="Z135" s="143"/>
      <c r="AA135" s="143"/>
      <c r="AB135" s="182"/>
      <c r="AC135" s="143"/>
      <c r="AD135" s="143"/>
      <c r="AE135" s="143"/>
      <c r="AF135" s="143"/>
      <c r="AG135" s="143"/>
      <c r="AH135" s="143"/>
      <c r="AI135" s="143"/>
      <c r="AJ135" s="143"/>
      <c r="AK135" s="143"/>
      <c r="AL135" s="143"/>
      <c r="AM135" s="143"/>
      <c r="AN135" s="143"/>
      <c r="AO135" s="143"/>
      <c r="AP135" s="143"/>
      <c r="AQ135" s="143"/>
    </row>
    <row r="136" spans="1:43" x14ac:dyDescent="0.3">
      <c r="A136" s="339">
        <f t="shared" si="21"/>
        <v>126</v>
      </c>
      <c r="B136" s="166" t="str">
        <f>CONCATENATE('3. Consumption by Rate Class'!B141,"-",'3. Consumption by Rate Class'!C141)</f>
        <v>2023-June</v>
      </c>
      <c r="C136" s="586"/>
      <c r="D136" s="179"/>
      <c r="E136" s="179"/>
      <c r="F136" s="179"/>
      <c r="G136" s="179"/>
      <c r="H136" s="179"/>
      <c r="I136" s="179"/>
      <c r="J136" s="144"/>
      <c r="K136" s="564">
        <f>IF(K$10=$B$160,+AVERAGE(K16,K28,K40,K52,K64,K76,K88,K100,K112,K124),+IF(K$10=$B$161,+(EXP((LN(+'4. Customer Growth'!$Y$34)/12))*$K135),IF($K$10=$B$162,+$A136*$C$167+$D$167,0)))</f>
        <v>15067.07494565979</v>
      </c>
      <c r="L136" s="565">
        <f>IF(L$10=$B$160,+AVERAGE(L16,L28,L40,L52,L64,L76,L88,L100,L112,L124),+IF(L$10=$B$161,+(EXP((LN(+'4. Customer Growth'!$Y$34)/12))*$K135),IF($N$10=$B$162,+$A136*$C$168+$D$168,0)))</f>
        <v>0</v>
      </c>
      <c r="M136" s="565">
        <f>IF(M$10=$B$160,+AVERAGE(M16,M28,M40,M52,M64,M76,M88,M100,M112,M124),+IF(M$10=$B$161,+(EXP((LN(+'4. Customer Growth'!$Y$34)/12))*$O135),IF($O$10=$B$162,+$A136*$C$169+$D$169,0)))</f>
        <v>30</v>
      </c>
      <c r="N136" s="565">
        <f>IF(N$10=$B$160,+AVERAGE(N16,N28,N40,N52,N64,N76,N88,N100,N112,N124),+IF(N$10=$B$161,+(EXP((LN(+'4. Customer Growth'!$Y$34)/12))*$N135),IF($N$10=$B$162,+$A136*$C$170+$D$170,0)))</f>
        <v>61.060000000000016</v>
      </c>
      <c r="O136" s="565">
        <f>IF(O$10=$B$160,+AVERAGE(O16,O28,O40,O52,O64,O76,O88,O100,O112,O124),+IF(O$10=$B$161,+(EXP((LN(+'4. Customer Growth'!$Y$34)/12))*$O135),IF($O$10=$B$162,+$A136*$C$171+$D$171,0)))</f>
        <v>36.730000000000004</v>
      </c>
      <c r="P136" s="341">
        <f>IF(P$10=$B$160,+AVERAGE(P16,P28,P40,P52,P64,P76,P88,P100,P112,P124),+IF(P$10=$B$161,+(EXP((LN(+'4. Customer Growth'!$Y$34)/12))*$P135),IF($P$10=$B$162,+$A136*$C$172+$D$172,0)))</f>
        <v>0</v>
      </c>
      <c r="Q136" s="143"/>
      <c r="R136" s="167"/>
      <c r="S136" s="167">
        <f t="shared" si="23"/>
        <v>12604125.851491701</v>
      </c>
      <c r="T136" s="167"/>
      <c r="U136" s="167">
        <f t="shared" si="26"/>
        <v>12604125.851491701</v>
      </c>
      <c r="V136" s="571"/>
      <c r="W136" s="619"/>
      <c r="X136" s="143"/>
      <c r="Y136" s="143"/>
      <c r="Z136" s="143"/>
      <c r="AA136" s="143"/>
      <c r="AB136" s="143"/>
      <c r="AC136" s="143"/>
      <c r="AD136" s="143"/>
      <c r="AE136" s="143"/>
      <c r="AF136" s="143"/>
      <c r="AG136" s="143"/>
      <c r="AH136" s="143"/>
      <c r="AI136" s="143"/>
      <c r="AJ136" s="143"/>
      <c r="AK136" s="143"/>
      <c r="AL136" s="143"/>
      <c r="AM136" s="143"/>
      <c r="AN136" s="143"/>
      <c r="AO136" s="143"/>
      <c r="AP136" s="143"/>
      <c r="AQ136" s="143"/>
    </row>
    <row r="137" spans="1:43" x14ac:dyDescent="0.3">
      <c r="A137" s="339">
        <f t="shared" si="21"/>
        <v>127</v>
      </c>
      <c r="B137" s="166" t="str">
        <f>CONCATENATE('3. Consumption by Rate Class'!B142,"-",'3. Consumption by Rate Class'!C142)</f>
        <v>2023-July</v>
      </c>
      <c r="C137" s="586"/>
      <c r="D137" s="179"/>
      <c r="E137" s="179"/>
      <c r="F137" s="179"/>
      <c r="G137" s="179"/>
      <c r="H137" s="179"/>
      <c r="I137" s="179"/>
      <c r="J137" s="144"/>
      <c r="K137" s="564">
        <f>IF(K$10=$B$160,+AVERAGE(K17,K29,K41,K53,K65,K77,K89,K101,K113,K125),+IF(K$10=$B$161,+(EXP((LN(+'4. Customer Growth'!$Y$34)/12))*$K136),IF($K$10=$B$162,+$A137*$C$167+$D$167,0)))</f>
        <v>15095.27119972268</v>
      </c>
      <c r="L137" s="565">
        <f>IF(L$10=$B$160,+AVERAGE(L17,L29,L41,L53,L65,L77,L89,L101,L113,L125),+IF(L$10=$B$161,+(EXP((LN(+'4. Customer Growth'!$Y$34)/12))*$K136),IF($N$10=$B$162,+$A137*$C$168+$D$168,0)))</f>
        <v>0</v>
      </c>
      <c r="M137" s="565">
        <f>IF(M$10=$B$160,+AVERAGE(M17,M29,M41,M53,M65,M77,M89,M101,M113,M125),+IF(M$10=$B$161,+(EXP((LN(+'4. Customer Growth'!$Y$34)/12))*$O136),IF($O$10=$B$162,+$A137*$C$169+$D$169,0)))</f>
        <v>31</v>
      </c>
      <c r="N137" s="565">
        <f>IF(N$10=$B$160,+AVERAGE(N17,N29,N41,N53,N65,N77,N89,N101,N113,N125),+IF(N$10=$B$161,+(EXP((LN(+'4. Customer Growth'!$Y$34)/12))*$N136),IF($N$10=$B$162,+$A137*$C$170+$D$170,0)))</f>
        <v>9.370000000000001</v>
      </c>
      <c r="O137" s="565">
        <f>IF(O$10=$B$160,+AVERAGE(O17,O29,O41,O53,O65,O77,O89,O101,O113,O125),+IF(O$10=$B$161,+(EXP((LN(+'4. Customer Growth'!$Y$34)/12))*$O136),IF($O$10=$B$162,+$A137*$C$171+$D$171,0)))</f>
        <v>87.710000000000008</v>
      </c>
      <c r="P137" s="341">
        <f>IF(P$10=$B$160,+AVERAGE(P17,P29,P41,P53,P65,P77,P89,P101,P113,P125),+IF(P$10=$B$161,+(EXP((LN(+'4. Customer Growth'!$Y$34)/12))*$P136),IF($P$10=$B$162,+$A137*$C$172+$D$172,0)))</f>
        <v>0</v>
      </c>
      <c r="Q137" s="143"/>
      <c r="R137" s="167"/>
      <c r="S137" s="167">
        <f t="shared" si="23"/>
        <v>14757378.763647832</v>
      </c>
      <c r="T137" s="167"/>
      <c r="U137" s="167">
        <f t="shared" si="26"/>
        <v>14757378.763647832</v>
      </c>
      <c r="V137" s="571"/>
      <c r="W137" s="619"/>
      <c r="X137" s="143"/>
      <c r="Y137" s="143"/>
      <c r="Z137" s="143"/>
      <c r="AA137" s="143"/>
      <c r="AB137" s="143"/>
      <c r="AC137" s="143"/>
      <c r="AD137" s="143"/>
      <c r="AE137" s="143"/>
      <c r="AF137" s="143"/>
      <c r="AG137" s="143"/>
      <c r="AH137" s="143"/>
      <c r="AI137" s="143"/>
      <c r="AJ137" s="143"/>
      <c r="AK137" s="143"/>
      <c r="AL137" s="143"/>
      <c r="AM137" s="143"/>
      <c r="AN137" s="143"/>
      <c r="AO137" s="143"/>
      <c r="AP137" s="143"/>
      <c r="AQ137" s="143"/>
    </row>
    <row r="138" spans="1:43" x14ac:dyDescent="0.3">
      <c r="A138" s="339">
        <f t="shared" si="21"/>
        <v>128</v>
      </c>
      <c r="B138" s="166" t="str">
        <f>CONCATENATE('3. Consumption by Rate Class'!B143,"-",'3. Consumption by Rate Class'!C143)</f>
        <v>2023-August</v>
      </c>
      <c r="C138" s="586"/>
      <c r="D138" s="179"/>
      <c r="E138" s="179"/>
      <c r="F138" s="179"/>
      <c r="G138" s="179"/>
      <c r="H138" s="179"/>
      <c r="I138" s="179"/>
      <c r="J138" s="144"/>
      <c r="K138" s="564">
        <f>IF(K$10=$B$160,+AVERAGE(K18,K30,K42,K54,K66,K78,K90,K102,K114,K126),+IF(K$10=$B$161,+(EXP((LN(+'4. Customer Growth'!$Y$34)/12))*$K137),IF($K$10=$B$162,+$A138*$C$167+$D$167,0)))</f>
        <v>15123.520219750169</v>
      </c>
      <c r="L138" s="565">
        <f>IF(L$10=$B$160,+AVERAGE(L18,L30,L42,L54,L66,L78,L90,L102,L114,L126),+IF(L$10=$B$161,+(EXP((LN(+'4. Customer Growth'!$Y$34)/12))*$K137),IF($N$10=$B$162,+$A138*$C$168+$D$168,0)))</f>
        <v>0</v>
      </c>
      <c r="M138" s="565">
        <f>IF(M$10=$B$160,+AVERAGE(M18,M30,M42,M54,M66,M78,M90,M102,M114,M126),+IF(M$10=$B$161,+(EXP((LN(+'4. Customer Growth'!$Y$34)/12))*$O137),IF($O$10=$B$162,+$A138*$C$169+$D$169,0)))</f>
        <v>31</v>
      </c>
      <c r="N138" s="565">
        <f>IF(N$10=$B$160,+AVERAGE(N18,N30,N42,N54,N66,N78,N90,N102,N114,N126),+IF(N$10=$B$161,+(EXP((LN(+'4. Customer Growth'!$Y$34)/12))*$N137),IF($N$10=$B$162,+$A138*$C$170+$D$170,0)))</f>
        <v>9.2800000000000011</v>
      </c>
      <c r="O138" s="565">
        <f>IF(O$10=$B$160,+AVERAGE(O18,O30,O42,O54,O66,O78,O90,O102,O114,O126),+IF(O$10=$B$161,+(EXP((LN(+'4. Customer Growth'!$Y$34)/12))*$O137),IF($O$10=$B$162,+$A138*$C$171+$D$171,0)))</f>
        <v>80.55</v>
      </c>
      <c r="P138" s="341">
        <f>IF(P$10=$B$160,+AVERAGE(P18,P30,P42,P54,P66,P78,P90,P102,P114,P126),+IF(P$10=$B$161,+(EXP((LN(+'4. Customer Growth'!$Y$34)/12))*$P137),IF($P$10=$B$162,+$A138*$C$172+$D$172,0)))</f>
        <v>0</v>
      </c>
      <c r="Q138" s="143"/>
      <c r="R138" s="167"/>
      <c r="S138" s="167">
        <f t="shared" si="23"/>
        <v>14501678.551994346</v>
      </c>
      <c r="T138" s="167"/>
      <c r="U138" s="167">
        <f t="shared" si="26"/>
        <v>14501678.551994346</v>
      </c>
      <c r="V138" s="571"/>
      <c r="W138" s="619"/>
      <c r="X138" s="143"/>
      <c r="Y138" s="143"/>
      <c r="Z138" s="143"/>
      <c r="AA138" s="143"/>
      <c r="AB138" s="143"/>
      <c r="AC138" s="143"/>
      <c r="AD138" s="143"/>
      <c r="AE138" s="143"/>
      <c r="AF138" s="143"/>
      <c r="AG138" s="143"/>
      <c r="AH138" s="143"/>
      <c r="AI138" s="143"/>
      <c r="AJ138" s="143"/>
      <c r="AK138" s="143"/>
      <c r="AL138" s="143"/>
      <c r="AM138" s="143"/>
      <c r="AN138" s="143"/>
      <c r="AO138" s="143"/>
      <c r="AP138" s="143"/>
      <c r="AQ138" s="143"/>
    </row>
    <row r="139" spans="1:43" x14ac:dyDescent="0.3">
      <c r="A139" s="339">
        <f t="shared" si="21"/>
        <v>129</v>
      </c>
      <c r="B139" s="166" t="str">
        <f>CONCATENATE('3. Consumption by Rate Class'!B144,"-",'3. Consumption by Rate Class'!C144)</f>
        <v>2023-September</v>
      </c>
      <c r="C139" s="586"/>
      <c r="D139" s="179"/>
      <c r="E139" s="179"/>
      <c r="F139" s="179"/>
      <c r="G139" s="179"/>
      <c r="H139" s="179"/>
      <c r="I139" s="179"/>
      <c r="J139" s="144"/>
      <c r="K139" s="564">
        <f>IF(K$10=$B$160,+AVERAGE(K19,K31,K43,K55,K67,K79,K91,K103,K115,K127),+IF(K$10=$B$161,+(EXP((LN(+'4. Customer Growth'!$Y$34)/12))*$K138),IF($K$10=$B$162,+$A139*$C$167+$D$167,0)))</f>
        <v>15151.822104487537</v>
      </c>
      <c r="L139" s="565">
        <f>IF(L$10=$B$160,+AVERAGE(L19,L31,L43,L55,L67,L79,L91,L103,L115,L127),+IF(L$10=$B$161,+(EXP((LN(+'4. Customer Growth'!$Y$34)/12))*$K138),IF($N$10=$B$162,+$A139*$C$168+$D$168,0)))</f>
        <v>1</v>
      </c>
      <c r="M139" s="565">
        <f>IF(M$10=$B$160,+AVERAGE(M19,M31,M43,M55,M67,M79,M91,M103,M115,M127),+IF(M$10=$B$161,+(EXP((LN(+'4. Customer Growth'!$Y$34)/12))*$O138),IF($O$10=$B$162,+$A139*$C$169+$D$169,0)))</f>
        <v>30</v>
      </c>
      <c r="N139" s="565">
        <f>IF(N$10=$B$160,+AVERAGE(N19,N31,N43,N55,N67,N79,N91,N103,N115,N127),+IF(N$10=$B$161,+(EXP((LN(+'4. Customer Growth'!$Y$34)/12))*$N138),IF($N$10=$B$162,+$A139*$C$170+$D$170,0)))</f>
        <v>67.440000000000012</v>
      </c>
      <c r="O139" s="565">
        <f>IF(O$10=$B$160,+AVERAGE(O19,O31,O43,O55,O67,O79,O91,O103,O115,O127),+IF(O$10=$B$161,+(EXP((LN(+'4. Customer Growth'!$Y$34)/12))*$O138),IF($O$10=$B$162,+$A139*$C$171+$D$171,0)))</f>
        <v>35.779999999999994</v>
      </c>
      <c r="P139" s="341">
        <f>IF(P$10=$B$160,+AVERAGE(P19,P31,P43,P55,P67,P79,P91,P103,P115,P127),+IF(P$10=$B$161,+(EXP((LN(+'4. Customer Growth'!$Y$34)/12))*$P138),IF($P$10=$B$162,+$A139*$C$172+$D$172,0)))</f>
        <v>0</v>
      </c>
      <c r="Q139" s="143"/>
      <c r="R139" s="167"/>
      <c r="S139" s="167">
        <f t="shared" ref="S139:S154" si="27">$Y$25+($K139*$Y$26)+($L139*$Y$27)+($M139*$Y$28)+($N139*$Y$29)+($O139*$Y$30)+($P139*$Y$31)</f>
        <v>11821131.196733626</v>
      </c>
      <c r="T139" s="167"/>
      <c r="U139" s="167">
        <f t="shared" si="26"/>
        <v>11821131.196733626</v>
      </c>
      <c r="V139" s="571"/>
      <c r="W139" s="619"/>
      <c r="X139" s="143"/>
      <c r="Y139" s="143"/>
      <c r="Z139" s="143"/>
      <c r="AA139" s="143"/>
      <c r="AB139" s="143"/>
      <c r="AC139" s="143"/>
      <c r="AD139" s="143"/>
      <c r="AE139" s="143"/>
      <c r="AF139" s="143"/>
      <c r="AG139" s="143"/>
      <c r="AH139" s="143"/>
      <c r="AI139" s="143"/>
      <c r="AJ139" s="143"/>
      <c r="AK139" s="143"/>
      <c r="AL139" s="143"/>
      <c r="AM139" s="143"/>
      <c r="AN139" s="143"/>
      <c r="AO139" s="143"/>
      <c r="AP139" s="143"/>
      <c r="AQ139" s="143"/>
    </row>
    <row r="140" spans="1:43" x14ac:dyDescent="0.3">
      <c r="A140" s="339">
        <f t="shared" si="21"/>
        <v>130</v>
      </c>
      <c r="B140" s="166" t="str">
        <f>CONCATENATE('3. Consumption by Rate Class'!B145,"-",'3. Consumption by Rate Class'!C145)</f>
        <v>2023-October</v>
      </c>
      <c r="C140" s="586"/>
      <c r="D140" s="179"/>
      <c r="E140" s="179"/>
      <c r="F140" s="179"/>
      <c r="G140" s="179"/>
      <c r="H140" s="179"/>
      <c r="I140" s="179"/>
      <c r="J140" s="144"/>
      <c r="K140" s="564">
        <f>IF(K$10=$B$160,+AVERAGE(K20,K32,K44,K56,K68,K80,K92,K104,K116,K128),+IF(K$10=$B$161,+(EXP((LN(+'4. Customer Growth'!$Y$34)/12))*$K139),IF($K$10=$B$162,+$A140*$C$167+$D$167,0)))</f>
        <v>15180.176952864855</v>
      </c>
      <c r="L140" s="565">
        <f>IF(L$10=$B$160,+AVERAGE(L20,L32,L44,L56,L68,L80,L92,L104,L116,L128),+IF(L$10=$B$161,+(EXP((LN(+'4. Customer Growth'!$Y$34)/12))*$K139),IF($N$10=$B$162,+$A140*$C$168+$D$168,0)))</f>
        <v>1</v>
      </c>
      <c r="M140" s="565">
        <f>IF(M$10=$B$160,+AVERAGE(M20,M32,M44,M56,M68,M80,M92,M104,M116,M128),+IF(M$10=$B$161,+(EXP((LN(+'4. Customer Growth'!$Y$34)/12))*$O139),IF($O$10=$B$162,+$A140*$C$169+$D$169,0)))</f>
        <v>31</v>
      </c>
      <c r="N140" s="565">
        <f>IF(N$10=$B$160,+AVERAGE(N20,N32,N44,N56,N68,N80,N92,N104,N116,N128),+IF(N$10=$B$161,+(EXP((LN(+'4. Customer Growth'!$Y$34)/12))*$N139),IF($N$10=$B$162,+$A140*$C$170+$D$170,0)))</f>
        <v>222.93999999999997</v>
      </c>
      <c r="O140" s="565">
        <f>IF(O$10=$B$160,+AVERAGE(O20,O32,O44,O56,O68,O80,O92,O104,O116,O128),+IF(O$10=$B$161,+(EXP((LN(+'4. Customer Growth'!$Y$34)/12))*$O139),IF($O$10=$B$162,+$A140*$C$171+$D$171,0)))</f>
        <v>4.6100000000000003</v>
      </c>
      <c r="P140" s="341">
        <f>IF(P$10=$B$160,+AVERAGE(P20,P32,P44,P56,P68,P80,P92,P104,P116,P128),+IF(P$10=$B$161,+(EXP((LN(+'4. Customer Growth'!$Y$34)/12))*$P139),IF($P$10=$B$162,+$A140*$C$172+$D$172,0)))</f>
        <v>0</v>
      </c>
      <c r="Q140" s="143"/>
      <c r="R140" s="167"/>
      <c r="S140" s="167">
        <f t="shared" si="27"/>
        <v>11942397.717358148</v>
      </c>
      <c r="T140" s="167"/>
      <c r="U140" s="167">
        <f t="shared" si="26"/>
        <v>11942397.717358148</v>
      </c>
      <c r="V140" s="571"/>
      <c r="W140" s="619"/>
      <c r="X140" s="143"/>
      <c r="Y140" s="143"/>
      <c r="Z140" s="143"/>
      <c r="AA140" s="143"/>
      <c r="AB140" s="143"/>
      <c r="AC140" s="143"/>
      <c r="AD140" s="143"/>
      <c r="AE140" s="143"/>
      <c r="AF140" s="143"/>
      <c r="AG140" s="143"/>
      <c r="AH140" s="143"/>
      <c r="AI140" s="143"/>
      <c r="AJ140" s="143"/>
      <c r="AK140" s="143"/>
      <c r="AL140" s="143"/>
      <c r="AM140" s="143"/>
      <c r="AN140" s="143"/>
      <c r="AO140" s="143"/>
      <c r="AP140" s="143"/>
      <c r="AQ140" s="143"/>
    </row>
    <row r="141" spans="1:43" x14ac:dyDescent="0.3">
      <c r="A141" s="339">
        <f t="shared" ref="A141:A154" si="28">+A140+1</f>
        <v>131</v>
      </c>
      <c r="B141" s="166" t="str">
        <f>CONCATENATE('3. Consumption by Rate Class'!B146,"-",'3. Consumption by Rate Class'!C146)</f>
        <v>2023-November</v>
      </c>
      <c r="C141" s="586"/>
      <c r="D141" s="179"/>
      <c r="E141" s="179"/>
      <c r="F141" s="179"/>
      <c r="G141" s="179"/>
      <c r="H141" s="179"/>
      <c r="I141" s="179"/>
      <c r="J141" s="144"/>
      <c r="K141" s="564">
        <f>IF(K$10=$B$160,+AVERAGE(K21,K33,K45,K57,K69,K81,K93,K105,K117,K129),+IF(K$10=$B$161,+(EXP((LN(+'4. Customer Growth'!$Y$34)/12))*$K140),IF($K$10=$B$162,+$A141*$C$167+$D$167,0)))</f>
        <v>15208.584863997328</v>
      </c>
      <c r="L141" s="565">
        <f>IF(L$10=$B$160,+AVERAGE(L21,L33,L45,L57,L69,L81,L93,L105,L117,L129),+IF(L$10=$B$161,+(EXP((LN(+'4. Customer Growth'!$Y$34)/12))*$K140),IF($N$10=$B$162,+$A141*$C$168+$D$168,0)))</f>
        <v>1</v>
      </c>
      <c r="M141" s="565">
        <f>IF(M$10=$B$160,+AVERAGE(M21,M33,M45,M57,M69,M81,M93,M105,M117,M129),+IF(M$10=$B$161,+(EXP((LN(+'4. Customer Growth'!$Y$34)/12))*$O140),IF($O$10=$B$162,+$A141*$C$169+$D$169,0)))</f>
        <v>30</v>
      </c>
      <c r="N141" s="565">
        <f>IF(N$10=$B$160,+AVERAGE(N21,N33,N45,N57,N69,N81,N93,N105,N117,N129),+IF(N$10=$B$161,+(EXP((LN(+'4. Customer Growth'!$Y$34)/12))*$N140),IF($N$10=$B$162,+$A141*$C$170+$D$170,0)))</f>
        <v>405.49</v>
      </c>
      <c r="O141" s="565">
        <f>IF(O$10=$B$160,+AVERAGE(O21,O33,O45,O57,O69,O81,O93,O105,O117,O129),+IF(O$10=$B$161,+(EXP((LN(+'4. Customer Growth'!$Y$34)/12))*$O140),IF($O$10=$B$162,+$A141*$C$171+$D$171,0)))</f>
        <v>1.2</v>
      </c>
      <c r="P141" s="341">
        <f>IF(P$10=$B$160,+AVERAGE(P21,P33,P45,P57,P69,P81,P93,P105,P117,P129),+IF(P$10=$B$161,+(EXP((LN(+'4. Customer Growth'!$Y$34)/12))*$P140),IF($P$10=$B$162,+$A141*$C$172+$D$172,0)))</f>
        <v>0</v>
      </c>
      <c r="Q141" s="143"/>
      <c r="R141" s="167"/>
      <c r="S141" s="167">
        <f t="shared" si="27"/>
        <v>12462903.342517475</v>
      </c>
      <c r="T141" s="167"/>
      <c r="U141" s="167">
        <f t="shared" si="26"/>
        <v>12462903.342517475</v>
      </c>
      <c r="V141" s="571"/>
      <c r="W141" s="619"/>
      <c r="X141" s="143"/>
      <c r="Y141" s="143"/>
      <c r="Z141" s="143"/>
      <c r="AA141" s="143"/>
      <c r="AB141" s="143"/>
      <c r="AC141" s="143"/>
      <c r="AD141" s="143"/>
      <c r="AE141" s="143"/>
      <c r="AF141" s="143"/>
      <c r="AG141" s="143"/>
      <c r="AH141" s="143"/>
      <c r="AI141" s="143"/>
      <c r="AJ141" s="143"/>
      <c r="AK141" s="143"/>
      <c r="AL141" s="143"/>
      <c r="AM141" s="143"/>
      <c r="AN141" s="143"/>
      <c r="AO141" s="143"/>
      <c r="AP141" s="143"/>
      <c r="AQ141" s="143"/>
    </row>
    <row r="142" spans="1:43" x14ac:dyDescent="0.3">
      <c r="A142" s="339">
        <f t="shared" si="28"/>
        <v>132</v>
      </c>
      <c r="B142" s="166" t="str">
        <f>CONCATENATE('3. Consumption by Rate Class'!B147,"-",'3. Consumption by Rate Class'!C147)</f>
        <v>2023-December</v>
      </c>
      <c r="C142" s="586"/>
      <c r="D142" s="179"/>
      <c r="E142" s="179"/>
      <c r="F142" s="179"/>
      <c r="G142" s="179"/>
      <c r="H142" s="179"/>
      <c r="I142" s="179"/>
      <c r="J142" s="144"/>
      <c r="K142" s="564">
        <f>IF(K$10=$B$160,+AVERAGE(K22,K34,K46,K58,K70,K82,K94,K106,K118,K130),+IF(K$10=$B$161,+(EXP((LN(+'4. Customer Growth'!$Y$34)/12))*$K141),IF($K$10=$B$162,+$A142*$C$167+$D$167,0)))</f>
        <v>15237.045937185647</v>
      </c>
      <c r="L142" s="565">
        <f>IF(L$10=$B$160,+AVERAGE(L22,L34,L46,L58,L70,L82,L94,L106,L118,L130),+IF(L$10=$B$161,+(EXP((LN(+'4. Customer Growth'!$Y$34)/12))*$K141),IF($N$10=$B$162,+$A142*$C$168+$D$168,0)))</f>
        <v>0</v>
      </c>
      <c r="M142" s="565">
        <f>IF(M$10=$B$160,+AVERAGE(M22,M34,M46,M58,M70,M82,M94,M106,M118,M130),+IF(M$10=$B$161,+(EXP((LN(+'4. Customer Growth'!$Y$34)/12))*$O141),IF($O$10=$B$162,+$A142*$C$169+$D$169,0)))</f>
        <v>31</v>
      </c>
      <c r="N142" s="565">
        <f>IF(N$10=$B$160,+AVERAGE(N22,N34,N46,N58,N70,N82,N94,N106,N118,N130),+IF(N$10=$B$161,+(EXP((LN(+'4. Customer Growth'!$Y$34)/12))*$N141),IF($N$10=$B$162,+$A142*$C$170+$D$170,0)))</f>
        <v>573.88000000000011</v>
      </c>
      <c r="O142" s="565">
        <f>IF(O$10=$B$160,+AVERAGE(O22,O34,O46,O58,O70,O82,O94,O106,O118,O130),+IF(O$10=$B$161,+(EXP((LN(+'4. Customer Growth'!$Y$34)/12))*$O141),IF($O$10=$B$162,+$A142*$C$171+$D$171,0)))</f>
        <v>0</v>
      </c>
      <c r="P142" s="341">
        <f>IF(P$10=$B$160,+AVERAGE(P22,P34,P46,P58,P70,P82,P94,P106,P118,P130),+IF(P$10=$B$161,+(EXP((LN(+'4. Customer Growth'!$Y$34)/12))*$P141),IF($P$10=$B$162,+$A142*$C$172+$D$172,0)))</f>
        <v>0</v>
      </c>
      <c r="Q142" s="143"/>
      <c r="R142" s="167"/>
      <c r="S142" s="167">
        <f t="shared" si="27"/>
        <v>14695659.668775443</v>
      </c>
      <c r="T142" s="167"/>
      <c r="U142" s="167">
        <f t="shared" si="26"/>
        <v>14695659.668775443</v>
      </c>
      <c r="V142" s="171">
        <f>SUM(U131:U142)</f>
        <v>159325738.91465476</v>
      </c>
      <c r="W142" s="618"/>
      <c r="X142" s="143"/>
      <c r="Y142" s="143"/>
      <c r="Z142" s="143"/>
      <c r="AA142" s="143"/>
      <c r="AB142" s="143"/>
      <c r="AC142" s="143"/>
      <c r="AD142" s="143"/>
      <c r="AE142" s="143"/>
      <c r="AF142" s="143"/>
      <c r="AG142" s="143"/>
      <c r="AH142" s="143"/>
      <c r="AI142" s="143"/>
      <c r="AJ142" s="143"/>
      <c r="AK142" s="143"/>
      <c r="AL142" s="143"/>
      <c r="AM142" s="143"/>
      <c r="AN142" s="143"/>
      <c r="AO142" s="143"/>
      <c r="AP142" s="143"/>
      <c r="AQ142" s="143"/>
    </row>
    <row r="143" spans="1:43" x14ac:dyDescent="0.3">
      <c r="A143" s="339">
        <f t="shared" si="28"/>
        <v>133</v>
      </c>
      <c r="B143" s="166" t="str">
        <f>CONCATENATE('3. Consumption by Rate Class'!B148,"-",'3. Consumption by Rate Class'!C148)</f>
        <v>2024-January</v>
      </c>
      <c r="C143" s="586"/>
      <c r="D143" s="179"/>
      <c r="E143" s="179"/>
      <c r="F143" s="179"/>
      <c r="G143" s="179"/>
      <c r="H143" s="179"/>
      <c r="I143" s="179"/>
      <c r="J143" s="144"/>
      <c r="K143" s="564">
        <f>IF(K$10=$B$160,+AVERAGE(K11,K23,K35,K47,K59,K71,K83,K95,K107,K119),+IF(K$10=$B$161,+(EXP((LN(+'4. Customer Growth'!$Y$35)/12))*$K142),IF($K$10=$B$162,+$A143*$C$167+$D$167,0)))</f>
        <v>15257.433328264045</v>
      </c>
      <c r="L143" s="565">
        <f>IF(L$10=$B$160,+AVERAGE(L23,L35,L47,L59,L71,L83,L95,L107,L119,L131),+IF(L$10=$B$161,+(EXP((LN(+'4. Customer Growth'!$Y$34)/12))*$K142),IF($N$10=$B$162,+$A143*$C$168+$D$168,0)))</f>
        <v>0</v>
      </c>
      <c r="M143" s="565">
        <f>IF(M$10=$B$160,+AVERAGE(M23,M35,M47,M59,M71,M83,M95,M107,M119,M131),+IF(M$10=$B$161,+(EXP((LN(+'4. Customer Growth'!$Y$34)/12))*$O142),IF($O$10=$B$162,+$A143*$C$169+$D$169,0)))</f>
        <v>31</v>
      </c>
      <c r="N143" s="565">
        <f>IF(N$10=$B$160,+AVERAGE(N23,N35,N47,N59,N71,N83,N95,N107,N119,N131),+IF(N$10=$B$161,+(EXP((LN(+'4. Customer Growth'!$Y$34)/12))*$N142),IF($N$10=$B$162,+$A143*$C$170+$D$170,0)))</f>
        <v>711.01599999999996</v>
      </c>
      <c r="O143" s="565">
        <f>IF(O$10=$B$160,+AVERAGE(O11,O23,O35,O47,O59,O71,O83,O95,O107,O119),+IF(O$10=$B$161,+(EXP((LN(+'4. Customer Growth'!$Y$35)/12))*$O142),IF($O$10=$B$162,+$A143*$C$171+$D$171,0)))</f>
        <v>0</v>
      </c>
      <c r="P143" s="341">
        <f>IF(P$10=$B$160,+AVERAGE(P11,P23,P35,P47,P59,P71,P83,P95,P107,P119),+IF(P$10=$B$161,+(EXP((LN(+'4. Customer Growth'!$Y$35)/12))*$P142),IF($P$10=$B$162,+$A143*$C$172+$D$172,0)))</f>
        <v>0</v>
      </c>
      <c r="Q143" s="143"/>
      <c r="R143" s="167"/>
      <c r="S143" s="167">
        <f t="shared" si="27"/>
        <v>15504403.300241664</v>
      </c>
      <c r="T143" s="167"/>
      <c r="U143" s="167">
        <f t="shared" si="26"/>
        <v>15504403.300241664</v>
      </c>
      <c r="V143" s="571"/>
      <c r="W143" s="619"/>
      <c r="X143" s="143"/>
      <c r="Y143" s="143"/>
      <c r="Z143" s="143"/>
      <c r="AA143" s="143"/>
      <c r="AB143" s="143"/>
      <c r="AC143" s="143"/>
      <c r="AD143" s="143"/>
      <c r="AE143" s="143"/>
      <c r="AF143" s="143"/>
      <c r="AG143" s="143"/>
      <c r="AH143" s="143"/>
      <c r="AI143" s="143"/>
      <c r="AJ143" s="143"/>
      <c r="AK143" s="143"/>
      <c r="AL143" s="143"/>
      <c r="AM143" s="143"/>
      <c r="AN143" s="143"/>
      <c r="AO143" s="143"/>
      <c r="AP143" s="143"/>
      <c r="AQ143" s="143"/>
    </row>
    <row r="144" spans="1:43" x14ac:dyDescent="0.3">
      <c r="A144" s="339">
        <f t="shared" si="28"/>
        <v>134</v>
      </c>
      <c r="B144" s="166" t="str">
        <f>CONCATENATE('3. Consumption by Rate Class'!B149,"-",'3. Consumption by Rate Class'!C149)</f>
        <v>2024-February</v>
      </c>
      <c r="C144" s="586"/>
      <c r="D144" s="179"/>
      <c r="E144" s="179"/>
      <c r="F144" s="179"/>
      <c r="G144" s="179"/>
      <c r="H144" s="179"/>
      <c r="I144" s="179"/>
      <c r="J144" s="144"/>
      <c r="K144" s="564">
        <f>IF(K$10=$B$160,+AVERAGE(K12,K24,K36,K48,K60,K72,K84,K96,K108,K120),+IF(K$10=$B$161,+(EXP((LN(+'4. Customer Growth'!$Y$35)/12))*$K143),IF($K$10=$B$162,+$A144*$C$167+$D$167,0)))</f>
        <v>15277.847997970906</v>
      </c>
      <c r="L144" s="565">
        <f>IF(L$10=$B$160,+AVERAGE(L24,L36,L48,L60,L72,L84,L96,L108,L120,L132),+IF(L$10=$B$161,+(EXP((LN(+'4. Customer Growth'!$Y$34)/12))*$K143),IF($N$10=$B$162,+$A144*$C$168+$D$168,0)))</f>
        <v>0</v>
      </c>
      <c r="M144" s="565">
        <f>IF(M$10=$B$160,+AVERAGE(M24,M36,M48,M60,M72,M84,M96,M108,M120,M132),+IF(M$10=$B$161,+(EXP((LN(+'4. Customer Growth'!$Y$34)/12))*$O143),IF($O$10=$B$162,+$A144*$C$169+$D$169,0)))</f>
        <v>28.22</v>
      </c>
      <c r="N144" s="565">
        <f>IF(N$10=$B$160,+AVERAGE(N24,N36,N48,N60,N72,N84,N96,N108,N120,N132),+IF(N$10=$B$161,+(EXP((LN(+'4. Customer Growth'!$Y$34)/12))*$N143),IF($N$10=$B$162,+$A144*$C$170+$D$170,0)))</f>
        <v>647.63500000000022</v>
      </c>
      <c r="O144" s="565">
        <f>IF(O$10=$B$160,+AVERAGE(O12,O24,O36,O48,O60,O72,O84,O96,O108,O120),+IF(O$10=$B$161,+(EXP((LN(+'4. Customer Growth'!$Y$35)/12))*$O143),IF($O$10=$B$162,+$A144*$C$171+$D$171,0)))</f>
        <v>0</v>
      </c>
      <c r="P144" s="341">
        <f>IF(P$10=$B$160,+AVERAGE(P12,P24,P36,P48,P60,P72,P84,P96,P108,P120),+IF(P$10=$B$161,+(EXP((LN(+'4. Customer Growth'!$Y$35)/12))*$P143),IF($P$10=$B$162,+$A144*$C$172+$D$172,0)))</f>
        <v>0</v>
      </c>
      <c r="Q144" s="143"/>
      <c r="R144" s="167"/>
      <c r="S144" s="167">
        <f t="shared" si="27"/>
        <v>13981183.372982319</v>
      </c>
      <c r="T144" s="167"/>
      <c r="U144" s="167">
        <f t="shared" si="26"/>
        <v>13981183.372982319</v>
      </c>
      <c r="V144" s="571"/>
      <c r="W144" s="619"/>
      <c r="X144" s="143"/>
      <c r="Y144" s="143"/>
      <c r="Z144" s="143"/>
      <c r="AA144" s="143"/>
      <c r="AB144" s="143"/>
      <c r="AC144" s="143"/>
      <c r="AD144" s="143"/>
      <c r="AE144" s="143"/>
      <c r="AF144" s="143"/>
      <c r="AG144" s="143"/>
      <c r="AH144" s="143"/>
      <c r="AI144" s="143"/>
      <c r="AJ144" s="143"/>
      <c r="AK144" s="143"/>
      <c r="AL144" s="143"/>
      <c r="AM144" s="143"/>
      <c r="AN144" s="143"/>
      <c r="AO144" s="143"/>
      <c r="AP144" s="143"/>
      <c r="AQ144" s="143"/>
    </row>
    <row r="145" spans="1:43" x14ac:dyDescent="0.3">
      <c r="A145" s="339">
        <f t="shared" si="28"/>
        <v>135</v>
      </c>
      <c r="B145" s="166" t="str">
        <f>CONCATENATE('3. Consumption by Rate Class'!B150,"-",'3. Consumption by Rate Class'!C150)</f>
        <v>2024-March</v>
      </c>
      <c r="C145" s="586"/>
      <c r="D145" s="179"/>
      <c r="E145" s="179"/>
      <c r="F145" s="179"/>
      <c r="G145" s="179"/>
      <c r="H145" s="179"/>
      <c r="I145" s="179"/>
      <c r="J145" s="144"/>
      <c r="K145" s="564">
        <f>IF(K$10=$B$160,+AVERAGE(K13,K25,K37,K49,K61,K73,K85,K97,K109,K121),+IF(K$10=$B$161,+(EXP((LN(+'4. Customer Growth'!$Y$35)/12))*$K144),IF($K$10=$B$162,+$A145*$C$167+$D$167,0)))</f>
        <v>15298.289982805434</v>
      </c>
      <c r="L145" s="565">
        <f>IF(L$10=$B$160,+AVERAGE(L25,L37,L49,L61,L73,L85,L97,L109,L121,L133),+IF(L$10=$B$161,+(EXP((LN(+'4. Customer Growth'!$Y$34)/12))*$K144),IF($N$10=$B$162,+$A145*$C$168+$D$168,0)))</f>
        <v>1</v>
      </c>
      <c r="M145" s="565">
        <f>IF(M$10=$B$160,+AVERAGE(M25,M37,M49,M61,M73,M85,M97,M109,M121,M133),+IF(M$10=$B$161,+(EXP((LN(+'4. Customer Growth'!$Y$34)/12))*$O144),IF($O$10=$B$162,+$A145*$C$169+$D$169,0)))</f>
        <v>31</v>
      </c>
      <c r="N145" s="565">
        <f>IF(N$10=$B$160,+AVERAGE(N25,N37,N49,N61,N73,N85,N97,N109,N121,N133),+IF(N$10=$B$161,+(EXP((LN(+'4. Customer Growth'!$Y$34)/12))*$N144),IF($N$10=$B$162,+$A145*$C$170+$D$170,0)))</f>
        <v>567.38299999999992</v>
      </c>
      <c r="O145" s="565">
        <f>IF(O$10=$B$160,+AVERAGE(O13,O25,O37,O49,O61,O73,O85,O97,O109,O121),+IF(O$10=$B$161,+(EXP((LN(+'4. Customer Growth'!$Y$35)/12))*$O144),IF($O$10=$B$162,+$A145*$C$171+$D$171,0)))</f>
        <v>0</v>
      </c>
      <c r="P145" s="341">
        <f>IF(P$10=$B$160,+AVERAGE(P13,P25,P37,P49,P61,P73,P85,P97,P109,P121),+IF(P$10=$B$161,+(EXP((LN(+'4. Customer Growth'!$Y$35)/12))*$P144),IF($P$10=$B$162,+$A145*$C$172+$D$172,0)))</f>
        <v>0</v>
      </c>
      <c r="Q145" s="143"/>
      <c r="R145" s="167"/>
      <c r="S145" s="167">
        <f t="shared" si="27"/>
        <v>13854185.539045598</v>
      </c>
      <c r="T145" s="167"/>
      <c r="U145" s="167">
        <f t="shared" si="26"/>
        <v>13854185.539045598</v>
      </c>
      <c r="V145" s="571"/>
      <c r="W145" s="619"/>
      <c r="X145" s="143"/>
      <c r="Y145" s="143"/>
      <c r="Z145" s="143"/>
      <c r="AA145" s="143"/>
      <c r="AB145" s="143"/>
      <c r="AC145" s="143"/>
      <c r="AD145" s="143"/>
      <c r="AE145" s="143"/>
      <c r="AF145" s="143"/>
      <c r="AG145" s="143"/>
      <c r="AH145" s="143"/>
      <c r="AI145" s="143"/>
      <c r="AJ145" s="143"/>
      <c r="AK145" s="143"/>
      <c r="AL145" s="143"/>
      <c r="AM145" s="143"/>
      <c r="AN145" s="143"/>
      <c r="AO145" s="143"/>
      <c r="AP145" s="143"/>
      <c r="AQ145" s="143"/>
    </row>
    <row r="146" spans="1:43" x14ac:dyDescent="0.3">
      <c r="A146" s="339">
        <f t="shared" si="28"/>
        <v>136</v>
      </c>
      <c r="B146" s="166" t="str">
        <f>CONCATENATE('3. Consumption by Rate Class'!B151,"-",'3. Consumption by Rate Class'!C151)</f>
        <v>2024-April</v>
      </c>
      <c r="C146" s="586"/>
      <c r="D146" s="179"/>
      <c r="E146" s="179"/>
      <c r="F146" s="179"/>
      <c r="G146" s="179"/>
      <c r="H146" s="179"/>
      <c r="I146" s="179"/>
      <c r="J146" s="144"/>
      <c r="K146" s="564">
        <f>IF(K$10=$B$160,+AVERAGE(K14,K26,K38,K50,K62,K74,K86,K98,K110,K122),+IF(K$10=$B$161,+(EXP((LN(+'4. Customer Growth'!$Y$35)/12))*$K145),IF($K$10=$B$162,+$A146*$C$167+$D$167,0)))</f>
        <v>15318.759319315672</v>
      </c>
      <c r="L146" s="565">
        <f>IF(L$10=$B$160,+AVERAGE(L26,L38,L50,L62,L74,L86,L98,L110,L122,L134),+IF(L$10=$B$161,+(EXP((LN(+'4. Customer Growth'!$Y$34)/12))*$K145),IF($N$10=$B$162,+$A146*$C$168+$D$168,0)))</f>
        <v>1</v>
      </c>
      <c r="M146" s="565">
        <f>IF(M$10=$B$160,+AVERAGE(M26,M38,M50,M62,M74,M86,M98,M110,M122,M134),+IF(M$10=$B$161,+(EXP((LN(+'4. Customer Growth'!$Y$34)/12))*$O145),IF($O$10=$B$162,+$A146*$C$169+$D$169,0)))</f>
        <v>30</v>
      </c>
      <c r="N146" s="565">
        <f>IF(N$10=$B$160,+AVERAGE(N26,N38,N50,N62,N74,N86,N98,N110,N122,N134),+IF(N$10=$B$161,+(EXP((LN(+'4. Customer Growth'!$Y$34)/12))*$N145),IF($N$10=$B$162,+$A146*$C$170+$D$170,0)))</f>
        <v>376.97199999999998</v>
      </c>
      <c r="O146" s="565">
        <f>IF(O$10=$B$160,+AVERAGE(O14,O26,O38,O50,O62,O74,O86,O98,O110,O122),+IF(O$10=$B$161,+(EXP((LN(+'4. Customer Growth'!$Y$35)/12))*$O145),IF($O$10=$B$162,+$A146*$C$171+$D$171,0)))</f>
        <v>0.08</v>
      </c>
      <c r="P146" s="341">
        <f>IF(P$10=$B$160,+AVERAGE(P14,P26,P38,P50,P62,P74,P86,P98,P110,P122),+IF(P$10=$B$161,+(EXP((LN(+'4. Customer Growth'!$Y$35)/12))*$P145),IF($P$10=$B$162,+$A146*$C$172+$D$172,0)))</f>
        <v>0</v>
      </c>
      <c r="Q146" s="143"/>
      <c r="R146" s="167"/>
      <c r="S146" s="167">
        <f t="shared" si="27"/>
        <v>12355898.358022602</v>
      </c>
      <c r="T146" s="167"/>
      <c r="U146" s="167">
        <f t="shared" si="26"/>
        <v>12355898.358022602</v>
      </c>
      <c r="V146" s="571"/>
      <c r="W146" s="619"/>
      <c r="X146" s="143"/>
      <c r="Y146" s="143"/>
      <c r="Z146" s="143"/>
      <c r="AA146" s="143"/>
      <c r="AB146" s="143"/>
      <c r="AC146" s="143"/>
      <c r="AD146" s="143"/>
      <c r="AE146" s="143"/>
      <c r="AF146" s="143"/>
      <c r="AG146" s="143"/>
      <c r="AH146" s="143"/>
      <c r="AI146" s="143"/>
      <c r="AJ146" s="143"/>
      <c r="AK146" s="143"/>
      <c r="AL146" s="143"/>
      <c r="AM146" s="143"/>
      <c r="AN146" s="143"/>
      <c r="AO146" s="143"/>
      <c r="AP146" s="143"/>
      <c r="AQ146" s="143"/>
    </row>
    <row r="147" spans="1:43" x14ac:dyDescent="0.3">
      <c r="A147" s="339">
        <f t="shared" si="28"/>
        <v>137</v>
      </c>
      <c r="B147" s="166" t="str">
        <f>CONCATENATE('3. Consumption by Rate Class'!B152,"-",'3. Consumption by Rate Class'!C152)</f>
        <v>2024-May</v>
      </c>
      <c r="C147" s="586"/>
      <c r="D147" s="179"/>
      <c r="E147" s="179"/>
      <c r="F147" s="179"/>
      <c r="G147" s="179"/>
      <c r="H147" s="179"/>
      <c r="I147" s="179"/>
      <c r="J147" s="144"/>
      <c r="K147" s="564">
        <f>IF(K$10=$B$160,+AVERAGE(K15,K27,K39,K51,K63,K75,K87,K99,K111,K123),+IF(K$10=$B$161,+(EXP((LN(+'4. Customer Growth'!$Y$35)/12))*$K146),IF($K$10=$B$162,+$A147*$C$167+$D$167,0)))</f>
        <v>15339.256044098562</v>
      </c>
      <c r="L147" s="565">
        <f>IF(L$10=$B$160,+AVERAGE(L27,L39,L51,L63,L75,L87,L99,L111,L123,L135),+IF(L$10=$B$161,+(EXP((LN(+'4. Customer Growth'!$Y$34)/12))*$K146),IF($N$10=$B$162,+$A147*$C$168+$D$168,0)))</f>
        <v>1</v>
      </c>
      <c r="M147" s="565">
        <f>IF(M$10=$B$160,+AVERAGE(M27,M39,M51,M63,M75,M87,M99,M111,M123,M135),+IF(M$10=$B$161,+(EXP((LN(+'4. Customer Growth'!$Y$34)/12))*$O146),IF($O$10=$B$162,+$A147*$C$169+$D$169,0)))</f>
        <v>31</v>
      </c>
      <c r="N147" s="565">
        <f>IF(N$10=$B$160,+AVERAGE(N27,N39,N51,N63,N75,N87,N99,N111,N123,N135),+IF(N$10=$B$161,+(EXP((LN(+'4. Customer Growth'!$Y$34)/12))*$N146),IF($N$10=$B$162,+$A147*$C$170+$D$170,0)))</f>
        <v>191.904</v>
      </c>
      <c r="O147" s="565">
        <f>IF(O$10=$B$160,+AVERAGE(O15,O27,O39,O51,O63,O75,O87,O99,O111,O123),+IF(O$10=$B$161,+(EXP((LN(+'4. Customer Growth'!$Y$35)/12))*$O146),IF($O$10=$B$162,+$A147*$C$171+$D$171,0)))</f>
        <v>15.87</v>
      </c>
      <c r="P147" s="341">
        <f>IF(P$10=$B$160,+AVERAGE(P15,P27,P39,P51,P63,P75,P87,P99,P111,P123),+IF(P$10=$B$161,+(EXP((LN(+'4. Customer Growth'!$Y$35)/12))*$P146),IF($P$10=$B$162,+$A147*$C$172+$D$172,0)))</f>
        <v>0</v>
      </c>
      <c r="Q147" s="143"/>
      <c r="R147" s="167"/>
      <c r="S147" s="167">
        <f t="shared" si="27"/>
        <v>12351947.016174197</v>
      </c>
      <c r="T147" s="167"/>
      <c r="U147" s="167">
        <f t="shared" si="26"/>
        <v>12351947.016174197</v>
      </c>
      <c r="V147" s="571"/>
      <c r="W147" s="619"/>
      <c r="X147" s="143"/>
      <c r="Y147" s="143"/>
      <c r="Z147" s="143"/>
      <c r="AA147" s="143"/>
      <c r="AB147" s="143"/>
      <c r="AC147" s="143"/>
      <c r="AD147" s="143"/>
      <c r="AE147" s="143"/>
      <c r="AF147" s="143"/>
      <c r="AG147" s="143"/>
      <c r="AH147" s="143"/>
      <c r="AI147" s="143"/>
      <c r="AJ147" s="143"/>
      <c r="AK147" s="143"/>
      <c r="AL147" s="143"/>
      <c r="AM147" s="143"/>
      <c r="AN147" s="143"/>
      <c r="AO147" s="143"/>
      <c r="AP147" s="143"/>
      <c r="AQ147" s="143"/>
    </row>
    <row r="148" spans="1:43" x14ac:dyDescent="0.3">
      <c r="A148" s="339">
        <f t="shared" si="28"/>
        <v>138</v>
      </c>
      <c r="B148" s="166" t="str">
        <f>CONCATENATE('3. Consumption by Rate Class'!B153,"-",'3. Consumption by Rate Class'!C153)</f>
        <v>2024-June</v>
      </c>
      <c r="C148" s="586"/>
      <c r="D148" s="179"/>
      <c r="E148" s="179"/>
      <c r="F148" s="179"/>
      <c r="G148" s="179"/>
      <c r="H148" s="179"/>
      <c r="I148" s="179"/>
      <c r="J148" s="144"/>
      <c r="K148" s="564">
        <f>IF(K$10=$B$160,+AVERAGE(K16,K28,K40,K52,K64,K76,K88,K100,K112,K124),+IF(K$10=$B$161,+(EXP((LN(+'4. Customer Growth'!$Y$35)/12))*$K147),IF($K$10=$B$162,+$A148*$C$167+$D$167,0)))</f>
        <v>15359.780193800016</v>
      </c>
      <c r="L148" s="565">
        <f>IF(L$10=$B$160,+AVERAGE(L28,L40,L52,L64,L76,L88,L100,L112,L124,L136),+IF(L$10=$B$161,+(EXP((LN(+'4. Customer Growth'!$Y$34)/12))*$K147),IF($N$10=$B$162,+$A148*$C$168+$D$168,0)))</f>
        <v>0</v>
      </c>
      <c r="M148" s="565">
        <f>IF(M$10=$B$160,+AVERAGE(M28,M40,M52,M64,M76,M88,M100,M112,M124,M136),+IF(M$10=$B$161,+(EXP((LN(+'4. Customer Growth'!$Y$34)/12))*$O147),IF($O$10=$B$162,+$A148*$C$169+$D$169,0)))</f>
        <v>30</v>
      </c>
      <c r="N148" s="565">
        <f>IF(N$10=$B$160,+AVERAGE(N28,N40,N52,N64,N76,N88,N100,N112,N124,N136),+IF(N$10=$B$161,+(EXP((LN(+'4. Customer Growth'!$Y$34)/12))*$N147),IF($N$10=$B$162,+$A148*$C$170+$D$170,0)))</f>
        <v>59.836000000000013</v>
      </c>
      <c r="O148" s="565">
        <f>IF(O$10=$B$160,+AVERAGE(O16,O28,O40,O52,O64,O76,O88,O100,O112,O124),+IF(O$10=$B$161,+(EXP((LN(+'4. Customer Growth'!$Y$35)/12))*$O147),IF($O$10=$B$162,+$A148*$C$171+$D$171,0)))</f>
        <v>36.730000000000004</v>
      </c>
      <c r="P148" s="341">
        <f>IF(P$10=$B$160,+AVERAGE(P16,P28,P40,P52,P64,P76,P88,P100,P112,P124),+IF(P$10=$B$161,+(EXP((LN(+'4. Customer Growth'!$Y$35)/12))*$P147),IF($P$10=$B$162,+$A148*$C$172+$D$172,0)))</f>
        <v>0</v>
      </c>
      <c r="Q148" s="143"/>
      <c r="R148" s="167"/>
      <c r="S148" s="167">
        <f t="shared" si="27"/>
        <v>12866091.212633954</v>
      </c>
      <c r="T148" s="167"/>
      <c r="U148" s="167">
        <f t="shared" si="26"/>
        <v>12866091.212633954</v>
      </c>
      <c r="V148" s="571"/>
      <c r="W148" s="619"/>
      <c r="X148" s="143"/>
      <c r="Y148" s="143"/>
      <c r="Z148" s="143"/>
      <c r="AA148" s="143"/>
      <c r="AB148" s="143"/>
      <c r="AC148" s="143"/>
      <c r="AD148" s="143"/>
      <c r="AE148" s="143"/>
      <c r="AF148" s="143"/>
      <c r="AG148" s="143"/>
      <c r="AH148" s="143"/>
      <c r="AI148" s="143"/>
      <c r="AJ148" s="143"/>
      <c r="AK148" s="143"/>
      <c r="AL148" s="143"/>
      <c r="AM148" s="143"/>
      <c r="AN148" s="143"/>
      <c r="AO148" s="143"/>
      <c r="AP148" s="143"/>
      <c r="AQ148" s="143"/>
    </row>
    <row r="149" spans="1:43" x14ac:dyDescent="0.3">
      <c r="A149" s="339">
        <f t="shared" si="28"/>
        <v>139</v>
      </c>
      <c r="B149" s="166" t="str">
        <f>CONCATENATE('3. Consumption by Rate Class'!B154,"-",'3. Consumption by Rate Class'!C154)</f>
        <v>2024-July</v>
      </c>
      <c r="C149" s="586"/>
      <c r="D149" s="179"/>
      <c r="E149" s="179"/>
      <c r="F149" s="179"/>
      <c r="G149" s="179"/>
      <c r="H149" s="179"/>
      <c r="I149" s="179"/>
      <c r="J149" s="144"/>
      <c r="K149" s="564">
        <f>IF(K$10=$B$160,+AVERAGE(K17,K29,K41,K53,K65,K77,K89,K101,K113,K125),+IF(K$10=$B$161,+(EXP((LN(+'4. Customer Growth'!$Y$35)/12))*$K148),IF($K$10=$B$162,+$A149*$C$167+$D$167,0)))</f>
        <v>15380.331805114976</v>
      </c>
      <c r="L149" s="565">
        <f>IF(L$10=$B$160,+AVERAGE(L29,L41,L53,L65,L77,L89,L101,L113,L125,L137),+IF(L$10=$B$161,+(EXP((LN(+'4. Customer Growth'!$Y$34)/12))*$K148),IF($N$10=$B$162,+$A149*$C$168+$D$168,0)))</f>
        <v>0</v>
      </c>
      <c r="M149" s="565">
        <f>IF(M$10=$B$160,+AVERAGE(M29,M41,M53,M65,M77,M89,M101,M113,M125,M137),+IF(M$10=$B$161,+(EXP((LN(+'4. Customer Growth'!$Y$34)/12))*$O148),IF($O$10=$B$162,+$A149*$C$169+$D$169,0)))</f>
        <v>31</v>
      </c>
      <c r="N149" s="565">
        <f>IF(N$10=$B$160,+AVERAGE(N29,N41,N53,N65,N77,N89,N101,N113,N125,N137),+IF(N$10=$B$161,+(EXP((LN(+'4. Customer Growth'!$Y$34)/12))*$N148),IF($N$10=$B$162,+$A149*$C$170+$D$170,0)))</f>
        <v>9.6769999999999996</v>
      </c>
      <c r="O149" s="565">
        <f>IF(O$10=$B$160,+AVERAGE(O17,O29,O41,O53,O65,O77,O89,O101,O113,O125),+IF(O$10=$B$161,+(EXP((LN(+'4. Customer Growth'!$Y$35)/12))*$O148),IF($O$10=$B$162,+$A149*$C$171+$D$171,0)))</f>
        <v>87.710000000000008</v>
      </c>
      <c r="P149" s="341">
        <f>IF(P$10=$B$160,+AVERAGE(P17,P29,P41,P53,P65,P77,P89,P101,P113,P125),+IF(P$10=$B$161,+(EXP((LN(+'4. Customer Growth'!$Y$35)/12))*$P148),IF($P$10=$B$162,+$A149*$C$172+$D$172,0)))</f>
        <v>0</v>
      </c>
      <c r="Q149" s="143"/>
      <c r="R149" s="167"/>
      <c r="S149" s="167">
        <f t="shared" si="27"/>
        <v>15021137.873517504</v>
      </c>
      <c r="T149" s="167"/>
      <c r="U149" s="167">
        <f t="shared" si="26"/>
        <v>15021137.873517504</v>
      </c>
      <c r="V149" s="571"/>
      <c r="W149" s="619"/>
      <c r="X149" s="143"/>
      <c r="Y149" s="143"/>
      <c r="Z149" s="143"/>
      <c r="AA149" s="143"/>
      <c r="AB149" s="143"/>
      <c r="AC149" s="143"/>
      <c r="AD149" s="143"/>
      <c r="AE149" s="143"/>
      <c r="AF149" s="143"/>
      <c r="AG149" s="143"/>
      <c r="AH149" s="143"/>
      <c r="AI149" s="143"/>
      <c r="AJ149" s="143"/>
      <c r="AK149" s="143"/>
      <c r="AL149" s="143"/>
      <c r="AM149" s="143"/>
      <c r="AN149" s="143"/>
      <c r="AO149" s="143"/>
      <c r="AP149" s="143"/>
      <c r="AQ149" s="143"/>
    </row>
    <row r="150" spans="1:43" x14ac:dyDescent="0.3">
      <c r="A150" s="339">
        <f t="shared" si="28"/>
        <v>140</v>
      </c>
      <c r="B150" s="166" t="str">
        <f>CONCATENATE('3. Consumption by Rate Class'!B155,"-",'3. Consumption by Rate Class'!C155)</f>
        <v>2024-August</v>
      </c>
      <c r="C150" s="586"/>
      <c r="D150" s="179"/>
      <c r="E150" s="179"/>
      <c r="F150" s="179"/>
      <c r="G150" s="179"/>
      <c r="H150" s="179"/>
      <c r="I150" s="179"/>
      <c r="J150" s="144"/>
      <c r="K150" s="564">
        <f>IF(K$10=$B$160,+AVERAGE(K18,K30,K42,K54,K66,K78,K90,K102,K114,K126),+IF(K$10=$B$161,+(EXP((LN(+'4. Customer Growth'!$Y$35)/12))*$K149),IF($K$10=$B$162,+$A150*$C$167+$D$167,0)))</f>
        <v>15400.910914787486</v>
      </c>
      <c r="L150" s="565">
        <f>IF(L$10=$B$160,+AVERAGE(L30,L42,L54,L66,L78,L90,L102,L114,L126,L138),+IF(L$10=$B$161,+(EXP((LN(+'4. Customer Growth'!$Y$34)/12))*$K149),IF($N$10=$B$162,+$A150*$C$168+$D$168,0)))</f>
        <v>0</v>
      </c>
      <c r="M150" s="565">
        <f>IF(M$10=$B$160,+AVERAGE(M30,M42,M54,M66,M78,M90,M102,M114,M126,M138),+IF(M$10=$B$161,+(EXP((LN(+'4. Customer Growth'!$Y$34)/12))*$O149),IF($O$10=$B$162,+$A150*$C$169+$D$169,0)))</f>
        <v>31</v>
      </c>
      <c r="N150" s="565">
        <f>IF(N$10=$B$160,+AVERAGE(N30,N42,N54,N66,N78,N90,N102,N114,N126,N138),+IF(N$10=$B$161,+(EXP((LN(+'4. Customer Growth'!$Y$34)/12))*$N149),IF($N$10=$B$162,+$A150*$C$170+$D$170,0)))</f>
        <v>8.8279999999999994</v>
      </c>
      <c r="O150" s="565">
        <f>IF(O$10=$B$160,+AVERAGE(O18,O30,O42,O54,O66,O78,O90,O102,O114,O126),+IF(O$10=$B$161,+(EXP((LN(+'4. Customer Growth'!$Y$35)/12))*$O149),IF($O$10=$B$162,+$A150*$C$171+$D$171,0)))</f>
        <v>80.55</v>
      </c>
      <c r="P150" s="341">
        <f>IF(P$10=$B$160,+AVERAGE(P18,P30,P42,P54,P66,P78,P90,P102,P114,P126),+IF(P$10=$B$161,+(EXP((LN(+'4. Customer Growth'!$Y$35)/12))*$P149),IF($P$10=$B$162,+$A150*$C$172+$D$172,0)))</f>
        <v>0</v>
      </c>
      <c r="Q150" s="143"/>
      <c r="R150" s="167"/>
      <c r="S150" s="167">
        <f t="shared" si="27"/>
        <v>14754016.070626114</v>
      </c>
      <c r="T150" s="167"/>
      <c r="U150" s="167">
        <f t="shared" si="26"/>
        <v>14754016.070626114</v>
      </c>
      <c r="V150" s="571"/>
      <c r="W150" s="619"/>
      <c r="X150" s="143"/>
      <c r="Y150" s="143"/>
      <c r="Z150" s="143"/>
      <c r="AA150" s="143"/>
      <c r="AB150" s="143"/>
      <c r="AC150" s="143"/>
      <c r="AD150" s="143"/>
      <c r="AE150" s="143"/>
      <c r="AF150" s="143"/>
      <c r="AG150" s="143"/>
      <c r="AH150" s="143"/>
      <c r="AI150" s="143"/>
      <c r="AJ150" s="143"/>
      <c r="AK150" s="143"/>
      <c r="AL150" s="143"/>
      <c r="AM150" s="143"/>
      <c r="AN150" s="143"/>
      <c r="AO150" s="143"/>
      <c r="AP150" s="143"/>
      <c r="AQ150" s="143"/>
    </row>
    <row r="151" spans="1:43" x14ac:dyDescent="0.3">
      <c r="A151" s="339">
        <f t="shared" si="28"/>
        <v>141</v>
      </c>
      <c r="B151" s="166" t="str">
        <f>CONCATENATE('3. Consumption by Rate Class'!B156,"-",'3. Consumption by Rate Class'!C156)</f>
        <v>2024-September</v>
      </c>
      <c r="C151" s="586"/>
      <c r="D151" s="179"/>
      <c r="E151" s="179"/>
      <c r="F151" s="179"/>
      <c r="G151" s="179"/>
      <c r="H151" s="179"/>
      <c r="I151" s="179"/>
      <c r="J151" s="144"/>
      <c r="K151" s="564">
        <f>IF(K$10=$B$160,+AVERAGE(K19,K31,K43,K55,K67,K79,K91,K103,K115,K127),+IF(K$10=$B$161,+(EXP((LN(+'4. Customer Growth'!$Y$35)/12))*$K150),IF($K$10=$B$162,+$A151*$C$167+$D$167,0)))</f>
        <v>15421.517559610751</v>
      </c>
      <c r="L151" s="565">
        <f>IF(L$10=$B$160,+AVERAGE(L31,L43,L55,L67,L79,L91,L103,L115,L127,L139),+IF(L$10=$B$161,+(EXP((LN(+'4. Customer Growth'!$Y$34)/12))*$K150),IF($N$10=$B$162,+$A151*$C$168+$D$168,0)))</f>
        <v>1</v>
      </c>
      <c r="M151" s="565">
        <f>IF(M$10=$B$160,+AVERAGE(M31,M43,M55,M67,M79,M91,M103,M115,M127,M139),+IF(M$10=$B$161,+(EXP((LN(+'4. Customer Growth'!$Y$34)/12))*$O150),IF($O$10=$B$162,+$A151*$C$169+$D$169,0)))</f>
        <v>30</v>
      </c>
      <c r="N151" s="565">
        <f>IF(N$10=$B$160,+AVERAGE(N31,N43,N55,N67,N79,N91,N103,N115,N127,N139),+IF(N$10=$B$161,+(EXP((LN(+'4. Customer Growth'!$Y$34)/12))*$N150),IF($N$10=$B$162,+$A151*$C$170+$D$170,0)))</f>
        <v>63.834000000000017</v>
      </c>
      <c r="O151" s="565">
        <f>IF(O$10=$B$160,+AVERAGE(O19,O31,O43,O55,O67,O79,O91,O103,O115,O127),+IF(O$10=$B$161,+(EXP((LN(+'4. Customer Growth'!$Y$35)/12))*$O150),IF($O$10=$B$162,+$A151*$C$171+$D$171,0)))</f>
        <v>35.779999999999994</v>
      </c>
      <c r="P151" s="341">
        <f>IF(P$10=$B$160,+AVERAGE(P19,P31,P43,P55,P67,P79,P91,P103,P115,P127),+IF(P$10=$B$161,+(EXP((LN(+'4. Customer Growth'!$Y$35)/12))*$P150),IF($P$10=$B$162,+$A151*$C$172+$D$172,0)))</f>
        <v>0</v>
      </c>
      <c r="Q151" s="143"/>
      <c r="R151" s="167"/>
      <c r="S151" s="167">
        <f t="shared" si="27"/>
        <v>12048226.848484272</v>
      </c>
      <c r="T151" s="167"/>
      <c r="U151" s="167">
        <f t="shared" si="26"/>
        <v>12048226.848484272</v>
      </c>
      <c r="V151" s="571"/>
      <c r="W151" s="619"/>
      <c r="X151" s="143"/>
      <c r="Y151" s="143"/>
      <c r="Z151" s="143"/>
      <c r="AA151" s="143"/>
      <c r="AB151" s="143"/>
      <c r="AC151" s="143"/>
      <c r="AD151" s="143"/>
      <c r="AE151" s="143"/>
      <c r="AF151" s="143"/>
      <c r="AG151" s="143"/>
      <c r="AH151" s="143"/>
      <c r="AI151" s="143"/>
      <c r="AJ151" s="143"/>
      <c r="AK151" s="143"/>
      <c r="AL151" s="143"/>
      <c r="AM151" s="143"/>
      <c r="AN151" s="143"/>
      <c r="AO151" s="143"/>
      <c r="AP151" s="143"/>
      <c r="AQ151" s="143"/>
    </row>
    <row r="152" spans="1:43" x14ac:dyDescent="0.3">
      <c r="A152" s="339">
        <f t="shared" si="28"/>
        <v>142</v>
      </c>
      <c r="B152" s="166" t="str">
        <f>CONCATENATE('3. Consumption by Rate Class'!B157,"-",'3. Consumption by Rate Class'!C157)</f>
        <v>2024-October</v>
      </c>
      <c r="C152" s="586"/>
      <c r="D152" s="179"/>
      <c r="E152" s="179"/>
      <c r="F152" s="179"/>
      <c r="G152" s="179"/>
      <c r="H152" s="179"/>
      <c r="I152" s="179"/>
      <c r="J152" s="144"/>
      <c r="K152" s="564">
        <f>IF(K$10=$B$160,+AVERAGE(K20,K32,K44,K56,K68,K80,K92,K104,K116,K128),+IF(K$10=$B$161,+(EXP((LN(+'4. Customer Growth'!$Y$35)/12))*$K151),IF($K$10=$B$162,+$A152*$C$167+$D$167,0)))</f>
        <v>15442.151776427207</v>
      </c>
      <c r="L152" s="565">
        <f>IF(L$10=$B$160,+AVERAGE(L32,L44,L56,L68,L80,L92,L104,L116,L128,L140),+IF(L$10=$B$161,+(EXP((LN(+'4. Customer Growth'!$Y$34)/12))*$K151),IF($N$10=$B$162,+$A152*$C$168+$D$168,0)))</f>
        <v>1</v>
      </c>
      <c r="M152" s="565">
        <f>IF(M$10=$B$160,+AVERAGE(M32,M44,M56,M68,M80,M92,M104,M116,M128,M140),+IF(M$10=$B$161,+(EXP((LN(+'4. Customer Growth'!$Y$34)/12))*$O151),IF($O$10=$B$162,+$A152*$C$169+$D$169,0)))</f>
        <v>31</v>
      </c>
      <c r="N152" s="565">
        <f>IF(N$10=$B$160,+AVERAGE(N32,N44,N56,N68,N80,N92,N104,N116,N128,N140),+IF(N$10=$B$161,+(EXP((LN(+'4. Customer Growth'!$Y$34)/12))*$N151),IF($N$10=$B$162,+$A152*$C$170+$D$170,0)))</f>
        <v>226.25399999999999</v>
      </c>
      <c r="O152" s="565">
        <f>IF(O$10=$B$160,+AVERAGE(O20,O32,O44,O56,O68,O80,O92,O104,O116,O128),+IF(O$10=$B$161,+(EXP((LN(+'4. Customer Growth'!$Y$35)/12))*$O151),IF($O$10=$B$162,+$A152*$C$171+$D$171,0)))</f>
        <v>4.6100000000000003</v>
      </c>
      <c r="P152" s="341">
        <f>IF(P$10=$B$160,+AVERAGE(P20,P32,P44,P56,P68,P80,P92,P104,P116,P128),+IF(P$10=$B$161,+(EXP((LN(+'4. Customer Growth'!$Y$35)/12))*$P151),IF($P$10=$B$162,+$A152*$C$172+$D$172,0)))</f>
        <v>0</v>
      </c>
      <c r="Q152" s="143"/>
      <c r="R152" s="167"/>
      <c r="S152" s="167">
        <f t="shared" si="27"/>
        <v>12202261.960039776</v>
      </c>
      <c r="T152" s="167"/>
      <c r="U152" s="167">
        <f t="shared" si="26"/>
        <v>12202261.960039776</v>
      </c>
      <c r="V152" s="571"/>
      <c r="W152" s="619"/>
      <c r="X152" s="143"/>
      <c r="Y152" s="143"/>
      <c r="Z152" s="143"/>
      <c r="AA152" s="143"/>
      <c r="AB152" s="143"/>
      <c r="AC152" s="143"/>
      <c r="AD152" s="143"/>
      <c r="AE152" s="143"/>
      <c r="AF152" s="143"/>
      <c r="AG152" s="143"/>
      <c r="AH152" s="143"/>
      <c r="AI152" s="143"/>
      <c r="AJ152" s="143"/>
      <c r="AK152" s="143"/>
      <c r="AL152" s="143"/>
      <c r="AM152" s="143"/>
      <c r="AN152" s="143"/>
      <c r="AO152" s="143"/>
      <c r="AP152" s="143"/>
      <c r="AQ152" s="143"/>
    </row>
    <row r="153" spans="1:43" x14ac:dyDescent="0.3">
      <c r="A153" s="339">
        <f t="shared" si="28"/>
        <v>143</v>
      </c>
      <c r="B153" s="106" t="str">
        <f>CONCATENATE('3. Consumption by Rate Class'!B158,"-",'3. Consumption by Rate Class'!C158)</f>
        <v>2024-November</v>
      </c>
      <c r="C153" s="587"/>
      <c r="D153" s="50"/>
      <c r="E153" s="50"/>
      <c r="F153" s="50"/>
      <c r="G153" s="50"/>
      <c r="H153" s="50"/>
      <c r="I153" s="50"/>
      <c r="K153" s="564">
        <f>IF(K$10=$B$160,+AVERAGE(K21,K33,K45,K57,K69,K81,K93,K105,K117,K129),+IF(K$10=$B$161,+(EXP((LN(+'4. Customer Growth'!$Y$35)/12))*$K152),IF($K$10=$B$162,+$A153*$C$167+$D$167,0)))</f>
        <v>15462.813602128585</v>
      </c>
      <c r="L153" s="565">
        <f>IF(L$10=$B$160,+AVERAGE(L33,L45,L57,L69,L81,L93,L105,L117,L129,L141),+IF(L$10=$B$161,+(EXP((LN(+'4. Customer Growth'!$Y$34)/12))*$K152),IF($N$10=$B$162,+$A153*$C$168+$D$168,0)))</f>
        <v>1</v>
      </c>
      <c r="M153" s="565">
        <f>IF(M$10=$B$160,+AVERAGE(M33,M45,M57,M69,M81,M93,M105,M117,M129,M141),+IF(M$10=$B$161,+(EXP((LN(+'4. Customer Growth'!$Y$34)/12))*$O152),IF($O$10=$B$162,+$A153*$C$169+$D$169,0)))</f>
        <v>30</v>
      </c>
      <c r="N153" s="565">
        <f>IF(N$10=$B$160,+AVERAGE(N33,N45,N57,N69,N81,N93,N105,N117,N129,N141),+IF(N$10=$B$161,+(EXP((LN(+'4. Customer Growth'!$Y$34)/12))*$N152),IF($N$10=$B$162,+$A153*$C$170+$D$170,0)))</f>
        <v>398.36899999999997</v>
      </c>
      <c r="O153" s="565">
        <f>IF(O$10=$B$160,+AVERAGE(O21,O33,O45,O57,O69,O81,O93,O105,O117,O129),+IF(O$10=$B$161,+(EXP((LN(+'4. Customer Growth'!$Y$35)/12))*$O152),IF($O$10=$B$162,+$A153*$C$171+$D$171,0)))</f>
        <v>1.2</v>
      </c>
      <c r="P153" s="341">
        <f>IF(P$10=$B$160,+AVERAGE(P21,P33,P45,P57,P69,P81,P93,P105,P117,P129),+IF(P$10=$B$161,+(EXP((LN(+'4. Customer Growth'!$Y$35)/12))*$P152),IF($P$10=$B$162,+$A153*$C$172+$D$172,0)))</f>
        <v>0</v>
      </c>
      <c r="R153" s="167"/>
      <c r="S153" s="167">
        <f t="shared" si="27"/>
        <v>12655534.967714189</v>
      </c>
      <c r="T153" s="167"/>
      <c r="U153" s="167">
        <f t="shared" si="26"/>
        <v>12655534.967714189</v>
      </c>
      <c r="V153" s="571"/>
      <c r="W153" s="619"/>
    </row>
    <row r="154" spans="1:43" x14ac:dyDescent="0.3">
      <c r="A154" s="339">
        <f t="shared" si="28"/>
        <v>144</v>
      </c>
      <c r="B154" s="106" t="str">
        <f>CONCATENATE('3. Consumption by Rate Class'!B159,"-",'3. Consumption by Rate Class'!C159)</f>
        <v>2024-December</v>
      </c>
      <c r="C154" s="202"/>
      <c r="D154" s="50"/>
      <c r="E154" s="50"/>
      <c r="F154" s="50"/>
      <c r="G154" s="50"/>
      <c r="H154" s="50"/>
      <c r="I154" s="50"/>
      <c r="K154" s="564">
        <f>IF(K$10=$B$160,+AVERAGE(K22,K34,K46,K58,K70,K82,K94,K106,K118,K130),+IF(K$10=$B$161,+(EXP((LN(+'4. Customer Growth'!$Y$35)/12))*$K153),IF($K$10=$B$162,+$A154*$C$167+$D$167,0)))</f>
        <v>15483.503073655977</v>
      </c>
      <c r="L154" s="565">
        <f>IF(L$10=$B$160,+AVERAGE(L34,L46,L58,L70,L82,L94,L106,L118,L130,L142),+IF(L$10=$B$161,+(EXP((LN(+'4. Customer Growth'!$Y$34)/12))*$K153),IF($N$10=$B$162,+$A154*$C$168+$D$168,0)))</f>
        <v>0</v>
      </c>
      <c r="M154" s="565">
        <f>IF(M$10=$B$160,+AVERAGE(M34,M46,M58,M70,M82,M94,M106,M118,M130,M142),+IF(M$10=$B$161,+(EXP((LN(+'4. Customer Growth'!$Y$34)/12))*$O153),IF($O$10=$B$162,+$A154*$C$169+$D$169,0)))</f>
        <v>31</v>
      </c>
      <c r="N154" s="565">
        <f>IF(N$10=$B$160,+AVERAGE(N34,N46,N58,N70,N82,N94,N106,N118,N130,N142),+IF(N$10=$B$161,+(EXP((LN(+'4. Customer Growth'!$Y$34)/12))*$N153),IF($N$10=$B$162,+$A154*$C$170+$D$170,0)))</f>
        <v>559.51800000000014</v>
      </c>
      <c r="O154" s="565">
        <f>IF(O$10=$B$160,+AVERAGE(O22,O34,O46,O58,O70,O82,O94,O106,O118,O130),+IF(O$10=$B$161,+(EXP((LN(+'4. Customer Growth'!$Y$35)/12))*$O153),IF($O$10=$B$162,+$A154*$C$171+$D$171,0)))</f>
        <v>0</v>
      </c>
      <c r="P154" s="341">
        <f>IF(P$10=$B$160,+AVERAGE(P22,P34,P46,P58,P70,P82,P94,P106,P118,P130),+IF(P$10=$B$161,+(EXP((LN(+'4. Customer Growth'!$Y$35)/12))*$P153),IF($P$10=$B$162,+$A154*$C$172+$D$172,0)))</f>
        <v>0</v>
      </c>
      <c r="R154" s="167"/>
      <c r="S154" s="167">
        <f t="shared" si="27"/>
        <v>14839435.060478497</v>
      </c>
      <c r="T154" s="167"/>
      <c r="U154" s="167">
        <f t="shared" si="26"/>
        <v>14839435.060478497</v>
      </c>
      <c r="V154" s="171">
        <f>SUM(U143:U154)</f>
        <v>162434321.57996067</v>
      </c>
      <c r="W154" s="618"/>
    </row>
    <row r="155" spans="1:43" x14ac:dyDescent="0.3">
      <c r="B155" s="107"/>
      <c r="C155" s="50"/>
      <c r="D155" s="50"/>
      <c r="E155" s="50"/>
      <c r="F155" s="50"/>
      <c r="G155" s="50"/>
      <c r="H155" s="50"/>
      <c r="I155" s="50"/>
    </row>
    <row r="156" spans="1:43" ht="12.75" customHeight="1" x14ac:dyDescent="0.3"/>
    <row r="157" spans="1:43" ht="12.75" customHeight="1" x14ac:dyDescent="0.3"/>
    <row r="158" spans="1:43" ht="36.75" customHeight="1" x14ac:dyDescent="0.3">
      <c r="B158" s="206"/>
      <c r="C158" s="206"/>
      <c r="R158" s="754" t="s">
        <v>300</v>
      </c>
      <c r="S158" s="754" t="s">
        <v>266</v>
      </c>
      <c r="T158" s="143"/>
    </row>
    <row r="159" spans="1:43" ht="12.75" customHeight="1" x14ac:dyDescent="0.3">
      <c r="A159" s="207"/>
      <c r="B159" s="208" t="s">
        <v>135</v>
      </c>
      <c r="C159" s="209"/>
      <c r="L159" s="189"/>
    </row>
    <row r="160" spans="1:43" ht="12.75" customHeight="1" x14ac:dyDescent="0.3">
      <c r="A160" s="207"/>
      <c r="B160" s="210" t="s">
        <v>133</v>
      </c>
      <c r="C160" s="211"/>
      <c r="U160" s="736"/>
    </row>
    <row r="161" spans="1:22" ht="12.75" customHeight="1" x14ac:dyDescent="0.3">
      <c r="A161" s="207"/>
      <c r="B161" s="212" t="s">
        <v>134</v>
      </c>
      <c r="C161" s="213"/>
      <c r="Q161" s="48">
        <v>2013</v>
      </c>
      <c r="R161" s="391">
        <f>SUM(R11:R22)</f>
        <v>133011957.16564968</v>
      </c>
      <c r="S161" s="391">
        <f>SUM(S11:S22)</f>
        <v>133029221.32035881</v>
      </c>
      <c r="T161" s="751">
        <f>+R161/S161</f>
        <v>0.9998702228387284</v>
      </c>
      <c r="U161" s="197">
        <v>136652393</v>
      </c>
      <c r="V161" s="388">
        <f>+U161*T161</f>
        <v>136634658.6403555</v>
      </c>
    </row>
    <row r="162" spans="1:22" ht="12.75" customHeight="1" x14ac:dyDescent="0.25">
      <c r="A162" s="1"/>
      <c r="B162" s="336" t="s">
        <v>163</v>
      </c>
      <c r="C162" s="211"/>
      <c r="E162" s="1"/>
      <c r="F162" s="1"/>
      <c r="G162" s="1"/>
      <c r="H162" s="1"/>
      <c r="I162" s="1"/>
      <c r="J162" s="1"/>
      <c r="K162" s="1"/>
      <c r="L162" s="1"/>
      <c r="M162" s="1"/>
      <c r="N162" s="1"/>
      <c r="O162" s="1"/>
      <c r="P162" s="1"/>
      <c r="Q162" s="48">
        <v>2014</v>
      </c>
      <c r="R162" s="391">
        <f>SUM(R23:R34)</f>
        <v>135243458.35100216</v>
      </c>
      <c r="S162" s="391">
        <f>SUM(S23:S34)</f>
        <v>134035276.45342146</v>
      </c>
      <c r="T162" s="752">
        <f t="shared" ref="T162:T165" si="29">+R162/S162</f>
        <v>1.0090139098418658</v>
      </c>
      <c r="U162" s="753">
        <v>137567233</v>
      </c>
      <c r="V162" s="388">
        <f>+U162*T162</f>
        <v>138807251.63545695</v>
      </c>
    </row>
    <row r="163" spans="1:22" ht="12.75" customHeight="1" x14ac:dyDescent="0.25">
      <c r="A163" s="1"/>
      <c r="B163" s="615" t="s">
        <v>258</v>
      </c>
      <c r="C163" s="214"/>
      <c r="D163" s="214"/>
      <c r="E163" s="1"/>
      <c r="F163" s="1"/>
      <c r="G163" s="1"/>
      <c r="H163" s="1"/>
      <c r="I163" s="1"/>
      <c r="J163" s="1"/>
      <c r="K163" s="1"/>
      <c r="L163" s="1"/>
      <c r="M163" s="1"/>
      <c r="N163" s="1"/>
      <c r="O163" s="1"/>
      <c r="P163" s="1"/>
      <c r="Q163" s="48">
        <v>2015</v>
      </c>
      <c r="R163" s="391">
        <f>SUM(R35:R46)</f>
        <v>137581571.61934513</v>
      </c>
      <c r="S163" s="391">
        <f>SUM(S35:S46)</f>
        <v>137810831.37041879</v>
      </c>
      <c r="T163" s="752">
        <f t="shared" si="29"/>
        <v>0.99833641703780573</v>
      </c>
      <c r="U163" s="753">
        <v>137993375</v>
      </c>
      <c r="V163" s="388">
        <f t="shared" ref="V163:V170" si="30">+U163*T163</f>
        <v>137763811.5724543</v>
      </c>
    </row>
    <row r="164" spans="1:22" ht="12.75" customHeight="1" x14ac:dyDescent="0.25">
      <c r="A164" s="1"/>
      <c r="B164" s="214"/>
      <c r="C164" s="214"/>
      <c r="D164" s="214"/>
      <c r="E164" s="1"/>
      <c r="F164" s="1"/>
      <c r="G164" s="1"/>
      <c r="H164" s="1"/>
      <c r="I164" s="1"/>
      <c r="J164" s="1"/>
      <c r="K164" s="1"/>
      <c r="L164" s="1"/>
      <c r="M164" s="1"/>
      <c r="N164" s="1"/>
      <c r="O164" s="1"/>
      <c r="P164" s="1"/>
      <c r="Q164" s="48">
        <v>2016</v>
      </c>
      <c r="R164" s="391">
        <f>SUM(R47:R58)</f>
        <v>139761244.83782685</v>
      </c>
      <c r="S164" s="391">
        <f>SUM(S47:S58)</f>
        <v>140510561.35024983</v>
      </c>
      <c r="T164" s="752">
        <f t="shared" si="29"/>
        <v>0.99466718725466363</v>
      </c>
      <c r="U164" s="753">
        <v>137727428</v>
      </c>
      <c r="V164" s="388">
        <f t="shared" si="30"/>
        <v>136992953.41657922</v>
      </c>
    </row>
    <row r="165" spans="1:22" ht="12.75" customHeight="1" x14ac:dyDescent="0.3">
      <c r="A165" s="1"/>
      <c r="B165" s="817" t="s">
        <v>164</v>
      </c>
      <c r="C165" s="817"/>
      <c r="D165" s="817"/>
      <c r="E165" s="1"/>
      <c r="F165" s="1"/>
      <c r="G165" s="1"/>
      <c r="H165" s="1"/>
      <c r="I165" s="1"/>
      <c r="J165" s="1"/>
      <c r="K165" s="1"/>
      <c r="L165" s="1"/>
      <c r="M165" s="1"/>
      <c r="N165" s="1"/>
      <c r="O165" s="1"/>
      <c r="P165" s="1"/>
      <c r="Q165" s="48">
        <v>2017</v>
      </c>
      <c r="R165" s="391">
        <f>SUM(R83:R94)</f>
        <v>146284242.42828357</v>
      </c>
      <c r="S165" s="391">
        <f>SUM(S83:S94)</f>
        <v>145115867.00065205</v>
      </c>
      <c r="T165" s="752">
        <f t="shared" si="29"/>
        <v>1.0080513278925334</v>
      </c>
      <c r="U165" s="753">
        <v>134234594</v>
      </c>
      <c r="V165" s="388">
        <f t="shared" si="30"/>
        <v>135315360.73081508</v>
      </c>
    </row>
    <row r="166" spans="1:22" ht="12.75" customHeight="1" x14ac:dyDescent="0.25">
      <c r="A166" s="1"/>
      <c r="B166" s="340" t="s">
        <v>113</v>
      </c>
      <c r="C166" s="338" t="s">
        <v>165</v>
      </c>
      <c r="D166" s="338" t="s">
        <v>166</v>
      </c>
      <c r="E166" s="1"/>
      <c r="F166" s="1"/>
      <c r="G166" s="1"/>
      <c r="H166" s="1"/>
      <c r="I166" s="1"/>
      <c r="J166" s="1"/>
      <c r="K166" s="1"/>
      <c r="L166" s="1"/>
      <c r="M166" s="1"/>
      <c r="N166" s="1"/>
      <c r="O166" s="1"/>
      <c r="P166" s="1"/>
      <c r="Q166" s="769">
        <v>2018</v>
      </c>
      <c r="R166" s="770">
        <f>SUM(R71:R82)</f>
        <v>144466322.59935966</v>
      </c>
      <c r="S166" s="770">
        <f>SUM(S71:S82)</f>
        <v>148650121.79243231</v>
      </c>
      <c r="T166" s="771">
        <f>+R166/S166</f>
        <v>0.9718547207185293</v>
      </c>
      <c r="U166" s="310">
        <v>144593588</v>
      </c>
      <c r="V166" s="772">
        <f t="shared" si="30"/>
        <v>140523961.08343008</v>
      </c>
    </row>
    <row r="167" spans="1:22" ht="14.25" customHeight="1" x14ac:dyDescent="0.3">
      <c r="A167" s="1"/>
      <c r="B167" s="340" t="str">
        <f>+K9</f>
        <v>Customer Count</v>
      </c>
      <c r="C167" s="337">
        <f>INDEX(LINEST($K$11:$K130,$A$11:$A$130,TRUE,FALSE),1)</f>
        <v>18.206022987707474</v>
      </c>
      <c r="D167" s="337">
        <f>INDEX(LINEST($K$11:$K130,$A$11:$A$130,TRUE,FALSE),2)</f>
        <v>12543.073109243698</v>
      </c>
      <c r="E167" s="1"/>
      <c r="F167" s="1"/>
      <c r="G167" s="1"/>
      <c r="H167" s="1"/>
      <c r="I167" s="1"/>
      <c r="J167" s="1"/>
      <c r="K167" s="1"/>
      <c r="L167" s="1"/>
      <c r="M167" s="1"/>
      <c r="N167" s="1"/>
      <c r="O167" s="1"/>
      <c r="P167" s="1"/>
      <c r="Q167" s="769">
        <v>2019</v>
      </c>
      <c r="R167" s="770">
        <f>SUM(R83:R94)</f>
        <v>146284242.42828357</v>
      </c>
      <c r="S167" s="770">
        <f>SUM(S83:S94)</f>
        <v>145115867.00065205</v>
      </c>
      <c r="T167" s="771">
        <f t="shared" ref="T167:T170" si="31">+R167/S167</f>
        <v>1.0080513278925334</v>
      </c>
      <c r="U167" s="310">
        <v>144125561</v>
      </c>
      <c r="V167" s="772">
        <f t="shared" si="30"/>
        <v>145285963.14930633</v>
      </c>
    </row>
    <row r="168" spans="1:22" ht="14.25" customHeight="1" x14ac:dyDescent="0.3">
      <c r="A168" s="1"/>
      <c r="B168" s="340" t="str">
        <f>+L9</f>
        <v>Spring Fall Flag</v>
      </c>
      <c r="C168" s="337">
        <f>INDEX(LINEST($L$11:$L130,$A$11:$A$130,TRUE,FALSE),1)</f>
        <v>2.0834780193068936E-4</v>
      </c>
      <c r="D168" s="337">
        <f>INDEX(LINEST($L$11:$L130,$A$11:$A$130,TRUE,FALSE),2)</f>
        <v>0.48739495798319332</v>
      </c>
      <c r="E168" s="1"/>
      <c r="F168" s="1"/>
      <c r="G168" s="1"/>
      <c r="H168" s="1"/>
      <c r="I168" s="1"/>
      <c r="J168" s="1"/>
      <c r="K168" s="1"/>
      <c r="L168" s="1"/>
      <c r="M168" s="1"/>
      <c r="N168" s="1"/>
      <c r="O168" s="1"/>
      <c r="P168" s="1"/>
      <c r="Q168" s="769">
        <v>2020</v>
      </c>
      <c r="R168" s="770">
        <f>SUM(R95:R106)</f>
        <v>152001542.15596414</v>
      </c>
      <c r="S168" s="770">
        <f>SUM(S95:S106)</f>
        <v>150850312.41998374</v>
      </c>
      <c r="T168" s="771">
        <f t="shared" si="31"/>
        <v>1.0076316032596289</v>
      </c>
      <c r="U168" s="310">
        <v>150603832</v>
      </c>
      <c r="V168" s="772">
        <f t="shared" si="30"/>
        <v>151753180.69520381</v>
      </c>
    </row>
    <row r="169" spans="1:22" ht="14.25" customHeight="1" x14ac:dyDescent="0.3">
      <c r="A169" s="1"/>
      <c r="B169" s="340" t="str">
        <f>+M9</f>
        <v>Days in Month</v>
      </c>
      <c r="C169" s="337">
        <f>INDEX(LINEST($M$11:$M130,$A$11:$A$130,TRUE,FALSE),1)</f>
        <v>6.8060281964024845E-4</v>
      </c>
      <c r="D169" s="337">
        <f>INDEX(LINEST($M$11:$M130,$A$11:$A$130,TRUE,FALSE),2)</f>
        <v>30.3921568627451</v>
      </c>
      <c r="E169" s="1"/>
      <c r="F169" s="1"/>
      <c r="G169" s="1"/>
      <c r="H169" s="1"/>
      <c r="I169" s="1"/>
      <c r="J169" s="1"/>
      <c r="K169" s="1"/>
      <c r="L169" s="1"/>
      <c r="M169" s="1"/>
      <c r="N169" s="1"/>
      <c r="O169" s="1"/>
      <c r="P169" s="1"/>
      <c r="Q169" s="769">
        <v>2021</v>
      </c>
      <c r="R169" s="770">
        <f>SUM(R107:R118)</f>
        <v>151801417.72304094</v>
      </c>
      <c r="S169" s="770">
        <f>SUM(S107:S118)</f>
        <v>150962375.2510975</v>
      </c>
      <c r="T169" s="771">
        <f t="shared" si="31"/>
        <v>1.0055579575410618</v>
      </c>
      <c r="U169" s="310">
        <v>154199191</v>
      </c>
      <c r="V169" s="772">
        <f t="shared" si="30"/>
        <v>155056223.55644408</v>
      </c>
    </row>
    <row r="170" spans="1:22" ht="14.25" customHeight="1" x14ac:dyDescent="0.3">
      <c r="A170" s="1"/>
      <c r="B170" s="340" t="str">
        <f>+N9</f>
        <v>HDD</v>
      </c>
      <c r="C170" s="337">
        <f>INDEX(LINEST($N$11:$N130,$A$11:$A$130,TRUE,FALSE),1)</f>
        <v>-0.58084450309049229</v>
      </c>
      <c r="D170" s="337">
        <f>INDEX(LINEST($N$11:$N130,$A$11:$A$130,TRUE,FALSE),2)</f>
        <v>354.79609243697467</v>
      </c>
      <c r="E170" s="1"/>
      <c r="F170" s="1"/>
      <c r="G170" s="1"/>
      <c r="H170" s="1"/>
      <c r="I170" s="1"/>
      <c r="J170" s="1"/>
      <c r="K170" s="1"/>
      <c r="L170" s="1"/>
      <c r="M170" s="1"/>
      <c r="N170" s="1"/>
      <c r="O170" s="1"/>
      <c r="P170" s="1"/>
      <c r="Q170" s="769">
        <v>2022</v>
      </c>
      <c r="R170" s="770">
        <f>SUM(R119:R130)</f>
        <v>154993346.7249887</v>
      </c>
      <c r="S170" s="770">
        <f>SUM(S119:S130)</f>
        <v>154882580.70166948</v>
      </c>
      <c r="T170" s="771">
        <f t="shared" si="31"/>
        <v>1.0007151612713154</v>
      </c>
      <c r="U170" s="310">
        <v>157082097</v>
      </c>
      <c r="V170" s="772">
        <f t="shared" si="30"/>
        <v>157194436.03219143</v>
      </c>
    </row>
    <row r="171" spans="1:22" ht="14.25" customHeight="1" x14ac:dyDescent="0.3">
      <c r="A171" s="1"/>
      <c r="B171" s="340" t="str">
        <f>+O9</f>
        <v>CDD</v>
      </c>
      <c r="C171" s="337">
        <f>INDEX(LINEST($O$11:$O130,$A$11:$A$130,TRUE,FALSE),1)</f>
        <v>6.6043127994999659E-2</v>
      </c>
      <c r="D171" s="337">
        <f>INDEX(LINEST($O$11:$O130,$A$11:$A$130,TRUE,FALSE),2)</f>
        <v>17.881890756302518</v>
      </c>
      <c r="E171" s="1"/>
      <c r="F171" s="1"/>
      <c r="G171" s="1"/>
      <c r="H171" s="1"/>
      <c r="I171" s="1"/>
      <c r="J171" s="1"/>
      <c r="K171" s="1"/>
      <c r="L171" s="1"/>
      <c r="M171" s="1"/>
      <c r="N171" s="1"/>
      <c r="O171" s="1"/>
      <c r="P171" s="1"/>
      <c r="U171" s="137"/>
    </row>
    <row r="172" spans="1:22" ht="14.25" customHeight="1" x14ac:dyDescent="0.3">
      <c r="A172" s="1"/>
      <c r="B172" s="340">
        <f>+P9</f>
        <v>0</v>
      </c>
      <c r="C172" s="337">
        <f>INDEX(LINEST($P$11:$P130,$A$11:$A$130,TRUE,FALSE),1)</f>
        <v>0</v>
      </c>
      <c r="D172" s="337">
        <f>INDEX(LINEST($P$11:$P130,$A$11:$A$130,TRUE,FALSE),2)</f>
        <v>0</v>
      </c>
      <c r="E172" s="1"/>
      <c r="F172" s="1"/>
      <c r="G172" s="1"/>
      <c r="H172" s="1"/>
      <c r="I172" s="1"/>
      <c r="J172" s="1"/>
      <c r="K172" s="1"/>
      <c r="L172" s="1"/>
      <c r="M172" s="1"/>
      <c r="N172" s="1"/>
      <c r="O172" s="1"/>
      <c r="P172" s="1"/>
      <c r="U172" s="137"/>
    </row>
    <row r="173" spans="1:22" ht="12.75" customHeight="1" x14ac:dyDescent="0.25">
      <c r="A173" s="1"/>
      <c r="B173" s="214"/>
      <c r="C173" s="214"/>
      <c r="D173" s="214"/>
      <c r="E173" s="1"/>
      <c r="F173" s="1"/>
      <c r="G173" s="1"/>
      <c r="H173" s="1"/>
      <c r="I173" s="1"/>
      <c r="J173" s="1"/>
      <c r="K173" s="1"/>
      <c r="L173" s="1"/>
      <c r="M173" s="1"/>
      <c r="N173" s="1"/>
      <c r="O173" s="1"/>
      <c r="P173" s="1"/>
      <c r="U173" s="1"/>
    </row>
    <row r="174" spans="1:22" ht="12.75" customHeight="1" x14ac:dyDescent="0.3"/>
    <row r="175" spans="1:22" ht="12.75" customHeight="1" x14ac:dyDescent="0.3"/>
    <row r="176" spans="1:22" ht="12.75" customHeight="1" x14ac:dyDescent="0.3"/>
  </sheetData>
  <mergeCells count="5">
    <mergeCell ref="K8:P8"/>
    <mergeCell ref="D8:I8"/>
    <mergeCell ref="Q10:V10"/>
    <mergeCell ref="H10:J10"/>
    <mergeCell ref="B165:D165"/>
  </mergeCells>
  <phoneticPr fontId="0" type="noConversion"/>
  <dataValidations count="2">
    <dataValidation type="list" allowBlank="1" showInputMessage="1" showErrorMessage="1" sqref="K9:P9" xr:uid="{00000000-0002-0000-0500-000000000000}">
      <formula1>AllVariables</formula1>
    </dataValidation>
    <dataValidation type="list" allowBlank="1" showInputMessage="1" showErrorMessage="1" sqref="K10:P10" xr:uid="{00000000-0002-0000-0500-000001000000}">
      <formula1>$B$160:$B$162</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C1:M156"/>
  <sheetViews>
    <sheetView showGridLines="0" zoomScaleNormal="100" workbookViewId="0"/>
  </sheetViews>
  <sheetFormatPr defaultColWidth="9.296875" defaultRowHeight="12.5" x14ac:dyDescent="0.25"/>
  <cols>
    <col min="1" max="1" width="2.796875" style="1" customWidth="1"/>
    <col min="2" max="2" width="9.296875" style="1"/>
    <col min="3" max="3" width="73.296875" style="1" customWidth="1"/>
    <col min="4" max="4" width="16.296875" style="1" bestFit="1" customWidth="1"/>
    <col min="5" max="5" width="16.19921875" style="1" bestFit="1" customWidth="1"/>
    <col min="6" max="6" width="14.69921875" style="1" bestFit="1" customWidth="1"/>
    <col min="7" max="7" width="13" style="1" bestFit="1" customWidth="1"/>
    <col min="8" max="8" width="14" style="1" customWidth="1"/>
    <col min="9" max="9" width="13" style="1" bestFit="1" customWidth="1"/>
    <col min="10" max="11" width="14.19921875" style="1" bestFit="1" customWidth="1"/>
    <col min="12" max="16384" width="9.296875" style="1"/>
  </cols>
  <sheetData>
    <row r="1" spans="3:13" ht="23" x14ac:dyDescent="0.25">
      <c r="C1" s="161" t="s">
        <v>138</v>
      </c>
    </row>
    <row r="10" spans="3:13" s="49" customFormat="1" ht="15.5" x14ac:dyDescent="0.35">
      <c r="C10" t="s">
        <v>121</v>
      </c>
      <c r="D10"/>
      <c r="E10"/>
      <c r="F10"/>
      <c r="G10"/>
      <c r="H10"/>
      <c r="I10"/>
      <c r="J10"/>
      <c r="K10"/>
      <c r="L10"/>
      <c r="M10" s="143"/>
    </row>
    <row r="11" spans="3:13" ht="13.5" thickBot="1" x14ac:dyDescent="0.35">
      <c r="C11"/>
      <c r="D11"/>
      <c r="E11"/>
      <c r="F11"/>
      <c r="G11"/>
      <c r="H11"/>
      <c r="I11"/>
      <c r="J11"/>
      <c r="K11"/>
      <c r="L11"/>
      <c r="M11" s="143"/>
    </row>
    <row r="12" spans="3:13" s="51" customFormat="1" ht="13" x14ac:dyDescent="0.3">
      <c r="C12" s="187" t="s">
        <v>7</v>
      </c>
      <c r="D12" s="187"/>
      <c r="E12"/>
      <c r="F12"/>
      <c r="G12"/>
      <c r="H12"/>
      <c r="I12"/>
      <c r="J12"/>
      <c r="K12"/>
      <c r="L12"/>
      <c r="M12" s="143"/>
    </row>
    <row r="13" spans="3:13" ht="13" x14ac:dyDescent="0.3">
      <c r="C13" t="s">
        <v>8</v>
      </c>
      <c r="D13">
        <v>0.96646983054490732</v>
      </c>
      <c r="E13"/>
      <c r="F13"/>
      <c r="G13"/>
      <c r="H13"/>
      <c r="I13"/>
      <c r="J13"/>
      <c r="K13"/>
      <c r="L13"/>
      <c r="M13" s="143"/>
    </row>
    <row r="14" spans="3:13" ht="13" x14ac:dyDescent="0.3">
      <c r="C14" t="s">
        <v>9</v>
      </c>
      <c r="D14">
        <v>0.93406393335350191</v>
      </c>
      <c r="E14"/>
      <c r="F14"/>
      <c r="G14"/>
      <c r="H14"/>
      <c r="I14"/>
      <c r="J14"/>
      <c r="K14"/>
      <c r="L14"/>
      <c r="M14" s="143"/>
    </row>
    <row r="15" spans="3:13" ht="13" x14ac:dyDescent="0.3">
      <c r="C15" t="s">
        <v>10</v>
      </c>
      <c r="D15">
        <v>0.93056290326607716</v>
      </c>
      <c r="E15"/>
      <c r="F15"/>
      <c r="G15"/>
      <c r="H15"/>
      <c r="I15"/>
      <c r="J15"/>
      <c r="K15"/>
      <c r="L15"/>
      <c r="M15" s="143"/>
    </row>
    <row r="16" spans="3:13" ht="13" x14ac:dyDescent="0.3">
      <c r="C16" t="s">
        <v>11</v>
      </c>
      <c r="D16">
        <v>407876.05938604951</v>
      </c>
      <c r="E16"/>
      <c r="F16"/>
      <c r="G16"/>
      <c r="H16"/>
      <c r="I16"/>
      <c r="J16"/>
      <c r="K16"/>
      <c r="L16"/>
      <c r="M16" s="143"/>
    </row>
    <row r="17" spans="3:13" ht="13.5" thickBot="1" x14ac:dyDescent="0.35">
      <c r="C17" s="185" t="s">
        <v>12</v>
      </c>
      <c r="D17" s="185">
        <v>120</v>
      </c>
      <c r="E17"/>
      <c r="F17"/>
      <c r="G17"/>
      <c r="H17"/>
      <c r="I17"/>
      <c r="J17"/>
      <c r="K17"/>
      <c r="L17"/>
      <c r="M17" s="143"/>
    </row>
    <row r="18" spans="3:13" ht="13" x14ac:dyDescent="0.3">
      <c r="C18"/>
      <c r="D18"/>
      <c r="E18"/>
      <c r="F18"/>
      <c r="G18"/>
      <c r="H18"/>
      <c r="I18"/>
      <c r="J18"/>
      <c r="K18"/>
      <c r="L18"/>
      <c r="M18" s="143"/>
    </row>
    <row r="19" spans="3:13" ht="13.5" thickBot="1" x14ac:dyDescent="0.35">
      <c r="C19" t="s">
        <v>13</v>
      </c>
      <c r="D19"/>
      <c r="E19"/>
      <c r="F19"/>
      <c r="G19"/>
      <c r="H19"/>
      <c r="I19"/>
      <c r="J19"/>
      <c r="K19"/>
      <c r="L19"/>
      <c r="M19" s="143"/>
    </row>
    <row r="20" spans="3:13" s="49" customFormat="1" ht="15.5" x14ac:dyDescent="0.35">
      <c r="C20" s="186"/>
      <c r="D20" s="186" t="s">
        <v>18</v>
      </c>
      <c r="E20" s="186" t="s">
        <v>19</v>
      </c>
      <c r="F20" s="186" t="s">
        <v>20</v>
      </c>
      <c r="G20" s="186" t="s">
        <v>21</v>
      </c>
      <c r="H20" s="186" t="s">
        <v>22</v>
      </c>
      <c r="I20"/>
      <c r="J20"/>
      <c r="K20"/>
      <c r="L20"/>
      <c r="M20" s="143"/>
    </row>
    <row r="21" spans="3:13" ht="13" x14ac:dyDescent="0.3">
      <c r="C21" t="s">
        <v>14</v>
      </c>
      <c r="D21">
        <v>6</v>
      </c>
      <c r="E21">
        <v>266310592040522.5</v>
      </c>
      <c r="F21">
        <v>44385098673420.414</v>
      </c>
      <c r="G21">
        <v>266.79688835253336</v>
      </c>
      <c r="H21">
        <v>2.8058520922010112E-64</v>
      </c>
      <c r="I21"/>
      <c r="J21"/>
      <c r="K21"/>
      <c r="L21"/>
      <c r="M21" s="143"/>
    </row>
    <row r="22" spans="3:13" ht="13" x14ac:dyDescent="0.3">
      <c r="C22" t="s">
        <v>15</v>
      </c>
      <c r="D22">
        <v>113</v>
      </c>
      <c r="E22">
        <v>18799005419693.016</v>
      </c>
      <c r="F22">
        <v>166362879820.29218</v>
      </c>
      <c r="G22"/>
      <c r="H22"/>
      <c r="I22"/>
      <c r="J22"/>
      <c r="K22"/>
      <c r="L22"/>
      <c r="M22" s="143"/>
    </row>
    <row r="23" spans="3:13" ht="13.5" thickBot="1" x14ac:dyDescent="0.35">
      <c r="C23" s="185" t="s">
        <v>16</v>
      </c>
      <c r="D23" s="185">
        <v>119</v>
      </c>
      <c r="E23" s="185">
        <v>285109597460215.5</v>
      </c>
      <c r="F23" s="185"/>
      <c r="G23" s="185"/>
      <c r="H23" s="185"/>
      <c r="I23"/>
      <c r="J23"/>
      <c r="K23"/>
      <c r="L23"/>
      <c r="M23" s="143"/>
    </row>
    <row r="24" spans="3:13" ht="13.5" thickBot="1" x14ac:dyDescent="0.35">
      <c r="C24"/>
      <c r="D24"/>
      <c r="E24"/>
      <c r="F24"/>
      <c r="G24"/>
      <c r="H24"/>
      <c r="I24"/>
      <c r="J24"/>
      <c r="K24"/>
      <c r="L24"/>
      <c r="M24" s="143"/>
    </row>
    <row r="25" spans="3:13" ht="13" x14ac:dyDescent="0.3">
      <c r="C25" s="186"/>
      <c r="D25" s="186" t="s">
        <v>23</v>
      </c>
      <c r="E25" s="186" t="s">
        <v>11</v>
      </c>
      <c r="F25" s="186" t="s">
        <v>24</v>
      </c>
      <c r="G25" s="186" t="s">
        <v>25</v>
      </c>
      <c r="H25" s="186" t="s">
        <v>26</v>
      </c>
      <c r="I25" s="186" t="s">
        <v>27</v>
      </c>
      <c r="J25" s="186" t="s">
        <v>28</v>
      </c>
      <c r="K25" s="186" t="s">
        <v>29</v>
      </c>
      <c r="L25" s="186"/>
      <c r="M25" s="143"/>
    </row>
    <row r="26" spans="3:13" ht="13" x14ac:dyDescent="0.3">
      <c r="C26" t="s">
        <v>17</v>
      </c>
      <c r="D26">
        <v>-15202873.857099423</v>
      </c>
      <c r="E26">
        <v>1760926.2054050004</v>
      </c>
      <c r="F26">
        <v>-8.6334531284931799</v>
      </c>
      <c r="G26">
        <v>4.3534104229525661E-14</v>
      </c>
      <c r="H26">
        <v>-18691586.269626398</v>
      </c>
      <c r="I26">
        <v>-11714161.444572447</v>
      </c>
      <c r="J26">
        <v>-18691586.269626398</v>
      </c>
      <c r="K26">
        <v>-11714161.444572447</v>
      </c>
      <c r="L26"/>
      <c r="M26" s="143"/>
    </row>
    <row r="27" spans="3:13" ht="13" x14ac:dyDescent="0.3">
      <c r="C27" t="s">
        <v>95</v>
      </c>
      <c r="D27">
        <v>738.08335017707827</v>
      </c>
      <c r="E27">
        <v>216.07656869197677</v>
      </c>
      <c r="F27">
        <v>3.415841683552634</v>
      </c>
      <c r="G27">
        <v>8.8426561850035918E-4</v>
      </c>
      <c r="H27">
        <v>309.99669615482077</v>
      </c>
      <c r="I27">
        <v>1166.1700041993358</v>
      </c>
      <c r="J27">
        <v>309.99669615482077</v>
      </c>
      <c r="K27">
        <v>1166.1700041993358</v>
      </c>
      <c r="L27"/>
      <c r="M27" s="143"/>
    </row>
    <row r="28" spans="3:13" ht="13" x14ac:dyDescent="0.3">
      <c r="C28" t="s">
        <v>96</v>
      </c>
      <c r="D28">
        <v>-860034.16364088922</v>
      </c>
      <c r="E28">
        <v>92709.532808024131</v>
      </c>
      <c r="F28">
        <v>-9.276652978305723</v>
      </c>
      <c r="G28">
        <v>1.4404652998972295E-15</v>
      </c>
      <c r="H28">
        <v>-1043708.4691706558</v>
      </c>
      <c r="I28">
        <v>-676359.85811112262</v>
      </c>
      <c r="J28">
        <v>-1043708.4691706558</v>
      </c>
      <c r="K28">
        <v>-676359.85811112262</v>
      </c>
      <c r="L28"/>
      <c r="M28" s="143"/>
    </row>
    <row r="29" spans="3:13" ht="13" x14ac:dyDescent="0.3">
      <c r="C29" t="s">
        <v>120</v>
      </c>
      <c r="D29">
        <v>423694.03295067057</v>
      </c>
      <c r="E29">
        <v>47136.872748329697</v>
      </c>
      <c r="F29">
        <v>8.9885902107429096</v>
      </c>
      <c r="G29">
        <v>6.6587799663031632E-15</v>
      </c>
      <c r="H29">
        <v>330307.38645745156</v>
      </c>
      <c r="I29">
        <v>517080.67944388959</v>
      </c>
      <c r="J29">
        <v>330307.38645745156</v>
      </c>
      <c r="K29">
        <v>517080.67944388959</v>
      </c>
      <c r="L29"/>
      <c r="M29" s="143"/>
    </row>
    <row r="30" spans="3:13" ht="13" x14ac:dyDescent="0.3">
      <c r="C30" t="s">
        <v>256</v>
      </c>
      <c r="D30">
        <v>14207.492521318187</v>
      </c>
      <c r="E30">
        <v>15963.011302268158</v>
      </c>
      <c r="F30" s="718">
        <v>0.89002583862729379</v>
      </c>
      <c r="G30">
        <v>0.37534296658210775</v>
      </c>
      <c r="H30">
        <v>-17418.111947849757</v>
      </c>
      <c r="I30">
        <v>45833.096990486134</v>
      </c>
      <c r="J30">
        <v>-17418.111947849757</v>
      </c>
      <c r="K30">
        <v>45833.096990486134</v>
      </c>
      <c r="L30"/>
      <c r="M30" s="143"/>
    </row>
    <row r="31" spans="3:13" ht="13" x14ac:dyDescent="0.3">
      <c r="C31" t="s">
        <v>1</v>
      </c>
      <c r="D31">
        <v>5794.4010598916748</v>
      </c>
      <c r="E31">
        <v>240.7609909764455</v>
      </c>
      <c r="F31">
        <v>24.06702612575042</v>
      </c>
      <c r="G31">
        <v>2.7383097063155881E-46</v>
      </c>
      <c r="H31">
        <v>5317.4101132559299</v>
      </c>
      <c r="I31">
        <v>6271.3920065274197</v>
      </c>
      <c r="J31">
        <v>5317.4101132559299</v>
      </c>
      <c r="K31">
        <v>6271.3920065274197</v>
      </c>
      <c r="L31"/>
      <c r="M31" s="143"/>
    </row>
    <row r="32" spans="3:13" ht="13.5" thickBot="1" x14ac:dyDescent="0.35">
      <c r="C32" s="185" t="s">
        <v>2</v>
      </c>
      <c r="D32" s="185">
        <v>39333.489151786918</v>
      </c>
      <c r="E32" s="185">
        <v>1965.7778925780487</v>
      </c>
      <c r="F32" s="185">
        <v>20.009121732568897</v>
      </c>
      <c r="G32" s="185">
        <v>6.1265560167456914E-39</v>
      </c>
      <c r="H32" s="185">
        <v>35438.928600039741</v>
      </c>
      <c r="I32" s="185">
        <v>43228.049703534096</v>
      </c>
      <c r="J32" s="185">
        <v>35438.928600039741</v>
      </c>
      <c r="K32" s="185">
        <v>43228.049703534096</v>
      </c>
      <c r="L32" s="185"/>
      <c r="M32" s="143"/>
    </row>
    <row r="33" spans="3:12" ht="13" x14ac:dyDescent="0.3">
      <c r="C33"/>
      <c r="D33"/>
      <c r="E33"/>
      <c r="F33"/>
      <c r="G33"/>
      <c r="H33"/>
      <c r="I33"/>
      <c r="J33"/>
      <c r="K33"/>
      <c r="L33"/>
    </row>
    <row r="35" spans="3:12" s="49" customFormat="1" ht="15.5" x14ac:dyDescent="0.35">
      <c r="C35" t="s">
        <v>121</v>
      </c>
      <c r="D35"/>
      <c r="E35"/>
      <c r="F35"/>
      <c r="G35"/>
      <c r="H35"/>
      <c r="I35"/>
      <c r="J35"/>
      <c r="K35"/>
    </row>
    <row r="36" spans="3:12" ht="13.5" thickBot="1" x14ac:dyDescent="0.35">
      <c r="C36"/>
      <c r="D36"/>
      <c r="E36"/>
      <c r="F36"/>
      <c r="G36"/>
      <c r="H36"/>
      <c r="I36"/>
      <c r="J36"/>
      <c r="K36"/>
    </row>
    <row r="37" spans="3:12" ht="13" x14ac:dyDescent="0.3">
      <c r="C37" s="187" t="s">
        <v>7</v>
      </c>
      <c r="D37" s="187"/>
      <c r="E37"/>
      <c r="F37"/>
      <c r="G37"/>
      <c r="H37"/>
      <c r="I37"/>
      <c r="J37"/>
      <c r="K37"/>
    </row>
    <row r="38" spans="3:12" ht="13" x14ac:dyDescent="0.3">
      <c r="C38" t="s">
        <v>8</v>
      </c>
      <c r="D38">
        <v>0.87653546663875714</v>
      </c>
      <c r="E38"/>
      <c r="F38"/>
      <c r="G38"/>
      <c r="H38"/>
      <c r="I38"/>
      <c r="J38"/>
      <c r="K38"/>
    </row>
    <row r="39" spans="3:12" ht="13" x14ac:dyDescent="0.3">
      <c r="C39" t="s">
        <v>9</v>
      </c>
      <c r="D39">
        <v>0.76831442427562369</v>
      </c>
      <c r="E39"/>
      <c r="F39"/>
      <c r="G39"/>
      <c r="H39"/>
      <c r="I39"/>
      <c r="J39"/>
      <c r="K39"/>
    </row>
    <row r="40" spans="3:12" ht="13" x14ac:dyDescent="0.3">
      <c r="C40" t="s">
        <v>10</v>
      </c>
      <c r="D40">
        <v>0.75815277621753696</v>
      </c>
      <c r="E40"/>
      <c r="F40"/>
      <c r="G40"/>
      <c r="H40"/>
      <c r="I40"/>
      <c r="J40"/>
      <c r="K40"/>
    </row>
    <row r="41" spans="3:12" ht="13" x14ac:dyDescent="0.3">
      <c r="C41" t="s">
        <v>11</v>
      </c>
      <c r="D41">
        <v>760714.08160788065</v>
      </c>
      <c r="E41"/>
      <c r="F41"/>
      <c r="G41"/>
      <c r="H41"/>
      <c r="I41"/>
      <c r="J41"/>
      <c r="K41"/>
    </row>
    <row r="42" spans="3:12" ht="13.5" thickBot="1" x14ac:dyDescent="0.35">
      <c r="C42" s="185" t="s">
        <v>12</v>
      </c>
      <c r="D42" s="185">
        <v>120</v>
      </c>
      <c r="E42"/>
      <c r="F42"/>
      <c r="G42"/>
      <c r="H42"/>
      <c r="I42"/>
      <c r="J42"/>
      <c r="K42"/>
    </row>
    <row r="43" spans="3:12" ht="13" x14ac:dyDescent="0.3">
      <c r="C43"/>
      <c r="D43"/>
      <c r="E43"/>
      <c r="F43"/>
      <c r="G43"/>
      <c r="H43"/>
      <c r="I43"/>
      <c r="J43"/>
      <c r="K43"/>
    </row>
    <row r="44" spans="3:12" ht="13.5" thickBot="1" x14ac:dyDescent="0.35">
      <c r="C44" t="s">
        <v>13</v>
      </c>
      <c r="D44"/>
      <c r="E44"/>
      <c r="F44"/>
      <c r="G44"/>
      <c r="H44"/>
      <c r="I44"/>
      <c r="J44"/>
      <c r="K44"/>
    </row>
    <row r="45" spans="3:12" s="49" customFormat="1" ht="15.5" x14ac:dyDescent="0.35">
      <c r="C45" s="186"/>
      <c r="D45" s="186" t="s">
        <v>18</v>
      </c>
      <c r="E45" s="186" t="s">
        <v>19</v>
      </c>
      <c r="F45" s="186" t="s">
        <v>20</v>
      </c>
      <c r="G45" s="186" t="s">
        <v>21</v>
      </c>
      <c r="H45" s="186" t="s">
        <v>22</v>
      </c>
      <c r="I45"/>
      <c r="J45"/>
      <c r="K45"/>
    </row>
    <row r="46" spans="3:12" ht="13" x14ac:dyDescent="0.3">
      <c r="C46" t="s">
        <v>14</v>
      </c>
      <c r="D46">
        <v>5</v>
      </c>
      <c r="E46">
        <v>218769992956060.5</v>
      </c>
      <c r="F46">
        <v>43753998591212.102</v>
      </c>
      <c r="G46">
        <v>75.609233845113934</v>
      </c>
      <c r="H46">
        <v>1.4296552888816841E-34</v>
      </c>
      <c r="I46"/>
      <c r="J46"/>
      <c r="K46"/>
    </row>
    <row r="47" spans="3:12" ht="13" x14ac:dyDescent="0.3">
      <c r="C47" t="s">
        <v>15</v>
      </c>
      <c r="D47">
        <v>114</v>
      </c>
      <c r="E47">
        <v>65970194191043.43</v>
      </c>
      <c r="F47">
        <v>578685913956.52136</v>
      </c>
      <c r="G47"/>
      <c r="H47"/>
      <c r="I47"/>
      <c r="J47"/>
      <c r="K47"/>
    </row>
    <row r="48" spans="3:12" ht="13.5" thickBot="1" x14ac:dyDescent="0.35">
      <c r="C48" s="185" t="s">
        <v>16</v>
      </c>
      <c r="D48" s="185">
        <v>119</v>
      </c>
      <c r="E48" s="185">
        <v>284740187147103.94</v>
      </c>
      <c r="F48" s="185"/>
      <c r="G48" s="185"/>
      <c r="H48" s="185"/>
      <c r="I48"/>
      <c r="J48"/>
      <c r="K48"/>
    </row>
    <row r="49" spans="3:11" ht="13.5" thickBot="1" x14ac:dyDescent="0.35">
      <c r="C49"/>
      <c r="D49"/>
      <c r="E49"/>
      <c r="F49"/>
      <c r="G49"/>
      <c r="H49"/>
      <c r="I49"/>
      <c r="J49"/>
      <c r="K49"/>
    </row>
    <row r="50" spans="3:11" ht="13" x14ac:dyDescent="0.3">
      <c r="C50" s="186"/>
      <c r="D50" s="186" t="s">
        <v>23</v>
      </c>
      <c r="E50" s="186" t="s">
        <v>11</v>
      </c>
      <c r="F50" s="186" t="s">
        <v>24</v>
      </c>
      <c r="G50" s="186" t="s">
        <v>25</v>
      </c>
      <c r="H50" s="186" t="s">
        <v>26</v>
      </c>
      <c r="I50" s="186" t="s">
        <v>27</v>
      </c>
      <c r="J50" s="186" t="s">
        <v>28</v>
      </c>
      <c r="K50" s="186" t="s">
        <v>29</v>
      </c>
    </row>
    <row r="51" spans="3:11" ht="13" x14ac:dyDescent="0.3">
      <c r="C51" t="s">
        <v>17</v>
      </c>
      <c r="D51">
        <v>-14898805.122065926</v>
      </c>
      <c r="E51">
        <v>3048224.6709197303</v>
      </c>
      <c r="F51">
        <v>-4.8876991463921726</v>
      </c>
      <c r="G51">
        <v>3.3661396988222446E-6</v>
      </c>
      <c r="H51">
        <v>-20937314.717657909</v>
      </c>
      <c r="I51">
        <v>-8860295.5264739413</v>
      </c>
      <c r="J51">
        <v>-20937314.717657909</v>
      </c>
      <c r="K51">
        <v>-8860295.5264739413</v>
      </c>
    </row>
    <row r="52" spans="3:11" ht="13" x14ac:dyDescent="0.3">
      <c r="C52" t="s">
        <v>95</v>
      </c>
      <c r="D52">
        <v>923.75734565323148</v>
      </c>
      <c r="E52">
        <v>109.84678970024996</v>
      </c>
      <c r="F52">
        <v>8.4095069885426934</v>
      </c>
      <c r="G52">
        <v>1.3411831953734208E-13</v>
      </c>
      <c r="H52">
        <v>706.15170129966236</v>
      </c>
      <c r="I52">
        <v>1141.3629900068006</v>
      </c>
      <c r="J52">
        <v>706.15170129966236</v>
      </c>
      <c r="K52">
        <v>1141.3629900068006</v>
      </c>
    </row>
    <row r="53" spans="3:11" ht="13" x14ac:dyDescent="0.3">
      <c r="C53" t="s">
        <v>96</v>
      </c>
      <c r="D53">
        <v>-1117782.372999158</v>
      </c>
      <c r="E53">
        <v>185581.03998580077</v>
      </c>
      <c r="F53">
        <v>-6.023149633630041</v>
      </c>
      <c r="G53">
        <v>2.1407890706998814E-8</v>
      </c>
      <c r="H53">
        <v>-1485416.9838613793</v>
      </c>
      <c r="I53">
        <v>-750147.76213693665</v>
      </c>
      <c r="J53">
        <v>-1485416.9838613793</v>
      </c>
      <c r="K53">
        <v>-750147.76213693665</v>
      </c>
    </row>
    <row r="54" spans="3:11" ht="13" x14ac:dyDescent="0.3">
      <c r="C54" t="s">
        <v>120</v>
      </c>
      <c r="D54">
        <v>414095.49941701361</v>
      </c>
      <c r="E54">
        <v>89591.073670602578</v>
      </c>
      <c r="F54">
        <v>4.6220620252806537</v>
      </c>
      <c r="G54">
        <v>1.0077129184392377E-5</v>
      </c>
      <c r="H54">
        <v>236616.27250816207</v>
      </c>
      <c r="I54">
        <v>591574.72632586514</v>
      </c>
      <c r="J54">
        <v>236616.27250816207</v>
      </c>
      <c r="K54">
        <v>591574.72632586514</v>
      </c>
    </row>
    <row r="55" spans="3:11" ht="13" x14ac:dyDescent="0.3">
      <c r="C55" t="s">
        <v>259</v>
      </c>
      <c r="D55">
        <v>4739.0453306717609</v>
      </c>
      <c r="E55">
        <v>511.74771401234369</v>
      </c>
      <c r="F55">
        <v>9.2605109918623931</v>
      </c>
      <c r="G55">
        <v>1.466429791021275E-15</v>
      </c>
      <c r="H55">
        <v>3725.2770507065552</v>
      </c>
      <c r="I55">
        <v>5752.8136106369666</v>
      </c>
      <c r="J55">
        <v>3725.2770507065552</v>
      </c>
      <c r="K55">
        <v>5752.8136106369666</v>
      </c>
    </row>
    <row r="56" spans="3:11" ht="13.5" thickBot="1" x14ac:dyDescent="0.35">
      <c r="C56" s="185" t="s">
        <v>260</v>
      </c>
      <c r="D56" s="185">
        <v>31052.218055939658</v>
      </c>
      <c r="E56" s="185">
        <v>4514.1174967243587</v>
      </c>
      <c r="F56" s="185">
        <v>6.8789122300145058</v>
      </c>
      <c r="G56" s="185">
        <v>3.4331547554098498E-10</v>
      </c>
      <c r="H56" s="185">
        <v>22109.786062770636</v>
      </c>
      <c r="I56" s="185">
        <v>39994.650049108677</v>
      </c>
      <c r="J56" s="185">
        <v>22109.786062770636</v>
      </c>
      <c r="K56" s="185">
        <v>39994.650049108677</v>
      </c>
    </row>
    <row r="57" spans="3:11" ht="13" x14ac:dyDescent="0.3">
      <c r="C57"/>
      <c r="D57"/>
      <c r="E57"/>
      <c r="F57"/>
      <c r="G57"/>
      <c r="H57"/>
      <c r="I57"/>
      <c r="J57"/>
      <c r="K57"/>
    </row>
    <row r="58" spans="3:11" ht="13" x14ac:dyDescent="0.3">
      <c r="C58"/>
      <c r="D58"/>
      <c r="E58"/>
      <c r="F58"/>
      <c r="G58"/>
      <c r="H58"/>
      <c r="I58"/>
      <c r="J58"/>
      <c r="K58"/>
    </row>
    <row r="59" spans="3:11" ht="13" x14ac:dyDescent="0.3">
      <c r="C59"/>
      <c r="D59"/>
      <c r="E59"/>
      <c r="F59"/>
      <c r="G59"/>
      <c r="H59"/>
      <c r="I59"/>
      <c r="J59"/>
      <c r="K59"/>
    </row>
    <row r="61" spans="3:11" ht="13" x14ac:dyDescent="0.3">
      <c r="C61"/>
      <c r="D61"/>
      <c r="E61"/>
      <c r="F61"/>
      <c r="G61"/>
      <c r="H61"/>
      <c r="I61"/>
      <c r="J61"/>
      <c r="K61"/>
    </row>
    <row r="62" spans="3:11" ht="13" x14ac:dyDescent="0.3">
      <c r="C62"/>
      <c r="D62"/>
      <c r="E62"/>
      <c r="F62"/>
      <c r="G62"/>
      <c r="H62"/>
      <c r="I62"/>
      <c r="J62"/>
      <c r="K62"/>
    </row>
    <row r="63" spans="3:11" ht="13" x14ac:dyDescent="0.3">
      <c r="C63" s="605"/>
      <c r="D63" s="605"/>
      <c r="E63"/>
      <c r="F63"/>
      <c r="G63"/>
      <c r="H63"/>
      <c r="I63"/>
      <c r="J63"/>
      <c r="K63"/>
    </row>
    <row r="64" spans="3:11" ht="13" x14ac:dyDescent="0.3">
      <c r="C64"/>
      <c r="D64"/>
      <c r="E64"/>
      <c r="F64"/>
      <c r="G64"/>
      <c r="H64"/>
      <c r="I64"/>
      <c r="J64"/>
      <c r="K64"/>
    </row>
    <row r="65" spans="3:11" ht="13" x14ac:dyDescent="0.3">
      <c r="C65"/>
      <c r="D65"/>
      <c r="E65"/>
      <c r="F65"/>
      <c r="G65"/>
      <c r="H65"/>
      <c r="I65"/>
      <c r="J65"/>
      <c r="K65"/>
    </row>
    <row r="66" spans="3:11" ht="13" x14ac:dyDescent="0.3">
      <c r="C66"/>
      <c r="D66"/>
      <c r="E66"/>
      <c r="F66"/>
      <c r="G66"/>
      <c r="H66"/>
      <c r="I66"/>
      <c r="J66"/>
      <c r="K66"/>
    </row>
    <row r="67" spans="3:11" ht="13" x14ac:dyDescent="0.3">
      <c r="C67"/>
      <c r="D67"/>
      <c r="E67"/>
      <c r="F67"/>
      <c r="G67"/>
      <c r="H67"/>
      <c r="I67"/>
      <c r="J67"/>
      <c r="K67"/>
    </row>
    <row r="68" spans="3:11" ht="13" x14ac:dyDescent="0.3">
      <c r="C68"/>
      <c r="D68"/>
      <c r="E68"/>
      <c r="F68"/>
      <c r="G68"/>
      <c r="H68"/>
      <c r="I68"/>
      <c r="J68"/>
      <c r="K68"/>
    </row>
    <row r="69" spans="3:11" ht="13" x14ac:dyDescent="0.3">
      <c r="C69"/>
      <c r="D69"/>
      <c r="E69"/>
      <c r="F69"/>
      <c r="G69"/>
      <c r="H69"/>
      <c r="I69"/>
      <c r="J69"/>
      <c r="K69"/>
    </row>
    <row r="70" spans="3:11" ht="13" x14ac:dyDescent="0.3">
      <c r="C70"/>
      <c r="D70"/>
      <c r="E70"/>
      <c r="F70"/>
      <c r="G70"/>
      <c r="H70"/>
      <c r="I70"/>
      <c r="J70"/>
      <c r="K70"/>
    </row>
    <row r="71" spans="3:11" ht="13" x14ac:dyDescent="0.3">
      <c r="C71" s="449"/>
      <c r="D71" s="449"/>
      <c r="E71" s="449"/>
      <c r="F71" s="449"/>
      <c r="G71" s="449"/>
      <c r="H71" s="449"/>
      <c r="I71"/>
      <c r="J71"/>
      <c r="K71"/>
    </row>
    <row r="72" spans="3:11" ht="13" x14ac:dyDescent="0.3">
      <c r="C72"/>
      <c r="D72"/>
      <c r="E72"/>
      <c r="F72"/>
      <c r="G72"/>
      <c r="H72"/>
      <c r="I72"/>
      <c r="J72"/>
      <c r="K72"/>
    </row>
    <row r="73" spans="3:11" ht="13" x14ac:dyDescent="0.3">
      <c r="C73"/>
      <c r="D73"/>
      <c r="E73"/>
      <c r="F73"/>
      <c r="G73"/>
      <c r="H73"/>
      <c r="I73"/>
      <c r="J73"/>
      <c r="K73"/>
    </row>
    <row r="74" spans="3:11" ht="13" x14ac:dyDescent="0.3">
      <c r="C74"/>
      <c r="D74"/>
      <c r="E74"/>
      <c r="F74"/>
      <c r="G74"/>
      <c r="H74"/>
      <c r="I74"/>
      <c r="J74"/>
      <c r="K74"/>
    </row>
    <row r="75" spans="3:11" ht="13" x14ac:dyDescent="0.3">
      <c r="C75"/>
      <c r="D75"/>
      <c r="E75"/>
      <c r="F75"/>
      <c r="G75"/>
      <c r="H75"/>
      <c r="I75"/>
      <c r="J75"/>
      <c r="K75"/>
    </row>
    <row r="76" spans="3:11" ht="13" x14ac:dyDescent="0.3">
      <c r="C76" s="449"/>
      <c r="D76" s="449"/>
      <c r="E76" s="449"/>
      <c r="F76" s="449"/>
      <c r="G76" s="449"/>
      <c r="H76" s="449"/>
      <c r="I76" s="449"/>
      <c r="J76" s="449"/>
      <c r="K76" s="449"/>
    </row>
    <row r="77" spans="3:11" ht="13" x14ac:dyDescent="0.3">
      <c r="C77"/>
      <c r="D77" s="523"/>
      <c r="E77"/>
      <c r="F77"/>
      <c r="G77"/>
      <c r="H77"/>
      <c r="I77"/>
      <c r="J77"/>
      <c r="K77"/>
    </row>
    <row r="78" spans="3:11" ht="13" x14ac:dyDescent="0.3">
      <c r="C78"/>
      <c r="D78" s="523"/>
      <c r="E78"/>
      <c r="F78"/>
      <c r="G78"/>
      <c r="H78"/>
      <c r="I78"/>
      <c r="J78"/>
      <c r="K78"/>
    </row>
    <row r="79" spans="3:11" ht="13" x14ac:dyDescent="0.3">
      <c r="C79"/>
      <c r="D79" s="523"/>
      <c r="E79"/>
      <c r="F79"/>
      <c r="G79"/>
      <c r="H79"/>
      <c r="I79"/>
      <c r="J79"/>
      <c r="K79"/>
    </row>
    <row r="80" spans="3:11" ht="13" x14ac:dyDescent="0.3">
      <c r="C80"/>
      <c r="D80" s="523"/>
      <c r="E80"/>
      <c r="F80"/>
      <c r="G80"/>
      <c r="H80"/>
      <c r="I80"/>
      <c r="J80"/>
      <c r="K80"/>
    </row>
    <row r="81" spans="3:11" ht="13" x14ac:dyDescent="0.3">
      <c r="C81"/>
      <c r="D81" s="523"/>
      <c r="E81"/>
      <c r="F81"/>
      <c r="G81"/>
      <c r="H81"/>
      <c r="I81"/>
      <c r="J81"/>
      <c r="K81"/>
    </row>
    <row r="82" spans="3:11" ht="13" x14ac:dyDescent="0.3">
      <c r="C82"/>
      <c r="D82" s="523"/>
      <c r="E82"/>
      <c r="F82"/>
      <c r="G82"/>
      <c r="H82"/>
      <c r="I82"/>
      <c r="J82"/>
      <c r="K82"/>
    </row>
    <row r="83" spans="3:11" ht="13" x14ac:dyDescent="0.3">
      <c r="C83"/>
      <c r="D83" s="523"/>
      <c r="E83"/>
      <c r="F83"/>
      <c r="G83"/>
      <c r="H83"/>
      <c r="I83"/>
      <c r="J83"/>
      <c r="K83"/>
    </row>
    <row r="84" spans="3:11" ht="13" x14ac:dyDescent="0.3">
      <c r="C84"/>
      <c r="D84"/>
      <c r="E84"/>
      <c r="F84"/>
      <c r="G84"/>
      <c r="H84"/>
      <c r="I84"/>
      <c r="J84"/>
      <c r="K84"/>
    </row>
    <row r="85" spans="3:11" ht="13" x14ac:dyDescent="0.3">
      <c r="C85" s="524"/>
      <c r="D85"/>
      <c r="E85"/>
      <c r="F85"/>
      <c r="G85"/>
      <c r="H85"/>
      <c r="I85"/>
      <c r="J85"/>
      <c r="K85"/>
    </row>
    <row r="86" spans="3:11" ht="13" x14ac:dyDescent="0.3">
      <c r="C86"/>
      <c r="D86"/>
      <c r="E86"/>
      <c r="F86"/>
      <c r="G86"/>
      <c r="H86"/>
      <c r="I86"/>
      <c r="J86"/>
      <c r="K86"/>
    </row>
    <row r="87" spans="3:11" ht="13" x14ac:dyDescent="0.3">
      <c r="C87" s="605"/>
      <c r="D87" s="605"/>
      <c r="E87"/>
      <c r="F87"/>
      <c r="G87"/>
      <c r="H87"/>
      <c r="I87"/>
      <c r="J87"/>
      <c r="K87"/>
    </row>
    <row r="88" spans="3:11" ht="13" x14ac:dyDescent="0.3">
      <c r="C88"/>
      <c r="D88"/>
      <c r="E88"/>
      <c r="F88"/>
      <c r="G88"/>
      <c r="H88"/>
      <c r="I88"/>
      <c r="J88"/>
      <c r="K88"/>
    </row>
    <row r="89" spans="3:11" ht="13" x14ac:dyDescent="0.3">
      <c r="C89"/>
      <c r="D89"/>
      <c r="E89"/>
      <c r="F89"/>
      <c r="G89"/>
      <c r="H89"/>
      <c r="I89"/>
      <c r="J89"/>
      <c r="K89"/>
    </row>
    <row r="90" spans="3:11" ht="13" x14ac:dyDescent="0.3">
      <c r="C90"/>
      <c r="D90"/>
      <c r="E90"/>
      <c r="F90"/>
      <c r="G90"/>
      <c r="H90"/>
      <c r="I90"/>
      <c r="J90"/>
      <c r="K90"/>
    </row>
    <row r="91" spans="3:11" ht="13" x14ac:dyDescent="0.3">
      <c r="C91"/>
      <c r="D91"/>
      <c r="E91"/>
      <c r="F91"/>
      <c r="G91"/>
      <c r="H91"/>
      <c r="I91"/>
      <c r="J91"/>
      <c r="K91"/>
    </row>
    <row r="92" spans="3:11" ht="13" x14ac:dyDescent="0.3">
      <c r="C92"/>
      <c r="D92"/>
      <c r="E92"/>
      <c r="F92"/>
      <c r="G92"/>
      <c r="H92"/>
      <c r="I92"/>
      <c r="J92"/>
      <c r="K92"/>
    </row>
    <row r="93" spans="3:11" ht="13" x14ac:dyDescent="0.3">
      <c r="C93"/>
      <c r="D93"/>
      <c r="E93"/>
      <c r="F93"/>
      <c r="G93"/>
      <c r="H93"/>
      <c r="I93"/>
      <c r="J93"/>
      <c r="K93"/>
    </row>
    <row r="94" spans="3:11" ht="13" x14ac:dyDescent="0.3">
      <c r="C94"/>
      <c r="D94"/>
      <c r="E94"/>
      <c r="F94"/>
      <c r="G94"/>
      <c r="H94"/>
      <c r="I94"/>
      <c r="J94"/>
      <c r="K94"/>
    </row>
    <row r="95" spans="3:11" ht="13" x14ac:dyDescent="0.3">
      <c r="C95" s="449"/>
      <c r="D95" s="449"/>
      <c r="E95" s="449"/>
      <c r="F95" s="449"/>
      <c r="G95" s="449"/>
      <c r="H95" s="449"/>
      <c r="I95"/>
      <c r="J95"/>
      <c r="K95"/>
    </row>
    <row r="96" spans="3:11" ht="13" x14ac:dyDescent="0.3">
      <c r="C96"/>
      <c r="D96"/>
      <c r="E96"/>
      <c r="F96"/>
      <c r="G96"/>
      <c r="H96"/>
      <c r="I96"/>
      <c r="J96"/>
      <c r="K96"/>
    </row>
    <row r="97" spans="3:11" ht="13" x14ac:dyDescent="0.3">
      <c r="C97"/>
      <c r="D97"/>
      <c r="E97"/>
      <c r="F97"/>
      <c r="G97"/>
      <c r="H97"/>
      <c r="I97"/>
      <c r="J97"/>
      <c r="K97"/>
    </row>
    <row r="98" spans="3:11" ht="13" x14ac:dyDescent="0.3">
      <c r="C98"/>
      <c r="D98"/>
      <c r="E98"/>
      <c r="F98"/>
      <c r="G98"/>
      <c r="H98"/>
      <c r="I98"/>
      <c r="J98"/>
      <c r="K98"/>
    </row>
    <row r="99" spans="3:11" ht="13" x14ac:dyDescent="0.3">
      <c r="C99"/>
      <c r="D99"/>
      <c r="E99"/>
      <c r="F99"/>
      <c r="G99"/>
      <c r="H99"/>
      <c r="I99"/>
      <c r="J99"/>
      <c r="K99"/>
    </row>
    <row r="100" spans="3:11" ht="13" x14ac:dyDescent="0.3">
      <c r="C100" s="449"/>
      <c r="D100" s="449"/>
      <c r="E100" s="449"/>
      <c r="F100" s="449"/>
      <c r="G100" s="449"/>
      <c r="H100" s="449"/>
      <c r="I100" s="449"/>
      <c r="J100" s="449"/>
      <c r="K100" s="449"/>
    </row>
    <row r="101" spans="3:11" ht="13" x14ac:dyDescent="0.3">
      <c r="C101"/>
      <c r="D101" s="523"/>
      <c r="E101"/>
      <c r="F101"/>
      <c r="G101"/>
      <c r="H101"/>
      <c r="I101"/>
      <c r="J101"/>
      <c r="K101"/>
    </row>
    <row r="102" spans="3:11" ht="13" x14ac:dyDescent="0.3">
      <c r="C102"/>
      <c r="D102" s="523"/>
      <c r="E102"/>
      <c r="F102"/>
      <c r="G102"/>
      <c r="H102"/>
      <c r="I102"/>
      <c r="J102"/>
      <c r="K102"/>
    </row>
    <row r="103" spans="3:11" ht="13" x14ac:dyDescent="0.3">
      <c r="C103"/>
      <c r="D103" s="523"/>
      <c r="E103"/>
      <c r="F103"/>
      <c r="G103"/>
      <c r="H103"/>
      <c r="I103"/>
      <c r="J103"/>
      <c r="K103"/>
    </row>
    <row r="104" spans="3:11" ht="13" x14ac:dyDescent="0.3">
      <c r="C104"/>
      <c r="D104" s="523"/>
      <c r="E104"/>
      <c r="F104"/>
      <c r="G104"/>
      <c r="H104"/>
      <c r="I104"/>
      <c r="J104"/>
      <c r="K104"/>
    </row>
    <row r="105" spans="3:11" ht="13" x14ac:dyDescent="0.3">
      <c r="C105"/>
      <c r="D105" s="523"/>
      <c r="E105"/>
      <c r="F105"/>
      <c r="G105"/>
      <c r="H105"/>
      <c r="I105"/>
      <c r="J105"/>
      <c r="K105"/>
    </row>
    <row r="106" spans="3:11" ht="13" x14ac:dyDescent="0.3">
      <c r="C106"/>
      <c r="D106" s="523"/>
      <c r="E106"/>
      <c r="F106"/>
      <c r="G106"/>
      <c r="H106"/>
      <c r="I106"/>
      <c r="J106"/>
      <c r="K106"/>
    </row>
    <row r="107" spans="3:11" ht="13" x14ac:dyDescent="0.3">
      <c r="C107"/>
      <c r="D107" s="523"/>
      <c r="E107"/>
      <c r="F107"/>
      <c r="G107"/>
      <c r="H107"/>
      <c r="I107"/>
      <c r="J107"/>
      <c r="K107"/>
    </row>
    <row r="108" spans="3:11" ht="13" x14ac:dyDescent="0.3">
      <c r="C108"/>
      <c r="D108"/>
      <c r="E108"/>
      <c r="F108"/>
      <c r="G108"/>
      <c r="H108"/>
      <c r="I108"/>
      <c r="J108"/>
      <c r="K108"/>
    </row>
    <row r="109" spans="3:11" ht="13" x14ac:dyDescent="0.3">
      <c r="C109"/>
      <c r="D109"/>
      <c r="E109"/>
      <c r="F109"/>
      <c r="G109"/>
      <c r="H109"/>
      <c r="I109"/>
      <c r="J109"/>
      <c r="K109"/>
    </row>
    <row r="110" spans="3:11" ht="13" x14ac:dyDescent="0.3">
      <c r="C110"/>
      <c r="D110"/>
      <c r="E110"/>
      <c r="F110"/>
      <c r="G110"/>
      <c r="H110"/>
      <c r="I110"/>
      <c r="J110"/>
      <c r="K110"/>
    </row>
    <row r="111" spans="3:11" ht="13" x14ac:dyDescent="0.3">
      <c r="C111" s="605"/>
      <c r="D111" s="605"/>
      <c r="E111"/>
      <c r="F111"/>
      <c r="G111"/>
      <c r="H111"/>
      <c r="I111"/>
      <c r="J111"/>
      <c r="K111"/>
    </row>
    <row r="112" spans="3:11" ht="13" x14ac:dyDescent="0.3">
      <c r="C112"/>
      <c r="D112"/>
      <c r="E112"/>
      <c r="F112"/>
      <c r="G112"/>
      <c r="H112"/>
      <c r="I112"/>
      <c r="J112"/>
      <c r="K112"/>
    </row>
    <row r="113" spans="3:11" ht="13" x14ac:dyDescent="0.3">
      <c r="C113"/>
      <c r="D113"/>
      <c r="E113"/>
      <c r="F113"/>
      <c r="G113"/>
      <c r="H113"/>
      <c r="I113"/>
      <c r="J113"/>
      <c r="K113"/>
    </row>
    <row r="114" spans="3:11" ht="13" x14ac:dyDescent="0.3">
      <c r="C114"/>
      <c r="D114"/>
      <c r="E114"/>
      <c r="F114"/>
      <c r="G114"/>
      <c r="H114"/>
      <c r="I114"/>
      <c r="J114"/>
      <c r="K114"/>
    </row>
    <row r="115" spans="3:11" ht="13" x14ac:dyDescent="0.3">
      <c r="C115"/>
      <c r="D115"/>
      <c r="E115"/>
      <c r="F115"/>
      <c r="G115"/>
      <c r="H115"/>
      <c r="I115"/>
      <c r="J115"/>
      <c r="K115"/>
    </row>
    <row r="116" spans="3:11" ht="13" x14ac:dyDescent="0.3">
      <c r="C116"/>
      <c r="D116"/>
      <c r="E116"/>
      <c r="F116"/>
      <c r="G116"/>
      <c r="H116"/>
      <c r="I116"/>
      <c r="J116"/>
      <c r="K116"/>
    </row>
    <row r="117" spans="3:11" ht="13" x14ac:dyDescent="0.3">
      <c r="C117"/>
      <c r="D117"/>
      <c r="E117"/>
      <c r="F117"/>
      <c r="G117"/>
      <c r="H117"/>
      <c r="I117"/>
      <c r="J117"/>
      <c r="K117"/>
    </row>
    <row r="118" spans="3:11" ht="13" x14ac:dyDescent="0.3">
      <c r="C118"/>
      <c r="D118"/>
      <c r="E118"/>
      <c r="F118"/>
      <c r="G118"/>
      <c r="H118"/>
      <c r="I118"/>
      <c r="J118"/>
      <c r="K118"/>
    </row>
    <row r="119" spans="3:11" ht="13" x14ac:dyDescent="0.3">
      <c r="C119" s="449"/>
      <c r="D119" s="449"/>
      <c r="E119" s="449"/>
      <c r="F119" s="449"/>
      <c r="G119" s="449"/>
      <c r="H119" s="449"/>
      <c r="I119"/>
      <c r="J119"/>
      <c r="K119"/>
    </row>
    <row r="120" spans="3:11" ht="13" x14ac:dyDescent="0.3">
      <c r="C120"/>
      <c r="D120"/>
      <c r="E120"/>
      <c r="F120"/>
      <c r="G120"/>
      <c r="H120"/>
      <c r="I120"/>
      <c r="J120"/>
      <c r="K120"/>
    </row>
    <row r="121" spans="3:11" ht="13" x14ac:dyDescent="0.3">
      <c r="C121"/>
      <c r="D121"/>
      <c r="E121"/>
      <c r="F121"/>
      <c r="G121"/>
      <c r="H121"/>
      <c r="I121"/>
      <c r="J121"/>
      <c r="K121"/>
    </row>
    <row r="122" spans="3:11" ht="13" x14ac:dyDescent="0.3">
      <c r="C122"/>
      <c r="D122"/>
      <c r="E122"/>
      <c r="F122"/>
      <c r="G122"/>
      <c r="H122"/>
      <c r="I122"/>
      <c r="J122"/>
      <c r="K122"/>
    </row>
    <row r="123" spans="3:11" ht="13" x14ac:dyDescent="0.3">
      <c r="C123"/>
      <c r="D123"/>
      <c r="E123"/>
      <c r="F123"/>
      <c r="G123"/>
      <c r="H123"/>
      <c r="I123"/>
      <c r="J123"/>
      <c r="K123"/>
    </row>
    <row r="124" spans="3:11" ht="13" x14ac:dyDescent="0.3">
      <c r="C124" s="449"/>
      <c r="D124" s="449"/>
      <c r="E124" s="449"/>
      <c r="F124" s="449"/>
      <c r="G124" s="449"/>
      <c r="H124" s="449"/>
      <c r="I124" s="449"/>
      <c r="J124" s="449"/>
      <c r="K124" s="449"/>
    </row>
    <row r="125" spans="3:11" ht="13" x14ac:dyDescent="0.3">
      <c r="C125"/>
      <c r="D125" s="523"/>
      <c r="E125"/>
      <c r="F125"/>
      <c r="G125"/>
      <c r="H125"/>
      <c r="I125"/>
      <c r="J125"/>
      <c r="K125"/>
    </row>
    <row r="126" spans="3:11" ht="13" x14ac:dyDescent="0.3">
      <c r="C126"/>
      <c r="D126" s="523"/>
      <c r="E126"/>
      <c r="F126"/>
      <c r="G126"/>
      <c r="H126"/>
      <c r="I126"/>
      <c r="J126"/>
      <c r="K126"/>
    </row>
    <row r="127" spans="3:11" ht="13" x14ac:dyDescent="0.3">
      <c r="C127"/>
      <c r="D127" s="523"/>
      <c r="E127"/>
      <c r="F127"/>
      <c r="G127"/>
      <c r="H127"/>
      <c r="I127"/>
      <c r="J127"/>
      <c r="K127"/>
    </row>
    <row r="128" spans="3:11" ht="13" x14ac:dyDescent="0.3">
      <c r="C128"/>
      <c r="D128" s="523"/>
      <c r="E128"/>
      <c r="F128"/>
      <c r="G128"/>
      <c r="H128"/>
      <c r="I128"/>
      <c r="J128"/>
      <c r="K128"/>
    </row>
    <row r="129" spans="3:11" ht="13" x14ac:dyDescent="0.3">
      <c r="C129"/>
      <c r="D129" s="523"/>
      <c r="E129"/>
      <c r="F129"/>
      <c r="G129"/>
      <c r="H129"/>
      <c r="I129"/>
      <c r="J129"/>
      <c r="K129"/>
    </row>
    <row r="130" spans="3:11" ht="13" x14ac:dyDescent="0.3">
      <c r="C130"/>
      <c r="D130" s="523"/>
      <c r="E130"/>
      <c r="F130"/>
      <c r="G130"/>
      <c r="H130"/>
      <c r="I130"/>
      <c r="J130"/>
      <c r="K130"/>
    </row>
    <row r="131" spans="3:11" ht="13" x14ac:dyDescent="0.3">
      <c r="C131" s="524"/>
      <c r="D131" s="523"/>
      <c r="E131"/>
      <c r="F131"/>
      <c r="G131"/>
      <c r="H131"/>
      <c r="I131"/>
      <c r="J131"/>
      <c r="K131"/>
    </row>
    <row r="132" spans="3:11" ht="13" x14ac:dyDescent="0.3">
      <c r="C132"/>
      <c r="D132"/>
      <c r="E132"/>
      <c r="F132"/>
      <c r="G132"/>
      <c r="H132"/>
      <c r="I132"/>
      <c r="J132"/>
      <c r="K132"/>
    </row>
    <row r="134" spans="3:11" ht="13" x14ac:dyDescent="0.3">
      <c r="C134" s="524"/>
      <c r="D134"/>
      <c r="E134"/>
      <c r="F134"/>
      <c r="G134"/>
      <c r="H134"/>
      <c r="I134"/>
      <c r="J134"/>
      <c r="K134"/>
    </row>
    <row r="135" spans="3:11" ht="13" x14ac:dyDescent="0.3">
      <c r="C135"/>
      <c r="D135"/>
      <c r="E135"/>
      <c r="F135"/>
      <c r="G135"/>
      <c r="H135"/>
      <c r="I135"/>
      <c r="J135"/>
      <c r="K135"/>
    </row>
    <row r="136" spans="3:11" ht="13" x14ac:dyDescent="0.3">
      <c r="C136" s="605"/>
      <c r="D136" s="605"/>
      <c r="E136"/>
      <c r="F136"/>
      <c r="G136"/>
      <c r="H136"/>
      <c r="I136"/>
      <c r="J136"/>
      <c r="K136"/>
    </row>
    <row r="137" spans="3:11" ht="13" x14ac:dyDescent="0.3">
      <c r="C137"/>
      <c r="D137"/>
      <c r="E137"/>
      <c r="F137"/>
      <c r="G137"/>
      <c r="H137"/>
      <c r="I137"/>
      <c r="J137"/>
      <c r="K137"/>
    </row>
    <row r="138" spans="3:11" ht="13" x14ac:dyDescent="0.3">
      <c r="C138"/>
      <c r="D138"/>
      <c r="E138"/>
      <c r="F138"/>
      <c r="G138"/>
      <c r="H138"/>
      <c r="I138"/>
      <c r="J138"/>
      <c r="K138"/>
    </row>
    <row r="139" spans="3:11" ht="13" x14ac:dyDescent="0.3">
      <c r="C139"/>
      <c r="D139"/>
      <c r="E139"/>
      <c r="F139"/>
      <c r="G139"/>
      <c r="H139"/>
      <c r="I139"/>
      <c r="J139"/>
      <c r="K139"/>
    </row>
    <row r="140" spans="3:11" ht="13" x14ac:dyDescent="0.3">
      <c r="C140"/>
      <c r="D140"/>
      <c r="E140"/>
      <c r="F140"/>
      <c r="G140"/>
      <c r="H140"/>
      <c r="I140"/>
      <c r="J140"/>
      <c r="K140"/>
    </row>
    <row r="141" spans="3:11" ht="13" x14ac:dyDescent="0.3">
      <c r="C141"/>
      <c r="D141"/>
      <c r="E141"/>
      <c r="F141"/>
      <c r="G141"/>
      <c r="H141"/>
      <c r="I141"/>
      <c r="J141"/>
      <c r="K141"/>
    </row>
    <row r="142" spans="3:11" ht="13" x14ac:dyDescent="0.3">
      <c r="C142"/>
      <c r="D142"/>
      <c r="E142"/>
      <c r="F142"/>
      <c r="G142"/>
      <c r="H142"/>
      <c r="I142"/>
      <c r="J142"/>
      <c r="K142"/>
    </row>
    <row r="143" spans="3:11" ht="13" x14ac:dyDescent="0.3">
      <c r="C143"/>
      <c r="D143"/>
      <c r="E143"/>
      <c r="F143"/>
      <c r="G143"/>
      <c r="H143"/>
      <c r="I143"/>
      <c r="J143"/>
      <c r="K143"/>
    </row>
    <row r="144" spans="3:11" ht="13" x14ac:dyDescent="0.3">
      <c r="C144" s="449"/>
      <c r="D144" s="449"/>
      <c r="E144" s="449"/>
      <c r="F144" s="449"/>
      <c r="G144" s="449"/>
      <c r="H144" s="449"/>
      <c r="I144"/>
      <c r="J144"/>
      <c r="K144"/>
    </row>
    <row r="145" spans="3:11" ht="13" x14ac:dyDescent="0.3">
      <c r="C145"/>
      <c r="D145"/>
      <c r="E145"/>
      <c r="F145"/>
      <c r="G145"/>
      <c r="H145"/>
      <c r="I145"/>
      <c r="J145"/>
      <c r="K145"/>
    </row>
    <row r="146" spans="3:11" ht="13" x14ac:dyDescent="0.3">
      <c r="C146"/>
      <c r="D146"/>
      <c r="E146"/>
      <c r="F146"/>
      <c r="G146"/>
      <c r="H146"/>
      <c r="I146"/>
      <c r="J146"/>
      <c r="K146"/>
    </row>
    <row r="147" spans="3:11" ht="13" x14ac:dyDescent="0.3">
      <c r="C147"/>
      <c r="D147"/>
      <c r="E147"/>
      <c r="F147"/>
      <c r="G147"/>
      <c r="H147"/>
      <c r="I147"/>
      <c r="J147"/>
      <c r="K147"/>
    </row>
    <row r="148" spans="3:11" ht="13" x14ac:dyDescent="0.3">
      <c r="C148"/>
      <c r="D148"/>
      <c r="E148"/>
      <c r="F148"/>
      <c r="G148"/>
      <c r="H148"/>
      <c r="I148"/>
      <c r="J148"/>
      <c r="K148"/>
    </row>
    <row r="149" spans="3:11" ht="13" x14ac:dyDescent="0.3">
      <c r="C149" s="449"/>
      <c r="D149" s="449"/>
      <c r="E149" s="449"/>
      <c r="F149" s="449"/>
      <c r="G149" s="449"/>
      <c r="H149" s="449"/>
      <c r="I149" s="449"/>
      <c r="J149" s="449"/>
      <c r="K149" s="449"/>
    </row>
    <row r="150" spans="3:11" ht="13" x14ac:dyDescent="0.3">
      <c r="C150"/>
      <c r="D150"/>
      <c r="E150"/>
      <c r="F150"/>
      <c r="G150"/>
      <c r="H150"/>
      <c r="I150"/>
      <c r="J150"/>
      <c r="K150"/>
    </row>
    <row r="151" spans="3:11" ht="13" x14ac:dyDescent="0.3">
      <c r="C151"/>
      <c r="D151"/>
      <c r="E151"/>
      <c r="F151"/>
      <c r="G151"/>
      <c r="H151"/>
      <c r="I151"/>
      <c r="J151"/>
      <c r="K151"/>
    </row>
    <row r="152" spans="3:11" ht="13" x14ac:dyDescent="0.3">
      <c r="C152"/>
      <c r="D152"/>
      <c r="E152"/>
      <c r="F152"/>
      <c r="G152"/>
      <c r="H152"/>
      <c r="I152"/>
      <c r="J152"/>
      <c r="K152"/>
    </row>
    <row r="153" spans="3:11" ht="13" x14ac:dyDescent="0.3">
      <c r="C153"/>
      <c r="D153"/>
      <c r="E153"/>
      <c r="F153"/>
      <c r="G153"/>
      <c r="H153"/>
      <c r="I153"/>
      <c r="J153"/>
      <c r="K153"/>
    </row>
    <row r="154" spans="3:11" ht="13" x14ac:dyDescent="0.3">
      <c r="C154"/>
      <c r="D154"/>
      <c r="E154"/>
      <c r="F154"/>
      <c r="G154"/>
      <c r="H154"/>
      <c r="I154"/>
      <c r="J154"/>
      <c r="K154"/>
    </row>
    <row r="155" spans="3:11" ht="13" x14ac:dyDescent="0.3">
      <c r="C155"/>
      <c r="D155"/>
      <c r="E155"/>
      <c r="F155"/>
      <c r="G155"/>
      <c r="H155"/>
      <c r="I155"/>
      <c r="J155"/>
      <c r="K155"/>
    </row>
    <row r="156" spans="3:11" ht="13" x14ac:dyDescent="0.3">
      <c r="C156"/>
      <c r="D156"/>
      <c r="E156"/>
      <c r="F156"/>
      <c r="G156"/>
      <c r="H156"/>
      <c r="I156"/>
      <c r="J156"/>
      <c r="K156"/>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5"/>
  <sheetViews>
    <sheetView showGridLines="0" zoomScaleNormal="100" workbookViewId="0"/>
  </sheetViews>
  <sheetFormatPr defaultColWidth="9.296875" defaultRowHeight="14" x14ac:dyDescent="0.3"/>
  <cols>
    <col min="1" max="1" width="3" style="396" customWidth="1"/>
    <col min="2" max="2" width="25.5" style="396" customWidth="1"/>
    <col min="3" max="3" width="21.5" style="396" customWidth="1"/>
    <col min="4" max="4" width="16.796875" style="396" customWidth="1"/>
    <col min="5" max="5" width="21.5" style="396" customWidth="1"/>
    <col min="6" max="6" width="15.296875" style="396" customWidth="1"/>
    <col min="7" max="7" width="36.296875" style="396" customWidth="1"/>
    <col min="8" max="8" width="16.796875" style="396" customWidth="1"/>
    <col min="9" max="9" width="15.796875" style="396" customWidth="1"/>
    <col min="10" max="10" width="19.796875" style="396" bestFit="1" customWidth="1"/>
    <col min="11" max="11" width="16.19921875" style="396" customWidth="1"/>
    <col min="12" max="12" width="21.5" style="396" customWidth="1"/>
    <col min="13" max="13" width="16.796875" style="396" customWidth="1"/>
    <col min="14" max="15" width="21.5" style="396" customWidth="1"/>
    <col min="16" max="16" width="36.296875" style="396" bestFit="1" customWidth="1"/>
    <col min="17" max="17" width="16.796875" style="396" customWidth="1"/>
    <col min="18" max="18" width="19.796875" style="396" bestFit="1" customWidth="1"/>
    <col min="19" max="20" width="9.296875" style="396"/>
    <col min="21" max="21" width="10.19921875" style="396" bestFit="1" customWidth="1"/>
    <col min="22" max="22" width="10.69921875" style="396" bestFit="1" customWidth="1"/>
    <col min="23" max="16384" width="9.296875" style="396"/>
  </cols>
  <sheetData>
    <row r="1" spans="1:26" x14ac:dyDescent="0.3">
      <c r="A1" s="1"/>
      <c r="B1" s="30"/>
      <c r="C1" s="30"/>
      <c r="D1" s="30"/>
      <c r="E1" s="30"/>
      <c r="F1" s="30"/>
      <c r="G1" s="30"/>
      <c r="H1" s="30"/>
      <c r="I1" s="30"/>
      <c r="J1" s="30"/>
      <c r="K1" s="30"/>
      <c r="L1" s="30"/>
      <c r="M1" s="30"/>
      <c r="N1" s="30"/>
      <c r="O1" s="30"/>
      <c r="P1" s="30"/>
      <c r="Q1" s="1"/>
      <c r="R1" s="1"/>
      <c r="S1" s="1"/>
      <c r="T1" s="1"/>
      <c r="U1" s="1"/>
      <c r="V1" s="1"/>
      <c r="W1" s="1"/>
      <c r="X1" s="1"/>
      <c r="Y1" s="1"/>
      <c r="Z1" s="1"/>
    </row>
    <row r="2" spans="1:26" ht="14.5" thickBot="1" x14ac:dyDescent="0.35">
      <c r="A2" s="1"/>
      <c r="B2" s="30"/>
      <c r="C2" s="30"/>
      <c r="D2" s="30"/>
      <c r="E2" s="30"/>
      <c r="F2" s="30"/>
      <c r="G2" s="30"/>
      <c r="H2" s="30"/>
      <c r="I2" s="30"/>
      <c r="J2" s="30"/>
      <c r="K2" s="30"/>
      <c r="L2" s="30"/>
      <c r="M2" s="30"/>
      <c r="N2" s="30"/>
      <c r="O2" s="30"/>
      <c r="P2" s="30"/>
      <c r="Q2" s="1"/>
      <c r="R2" s="1"/>
      <c r="S2" s="1"/>
      <c r="T2" s="1"/>
      <c r="U2" s="1"/>
      <c r="V2" s="1"/>
      <c r="W2" s="1"/>
      <c r="X2" s="1"/>
      <c r="Y2" s="1"/>
      <c r="Z2" s="1"/>
    </row>
    <row r="3" spans="1:26" ht="23.5" thickBot="1" x14ac:dyDescent="0.35">
      <c r="A3" s="1"/>
      <c r="B3" s="86" t="s">
        <v>231</v>
      </c>
      <c r="C3" s="86"/>
      <c r="D3" s="86"/>
      <c r="E3" s="30"/>
      <c r="F3" s="30"/>
      <c r="G3" s="204"/>
      <c r="H3" s="227" t="s">
        <v>162</v>
      </c>
      <c r="I3" s="30"/>
      <c r="J3" s="30"/>
      <c r="K3" s="30"/>
      <c r="L3" s="30"/>
      <c r="M3" s="30"/>
      <c r="N3" s="30"/>
      <c r="O3" s="30"/>
      <c r="P3" s="30"/>
      <c r="S3" s="1"/>
      <c r="T3" s="1"/>
      <c r="U3" s="1"/>
      <c r="V3" s="1"/>
      <c r="W3" s="1"/>
      <c r="X3" s="1"/>
      <c r="Y3" s="1"/>
      <c r="Z3" s="1"/>
    </row>
    <row r="4" spans="1:26" ht="23" x14ac:dyDescent="0.3">
      <c r="A4" s="1"/>
      <c r="B4" s="86"/>
      <c r="C4" s="86"/>
      <c r="D4" s="86"/>
      <c r="E4" s="30"/>
      <c r="F4" s="30"/>
      <c r="G4" s="30"/>
      <c r="H4" s="30"/>
      <c r="I4" s="30"/>
      <c r="J4" s="30"/>
      <c r="K4" s="30"/>
      <c r="L4" s="30"/>
      <c r="M4" s="30"/>
      <c r="N4" s="30"/>
      <c r="O4" s="30"/>
      <c r="P4" s="30"/>
      <c r="Q4" s="1"/>
      <c r="R4" s="1"/>
      <c r="S4" s="1"/>
      <c r="T4" s="1"/>
      <c r="U4" s="1"/>
      <c r="V4" s="1"/>
      <c r="W4" s="1"/>
      <c r="X4" s="1"/>
      <c r="Y4" s="1"/>
      <c r="Z4" s="1"/>
    </row>
    <row r="5" spans="1:26" ht="23" x14ac:dyDescent="0.3">
      <c r="A5" s="1"/>
      <c r="B5" s="86"/>
      <c r="C5" s="86"/>
      <c r="D5" s="86"/>
      <c r="E5" s="30"/>
      <c r="F5" s="30"/>
      <c r="G5" s="30"/>
      <c r="H5" s="30"/>
      <c r="I5" s="30"/>
      <c r="J5" s="30"/>
      <c r="K5" s="30"/>
      <c r="L5" s="30"/>
      <c r="M5" s="30"/>
      <c r="N5" s="30"/>
      <c r="O5" s="30"/>
      <c r="P5" s="30"/>
      <c r="Q5" s="1"/>
      <c r="R5" s="1"/>
      <c r="S5" s="1"/>
      <c r="T5" s="1"/>
      <c r="U5" s="1"/>
      <c r="V5" s="1"/>
      <c r="W5" s="1"/>
      <c r="X5" s="1"/>
      <c r="Y5" s="1"/>
      <c r="Z5" s="1"/>
    </row>
    <row r="6" spans="1:26" ht="23" x14ac:dyDescent="0.3">
      <c r="A6" s="1"/>
      <c r="B6" s="86"/>
      <c r="C6" s="86"/>
      <c r="D6" s="86"/>
      <c r="E6" s="30"/>
      <c r="F6" s="30"/>
      <c r="G6" s="30"/>
      <c r="H6" s="30"/>
      <c r="I6" s="30"/>
      <c r="J6" s="30"/>
      <c r="K6" s="30"/>
      <c r="L6" s="30"/>
      <c r="M6" s="30"/>
      <c r="N6" s="30"/>
      <c r="O6" s="30"/>
      <c r="P6" s="30"/>
      <c r="Q6" s="1"/>
      <c r="R6" s="1"/>
      <c r="S6" s="1"/>
      <c r="T6" s="1"/>
      <c r="U6" s="1"/>
      <c r="V6" s="1"/>
      <c r="W6" s="1"/>
      <c r="X6" s="1"/>
      <c r="Y6" s="1"/>
      <c r="Z6" s="1"/>
    </row>
    <row r="7" spans="1:26" ht="23" x14ac:dyDescent="0.3">
      <c r="A7" s="1"/>
      <c r="B7" s="86"/>
      <c r="C7" s="86"/>
      <c r="D7" s="86"/>
      <c r="E7" s="30"/>
      <c r="F7" s="30"/>
      <c r="G7" s="30"/>
      <c r="H7" s="30"/>
      <c r="I7" s="30"/>
      <c r="J7" s="30"/>
      <c r="K7" s="30"/>
      <c r="L7" s="30"/>
      <c r="M7" s="30"/>
      <c r="N7" s="30"/>
      <c r="O7" s="30"/>
      <c r="P7" s="30"/>
      <c r="Q7" s="1"/>
      <c r="R7" s="1"/>
      <c r="S7" s="1"/>
      <c r="T7" s="1"/>
      <c r="U7" s="1"/>
      <c r="V7" s="1"/>
      <c r="W7" s="1"/>
      <c r="X7" s="1"/>
      <c r="Y7" s="1"/>
      <c r="Z7" s="1"/>
    </row>
    <row r="8" spans="1:26" x14ac:dyDescent="0.3">
      <c r="C8" s="70"/>
    </row>
    <row r="9" spans="1:26" ht="14.5" thickBot="1" x14ac:dyDescent="0.35">
      <c r="D9" s="84"/>
    </row>
    <row r="10" spans="1:26" ht="62.25" customHeight="1" thickBot="1" x14ac:dyDescent="0.35">
      <c r="B10" s="818" t="s">
        <v>222</v>
      </c>
      <c r="C10" s="819"/>
      <c r="D10" s="497" t="str">
        <f>B29</f>
        <v>Residential</v>
      </c>
      <c r="E10" s="495" t="str">
        <f>B44</f>
        <v>General Service &lt; 50 kW</v>
      </c>
      <c r="F10" s="495" t="str">
        <f>B60</f>
        <v>Unmetered Scattered Load</v>
      </c>
      <c r="G10" s="495" t="str">
        <f>K29</f>
        <v>General Service &gt; 50 kW - 4999 kW - Excluding Wholesale Market Participant</v>
      </c>
      <c r="H10" s="495" t="str">
        <f>K44</f>
        <v>General Service &gt; 50 kW - 4999 kW - Wholesale Market Participant</v>
      </c>
      <c r="I10" s="476" t="str">
        <f>K60</f>
        <v>Streetlighting</v>
      </c>
      <c r="J10" s="494" t="s">
        <v>16</v>
      </c>
    </row>
    <row r="11" spans="1:26" x14ac:dyDescent="0.3">
      <c r="B11" s="614" t="str">
        <f>+'1. LDC Info'!F16</f>
        <v>2023</v>
      </c>
      <c r="C11" s="481">
        <f>SUM(D11:I11)</f>
        <v>150445151.01219085</v>
      </c>
      <c r="D11" s="710">
        <f>$G$41*'4. Customer Growth'!$C$34</f>
        <v>108472727.13269283</v>
      </c>
      <c r="E11" s="711">
        <f>G56*'4. Customer Growth'!E34</f>
        <v>19229170.437431592</v>
      </c>
      <c r="F11" s="711">
        <f>G72*'4. Customer Growth'!G34</f>
        <v>207019.8047360066</v>
      </c>
      <c r="G11" s="711">
        <f>P41*'4. Customer Growth'!K34</f>
        <v>18892408.054774929</v>
      </c>
      <c r="H11" s="711">
        <f>P56*'4. Customer Growth'!M34</f>
        <v>2832472.3481630618</v>
      </c>
      <c r="I11" s="711">
        <f>P72*'4. Customer Growth'!O34</f>
        <v>811353.23439242423</v>
      </c>
      <c r="J11" s="476">
        <f>SUM(D11:I11)</f>
        <v>150445151.01219085</v>
      </c>
    </row>
    <row r="12" spans="1:26" x14ac:dyDescent="0.3">
      <c r="B12" s="614" t="str">
        <f>+'1. LDC Info'!F18</f>
        <v>2024</v>
      </c>
      <c r="C12" s="481">
        <f>SUM(D12:I12)</f>
        <v>153344745.50259817</v>
      </c>
      <c r="D12" s="710">
        <f>G42*'4. Customer Growth'!C35</f>
        <v>110993467.13601001</v>
      </c>
      <c r="E12" s="711">
        <f>G57*'4. Customer Growth'!E35</f>
        <v>19508414.678598523</v>
      </c>
      <c r="F12" s="711">
        <f>G73*'4. Customer Growth'!G35</f>
        <v>215972.26929725398</v>
      </c>
      <c r="G12" s="711">
        <f>P42*'4. Customer Growth'!K35</f>
        <v>18963367.547670532</v>
      </c>
      <c r="H12" s="711">
        <f>P57*'4. Customer Growth'!M35</f>
        <v>2843111.0555678424</v>
      </c>
      <c r="I12" s="711">
        <f>P73*'4. Customer Growth'!O35</f>
        <v>820412.81545401609</v>
      </c>
      <c r="J12" s="476">
        <f>SUM(D12:I12)</f>
        <v>153344745.50259817</v>
      </c>
    </row>
    <row r="13" spans="1:26" ht="14.5" thickBot="1" x14ac:dyDescent="0.35">
      <c r="B13" s="84"/>
      <c r="C13" s="473"/>
      <c r="D13" s="473"/>
      <c r="E13" s="473"/>
      <c r="F13" s="473"/>
      <c r="G13" s="473"/>
      <c r="H13" s="473"/>
      <c r="J13" s="473"/>
    </row>
    <row r="14" spans="1:26" ht="57" customHeight="1" thickBot="1" x14ac:dyDescent="0.35">
      <c r="B14" s="818" t="s">
        <v>225</v>
      </c>
      <c r="C14" s="819"/>
      <c r="D14" s="497" t="str">
        <f>D10</f>
        <v>Residential</v>
      </c>
      <c r="E14" s="497" t="str">
        <f t="shared" ref="E14:H14" si="0">E10</f>
        <v>General Service &lt; 50 kW</v>
      </c>
      <c r="F14" s="497" t="str">
        <f t="shared" si="0"/>
        <v>Unmetered Scattered Load</v>
      </c>
      <c r="G14" s="497" t="str">
        <f t="shared" si="0"/>
        <v>General Service &gt; 50 kW - 4999 kW - Excluding Wholesale Market Participant</v>
      </c>
      <c r="H14" s="497" t="str">
        <f t="shared" si="0"/>
        <v>General Service &gt; 50 kW - 4999 kW - Wholesale Market Participant</v>
      </c>
      <c r="I14" s="478" t="str">
        <f>I10</f>
        <v>Streetlighting</v>
      </c>
      <c r="J14" s="455" t="s">
        <v>16</v>
      </c>
    </row>
    <row r="15" spans="1:26" x14ac:dyDescent="0.3">
      <c r="B15" s="614" t="str">
        <f>+'1. LDC Info'!F16</f>
        <v>2023</v>
      </c>
      <c r="C15" s="481">
        <f>'6. WS Regression Analysis'!V142/'X.1 Loss Factor'!O20</f>
        <v>147549838.31535891</v>
      </c>
      <c r="D15" s="477">
        <f t="shared" ref="D15:I15" si="1">D11+D23</f>
        <v>106350197.09524722</v>
      </c>
      <c r="E15" s="478">
        <f t="shared" si="1"/>
        <v>18852905.426608346</v>
      </c>
      <c r="F15" s="478">
        <f t="shared" si="1"/>
        <v>207019.8047360066</v>
      </c>
      <c r="G15" s="478">
        <f t="shared" si="1"/>
        <v>18547588.056752723</v>
      </c>
      <c r="H15" s="478">
        <f t="shared" si="1"/>
        <v>2780774.6976221777</v>
      </c>
      <c r="I15" s="478">
        <f t="shared" si="1"/>
        <v>811353.23439242423</v>
      </c>
      <c r="J15" s="476">
        <f>SUM(D15:I15)</f>
        <v>147549838.31535891</v>
      </c>
    </row>
    <row r="16" spans="1:26" x14ac:dyDescent="0.3">
      <c r="B16" s="614" t="str">
        <f>+'1. LDC Info'!F18</f>
        <v>2024</v>
      </c>
      <c r="C16" s="476">
        <f>'6. WS Regression Analysis'!V154/'X.1 Loss Factor'!O20</f>
        <v>150428662.99729878</v>
      </c>
      <c r="D16" s="478">
        <f>D12+D24</f>
        <v>108847740.38320151</v>
      </c>
      <c r="E16" s="478">
        <f>E12+E24</f>
        <v>19131277.822161231</v>
      </c>
      <c r="F16" s="478">
        <f t="shared" ref="F16:G16" si="2">F12+F24</f>
        <v>215972.26929725398</v>
      </c>
      <c r="G16" s="478">
        <f t="shared" si="2"/>
        <v>18621416.213471785</v>
      </c>
      <c r="H16" s="478">
        <f>H12+H24</f>
        <v>2791843.4937129831</v>
      </c>
      <c r="I16" s="478">
        <f>I12+I24</f>
        <v>820412.81545401609</v>
      </c>
      <c r="J16" s="476">
        <f>SUM(D16:I16)</f>
        <v>150428662.99729878</v>
      </c>
    </row>
    <row r="17" spans="2:17" ht="14.5" thickBot="1" x14ac:dyDescent="0.35">
      <c r="B17" s="84"/>
      <c r="C17" s="474"/>
      <c r="D17" s="83"/>
      <c r="E17" s="83"/>
      <c r="F17" s="83"/>
      <c r="G17" s="83"/>
      <c r="H17" s="83"/>
      <c r="J17" s="83"/>
    </row>
    <row r="18" spans="2:17" ht="14.5" thickBot="1" x14ac:dyDescent="0.35">
      <c r="B18" s="818" t="s">
        <v>223</v>
      </c>
      <c r="C18" s="819"/>
      <c r="D18" s="483">
        <v>0.93700000000000006</v>
      </c>
      <c r="E18" s="484">
        <v>0.93700000000000006</v>
      </c>
      <c r="F18" s="485">
        <v>0</v>
      </c>
      <c r="G18" s="484">
        <v>0.874</v>
      </c>
      <c r="H18" s="484">
        <v>0.874</v>
      </c>
      <c r="I18" s="485">
        <v>0</v>
      </c>
      <c r="J18" s="455" t="s">
        <v>16</v>
      </c>
    </row>
    <row r="19" spans="2:17" x14ac:dyDescent="0.3">
      <c r="B19" s="596" t="str">
        <f>+B11</f>
        <v>2023</v>
      </c>
      <c r="C19" s="482">
        <f>C15-C11</f>
        <v>-2895312.6968319416</v>
      </c>
      <c r="D19" s="479">
        <f>D11*D18</f>
        <v>101638945.32333319</v>
      </c>
      <c r="E19" s="479">
        <f t="shared" ref="E19:I19" si="3">E11*E18</f>
        <v>18017732.699873403</v>
      </c>
      <c r="F19" s="479">
        <f t="shared" si="3"/>
        <v>0</v>
      </c>
      <c r="G19" s="479">
        <f t="shared" si="3"/>
        <v>16511964.639873289</v>
      </c>
      <c r="H19" s="479">
        <f t="shared" si="3"/>
        <v>2475580.8322945158</v>
      </c>
      <c r="I19" s="479">
        <f t="shared" si="3"/>
        <v>0</v>
      </c>
      <c r="J19" s="479">
        <f>SUM(D19:H19)</f>
        <v>138644223.49537441</v>
      </c>
      <c r="L19" s="709"/>
    </row>
    <row r="20" spans="2:17" x14ac:dyDescent="0.3">
      <c r="B20" s="597" t="str">
        <f>+B16</f>
        <v>2024</v>
      </c>
      <c r="C20" s="478">
        <f>C16-C12</f>
        <v>-2916082.5052993894</v>
      </c>
      <c r="D20" s="479">
        <f t="shared" ref="D20:I20" si="4">D12*D18</f>
        <v>104000878.70644139</v>
      </c>
      <c r="E20" s="479">
        <f t="shared" si="4"/>
        <v>18279384.553846817</v>
      </c>
      <c r="F20" s="479">
        <f t="shared" si="4"/>
        <v>0</v>
      </c>
      <c r="G20" s="479">
        <f t="shared" si="4"/>
        <v>16573983.236664046</v>
      </c>
      <c r="H20" s="479">
        <f t="shared" si="4"/>
        <v>2484879.0625662943</v>
      </c>
      <c r="I20" s="479">
        <f t="shared" si="4"/>
        <v>0</v>
      </c>
      <c r="J20" s="479">
        <f>SUM(D20:H20)</f>
        <v>141339125.55951855</v>
      </c>
    </row>
    <row r="21" spans="2:17" ht="14.5" thickBot="1" x14ac:dyDescent="0.35">
      <c r="B21" s="84"/>
      <c r="C21" s="474"/>
      <c r="D21" s="475"/>
      <c r="E21" s="475"/>
      <c r="F21" s="475"/>
      <c r="G21" s="475"/>
      <c r="H21" s="475"/>
      <c r="I21" s="475"/>
      <c r="J21" s="475"/>
    </row>
    <row r="22" spans="2:17" ht="62.25" customHeight="1" thickBot="1" x14ac:dyDescent="0.35">
      <c r="B22" s="820" t="s">
        <v>224</v>
      </c>
      <c r="C22" s="821"/>
      <c r="D22" s="497" t="str">
        <f>D14</f>
        <v>Residential</v>
      </c>
      <c r="E22" s="497" t="str">
        <f t="shared" ref="E22:I22" si="5">E14</f>
        <v>General Service &lt; 50 kW</v>
      </c>
      <c r="F22" s="497" t="str">
        <f t="shared" si="5"/>
        <v>Unmetered Scattered Load</v>
      </c>
      <c r="G22" s="497" t="str">
        <f t="shared" si="5"/>
        <v>General Service &gt; 50 kW - 4999 kW - Excluding Wholesale Market Participant</v>
      </c>
      <c r="H22" s="497" t="str">
        <f t="shared" si="5"/>
        <v>General Service &gt; 50 kW - 4999 kW - Wholesale Market Participant</v>
      </c>
      <c r="I22" s="497" t="str">
        <f t="shared" si="5"/>
        <v>Streetlighting</v>
      </c>
      <c r="J22" s="455" t="s">
        <v>16</v>
      </c>
    </row>
    <row r="23" spans="2:17" x14ac:dyDescent="0.3">
      <c r="B23" s="462" t="str">
        <f>B11</f>
        <v>2023</v>
      </c>
      <c r="C23" s="482"/>
      <c r="D23" s="479">
        <f>D19/J19*$C$19</f>
        <v>-2122530.0374456062</v>
      </c>
      <c r="E23" s="479">
        <f>E19/J19*$C$19</f>
        <v>-376265.01082324551</v>
      </c>
      <c r="F23" s="479">
        <f>F19/J19*$C$19</f>
        <v>0</v>
      </c>
      <c r="G23" s="479">
        <f>G19/J19*$C$19</f>
        <v>-344819.99802220525</v>
      </c>
      <c r="H23" s="479">
        <f>H19/J19*$C$19</f>
        <v>-51697.650540884082</v>
      </c>
      <c r="I23" s="479">
        <f>I19/J19*$C$19</f>
        <v>0</v>
      </c>
      <c r="J23" s="479">
        <f>SUM(D23:H23)</f>
        <v>-2895312.6968319411</v>
      </c>
    </row>
    <row r="24" spans="2:17" x14ac:dyDescent="0.3">
      <c r="B24" s="597" t="str">
        <f>+B20</f>
        <v>2024</v>
      </c>
      <c r="C24" s="478"/>
      <c r="D24" s="479">
        <f>D20/J20*$C$20</f>
        <v>-2145726.7528084926</v>
      </c>
      <c r="E24" s="479">
        <f>E20/J20*$C$20</f>
        <v>-377136.85643729236</v>
      </c>
      <c r="F24" s="479">
        <f>F20/J20*$C$20</f>
        <v>0</v>
      </c>
      <c r="G24" s="479">
        <f>G20/J20*$C$20</f>
        <v>-341951.33419874549</v>
      </c>
      <c r="H24" s="479">
        <f>H20/J20*$C$20</f>
        <v>-51267.56185485913</v>
      </c>
      <c r="I24" s="479">
        <f>I20/J20*$C$20</f>
        <v>0</v>
      </c>
      <c r="J24" s="479">
        <f>SUM(D24:H24)</f>
        <v>-2916082.5052993898</v>
      </c>
    </row>
    <row r="25" spans="2:17" x14ac:dyDescent="0.3">
      <c r="E25" s="474"/>
      <c r="F25" s="410"/>
      <c r="G25" s="410"/>
      <c r="H25" s="410"/>
      <c r="I25" s="410"/>
      <c r="J25" s="410"/>
      <c r="K25" s="410"/>
      <c r="L25" s="410"/>
    </row>
    <row r="26" spans="2:17" x14ac:dyDescent="0.3">
      <c r="C26" s="452"/>
    </row>
    <row r="28" spans="2:17" ht="14.5" thickBot="1" x14ac:dyDescent="0.35">
      <c r="L28" s="452"/>
      <c r="N28" s="452"/>
    </row>
    <row r="29" spans="2:17" ht="16" thickBot="1" x14ac:dyDescent="0.4">
      <c r="B29" s="508" t="str">
        <f>'7. Billed kWh'!B14</f>
        <v>Residential</v>
      </c>
      <c r="C29" s="509"/>
      <c r="D29" s="509"/>
      <c r="E29" s="509"/>
      <c r="F29" s="509"/>
      <c r="G29" s="518" t="s">
        <v>232</v>
      </c>
      <c r="H29" s="204">
        <v>9</v>
      </c>
      <c r="K29" s="516" t="str">
        <f>'7.1. Billed kW'!B9</f>
        <v>General Service &gt; 50 kW - 4999 kW - Excluding Wholesale Market Participant</v>
      </c>
      <c r="L29" s="504"/>
      <c r="M29" s="504"/>
      <c r="N29" s="504"/>
      <c r="O29" s="504"/>
      <c r="P29" s="518" t="s">
        <v>232</v>
      </c>
      <c r="Q29" s="204">
        <v>9</v>
      </c>
    </row>
    <row r="30" spans="2:17" ht="30.75" customHeight="1" thickBot="1" x14ac:dyDescent="0.35">
      <c r="B30" s="510" t="s">
        <v>33</v>
      </c>
      <c r="C30" s="511" t="s">
        <v>226</v>
      </c>
      <c r="D30" s="511" t="s">
        <v>45</v>
      </c>
      <c r="E30" s="511" t="s">
        <v>227</v>
      </c>
      <c r="F30" s="511" t="s">
        <v>229</v>
      </c>
      <c r="G30" s="511" t="s">
        <v>228</v>
      </c>
      <c r="H30" s="512" t="s">
        <v>230</v>
      </c>
      <c r="K30" s="510" t="s">
        <v>33</v>
      </c>
      <c r="L30" s="511" t="s">
        <v>226</v>
      </c>
      <c r="M30" s="511" t="s">
        <v>45</v>
      </c>
      <c r="N30" s="511" t="s">
        <v>227</v>
      </c>
      <c r="O30" s="511" t="s">
        <v>229</v>
      </c>
      <c r="P30" s="511" t="s">
        <v>228</v>
      </c>
      <c r="Q30" s="512" t="s">
        <v>230</v>
      </c>
    </row>
    <row r="31" spans="2:17" x14ac:dyDescent="0.3">
      <c r="B31" s="596">
        <f>+'4. Customer Growth'!B9</f>
        <v>2013</v>
      </c>
      <c r="C31" s="463">
        <f>'7. Billed kWh'!C16</f>
        <v>86276533</v>
      </c>
      <c r="D31" s="498"/>
      <c r="E31" s="463">
        <f>C31+D31</f>
        <v>86276533</v>
      </c>
      <c r="F31" s="463">
        <f>'4. Customer Growth'!C9</f>
        <v>11857</v>
      </c>
      <c r="G31" s="463">
        <f>E31/F31</f>
        <v>7276.4217761659775</v>
      </c>
      <c r="H31" s="464"/>
      <c r="K31" s="596">
        <f>+B31</f>
        <v>2013</v>
      </c>
      <c r="L31" s="469">
        <f>'7.1. Billed kW'!E12</f>
        <v>17691775</v>
      </c>
      <c r="M31" s="501"/>
      <c r="N31" s="469">
        <f>L31+M31</f>
        <v>17691775</v>
      </c>
      <c r="O31" s="469">
        <f>'4. Customer Growth'!K9</f>
        <v>35</v>
      </c>
      <c r="P31" s="469">
        <f>N31/O31</f>
        <v>505479.28571428574</v>
      </c>
      <c r="Q31" s="467"/>
    </row>
    <row r="32" spans="2:17" x14ac:dyDescent="0.3">
      <c r="B32" s="596">
        <f>+'4. Customer Growth'!B10</f>
        <v>2014</v>
      </c>
      <c r="C32" s="456">
        <f>'7. Billed kWh'!C17</f>
        <v>87611190</v>
      </c>
      <c r="D32" s="499"/>
      <c r="E32" s="456">
        <f t="shared" ref="E32:E39" si="6">C32+D32</f>
        <v>87611190</v>
      </c>
      <c r="F32" s="456">
        <f>'4. Customer Growth'!C10</f>
        <v>12082</v>
      </c>
      <c r="G32" s="456">
        <f>E32/F32</f>
        <v>7251.3813938089725</v>
      </c>
      <c r="H32" s="520">
        <f t="shared" ref="H32:H40" si="7">G32/G31</f>
        <v>0.99655869558867172</v>
      </c>
      <c r="K32" s="596">
        <f t="shared" ref="K32:K42" si="8">+B32</f>
        <v>2014</v>
      </c>
      <c r="L32" s="470">
        <f>'7.1. Billed kW'!E13</f>
        <v>17311423</v>
      </c>
      <c r="M32" s="502"/>
      <c r="N32" s="470">
        <f t="shared" ref="N32:N39" si="9">L32+M32</f>
        <v>17311423</v>
      </c>
      <c r="O32" s="470">
        <f>'4. Customer Growth'!K10</f>
        <v>36</v>
      </c>
      <c r="P32" s="470">
        <f t="shared" ref="P32:P39" si="10">N32/O32</f>
        <v>480872.86111111112</v>
      </c>
      <c r="Q32" s="457">
        <f t="shared" ref="Q32:Q40" si="11">P32/P31</f>
        <v>0.95132060739461632</v>
      </c>
    </row>
    <row r="33" spans="2:22" x14ac:dyDescent="0.3">
      <c r="B33" s="596">
        <f>+'4. Customer Growth'!B11</f>
        <v>2015</v>
      </c>
      <c r="C33" s="456">
        <f>'7. Billed kWh'!C18</f>
        <v>88019894.347826093</v>
      </c>
      <c r="D33" s="499"/>
      <c r="E33" s="456">
        <f t="shared" si="6"/>
        <v>88019894.347826093</v>
      </c>
      <c r="F33" s="456">
        <f>'4. Customer Growth'!C11</f>
        <v>12257.5</v>
      </c>
      <c r="G33" s="456">
        <f t="shared" ref="G33:G39" si="12">E33/F33</f>
        <v>7180.901027764723</v>
      </c>
      <c r="H33" s="520">
        <f t="shared" si="7"/>
        <v>0.99028042214074907</v>
      </c>
      <c r="K33" s="596">
        <f t="shared" si="8"/>
        <v>2015</v>
      </c>
      <c r="L33" s="470">
        <f>'7.1. Billed kW'!E14</f>
        <v>17836299.185938943</v>
      </c>
      <c r="M33" s="502"/>
      <c r="N33" s="470">
        <f t="shared" si="9"/>
        <v>17836299.185938943</v>
      </c>
      <c r="O33" s="470">
        <f>'4. Customer Growth'!K11</f>
        <v>37</v>
      </c>
      <c r="P33" s="470">
        <f t="shared" si="10"/>
        <v>482062.140160512</v>
      </c>
      <c r="Q33" s="457">
        <f t="shared" si="11"/>
        <v>1.0024731673287881</v>
      </c>
    </row>
    <row r="34" spans="2:22" x14ac:dyDescent="0.3">
      <c r="B34" s="596">
        <f>+'4. Customer Growth'!B12</f>
        <v>2016</v>
      </c>
      <c r="C34" s="456">
        <f>'7. Billed kWh'!C19</f>
        <v>89543529.152451292</v>
      </c>
      <c r="D34" s="499"/>
      <c r="E34" s="456">
        <f t="shared" si="6"/>
        <v>89543529.152451292</v>
      </c>
      <c r="F34" s="456">
        <f>'4. Customer Growth'!C12</f>
        <v>12427</v>
      </c>
      <c r="G34" s="456">
        <f t="shared" si="12"/>
        <v>7205.5628190594107</v>
      </c>
      <c r="H34" s="520">
        <f t="shared" si="7"/>
        <v>1.0034343588916397</v>
      </c>
      <c r="K34" s="596">
        <f t="shared" si="8"/>
        <v>2016</v>
      </c>
      <c r="L34" s="470">
        <f>'7.1. Billed kW'!E15</f>
        <v>17027791.473816048</v>
      </c>
      <c r="M34" s="502"/>
      <c r="N34" s="470">
        <f t="shared" si="9"/>
        <v>17027791.473816048</v>
      </c>
      <c r="O34" s="470">
        <f>'4. Customer Growth'!K12</f>
        <v>36</v>
      </c>
      <c r="P34" s="470">
        <f t="shared" si="10"/>
        <v>472994.20760600135</v>
      </c>
      <c r="Q34" s="457">
        <f t="shared" si="11"/>
        <v>0.98118928702533803</v>
      </c>
    </row>
    <row r="35" spans="2:22" x14ac:dyDescent="0.3">
      <c r="B35" s="596">
        <f>+'4. Customer Growth'!B13</f>
        <v>2017</v>
      </c>
      <c r="C35" s="456">
        <f>'7. Billed kWh'!C20</f>
        <v>87839401</v>
      </c>
      <c r="D35" s="499"/>
      <c r="E35" s="456">
        <f t="shared" si="6"/>
        <v>87839401</v>
      </c>
      <c r="F35" s="456">
        <f>'4. Customer Growth'!C13</f>
        <v>12621</v>
      </c>
      <c r="G35" s="456">
        <f t="shared" si="12"/>
        <v>6959.7813960858884</v>
      </c>
      <c r="H35" s="520">
        <f t="shared" si="7"/>
        <v>0.96589004507414655</v>
      </c>
      <c r="K35" s="596">
        <f t="shared" si="8"/>
        <v>2017</v>
      </c>
      <c r="L35" s="470">
        <f>'7.1. Billed kW'!E16</f>
        <v>16474910</v>
      </c>
      <c r="M35" s="502"/>
      <c r="N35" s="470">
        <f t="shared" si="9"/>
        <v>16474910</v>
      </c>
      <c r="O35" s="470">
        <f>'4. Customer Growth'!K13</f>
        <v>34.5</v>
      </c>
      <c r="P35" s="470">
        <f t="shared" si="10"/>
        <v>477533.62318840582</v>
      </c>
      <c r="Q35" s="520">
        <f t="shared" si="11"/>
        <v>1.0095971906408328</v>
      </c>
    </row>
    <row r="36" spans="2:22" x14ac:dyDescent="0.3">
      <c r="B36" s="596">
        <f>+'4. Customer Growth'!B14</f>
        <v>2018</v>
      </c>
      <c r="C36" s="456">
        <f>'7. Billed kWh'!C21</f>
        <v>95897147</v>
      </c>
      <c r="D36" s="499"/>
      <c r="E36" s="456">
        <f t="shared" si="6"/>
        <v>95897147</v>
      </c>
      <c r="F36" s="456">
        <f>'4. Customer Growth'!C14</f>
        <v>12838</v>
      </c>
      <c r="G36" s="456">
        <f t="shared" si="12"/>
        <v>7469.7886742483252</v>
      </c>
      <c r="H36" s="520">
        <f t="shared" si="7"/>
        <v>1.0732792093799468</v>
      </c>
      <c r="K36" s="596">
        <f t="shared" si="8"/>
        <v>2018</v>
      </c>
      <c r="L36" s="470">
        <f>'7.1. Billed kW'!E17</f>
        <v>17070974</v>
      </c>
      <c r="M36" s="502"/>
      <c r="N36" s="470">
        <f t="shared" si="9"/>
        <v>17070974</v>
      </c>
      <c r="O36" s="470">
        <f>'4. Customer Growth'!K14</f>
        <v>33.5</v>
      </c>
      <c r="P36" s="470">
        <f t="shared" si="10"/>
        <v>509581.3134328358</v>
      </c>
      <c r="Q36" s="520">
        <f t="shared" si="11"/>
        <v>1.067110856049158</v>
      </c>
    </row>
    <row r="37" spans="2:22" x14ac:dyDescent="0.3">
      <c r="B37" s="596">
        <f>+'4. Customer Growth'!B15</f>
        <v>2019</v>
      </c>
      <c r="C37" s="456">
        <f>'7. Billed kWh'!C22</f>
        <v>95046949</v>
      </c>
      <c r="D37" s="499"/>
      <c r="E37" s="456">
        <f t="shared" si="6"/>
        <v>95046949</v>
      </c>
      <c r="F37" s="456">
        <f>'4. Customer Growth'!C15</f>
        <v>13035.5</v>
      </c>
      <c r="G37" s="456">
        <f t="shared" si="12"/>
        <v>7291.392658509455</v>
      </c>
      <c r="H37" s="520">
        <f t="shared" si="7"/>
        <v>0.97611766229024921</v>
      </c>
      <c r="K37" s="596">
        <f t="shared" si="8"/>
        <v>2019</v>
      </c>
      <c r="L37" s="470">
        <f>'7.1. Billed kW'!E18</f>
        <v>17411107</v>
      </c>
      <c r="M37" s="502"/>
      <c r="N37" s="470">
        <f t="shared" si="9"/>
        <v>17411107</v>
      </c>
      <c r="O37" s="470">
        <f>'4. Customer Growth'!K15</f>
        <v>34</v>
      </c>
      <c r="P37" s="470">
        <f t="shared" si="10"/>
        <v>512091.3823529412</v>
      </c>
      <c r="Q37" s="520">
        <f t="shared" si="11"/>
        <v>1.0049257475773516</v>
      </c>
    </row>
    <row r="38" spans="2:22" x14ac:dyDescent="0.3">
      <c r="B38" s="596">
        <f>+'4. Customer Growth'!B16</f>
        <v>2020</v>
      </c>
      <c r="C38" s="456">
        <f>'7. Billed kWh'!C23</f>
        <v>102567918</v>
      </c>
      <c r="D38" s="499"/>
      <c r="E38" s="456">
        <f t="shared" si="6"/>
        <v>102567918</v>
      </c>
      <c r="F38" s="456">
        <f>'4. Customer Growth'!C16</f>
        <v>13263</v>
      </c>
      <c r="G38" s="456">
        <f t="shared" si="12"/>
        <v>7733.3874688984397</v>
      </c>
      <c r="H38" s="520">
        <f t="shared" si="7"/>
        <v>1.0606187090847663</v>
      </c>
      <c r="K38" s="596">
        <f t="shared" si="8"/>
        <v>2020</v>
      </c>
      <c r="L38" s="470">
        <f>'7.1. Billed kW'!E19</f>
        <v>16401961</v>
      </c>
      <c r="M38" s="502"/>
      <c r="N38" s="470">
        <f t="shared" si="9"/>
        <v>16401961</v>
      </c>
      <c r="O38" s="470">
        <f>'4. Customer Growth'!K16</f>
        <v>34</v>
      </c>
      <c r="P38" s="470">
        <f t="shared" si="10"/>
        <v>482410.6176470588</v>
      </c>
      <c r="Q38" s="520">
        <f t="shared" si="11"/>
        <v>0.94204010118368686</v>
      </c>
    </row>
    <row r="39" spans="2:22" x14ac:dyDescent="0.3">
      <c r="B39" s="596">
        <f>+'4. Customer Growth'!B17</f>
        <v>2021</v>
      </c>
      <c r="C39" s="456">
        <f>'7. Billed kWh'!C24</f>
        <v>104845989</v>
      </c>
      <c r="D39" s="499"/>
      <c r="E39" s="456">
        <f t="shared" si="6"/>
        <v>104845989</v>
      </c>
      <c r="F39" s="456">
        <f>'4. Customer Growth'!C17</f>
        <v>13507.5</v>
      </c>
      <c r="G39" s="456">
        <f t="shared" si="12"/>
        <v>7762.0573014991669</v>
      </c>
      <c r="H39" s="520">
        <f t="shared" si="7"/>
        <v>1.0037072799877194</v>
      </c>
      <c r="K39" s="596">
        <f t="shared" si="8"/>
        <v>2021</v>
      </c>
      <c r="L39" s="470">
        <f>'7.1. Billed kW'!E20</f>
        <v>17067244</v>
      </c>
      <c r="M39" s="502"/>
      <c r="N39" s="470">
        <f t="shared" si="9"/>
        <v>17067244</v>
      </c>
      <c r="O39" s="470">
        <f>'4. Customer Growth'!K17</f>
        <v>33.5</v>
      </c>
      <c r="P39" s="470">
        <f t="shared" si="10"/>
        <v>509469.97014925373</v>
      </c>
      <c r="Q39" s="520">
        <f t="shared" si="11"/>
        <v>1.0560919505341237</v>
      </c>
    </row>
    <row r="40" spans="2:22" ht="14.5" thickBot="1" x14ac:dyDescent="0.35">
      <c r="B40" s="596">
        <f>+'4. Customer Growth'!B18</f>
        <v>2022</v>
      </c>
      <c r="C40" s="456">
        <f>'7. Billed kWh'!C25</f>
        <v>105212685</v>
      </c>
      <c r="D40" s="499"/>
      <c r="E40" s="456">
        <f>C40+D40</f>
        <v>105212685</v>
      </c>
      <c r="F40" s="456">
        <f>'4. Customer Growth'!C18</f>
        <v>13800</v>
      </c>
      <c r="G40" s="456">
        <f>E40/F40</f>
        <v>7624.1076086956518</v>
      </c>
      <c r="H40" s="521">
        <f t="shared" si="7"/>
        <v>0.9822276894584544</v>
      </c>
      <c r="K40" s="596">
        <f t="shared" si="8"/>
        <v>2022</v>
      </c>
      <c r="L40" s="470">
        <f>'7.1. Billed kW'!E21</f>
        <v>18037476</v>
      </c>
      <c r="M40" s="502"/>
      <c r="N40" s="470">
        <f>L40+M40</f>
        <v>18037476</v>
      </c>
      <c r="O40" s="470">
        <f>'4. Customer Growth'!K18</f>
        <v>34.5</v>
      </c>
      <c r="P40" s="470">
        <f>N40/O40</f>
        <v>522825.39130434784</v>
      </c>
      <c r="Q40" s="520">
        <f t="shared" si="11"/>
        <v>1.0262143441961487</v>
      </c>
    </row>
    <row r="41" spans="2:22" ht="14.5" thickBot="1" x14ac:dyDescent="0.35">
      <c r="B41" s="614" t="str">
        <f>+B15</f>
        <v>2023</v>
      </c>
      <c r="C41" s="454"/>
      <c r="D41" s="454"/>
      <c r="E41" s="454"/>
      <c r="F41" s="454"/>
      <c r="G41" s="460">
        <f>H41*G40</f>
        <v>7663.7506805632911</v>
      </c>
      <c r="H41" s="461">
        <f>IF(H29=1,+GEOMEAN(H40:H40),+IF(H29=2,+GEOMEAN(H39:H40),+IF(H29=3,+GEOMEAN(H38:H40),+IF(H29=4,+GEOMEAN(H37:H40),+IF(H29=5,+GEOMEAN(H36:H40),+IF(H29=6,+GEOMEAN(H35:H40),+IF(H29=7,+GEOMEAN(H34:H40),+IF(H29=8,+GEOMEAN(H33:H40),+IF(H29=9,+GEOMEAN(H32:H40),0)))))))))</f>
        <v>1.0051996999389705</v>
      </c>
      <c r="J41" s="83"/>
      <c r="K41" s="596" t="str">
        <f t="shared" si="8"/>
        <v>2023</v>
      </c>
      <c r="L41" s="471"/>
      <c r="M41" s="471"/>
      <c r="N41" s="471"/>
      <c r="O41" s="471"/>
      <c r="P41" s="472">
        <f>Q41*P40</f>
        <v>524789.11263263691</v>
      </c>
      <c r="Q41" s="461">
        <f>IF(Q29=1,+GEOMEAN(Q40:Q40),+IF(Q29=2,+GEOMEAN(Q39:Q40),+IF(Q29=3,+GEOMEAN(Q38:Q40),+IF(Q29=4,+GEOMEAN(Q37:Q40),+IF(Q29=5,+GEOMEAN(Q36:Q40),+IF(Q29=6,+GEOMEAN(Q35:Q40),+IF(Q29=7,+GEOMEAN(Q34:Q40),+IF(Q29=8,+GEOMEAN(Q33:Q40),+IF(Q29=9,+GEOMEAN(Q32:Q40),0)))))))))</f>
        <v>1.0037559792637269</v>
      </c>
    </row>
    <row r="42" spans="2:22" x14ac:dyDescent="0.3">
      <c r="B42" s="614" t="str">
        <f>+B16</f>
        <v>2024</v>
      </c>
      <c r="C42" s="454"/>
      <c r="D42" s="454"/>
      <c r="E42" s="454"/>
      <c r="F42" s="454"/>
      <c r="G42" s="459">
        <f>H41*G41</f>
        <v>7703.5998845093009</v>
      </c>
      <c r="J42" s="83"/>
      <c r="K42" s="596" t="str">
        <f t="shared" si="8"/>
        <v>2024</v>
      </c>
      <c r="L42" s="471"/>
      <c r="M42" s="471"/>
      <c r="N42" s="471"/>
      <c r="O42" s="471"/>
      <c r="P42" s="470">
        <f>Q41*P41</f>
        <v>526760.20965751482</v>
      </c>
    </row>
    <row r="43" spans="2:22" ht="14.5" thickBot="1" x14ac:dyDescent="0.35">
      <c r="B43" s="83"/>
      <c r="C43" s="83"/>
      <c r="D43" s="452"/>
      <c r="E43" s="452"/>
      <c r="F43" s="452"/>
      <c r="G43" s="452"/>
      <c r="H43" s="452"/>
      <c r="J43" s="83"/>
      <c r="M43" s="452"/>
      <c r="O43" s="452"/>
      <c r="Q43" s="452"/>
    </row>
    <row r="44" spans="2:22" ht="16" thickBot="1" x14ac:dyDescent="0.4">
      <c r="B44" s="566" t="str">
        <f>'7. Billed kWh'!J14</f>
        <v>General Service &lt; 50 kW</v>
      </c>
      <c r="C44" s="506"/>
      <c r="D44" s="507"/>
      <c r="E44" s="507"/>
      <c r="F44" s="507"/>
      <c r="G44" s="518" t="s">
        <v>232</v>
      </c>
      <c r="H44" s="204">
        <v>9</v>
      </c>
      <c r="J44" s="83"/>
      <c r="K44" s="516" t="str">
        <f>'7.1. Billed kW'!M9</f>
        <v>General Service &gt; 50 kW - 4999 kW - Wholesale Market Participant</v>
      </c>
      <c r="L44" s="505"/>
      <c r="M44" s="505"/>
      <c r="N44" s="505"/>
      <c r="O44" s="505"/>
      <c r="P44" s="518" t="s">
        <v>232</v>
      </c>
      <c r="Q44" s="204">
        <v>9</v>
      </c>
    </row>
    <row r="45" spans="2:22" ht="28.5" thickBot="1" x14ac:dyDescent="0.35">
      <c r="B45" s="510" t="s">
        <v>33</v>
      </c>
      <c r="C45" s="511" t="s">
        <v>226</v>
      </c>
      <c r="D45" s="511" t="s">
        <v>45</v>
      </c>
      <c r="E45" s="511" t="s">
        <v>227</v>
      </c>
      <c r="F45" s="511" t="s">
        <v>229</v>
      </c>
      <c r="G45" s="511" t="s">
        <v>228</v>
      </c>
      <c r="H45" s="512" t="s">
        <v>230</v>
      </c>
      <c r="J45" s="83"/>
      <c r="K45" s="510" t="s">
        <v>33</v>
      </c>
      <c r="L45" s="511" t="s">
        <v>226</v>
      </c>
      <c r="M45" s="511" t="s">
        <v>45</v>
      </c>
      <c r="N45" s="511" t="s">
        <v>227</v>
      </c>
      <c r="O45" s="511" t="s">
        <v>229</v>
      </c>
      <c r="P45" s="511" t="s">
        <v>228</v>
      </c>
      <c r="Q45" s="512" t="s">
        <v>230</v>
      </c>
    </row>
    <row r="46" spans="2:22" x14ac:dyDescent="0.3">
      <c r="B46" s="596">
        <f>+B31</f>
        <v>2013</v>
      </c>
      <c r="C46" s="480">
        <f>'7. Billed kWh'!K16</f>
        <v>16432349</v>
      </c>
      <c r="D46" s="500"/>
      <c r="E46" s="468">
        <f>C46+D46</f>
        <v>16432349</v>
      </c>
      <c r="F46" s="468">
        <f>'4. Customer Growth'!E9</f>
        <v>784</v>
      </c>
      <c r="G46" s="468">
        <f>E46/F46</f>
        <v>20959.628826530614</v>
      </c>
      <c r="H46" s="522"/>
      <c r="J46" s="83"/>
      <c r="K46" s="596">
        <f>+K31</f>
        <v>2013</v>
      </c>
      <c r="L46" s="468">
        <f>'7.1. Billed kW'!P12</f>
        <v>3594883</v>
      </c>
      <c r="M46" s="503"/>
      <c r="N46" s="468">
        <f t="shared" ref="N46:N51" si="13">L46+M46</f>
        <v>3594883</v>
      </c>
      <c r="O46" s="468">
        <v>1</v>
      </c>
      <c r="P46" s="468">
        <f t="shared" ref="P46:P51" si="14">N46/O46</f>
        <v>3594883</v>
      </c>
      <c r="Q46" s="467"/>
      <c r="V46" s="453"/>
    </row>
    <row r="47" spans="2:22" x14ac:dyDescent="0.3">
      <c r="B47" s="596">
        <f t="shared" ref="B47:B57" si="15">+B32</f>
        <v>2014</v>
      </c>
      <c r="C47" s="459">
        <f>'7. Billed kWh'!K17</f>
        <v>16552641</v>
      </c>
      <c r="D47" s="499"/>
      <c r="E47" s="428">
        <f t="shared" ref="E47:E55" si="16">C47+D47</f>
        <v>16552641</v>
      </c>
      <c r="F47" s="428">
        <f>'4. Customer Growth'!E10</f>
        <v>783</v>
      </c>
      <c r="G47" s="428">
        <f t="shared" ref="G47:G55" si="17">E47/F47</f>
        <v>21140.026819923372</v>
      </c>
      <c r="H47" s="520">
        <f t="shared" ref="H47:H54" si="18">G47/G46</f>
        <v>1.0086069269110536</v>
      </c>
      <c r="J47" s="83"/>
      <c r="K47" s="596">
        <f t="shared" ref="K47:K57" si="19">+K32</f>
        <v>2014</v>
      </c>
      <c r="L47" s="428">
        <f>'7.1. Billed kW'!P13</f>
        <v>3453199</v>
      </c>
      <c r="M47" s="412"/>
      <c r="N47" s="468">
        <f t="shared" si="13"/>
        <v>3453199</v>
      </c>
      <c r="O47" s="468">
        <v>1</v>
      </c>
      <c r="P47" s="428">
        <f t="shared" si="14"/>
        <v>3453199</v>
      </c>
      <c r="Q47" s="520">
        <f t="shared" ref="Q47:Q53" si="20">P47/P46</f>
        <v>0.96058731257734953</v>
      </c>
      <c r="V47" s="453"/>
    </row>
    <row r="48" spans="2:22" x14ac:dyDescent="0.3">
      <c r="B48" s="596">
        <f t="shared" si="15"/>
        <v>2015</v>
      </c>
      <c r="C48" s="459">
        <f>'7. Billed kWh'!K18</f>
        <v>16816719.898242369</v>
      </c>
      <c r="D48" s="499"/>
      <c r="E48" s="428">
        <f t="shared" si="16"/>
        <v>16816719.898242369</v>
      </c>
      <c r="F48" s="428">
        <f>'4. Customer Growth'!E11</f>
        <v>785</v>
      </c>
      <c r="G48" s="428">
        <f t="shared" si="17"/>
        <v>21422.573118780088</v>
      </c>
      <c r="H48" s="520">
        <f t="shared" si="18"/>
        <v>1.0133654654870368</v>
      </c>
      <c r="J48" s="83"/>
      <c r="K48" s="596">
        <f t="shared" si="19"/>
        <v>2015</v>
      </c>
      <c r="L48" s="428">
        <f>'7.1. Billed kW'!P14</f>
        <v>3423047.21</v>
      </c>
      <c r="M48" s="412"/>
      <c r="N48" s="468">
        <f t="shared" si="13"/>
        <v>3423047.21</v>
      </c>
      <c r="O48" s="468">
        <v>1</v>
      </c>
      <c r="P48" s="428">
        <f t="shared" si="14"/>
        <v>3423047.21</v>
      </c>
      <c r="Q48" s="520">
        <f t="shared" si="20"/>
        <v>0.99126844702549721</v>
      </c>
      <c r="V48" s="453"/>
    </row>
    <row r="49" spans="2:22" x14ac:dyDescent="0.3">
      <c r="B49" s="596">
        <f t="shared" si="15"/>
        <v>2016</v>
      </c>
      <c r="C49" s="459">
        <f>'7. Billed kWh'!K19</f>
        <v>17017150.589305334</v>
      </c>
      <c r="D49" s="499"/>
      <c r="E49" s="428">
        <f t="shared" si="16"/>
        <v>17017150.589305334</v>
      </c>
      <c r="F49" s="428">
        <f>'4. Customer Growth'!E12</f>
        <v>795.5</v>
      </c>
      <c r="G49" s="428">
        <f t="shared" si="17"/>
        <v>21391.766925588101</v>
      </c>
      <c r="H49" s="520">
        <f t="shared" si="18"/>
        <v>0.99856197511749967</v>
      </c>
      <c r="J49" s="83"/>
      <c r="K49" s="596">
        <f t="shared" si="19"/>
        <v>2016</v>
      </c>
      <c r="L49" s="428">
        <f>'7.1. Billed kW'!P15</f>
        <v>3180755.81</v>
      </c>
      <c r="M49" s="412"/>
      <c r="N49" s="468">
        <f t="shared" si="13"/>
        <v>3180755.81</v>
      </c>
      <c r="O49" s="468">
        <v>1</v>
      </c>
      <c r="P49" s="428">
        <f t="shared" si="14"/>
        <v>3180755.81</v>
      </c>
      <c r="Q49" s="520">
        <f t="shared" si="20"/>
        <v>0.92921762828973664</v>
      </c>
      <c r="V49" s="453"/>
    </row>
    <row r="50" spans="2:22" x14ac:dyDescent="0.3">
      <c r="B50" s="596">
        <f t="shared" si="15"/>
        <v>2017</v>
      </c>
      <c r="C50" s="459">
        <f>'7. Billed kWh'!K20</f>
        <v>17003638</v>
      </c>
      <c r="D50" s="499"/>
      <c r="E50" s="428">
        <f t="shared" si="16"/>
        <v>17003638</v>
      </c>
      <c r="F50" s="428">
        <f>'4. Customer Growth'!E13</f>
        <v>812.5</v>
      </c>
      <c r="G50" s="428">
        <f t="shared" si="17"/>
        <v>20927.554461538461</v>
      </c>
      <c r="H50" s="520">
        <f t="shared" si="18"/>
        <v>0.97829948009136336</v>
      </c>
      <c r="J50" s="83"/>
      <c r="K50" s="596">
        <f t="shared" si="19"/>
        <v>2017</v>
      </c>
      <c r="L50" s="428">
        <f>'7.1. Billed kW'!P16</f>
        <v>2803203</v>
      </c>
      <c r="M50" s="412"/>
      <c r="N50" s="468">
        <f t="shared" si="13"/>
        <v>2803203</v>
      </c>
      <c r="O50" s="468">
        <v>1</v>
      </c>
      <c r="P50" s="428">
        <f t="shared" si="14"/>
        <v>2803203</v>
      </c>
      <c r="Q50" s="520">
        <f t="shared" si="20"/>
        <v>0.88130091319396187</v>
      </c>
      <c r="V50" s="453"/>
    </row>
    <row r="51" spans="2:22" x14ac:dyDescent="0.3">
      <c r="B51" s="596">
        <f t="shared" si="15"/>
        <v>2018</v>
      </c>
      <c r="C51" s="459">
        <f>'7. Billed kWh'!K21</f>
        <v>17666223</v>
      </c>
      <c r="D51" s="499"/>
      <c r="E51" s="428">
        <f t="shared" si="16"/>
        <v>17666223</v>
      </c>
      <c r="F51" s="428">
        <f>'4. Customer Growth'!E14</f>
        <v>819</v>
      </c>
      <c r="G51" s="428">
        <f t="shared" si="17"/>
        <v>21570.479853479854</v>
      </c>
      <c r="H51" s="520">
        <f t="shared" si="18"/>
        <v>1.0307214774245594</v>
      </c>
      <c r="J51" s="83"/>
      <c r="K51" s="596">
        <f t="shared" si="19"/>
        <v>2018</v>
      </c>
      <c r="L51" s="428">
        <f>'7.1. Billed kW'!P17</f>
        <v>2678677.3099999996</v>
      </c>
      <c r="M51" s="412"/>
      <c r="N51" s="468">
        <f t="shared" si="13"/>
        <v>2678677.3099999996</v>
      </c>
      <c r="O51" s="468">
        <v>1</v>
      </c>
      <c r="P51" s="428">
        <f t="shared" si="14"/>
        <v>2678677.3099999996</v>
      </c>
      <c r="Q51" s="520">
        <f t="shared" si="20"/>
        <v>0.9555773556178413</v>
      </c>
      <c r="V51" s="453"/>
    </row>
    <row r="52" spans="2:22" x14ac:dyDescent="0.3">
      <c r="B52" s="596">
        <f t="shared" si="15"/>
        <v>2019</v>
      </c>
      <c r="C52" s="459">
        <f>'7. Billed kWh'!K22</f>
        <v>17600016</v>
      </c>
      <c r="D52" s="499"/>
      <c r="E52" s="428">
        <f t="shared" si="16"/>
        <v>17600016</v>
      </c>
      <c r="F52" s="428">
        <f>'4. Customer Growth'!E15</f>
        <v>826.5</v>
      </c>
      <c r="G52" s="428">
        <f t="shared" si="17"/>
        <v>21294.635208711436</v>
      </c>
      <c r="H52" s="520">
        <f t="shared" si="18"/>
        <v>0.9872119374885433</v>
      </c>
      <c r="J52" s="83"/>
      <c r="K52" s="596">
        <f t="shared" si="19"/>
        <v>2019</v>
      </c>
      <c r="L52" s="428">
        <f>'7.1. Billed kW'!P18</f>
        <v>2668244</v>
      </c>
      <c r="M52" s="502"/>
      <c r="N52" s="468">
        <f t="shared" ref="N52" si="21">L52+M52</f>
        <v>2668244</v>
      </c>
      <c r="O52" s="468">
        <v>1</v>
      </c>
      <c r="P52" s="428">
        <f t="shared" ref="P52" si="22">N52/O52</f>
        <v>2668244</v>
      </c>
      <c r="Q52" s="520">
        <f t="shared" si="20"/>
        <v>0.99610505156367657</v>
      </c>
      <c r="V52" s="453"/>
    </row>
    <row r="53" spans="2:22" x14ac:dyDescent="0.3">
      <c r="B53" s="596">
        <f t="shared" si="15"/>
        <v>2020</v>
      </c>
      <c r="C53" s="459">
        <f>'7. Billed kWh'!K23</f>
        <v>16820699</v>
      </c>
      <c r="D53" s="499"/>
      <c r="E53" s="428">
        <f t="shared" si="16"/>
        <v>16820699</v>
      </c>
      <c r="F53" s="428">
        <f>'4. Customer Growth'!E16</f>
        <v>832.5</v>
      </c>
      <c r="G53" s="428">
        <f t="shared" si="17"/>
        <v>20205.043843843843</v>
      </c>
      <c r="H53" s="520">
        <f t="shared" si="18"/>
        <v>0.94883258838724549</v>
      </c>
      <c r="J53" s="83"/>
      <c r="K53" s="596">
        <f t="shared" si="19"/>
        <v>2020</v>
      </c>
      <c r="L53" s="428">
        <f>'7.1. Billed kW'!P19</f>
        <v>2734869.5700000003</v>
      </c>
      <c r="M53" s="502"/>
      <c r="N53" s="468">
        <f t="shared" ref="N53" si="23">L53+M53</f>
        <v>2734869.5700000003</v>
      </c>
      <c r="O53" s="468">
        <v>1</v>
      </c>
      <c r="P53" s="428">
        <f t="shared" ref="P53" si="24">N53/O53</f>
        <v>2734869.5700000003</v>
      </c>
      <c r="Q53" s="520">
        <f t="shared" si="20"/>
        <v>1.0249698191020014</v>
      </c>
      <c r="V53" s="453"/>
    </row>
    <row r="54" spans="2:22" x14ac:dyDescent="0.3">
      <c r="B54" s="596">
        <f t="shared" si="15"/>
        <v>2021</v>
      </c>
      <c r="C54" s="459">
        <f>'7. Billed kWh'!K24</f>
        <v>17504591</v>
      </c>
      <c r="D54" s="499"/>
      <c r="E54" s="428">
        <f t="shared" si="16"/>
        <v>17504591</v>
      </c>
      <c r="F54" s="428">
        <f>'4. Customer Growth'!E17</f>
        <v>831</v>
      </c>
      <c r="G54" s="428">
        <f t="shared" si="17"/>
        <v>21064.489771359807</v>
      </c>
      <c r="H54" s="520">
        <f t="shared" si="18"/>
        <v>1.0425362070064412</v>
      </c>
      <c r="J54" s="83"/>
      <c r="K54" s="596">
        <f t="shared" si="19"/>
        <v>2021</v>
      </c>
      <c r="L54" s="428">
        <f>'7.1. Billed kW'!P20</f>
        <v>2738839.99</v>
      </c>
      <c r="M54" s="502"/>
      <c r="N54" s="468">
        <f>L54+M54</f>
        <v>2738839.99</v>
      </c>
      <c r="O54" s="468">
        <f>'4. Customer Growth'!M17</f>
        <v>1</v>
      </c>
      <c r="P54" s="428">
        <f>N54/O54</f>
        <v>2738839.99</v>
      </c>
      <c r="Q54" s="520">
        <f>P54/P53</f>
        <v>1.0014517767295206</v>
      </c>
      <c r="V54" s="453"/>
    </row>
    <row r="55" spans="2:22" ht="14.5" thickBot="1" x14ac:dyDescent="0.35">
      <c r="B55" s="596">
        <f t="shared" si="15"/>
        <v>2022</v>
      </c>
      <c r="C55" s="459">
        <f>'7. Billed kWh'!K25</f>
        <v>18818565</v>
      </c>
      <c r="D55" s="499"/>
      <c r="E55" s="428">
        <f t="shared" si="16"/>
        <v>18818565</v>
      </c>
      <c r="F55" s="428">
        <f>'4. Customer Growth'!E18</f>
        <v>840</v>
      </c>
      <c r="G55" s="428">
        <f t="shared" si="17"/>
        <v>22403.053571428572</v>
      </c>
      <c r="H55" s="521">
        <f>G55/G54</f>
        <v>1.06354598732739</v>
      </c>
      <c r="J55" s="83"/>
      <c r="K55" s="596">
        <f t="shared" si="19"/>
        <v>2022</v>
      </c>
      <c r="L55" s="428">
        <f>'7.1. Billed kW'!P21</f>
        <v>2821873.45</v>
      </c>
      <c r="M55" s="502"/>
      <c r="N55" s="468">
        <f>L55+M55</f>
        <v>2821873.45</v>
      </c>
      <c r="O55" s="468">
        <f>'4. Customer Growth'!M18</f>
        <v>1</v>
      </c>
      <c r="P55" s="428">
        <f>N55/O55</f>
        <v>2821873.45</v>
      </c>
      <c r="Q55" s="520">
        <f t="shared" ref="Q55" si="25">P55/P54</f>
        <v>1.0303170175341276</v>
      </c>
      <c r="V55" s="453"/>
    </row>
    <row r="56" spans="2:22" ht="14.5" thickBot="1" x14ac:dyDescent="0.35">
      <c r="B56" s="596" t="str">
        <f t="shared" si="15"/>
        <v>2023</v>
      </c>
      <c r="C56" s="450"/>
      <c r="E56" s="452"/>
      <c r="F56" s="452"/>
      <c r="G56" s="465">
        <f>H56*G55</f>
        <v>22569.448870224875</v>
      </c>
      <c r="H56" s="461">
        <f>IF(H44=1,+GEOMEAN(H55:H55),+IF(H44=2,+GEOMEAN(H54:H55),+IF(H44=3,+GEOMEAN(H53:H55),+IF(H44=4,+GEOMEAN(H52:H55),+IF(H44=5,+GEOMEAN(H51:H55),+IF(H44=6,+GEOMEAN(H50:H55),+IF(H44=7,+GEOMEAN(H49:H55),+IF(H44=8,+GEOMEAN(H48:H55),+IF(H44=9,+GEOMEAN(H47:H55),0)))))))))</f>
        <v>1.0074273490560461</v>
      </c>
      <c r="J56" s="83"/>
      <c r="K56" s="596" t="str">
        <f t="shared" si="19"/>
        <v>2023</v>
      </c>
      <c r="L56" s="458"/>
      <c r="M56" s="424"/>
      <c r="N56" s="424"/>
      <c r="O56" s="424"/>
      <c r="P56" s="465">
        <f>Q56*P55</f>
        <v>2832472.3481630618</v>
      </c>
      <c r="Q56" s="598">
        <f>+Q41</f>
        <v>1.0037559792637269</v>
      </c>
    </row>
    <row r="57" spans="2:22" x14ac:dyDescent="0.3">
      <c r="B57" s="596" t="str">
        <f t="shared" si="15"/>
        <v>2024</v>
      </c>
      <c r="C57" s="450"/>
      <c r="D57" s="451"/>
      <c r="E57" s="452"/>
      <c r="F57" s="452"/>
      <c r="G57" s="459">
        <f>H56*G56</f>
        <v>22737.080044986622</v>
      </c>
      <c r="J57" s="83"/>
      <c r="K57" s="596" t="str">
        <f t="shared" si="19"/>
        <v>2024</v>
      </c>
      <c r="L57" s="458"/>
      <c r="M57" s="424"/>
      <c r="N57" s="424"/>
      <c r="O57" s="424"/>
      <c r="P57" s="459">
        <f>Q56*P56</f>
        <v>2843111.0555678424</v>
      </c>
    </row>
    <row r="58" spans="2:22" x14ac:dyDescent="0.3">
      <c r="B58" s="83"/>
      <c r="C58" s="83"/>
      <c r="D58" s="452"/>
      <c r="E58" s="452"/>
      <c r="F58" s="452"/>
      <c r="G58" s="452"/>
      <c r="H58" s="452"/>
      <c r="J58" s="83"/>
      <c r="M58" s="452"/>
      <c r="O58" s="452"/>
      <c r="Q58" s="452"/>
    </row>
    <row r="59" spans="2:22" ht="14.5" thickBot="1" x14ac:dyDescent="0.35">
      <c r="B59" s="83"/>
      <c r="C59" s="83"/>
      <c r="D59" s="452"/>
      <c r="E59" s="452"/>
      <c r="F59" s="452"/>
      <c r="G59" s="452"/>
      <c r="H59" s="452"/>
      <c r="J59" s="83"/>
      <c r="M59" s="452"/>
      <c r="O59" s="452"/>
      <c r="Q59" s="452"/>
    </row>
    <row r="60" spans="2:22" ht="16" thickBot="1" x14ac:dyDescent="0.4">
      <c r="B60" s="517" t="str">
        <f>'7. Billed kWh'!R14</f>
        <v>Unmetered Scattered Load</v>
      </c>
      <c r="C60" s="506"/>
      <c r="D60" s="507"/>
      <c r="E60" s="507"/>
      <c r="F60" s="507"/>
      <c r="G60" s="518" t="s">
        <v>232</v>
      </c>
      <c r="H60" s="204">
        <v>5</v>
      </c>
      <c r="J60" s="83"/>
      <c r="K60" s="566" t="str">
        <f>'7.1. Billed kW'!W9</f>
        <v>Streetlighting</v>
      </c>
      <c r="L60" s="504"/>
      <c r="M60" s="504"/>
      <c r="N60" s="504"/>
      <c r="O60" s="504"/>
      <c r="P60" s="518" t="s">
        <v>232</v>
      </c>
      <c r="Q60" s="204">
        <v>5</v>
      </c>
    </row>
    <row r="61" spans="2:22" ht="28.5" thickBot="1" x14ac:dyDescent="0.35">
      <c r="B61" s="513" t="s">
        <v>33</v>
      </c>
      <c r="C61" s="514" t="s">
        <v>226</v>
      </c>
      <c r="D61" s="514" t="s">
        <v>45</v>
      </c>
      <c r="E61" s="514" t="s">
        <v>227</v>
      </c>
      <c r="F61" s="514" t="s">
        <v>229</v>
      </c>
      <c r="G61" s="514" t="s">
        <v>228</v>
      </c>
      <c r="H61" s="515" t="s">
        <v>230</v>
      </c>
      <c r="J61" s="83"/>
      <c r="K61" s="510" t="s">
        <v>33</v>
      </c>
      <c r="L61" s="511" t="s">
        <v>226</v>
      </c>
      <c r="M61" s="511" t="s">
        <v>45</v>
      </c>
      <c r="N61" s="511" t="s">
        <v>227</v>
      </c>
      <c r="O61" s="511" t="s">
        <v>229</v>
      </c>
      <c r="P61" s="511" t="s">
        <v>228</v>
      </c>
      <c r="Q61" s="512" t="s">
        <v>230</v>
      </c>
    </row>
    <row r="62" spans="2:22" x14ac:dyDescent="0.3">
      <c r="B62" s="596">
        <f>+B46</f>
        <v>2013</v>
      </c>
      <c r="C62" s="480">
        <f>'7. Billed kWh'!S16</f>
        <v>264550</v>
      </c>
      <c r="D62" s="500">
        <v>0</v>
      </c>
      <c r="E62" s="468">
        <f>C62+D62</f>
        <v>264550</v>
      </c>
      <c r="F62" s="468">
        <f>'4. Customer Growth'!G9</f>
        <v>42.5</v>
      </c>
      <c r="G62" s="468">
        <f>E62/F62</f>
        <v>6224.7058823529414</v>
      </c>
      <c r="H62" s="466"/>
      <c r="J62" s="83"/>
      <c r="K62" s="596">
        <f>+K46</f>
        <v>2013</v>
      </c>
      <c r="L62" s="468">
        <f>'7.1. Billed kW'!X12</f>
        <v>1796176</v>
      </c>
      <c r="M62" s="503">
        <v>0</v>
      </c>
      <c r="N62" s="468">
        <f t="shared" ref="N62:N70" si="26">L62+M62</f>
        <v>1796176</v>
      </c>
      <c r="O62" s="468">
        <f>'4. Customer Growth'!O9</f>
        <v>2693.5</v>
      </c>
      <c r="P62" s="468">
        <f t="shared" ref="P62:P69" si="27">N62/O62</f>
        <v>666.85576387599781</v>
      </c>
      <c r="Q62" s="467"/>
    </row>
    <row r="63" spans="2:22" x14ac:dyDescent="0.3">
      <c r="B63" s="596">
        <f t="shared" ref="B63:B73" si="28">+B47</f>
        <v>2014</v>
      </c>
      <c r="C63" s="459">
        <f>'7. Billed kWh'!S17</f>
        <v>250496</v>
      </c>
      <c r="D63" s="499">
        <v>0</v>
      </c>
      <c r="E63" s="468">
        <f t="shared" ref="E63:E71" si="29">C63+D63</f>
        <v>250496</v>
      </c>
      <c r="F63" s="468">
        <f>'4. Customer Growth'!G10</f>
        <v>41</v>
      </c>
      <c r="G63" s="428">
        <f t="shared" ref="G63:G71" si="30">E63/F63</f>
        <v>6109.6585365853662</v>
      </c>
      <c r="H63" s="457">
        <f t="shared" ref="H63:H71" si="31">G63/G62</f>
        <v>0.98151762542006449</v>
      </c>
      <c r="J63" s="83"/>
      <c r="K63" s="596">
        <f t="shared" ref="K63:K73" si="32">+K47</f>
        <v>2014</v>
      </c>
      <c r="L63" s="428">
        <f>'7.1. Billed kW'!X13</f>
        <v>1834665</v>
      </c>
      <c r="M63" s="412">
        <v>0</v>
      </c>
      <c r="N63" s="468">
        <f t="shared" si="26"/>
        <v>1834665</v>
      </c>
      <c r="O63" s="468">
        <f>'4. Customer Growth'!O10</f>
        <v>2738</v>
      </c>
      <c r="P63" s="428">
        <f t="shared" si="27"/>
        <v>670.07487216946674</v>
      </c>
      <c r="Q63" s="520">
        <f t="shared" ref="Q63:Q69" si="33">P63/P62</f>
        <v>1.0048272931986946</v>
      </c>
    </row>
    <row r="64" spans="2:22" x14ac:dyDescent="0.3">
      <c r="B64" s="596">
        <f t="shared" si="28"/>
        <v>2015</v>
      </c>
      <c r="C64" s="459">
        <f>'7. Billed kWh'!S18</f>
        <v>258733</v>
      </c>
      <c r="D64" s="499">
        <v>0</v>
      </c>
      <c r="E64" s="468">
        <f t="shared" si="29"/>
        <v>258733</v>
      </c>
      <c r="F64" s="468">
        <f>'4. Customer Growth'!G11</f>
        <v>40.5</v>
      </c>
      <c r="G64" s="428">
        <f t="shared" si="30"/>
        <v>6388.4691358024693</v>
      </c>
      <c r="H64" s="457">
        <f t="shared" si="31"/>
        <v>1.0456343996227533</v>
      </c>
      <c r="J64" s="83"/>
      <c r="K64" s="596">
        <f t="shared" si="32"/>
        <v>2015</v>
      </c>
      <c r="L64" s="428">
        <f>'7.1. Billed kW'!X14</f>
        <v>1811343.3900000001</v>
      </c>
      <c r="M64" s="412">
        <v>0</v>
      </c>
      <c r="N64" s="468">
        <f t="shared" si="26"/>
        <v>1811343.3900000001</v>
      </c>
      <c r="O64" s="468">
        <f>'4. Customer Growth'!O11</f>
        <v>2835</v>
      </c>
      <c r="P64" s="428">
        <f t="shared" si="27"/>
        <v>638.92183068783072</v>
      </c>
      <c r="Q64" s="520">
        <f t="shared" si="33"/>
        <v>0.95350811860654705</v>
      </c>
    </row>
    <row r="65" spans="2:17" x14ac:dyDescent="0.3">
      <c r="B65" s="596">
        <f t="shared" si="28"/>
        <v>2016</v>
      </c>
      <c r="C65" s="459">
        <f>'7. Billed kWh'!S19</f>
        <v>183648</v>
      </c>
      <c r="D65" s="499">
        <v>0</v>
      </c>
      <c r="E65" s="468">
        <f t="shared" si="29"/>
        <v>183648</v>
      </c>
      <c r="F65" s="468">
        <f>'4. Customer Growth'!G12</f>
        <v>36.5</v>
      </c>
      <c r="G65" s="428">
        <f t="shared" si="30"/>
        <v>5031.4520547945203</v>
      </c>
      <c r="H65" s="457">
        <f t="shared" si="31"/>
        <v>0.78758337057575978</v>
      </c>
      <c r="J65" s="83"/>
      <c r="K65" s="596">
        <f t="shared" si="32"/>
        <v>2016</v>
      </c>
      <c r="L65" s="428">
        <f>'7.1. Billed kW'!X15</f>
        <v>932624.09999999986</v>
      </c>
      <c r="M65" s="412">
        <v>0</v>
      </c>
      <c r="N65" s="468">
        <f t="shared" si="26"/>
        <v>932624.09999999986</v>
      </c>
      <c r="O65" s="468">
        <f>'4. Customer Growth'!O12</f>
        <v>2948</v>
      </c>
      <c r="P65" s="428">
        <f t="shared" si="27"/>
        <v>316.35824287652639</v>
      </c>
      <c r="Q65" s="520">
        <f t="shared" si="33"/>
        <v>0.49514389348060184</v>
      </c>
    </row>
    <row r="66" spans="2:17" x14ac:dyDescent="0.3">
      <c r="B66" s="596">
        <f t="shared" si="28"/>
        <v>2017</v>
      </c>
      <c r="C66" s="459">
        <f>'7. Billed kWh'!S20</f>
        <v>148714</v>
      </c>
      <c r="D66" s="499">
        <v>0</v>
      </c>
      <c r="E66" s="468">
        <f t="shared" si="29"/>
        <v>148714</v>
      </c>
      <c r="F66" s="468">
        <f>'4. Customer Growth'!G13</f>
        <v>33</v>
      </c>
      <c r="G66" s="428">
        <f t="shared" si="30"/>
        <v>4506.484848484848</v>
      </c>
      <c r="H66" s="457">
        <f t="shared" si="31"/>
        <v>0.8956628820879996</v>
      </c>
      <c r="J66" s="83"/>
      <c r="K66" s="596">
        <f t="shared" si="32"/>
        <v>2017</v>
      </c>
      <c r="L66" s="428">
        <f>'7.1. Billed kW'!X16</f>
        <v>758718</v>
      </c>
      <c r="M66" s="412">
        <v>0</v>
      </c>
      <c r="N66" s="468">
        <f t="shared" si="26"/>
        <v>758718</v>
      </c>
      <c r="O66" s="468">
        <f>'4. Customer Growth'!O13</f>
        <v>3013</v>
      </c>
      <c r="P66" s="428">
        <f t="shared" si="27"/>
        <v>251.81480252240291</v>
      </c>
      <c r="Q66" s="520">
        <f t="shared" si="33"/>
        <v>0.79597989997904184</v>
      </c>
    </row>
    <row r="67" spans="2:17" x14ac:dyDescent="0.3">
      <c r="B67" s="596">
        <f t="shared" si="28"/>
        <v>2018</v>
      </c>
      <c r="C67" s="459">
        <f>'7. Billed kWh'!S21</f>
        <v>153906</v>
      </c>
      <c r="D67" s="499">
        <v>0</v>
      </c>
      <c r="E67" s="468">
        <f t="shared" si="29"/>
        <v>153906</v>
      </c>
      <c r="F67" s="468">
        <f>'4. Customer Growth'!G14</f>
        <v>34.5</v>
      </c>
      <c r="G67" s="428">
        <f t="shared" si="30"/>
        <v>4461.04347826087</v>
      </c>
      <c r="H67" s="520">
        <f t="shared" si="31"/>
        <v>0.98991644890601238</v>
      </c>
      <c r="J67" s="83"/>
      <c r="K67" s="596">
        <f t="shared" si="32"/>
        <v>2018</v>
      </c>
      <c r="L67" s="428">
        <f>'7.1. Billed kW'!X17</f>
        <v>761759</v>
      </c>
      <c r="M67" s="412">
        <v>0</v>
      </c>
      <c r="N67" s="468">
        <f t="shared" si="26"/>
        <v>761759</v>
      </c>
      <c r="O67" s="468">
        <f>'4. Customer Growth'!O14</f>
        <v>3036.5</v>
      </c>
      <c r="P67" s="428">
        <f t="shared" si="27"/>
        <v>250.86744607278115</v>
      </c>
      <c r="Q67" s="520">
        <f t="shared" si="33"/>
        <v>0.99623788419055515</v>
      </c>
    </row>
    <row r="68" spans="2:17" x14ac:dyDescent="0.3">
      <c r="B68" s="596">
        <f t="shared" si="28"/>
        <v>2019</v>
      </c>
      <c r="C68" s="459">
        <f>'7. Billed kWh'!S22</f>
        <v>154158</v>
      </c>
      <c r="D68" s="499">
        <v>0</v>
      </c>
      <c r="E68" s="468">
        <f t="shared" si="29"/>
        <v>154158</v>
      </c>
      <c r="F68" s="468">
        <f>'4. Customer Growth'!G15</f>
        <v>35</v>
      </c>
      <c r="G68" s="428">
        <f t="shared" si="30"/>
        <v>4404.5142857142855</v>
      </c>
      <c r="H68" s="520">
        <f t="shared" si="31"/>
        <v>0.98732825787911349</v>
      </c>
      <c r="J68" s="83"/>
      <c r="K68" s="596">
        <f t="shared" si="32"/>
        <v>2019</v>
      </c>
      <c r="L68" s="428">
        <f>'7.1. Billed kW'!X18</f>
        <v>773922</v>
      </c>
      <c r="M68" s="412">
        <v>0</v>
      </c>
      <c r="N68" s="468">
        <f t="shared" si="26"/>
        <v>773922</v>
      </c>
      <c r="O68" s="468">
        <f>'4. Customer Growth'!O15</f>
        <v>3077.5</v>
      </c>
      <c r="P68" s="428">
        <f t="shared" si="27"/>
        <v>251.47749796913078</v>
      </c>
      <c r="Q68" s="520">
        <f t="shared" si="33"/>
        <v>1.0024317698685092</v>
      </c>
    </row>
    <row r="69" spans="2:17" x14ac:dyDescent="0.3">
      <c r="B69" s="596">
        <f t="shared" si="28"/>
        <v>2020</v>
      </c>
      <c r="C69" s="459">
        <f>'7. Billed kWh'!S23</f>
        <v>153122</v>
      </c>
      <c r="D69" s="499">
        <v>0</v>
      </c>
      <c r="E69" s="468">
        <f t="shared" si="29"/>
        <v>153122</v>
      </c>
      <c r="F69" s="468">
        <f>'4. Customer Growth'!G16</f>
        <v>35</v>
      </c>
      <c r="G69" s="428">
        <f t="shared" si="30"/>
        <v>4374.9142857142861</v>
      </c>
      <c r="H69" s="520">
        <f t="shared" si="31"/>
        <v>0.99327962220578903</v>
      </c>
      <c r="J69" s="83"/>
      <c r="K69" s="596">
        <f t="shared" si="32"/>
        <v>2020</v>
      </c>
      <c r="L69" s="428">
        <f>'7.1. Billed kW'!X19</f>
        <v>803024</v>
      </c>
      <c r="M69" s="412">
        <v>0</v>
      </c>
      <c r="N69" s="468">
        <f t="shared" si="26"/>
        <v>803024</v>
      </c>
      <c r="O69" s="468">
        <f>'4. Customer Growth'!O16</f>
        <v>3111</v>
      </c>
      <c r="P69" s="428">
        <f t="shared" si="27"/>
        <v>258.12407585985216</v>
      </c>
      <c r="Q69" s="520">
        <f t="shared" si="33"/>
        <v>1.0264301098285034</v>
      </c>
    </row>
    <row r="70" spans="2:17" x14ac:dyDescent="0.3">
      <c r="B70" s="596">
        <f t="shared" si="28"/>
        <v>2021</v>
      </c>
      <c r="C70" s="459">
        <f>'7. Billed kWh'!S24</f>
        <v>155365</v>
      </c>
      <c r="D70" s="499">
        <v>0</v>
      </c>
      <c r="E70" s="468">
        <f t="shared" si="29"/>
        <v>155365</v>
      </c>
      <c r="F70" s="468">
        <f>'4. Customer Growth'!G17</f>
        <v>36</v>
      </c>
      <c r="G70" s="428">
        <f t="shared" si="30"/>
        <v>4315.6944444444443</v>
      </c>
      <c r="H70" s="520">
        <f t="shared" si="31"/>
        <v>0.98646377108159211</v>
      </c>
      <c r="J70" s="83"/>
      <c r="K70" s="596">
        <f t="shared" si="32"/>
        <v>2021</v>
      </c>
      <c r="L70" s="428">
        <f>'7.1. Billed kW'!X20</f>
        <v>791018</v>
      </c>
      <c r="M70" s="412">
        <v>0</v>
      </c>
      <c r="N70" s="468">
        <f t="shared" si="26"/>
        <v>791018</v>
      </c>
      <c r="O70" s="468">
        <f>'4. Customer Growth'!O17</f>
        <v>3132</v>
      </c>
      <c r="P70" s="428">
        <f>N70/O70</f>
        <v>252.56002554278416</v>
      </c>
      <c r="Q70" s="520">
        <f>P70/P69</f>
        <v>0.97844427995128602</v>
      </c>
    </row>
    <row r="71" spans="2:17" ht="14.5" thickBot="1" x14ac:dyDescent="0.35">
      <c r="B71" s="596">
        <f t="shared" si="28"/>
        <v>2022</v>
      </c>
      <c r="C71" s="459">
        <f>'7. Billed kWh'!S25</f>
        <v>184559</v>
      </c>
      <c r="D71" s="499">
        <v>0</v>
      </c>
      <c r="E71" s="468">
        <f t="shared" si="29"/>
        <v>184559</v>
      </c>
      <c r="F71" s="468">
        <f>'4. Customer Growth'!G18</f>
        <v>41</v>
      </c>
      <c r="G71" s="428">
        <f t="shared" si="30"/>
        <v>4501.4390243902435</v>
      </c>
      <c r="H71" s="521">
        <f t="shared" si="31"/>
        <v>1.0430393259617596</v>
      </c>
      <c r="J71" s="83"/>
      <c r="K71" s="596">
        <f t="shared" si="32"/>
        <v>2022</v>
      </c>
      <c r="L71" s="428">
        <f>'7.1. Billed kW'!X21</f>
        <v>802430</v>
      </c>
      <c r="M71" s="412">
        <v>0</v>
      </c>
      <c r="N71" s="468">
        <f>L71+M71</f>
        <v>802430</v>
      </c>
      <c r="O71" s="468">
        <f>'4. Customer Growth'!O18</f>
        <v>3177.5</v>
      </c>
      <c r="P71" s="428">
        <f>N71/O71</f>
        <v>252.53501180173092</v>
      </c>
      <c r="Q71" s="520">
        <f t="shared" ref="Q71" si="34">P71/P70</f>
        <v>0.9999009592234579</v>
      </c>
    </row>
    <row r="72" spans="2:17" ht="14.5" thickBot="1" x14ac:dyDescent="0.35">
      <c r="B72" s="596" t="str">
        <f t="shared" si="28"/>
        <v>2023</v>
      </c>
      <c r="C72" s="450"/>
      <c r="E72" s="452"/>
      <c r="F72" s="452"/>
      <c r="G72" s="465">
        <f>H72*G71</f>
        <v>4500.4305377392739</v>
      </c>
      <c r="H72" s="461">
        <f>IF(H60=1,+GEOMEAN(H71:H71),+IF(H60=2,+GEOMEAN(H70:H71),+IF(H60=3,+GEOMEAN(H69:H71),+IF(H60=4,+GEOMEAN(H68:H71),+IF(H60=5,+GEOMEAN(H67:H71),+IF(H60=6,+GEOMEAN(H66:H71),+IF(H60=7,+GEOMEAN(H65:H71),+IF(H60=8,+GEOMEAN(H64:H71),+IF(H60=9,+GEOMEAN(H63:H71),0)))))))))</f>
        <v>0.99977596349844888</v>
      </c>
      <c r="J72" s="83"/>
      <c r="K72" s="596" t="str">
        <f t="shared" si="32"/>
        <v>2023</v>
      </c>
      <c r="L72" s="458"/>
      <c r="M72" s="424"/>
      <c r="N72" s="424"/>
      <c r="O72" s="424"/>
      <c r="P72" s="465">
        <f>Q72*P71</f>
        <v>252.67930065164254</v>
      </c>
      <c r="Q72" s="461">
        <f>IF(Q60=1,+GEOMEAN(Q71:Q71),+IF(Q60=2,+GEOMEAN(Q70:Q71),+IF(Q60=3,+GEOMEAN(Q69:Q71),+IF(Q60=4,+GEOMEAN(Q68:Q71),+IF(Q60=5,+GEOMEAN(Q67:Q71),+IF(Q60=6,+GEOMEAN(Q66:Q71),+IF(Q60=7,+GEOMEAN(Q65:Q71),+IF(Q60=8,+GEOMEAN(Q64:Q71),+IF(Q60=9,+GEOMEAN(Q63:Q71),0)))))))))</f>
        <v>1.0005713617643834</v>
      </c>
    </row>
    <row r="73" spans="2:17" x14ac:dyDescent="0.3">
      <c r="B73" s="596" t="str">
        <f t="shared" si="28"/>
        <v>2024</v>
      </c>
      <c r="C73" s="450"/>
      <c r="D73" s="451"/>
      <c r="E73" s="452"/>
      <c r="F73" s="452"/>
      <c r="G73" s="459">
        <f>H72*G72</f>
        <v>4499.4222770261249</v>
      </c>
      <c r="H73" s="488"/>
      <c r="J73" s="83"/>
      <c r="K73" s="596" t="str">
        <f t="shared" si="32"/>
        <v>2024</v>
      </c>
      <c r="L73" s="458"/>
      <c r="M73" s="424"/>
      <c r="N73" s="424"/>
      <c r="O73" s="424"/>
      <c r="P73" s="459">
        <f>Q72*P72</f>
        <v>252.82367194268602</v>
      </c>
    </row>
    <row r="74" spans="2:17" x14ac:dyDescent="0.3">
      <c r="B74" s="83"/>
      <c r="C74" s="83"/>
      <c r="D74" s="452"/>
      <c r="E74" s="452"/>
      <c r="F74" s="452"/>
      <c r="G74" s="452"/>
      <c r="H74" s="452"/>
      <c r="I74" s="452"/>
      <c r="J74" s="83"/>
      <c r="M74" s="452"/>
      <c r="O74" s="452"/>
      <c r="Q74" s="452"/>
    </row>
    <row r="75" spans="2:17" x14ac:dyDescent="0.3">
      <c r="B75" s="83"/>
      <c r="C75" s="83"/>
      <c r="D75" s="452"/>
      <c r="E75" s="452"/>
      <c r="F75" s="452"/>
      <c r="G75" s="452"/>
      <c r="H75" s="452"/>
      <c r="I75" s="452"/>
      <c r="J75" s="83"/>
      <c r="M75" s="684"/>
      <c r="O75" s="452"/>
      <c r="Q75" s="452"/>
    </row>
    <row r="76" spans="2:17" x14ac:dyDescent="0.3">
      <c r="B76" s="519" t="s">
        <v>233</v>
      </c>
    </row>
    <row r="77" spans="2:17" x14ac:dyDescent="0.3">
      <c r="B77" s="519">
        <v>1</v>
      </c>
    </row>
    <row r="78" spans="2:17" x14ac:dyDescent="0.3">
      <c r="B78" s="519">
        <v>2</v>
      </c>
    </row>
    <row r="79" spans="2:17" x14ac:dyDescent="0.3">
      <c r="B79" s="519">
        <v>3</v>
      </c>
    </row>
    <row r="80" spans="2:17" x14ac:dyDescent="0.3">
      <c r="B80" s="519">
        <v>4</v>
      </c>
    </row>
    <row r="81" spans="2:2" x14ac:dyDescent="0.3">
      <c r="B81" s="519">
        <v>5</v>
      </c>
    </row>
    <row r="82" spans="2:2" x14ac:dyDescent="0.3">
      <c r="B82" s="519">
        <v>6</v>
      </c>
    </row>
    <row r="83" spans="2:2" x14ac:dyDescent="0.3">
      <c r="B83" s="519">
        <v>7</v>
      </c>
    </row>
    <row r="84" spans="2:2" x14ac:dyDescent="0.3">
      <c r="B84" s="519">
        <v>8</v>
      </c>
    </row>
    <row r="85" spans="2:2" x14ac:dyDescent="0.3">
      <c r="B85" s="519">
        <v>9</v>
      </c>
    </row>
  </sheetData>
  <mergeCells count="4">
    <mergeCell ref="B18:C18"/>
    <mergeCell ref="B22:C22"/>
    <mergeCell ref="B14:C14"/>
    <mergeCell ref="B10:C10"/>
  </mergeCells>
  <dataValidations count="1">
    <dataValidation type="list" allowBlank="1" showInputMessage="1" showErrorMessage="1" sqref="H29 H44 H60 Q29 Q44 Q60" xr:uid="{00000000-0002-0000-0700-000000000000}">
      <formula1>$B$77:$B$85</formula1>
    </dataValidation>
  </dataValidations>
  <pageMargins left="0.7" right="0.7" top="0.75" bottom="0.75" header="0.3" footer="0.3"/>
  <pageSetup scale="37" orientation="portrait" r:id="rId1"/>
  <colBreaks count="1" manualBreakCount="1">
    <brk id="10"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AN56"/>
  <sheetViews>
    <sheetView showGridLines="0" zoomScale="90" zoomScaleNormal="90" workbookViewId="0"/>
  </sheetViews>
  <sheetFormatPr defaultColWidth="11.19921875" defaultRowHeight="12.5" x14ac:dyDescent="0.25"/>
  <cols>
    <col min="1" max="1" width="3.296875" style="1" customWidth="1"/>
    <col min="2" max="2" width="15" style="30" customWidth="1"/>
    <col min="3" max="3" width="16" style="30" customWidth="1"/>
    <col min="4" max="6" width="15" style="30" customWidth="1"/>
    <col min="7" max="7" width="17.69921875" style="30" bestFit="1" customWidth="1"/>
    <col min="8" max="8" width="15" style="1" customWidth="1"/>
    <col min="9" max="9" width="3.296875" style="1" customWidth="1"/>
    <col min="10" max="10" width="15" style="1" customWidth="1"/>
    <col min="11" max="11" width="16.69921875" style="1" customWidth="1"/>
    <col min="12" max="12" width="18" style="1" customWidth="1"/>
    <col min="13" max="13" width="15.5" style="1" customWidth="1"/>
    <col min="14" max="16" width="15" style="1" customWidth="1"/>
    <col min="17" max="17" width="3.19921875" style="1" customWidth="1"/>
    <col min="18" max="18" width="15" style="1" customWidth="1"/>
    <col min="19" max="19" width="16" style="1" customWidth="1"/>
    <col min="20" max="24" width="15" style="1" customWidth="1"/>
    <col min="25" max="25" width="3" style="1" customWidth="1"/>
    <col min="26" max="32" width="15" style="1" hidden="1" customWidth="1"/>
    <col min="33" max="33" width="2.796875" style="1" hidden="1" customWidth="1"/>
    <col min="34" max="40" width="15" style="1" hidden="1" customWidth="1"/>
    <col min="41" max="41" width="3.796875" style="1" customWidth="1"/>
    <col min="42" max="16384" width="11.19921875" style="1"/>
  </cols>
  <sheetData>
    <row r="3" spans="1:40" ht="15.75" customHeight="1" thickBot="1" x14ac:dyDescent="0.3">
      <c r="B3" s="86" t="s">
        <v>276</v>
      </c>
      <c r="C3" s="1"/>
      <c r="D3" s="2"/>
      <c r="E3" s="2"/>
      <c r="F3" s="2"/>
      <c r="G3" s="2"/>
      <c r="H3" s="2"/>
      <c r="I3" s="2"/>
    </row>
    <row r="4" spans="1:40" ht="15.75" customHeight="1" thickBot="1" x14ac:dyDescent="0.3">
      <c r="B4" s="86"/>
      <c r="C4" s="1"/>
      <c r="D4" s="2"/>
      <c r="E4" s="2"/>
      <c r="F4" s="2"/>
      <c r="G4" s="2"/>
      <c r="H4" s="2"/>
      <c r="I4" s="2"/>
      <c r="N4" s="204"/>
      <c r="O4" s="227" t="s">
        <v>144</v>
      </c>
    </row>
    <row r="5" spans="1:40" ht="15.75" customHeight="1" x14ac:dyDescent="0.25">
      <c r="B5" s="86"/>
      <c r="C5" s="1"/>
      <c r="D5" s="2"/>
      <c r="E5" s="2"/>
      <c r="F5" s="2"/>
      <c r="G5" s="2"/>
      <c r="H5" s="2"/>
      <c r="I5" s="2"/>
    </row>
    <row r="6" spans="1:40" ht="15.75" customHeight="1" x14ac:dyDescent="0.25">
      <c r="B6" s="86"/>
      <c r="C6" s="1"/>
      <c r="D6" s="2"/>
      <c r="E6" s="2"/>
      <c r="F6" s="2"/>
      <c r="G6" s="2"/>
      <c r="H6" s="2"/>
      <c r="I6" s="2"/>
    </row>
    <row r="7" spans="1:40" ht="15.75" customHeight="1" x14ac:dyDescent="0.25">
      <c r="B7" s="86"/>
      <c r="C7" s="1"/>
      <c r="D7" s="2"/>
      <c r="E7" s="2"/>
      <c r="F7" s="2"/>
      <c r="G7" s="2"/>
      <c r="H7" s="2"/>
      <c r="I7" s="2"/>
    </row>
    <row r="8" spans="1:40" ht="12.75" customHeight="1" x14ac:dyDescent="0.25"/>
    <row r="9" spans="1:40" ht="12.75" customHeight="1" x14ac:dyDescent="0.25"/>
    <row r="10" spans="1:40" ht="12.75" customHeight="1" thickBot="1" x14ac:dyDescent="0.3"/>
    <row r="11" spans="1:40" ht="23.25" customHeight="1" thickBot="1" x14ac:dyDescent="0.45">
      <c r="B11" s="226" t="s">
        <v>145</v>
      </c>
      <c r="G11" s="225" t="s">
        <v>143</v>
      </c>
    </row>
    <row r="12" spans="1:40" ht="12.75" customHeight="1" x14ac:dyDescent="0.25">
      <c r="A12" s="188" t="s">
        <v>30</v>
      </c>
    </row>
    <row r="13" spans="1:40" ht="12.75" customHeight="1" thickBot="1" x14ac:dyDescent="0.3">
      <c r="A13" s="188"/>
    </row>
    <row r="14" spans="1:40" ht="14.25" customHeight="1" thickBot="1" x14ac:dyDescent="0.3">
      <c r="B14" s="835" t="s">
        <v>6</v>
      </c>
      <c r="C14" s="836"/>
      <c r="D14" s="836"/>
      <c r="E14" s="836"/>
      <c r="F14" s="836"/>
      <c r="G14" s="836"/>
      <c r="H14" s="837"/>
      <c r="I14" s="30"/>
      <c r="J14" s="835" t="s">
        <v>65</v>
      </c>
      <c r="K14" s="836"/>
      <c r="L14" s="836"/>
      <c r="M14" s="836"/>
      <c r="N14" s="836"/>
      <c r="O14" s="836"/>
      <c r="P14" s="837"/>
      <c r="Q14" s="30"/>
      <c r="R14" s="835" t="s">
        <v>69</v>
      </c>
      <c r="S14" s="836"/>
      <c r="T14" s="836"/>
      <c r="U14" s="836"/>
      <c r="V14" s="836"/>
      <c r="W14" s="836"/>
      <c r="X14" s="837"/>
      <c r="Z14" s="835" t="s">
        <v>169</v>
      </c>
      <c r="AA14" s="836"/>
      <c r="AB14" s="836"/>
      <c r="AC14" s="836"/>
      <c r="AD14" s="836"/>
      <c r="AE14" s="836"/>
      <c r="AF14" s="837"/>
      <c r="AH14" s="835" t="s">
        <v>169</v>
      </c>
      <c r="AI14" s="836"/>
      <c r="AJ14" s="836"/>
      <c r="AK14" s="836"/>
      <c r="AL14" s="836"/>
      <c r="AM14" s="836"/>
      <c r="AN14" s="837"/>
    </row>
    <row r="15" spans="1:40" ht="70.5" customHeight="1" thickBot="1" x14ac:dyDescent="0.3">
      <c r="B15" s="53" t="s">
        <v>33</v>
      </c>
      <c r="C15" s="384" t="str">
        <f>CONCATENATE(B14,$B$52)</f>
        <v>Residential Metered kWh</v>
      </c>
      <c r="D15" s="131" t="s">
        <v>115</v>
      </c>
      <c r="E15" s="131" t="s">
        <v>265</v>
      </c>
      <c r="F15" s="55" t="s">
        <v>116</v>
      </c>
      <c r="G15" s="54" t="s">
        <v>264</v>
      </c>
      <c r="H15" s="56" t="s">
        <v>37</v>
      </c>
      <c r="I15" s="89"/>
      <c r="J15" s="53" t="s">
        <v>33</v>
      </c>
      <c r="K15" s="384" t="str">
        <f>CONCATENATE(J14,$B$52)</f>
        <v>General Service &lt; 50 kW Metered kWh</v>
      </c>
      <c r="L15" s="131" t="s">
        <v>115</v>
      </c>
      <c r="M15" s="131" t="s">
        <v>265</v>
      </c>
      <c r="N15" s="55" t="s">
        <v>116</v>
      </c>
      <c r="O15" s="54" t="s">
        <v>264</v>
      </c>
      <c r="P15" s="56" t="s">
        <v>37</v>
      </c>
      <c r="Q15" s="89"/>
      <c r="R15" s="53" t="s">
        <v>33</v>
      </c>
      <c r="S15" s="384" t="str">
        <f>CONCATENATE(R14,$B$52)</f>
        <v>Unmetered Scattered Load Metered kWh</v>
      </c>
      <c r="T15" s="131" t="s">
        <v>115</v>
      </c>
      <c r="U15" s="131" t="s">
        <v>265</v>
      </c>
      <c r="V15" s="55" t="s">
        <v>116</v>
      </c>
      <c r="W15" s="54" t="s">
        <v>264</v>
      </c>
      <c r="X15" s="56" t="s">
        <v>37</v>
      </c>
      <c r="Z15" s="53" t="s">
        <v>33</v>
      </c>
      <c r="AA15" s="384" t="str">
        <f>CONCATENATE(Z14,$B$52)</f>
        <v>N/A Metered kWh</v>
      </c>
      <c r="AB15" s="131" t="s">
        <v>115</v>
      </c>
      <c r="AC15" s="131" t="s">
        <v>176</v>
      </c>
      <c r="AD15" s="55" t="s">
        <v>116</v>
      </c>
      <c r="AE15" s="54" t="s">
        <v>177</v>
      </c>
      <c r="AF15" s="56" t="s">
        <v>37</v>
      </c>
      <c r="AH15" s="53" t="s">
        <v>33</v>
      </c>
      <c r="AI15" s="384" t="str">
        <f>CONCATENATE(AH14,$B$52)</f>
        <v>N/A Metered kWh</v>
      </c>
      <c r="AJ15" s="131" t="s">
        <v>115</v>
      </c>
      <c r="AK15" s="131" t="s">
        <v>176</v>
      </c>
      <c r="AL15" s="55" t="s">
        <v>116</v>
      </c>
      <c r="AM15" s="54" t="s">
        <v>177</v>
      </c>
      <c r="AN15" s="56" t="s">
        <v>37</v>
      </c>
    </row>
    <row r="16" spans="1:40" x14ac:dyDescent="0.25">
      <c r="B16" s="109">
        <f>'4. Customer Growth'!B9</f>
        <v>2013</v>
      </c>
      <c r="C16" s="58">
        <f>IF($B$14='2. Customer Classes'!$B$8,+SUM('3. Consumption by Rate Class'!$D$16:$D$27),+IF($B$14='2. Customer Classes'!$B$9,+SUM('3. Consumption by Rate Class'!$F$16:$F$27),+IF($B$14='2. Customer Classes'!$B$10,+SUM('3. Consumption by Rate Class'!$H$16:$H$27),+IF($B$14='2. Customer Classes'!$B$11,+SUM('3. Consumption by Rate Class'!$J$16:$J$27),+IF($B$14='2. Customer Classes'!$B$12,+SUM('3. Consumption by Rate Class'!$L$16:$L$27),+IF($B$14='2. Customer Classes'!$B$13,+SUM('3. Consumption by Rate Class'!$O$16:$O$27),IF($B$14='2. Customer Classes'!$B$14,+SUM('3. Consumption by Rate Class'!$R$16:$R$27),0)))))))</f>
        <v>86276533</v>
      </c>
      <c r="D16" s="58">
        <f>SUM('6. WS Regression Analysis'!J11:J22)</f>
        <v>136652392.50999999</v>
      </c>
      <c r="E16" s="58">
        <f>SUM('6. WS Regression Analysis'!U11:U22)</f>
        <v>136638837.10143891</v>
      </c>
      <c r="F16" s="59">
        <f>C16/D16</f>
        <v>0.63135764705829378</v>
      </c>
      <c r="G16" s="58">
        <f>E16*F16</f>
        <v>86267974.689145967</v>
      </c>
      <c r="H16" s="319">
        <f>IF($B$14='2. Customer Classes'!$B$8,+G16/'4. Customer Growth'!$C9,+IF($B$14='2. Customer Classes'!$B$9,+G16/'4. Customer Growth'!$E9,+IF($B$14='2. Customer Classes'!$B$10,+G16/'4. Customer Growth'!$G9,+IF($B$14='2. Customer Classes'!$B$11,+G16/'4. Customer Growth'!$I9,+IF($B$14='2. Customer Classes'!$B$12,+G16/'4. Customer Growth'!$K9,+IF($B$14='2. Customer Classes'!$B$13,+G16/'4. Customer Growth'!$M9,IF($B$14='2. Customer Classes'!$B$14,+G16/'4. Customer Growth'!$O9)))))))</f>
        <v>7275.6999822169155</v>
      </c>
      <c r="I16" s="70"/>
      <c r="J16" s="109">
        <f t="shared" ref="J16:J27" si="0">B16</f>
        <v>2013</v>
      </c>
      <c r="K16" s="58">
        <f>IF($J$14='2. Customer Classes'!$B$8,+SUM('3. Consumption by Rate Class'!$D$16:$D$27),+IF($J$14='2. Customer Classes'!$B$9,+SUM('3. Consumption by Rate Class'!$F$16:$F$27),+IF($J$14='2. Customer Classes'!$B$10,+SUM('3. Consumption by Rate Class'!$H$16:$H$27),+IF($J$14='2. Customer Classes'!$B$11,+SUM('3. Consumption by Rate Class'!$J$16:$J$27),+IF($J$14='2. Customer Classes'!$B$12,+SUM('3. Consumption by Rate Class'!$L$16:$L$27),+IF($J$14='2. Customer Classes'!$B$13,+SUM('3. Consumption by Rate Class'!$O$16:$O$27),IF($J$14='2. Customer Classes'!$B$14,+SUM('3. Consumption by Rate Class'!$R$16:$R$27),0)))))))</f>
        <v>16432349</v>
      </c>
      <c r="L16" s="58">
        <f t="shared" ref="L16:L25" si="1">D16</f>
        <v>136652392.50999999</v>
      </c>
      <c r="M16" s="58">
        <f t="shared" ref="M16:M25" si="2">E16</f>
        <v>136638837.10143891</v>
      </c>
      <c r="N16" s="59">
        <f t="shared" ref="N16:N24" si="3">K16/L16</f>
        <v>0.12024925943976801</v>
      </c>
      <c r="O16" s="58">
        <f t="shared" ref="O16:O24" si="4">M16*N16</f>
        <v>16430718.972159127</v>
      </c>
      <c r="P16" s="58">
        <f>IF($J$14='2. Customer Classes'!$B$8,+O16/'4. Customer Growth'!$C9,+IF($J$14='2. Customer Classes'!$B$9,+O16/'4. Customer Growth'!$E9,+IF($J$14='2. Customer Classes'!$B$10,+O16/'4. Customer Growth'!$G9,+IF($J$14='2. Customer Classes'!$B$11,+O16/'4. Customer Growth'!$I9,+IF($J$14='2. Customer Classes'!$B$12,+O16/'4. Customer Growth'!$K9,+IF($J$14='2. Customer Classes'!$B$13,+O16/'4. Customer Growth'!$M9,IF($J$14='2. Customer Classes'!$B$14,+O16/'4. Customer Growth'!$O9)))))))</f>
        <v>20957.54970938664</v>
      </c>
      <c r="Q16" s="70"/>
      <c r="R16" s="109">
        <f t="shared" ref="R16:R27" si="5">B16</f>
        <v>2013</v>
      </c>
      <c r="S16" s="58">
        <f>IF($R$14='2. Customer Classes'!$B$8,+SUM('3. Consumption by Rate Class'!$D$16:$D$27),+IF($R$14='2. Customer Classes'!$B$9,+SUM('3. Consumption by Rate Class'!$F$16:$F$27),+IF($R$14='2. Customer Classes'!$B$10,+SUM('3. Consumption by Rate Class'!$H$16:$H$27),+IF($R$14='2. Customer Classes'!$B$11,+SUM('3. Consumption by Rate Class'!$J$16:$J$27),+IF($R$14='2. Customer Classes'!$B$12,+SUM('3. Consumption by Rate Class'!$L$16:$L$27),+IF($R$14='2. Customer Classes'!$B$13,+SUM('3. Consumption by Rate Class'!$O$16:$O$27),IF($R$14='2. Customer Classes'!$B$14,+SUM('3. Consumption by Rate Class'!$R$16:$R$27),0)))))))</f>
        <v>264550</v>
      </c>
      <c r="T16" s="58">
        <f t="shared" ref="T16:T25" si="6">L16</f>
        <v>136652392.50999999</v>
      </c>
      <c r="U16" s="58">
        <f t="shared" ref="U16:U25" si="7">M16</f>
        <v>136638837.10143891</v>
      </c>
      <c r="V16" s="59">
        <f>S16/T16</f>
        <v>1.9359339060283243E-3</v>
      </c>
      <c r="W16" s="58">
        <f>U16*V16</f>
        <v>264523.75762495655</v>
      </c>
      <c r="X16" s="319">
        <f>IF($R$14='2. Customer Classes'!$B$8,+W16/'4. Customer Growth'!$C9,+IF($R$14='2. Customer Classes'!$B$9,+W16/'4. Customer Growth'!$E9,+IF($R$14='2. Customer Classes'!$B$10,+W16/'4. Customer Growth'!$G9,+IF($R$14='2. Customer Classes'!$B$11,+W16/'4. Customer Growth'!$I9,+IF($R$14='2. Customer Classes'!$B$12,+W16/'4. Customer Growth'!$K9,+IF($R$14='2. Customer Classes'!$B$13,+W16/'4. Customer Growth'!$M9,IF($R$14='2. Customer Classes'!$B$14,+W16/'4. Customer Growth'!$O9)))))))</f>
        <v>6224.08841470486</v>
      </c>
      <c r="Z16" s="109">
        <f t="shared" ref="Z16:Z27" si="8">J16</f>
        <v>2013</v>
      </c>
      <c r="AA16" s="58">
        <f>IF($Z$14='2. Customer Classes'!$B$8,+SUM('3. Consumption by Rate Class'!$D$16:$D$27),+IF($Z$14='2. Customer Classes'!$B$9,+SUM('3. Consumption by Rate Class'!$F$16:$F$27),+IF($Z$14='2. Customer Classes'!$B$10,+SUM('3. Consumption by Rate Class'!$H$16:$H$27),+IF($Z$14='2. Customer Classes'!$B$11,+SUM('3. Consumption by Rate Class'!$J$16:$J$27),+IF($Z$14='2. Customer Classes'!$B$12,+SUM('3. Consumption by Rate Class'!$L$16:$L$27),+IF($Z$14='2. Customer Classes'!$B$13,+SUM('3. Consumption by Rate Class'!$O$16:$O$27),IF($Z$14='2. Customer Classes'!$B$14,+SUM('3. Consumption by Rate Class'!$R$16:$R$27),0)))))))</f>
        <v>0</v>
      </c>
      <c r="AB16" s="58">
        <f t="shared" ref="AB16:AB27" si="9">T16</f>
        <v>136652392.50999999</v>
      </c>
      <c r="AC16" s="58">
        <f t="shared" ref="AC16:AC25" si="10">U16</f>
        <v>136638837.10143891</v>
      </c>
      <c r="AD16" s="59">
        <f t="shared" ref="AD16:AD25" si="11">AA16/AB16</f>
        <v>0</v>
      </c>
      <c r="AE16" s="58">
        <f>AC16*AD16</f>
        <v>0</v>
      </c>
      <c r="AF16" s="58" t="b">
        <f>IF($Z$14='2. Customer Classes'!$B$8,+AE16/'4. Customer Growth'!$C9,+IF($Z$14='2. Customer Classes'!$B$9,+AE16/'4. Customer Growth'!$E9,+IF($Z$14='2. Customer Classes'!$B$10,+AE16/'4. Customer Growth'!$G9,+IF($Z$14='2. Customer Classes'!$B$11,+AE16/'4. Customer Growth'!$I9,+IF($Z$14='2. Customer Classes'!$B$12,+AE16/'4. Customer Growth'!$K9,+IF($Z$14='2. Customer Classes'!$B$13,+AE16/'4. Customer Growth'!$M9,IF($Z$14='2. Customer Classes'!$B$14,+AE16/'4. Customer Growth'!$O9)))))))</f>
        <v>0</v>
      </c>
      <c r="AH16" s="109">
        <f>R16</f>
        <v>2013</v>
      </c>
      <c r="AI16" s="58">
        <f>IF($AH$14='2. Customer Classes'!$B$8,+SUM('3. Consumption by Rate Class'!$D$16:$D$27),+IF($AH$14='2. Customer Classes'!$B$9,+SUM('3. Consumption by Rate Class'!$F$16:$F$27),+IF($AH$14='2. Customer Classes'!$B$10,+SUM('3. Consumption by Rate Class'!$H$16:$H$27),+IF($AH$14='2. Customer Classes'!$B$11,+SUM('3. Consumption by Rate Class'!$J$16:$J$27),+IF($AH$14='2. Customer Classes'!$B$12,+SUM('3. Consumption by Rate Class'!$L$16:$L$27),+IF($AH$14='2. Customer Classes'!$B$13,+SUM('3. Consumption by Rate Class'!$O$16:$O$27),IF($AH$14='2. Customer Classes'!$B$14,+SUM('3. Consumption by Rate Class'!$R$16:$R$27),0)))))))</f>
        <v>0</v>
      </c>
      <c r="AJ16" s="58">
        <f t="shared" ref="AJ16:AJ27" si="12">AB16</f>
        <v>136652392.50999999</v>
      </c>
      <c r="AK16" s="58">
        <f t="shared" ref="AK16:AK25" si="13">AC16</f>
        <v>136638837.10143891</v>
      </c>
      <c r="AL16" s="59">
        <f t="shared" ref="AL16:AL25" si="14">AI16/AJ16</f>
        <v>0</v>
      </c>
      <c r="AM16" s="58">
        <f>AK16*AL16</f>
        <v>0</v>
      </c>
      <c r="AN16" s="58" t="b">
        <f>IF($AH$14='2. Customer Classes'!$B$8,+AM16/'4. Customer Growth'!$C9,+IF($AH$14='2. Customer Classes'!$B$9,+AM16/'4. Customer Growth'!$E9,+IF($AH$14='2. Customer Classes'!$B$10,+AM16/'4. Customer Growth'!$G9,+IF($AH$14='2. Customer Classes'!$B$11,+AM16/'4. Customer Growth'!$I9,+IF($AH$14='2. Customer Classes'!$B$12,+AM16/'4. Customer Growth'!$K9,+IF($AH$14='2. Customer Classes'!$B$13,+AM16/'4. Customer Growth'!$M9,IF($AH$14='2. Customer Classes'!$B$14,+AM16/'4. Customer Growth'!$O9)))))))</f>
        <v>0</v>
      </c>
    </row>
    <row r="17" spans="2:40" x14ac:dyDescent="0.25">
      <c r="B17" s="109">
        <f>'4. Customer Growth'!B10</f>
        <v>2014</v>
      </c>
      <c r="C17" s="58">
        <f>IF($B$14='2. Customer Classes'!$B$8,+SUM('3. Consumption by Rate Class'!$D$28:$D$39),+IF($B$14='2. Customer Classes'!$B$9,+SUM('3. Consumption by Rate Class'!$F$28:$F$39),+IF($B$14='2. Customer Classes'!$B$10,+SUM('3. Consumption by Rate Class'!$H$28:$H$39),+IF($B$14='2. Customer Classes'!$B$11,+SUM('3. Consumption by Rate Class'!$J$28:$J$39),+IF($B$14='2. Customer Classes'!$B$12,+SUM('3. Consumption by Rate Class'!$L$28:$L$39),+IF($B$14='2. Customer Classes'!$B$13,+SUM('3. Consumption by Rate Class'!$O$28:$O$39),IF($B$14='2. Customer Classes'!$B$14,+SUM('3. Consumption by Rate Class'!$R$28:$R$39),0)))))))</f>
        <v>87611190</v>
      </c>
      <c r="D17" s="60">
        <f>SUM('6. WS Regression Analysis'!J23:J34)</f>
        <v>137567233.44999999</v>
      </c>
      <c r="E17" s="60">
        <f>SUM('6. WS Regression Analysis'!U23:U34)</f>
        <v>138847385.74999535</v>
      </c>
      <c r="F17" s="61">
        <f>C17/D17</f>
        <v>0.63686088469492297</v>
      </c>
      <c r="G17" s="60">
        <f t="shared" ref="G17:G24" si="15">E17*F17</f>
        <v>88426468.926319286</v>
      </c>
      <c r="H17" s="319">
        <f>IF($B$14='2. Customer Classes'!$B$8,+G17/'4. Customer Growth'!$C10,+IF($B$14='2. Customer Classes'!$B$9,+G17/'4. Customer Growth'!$E10,+IF($B$14='2. Customer Classes'!$B$10,+G17/'4. Customer Growth'!$G10,+IF($B$14='2. Customer Classes'!$B$11,+G17/'4. Customer Growth'!$I10,+IF($B$14='2. Customer Classes'!$B$12,+G17/'4. Customer Growth'!$K10,+IF($B$14='2. Customer Classes'!$B$13,+G17/'4. Customer Growth'!$M10,IF($B$14='2. Customer Classes'!$B$14,+G17/'4. Customer Growth'!$O10)))))))</f>
        <v>7318.8601991656424</v>
      </c>
      <c r="I17" s="70"/>
      <c r="J17" s="109">
        <f t="shared" si="0"/>
        <v>2014</v>
      </c>
      <c r="K17" s="58">
        <f>IF($J$14='2. Customer Classes'!$B$8,+SUM('3. Consumption by Rate Class'!$D$28:$D$39),+IF($J$14='2. Customer Classes'!$B$9,+SUM('3. Consumption by Rate Class'!$F$28:$F$39),+IF($J$14='2. Customer Classes'!$B$10,+SUM('3. Consumption by Rate Class'!$H$28:$H$39),+IF($J$14='2. Customer Classes'!$B$11,+SUM('3. Consumption by Rate Class'!$J$28:$J$39),+IF($J$14='2. Customer Classes'!$B$12,+SUM('3. Consumption by Rate Class'!$L$28:$L$39),+IF($J$14='2. Customer Classes'!$B$13,+SUM('3. Consumption by Rate Class'!$O$28:$O$39),IF($J$14='2. Customer Classes'!$B$14,+SUM('3. Consumption by Rate Class'!$R$28:$R$39),0)))))))</f>
        <v>16552641</v>
      </c>
      <c r="L17" s="60">
        <f t="shared" si="1"/>
        <v>137567233.44999999</v>
      </c>
      <c r="M17" s="60">
        <f t="shared" si="2"/>
        <v>138847385.74999535</v>
      </c>
      <c r="N17" s="61">
        <f t="shared" si="3"/>
        <v>0.12032400874017868</v>
      </c>
      <c r="O17" s="60">
        <f t="shared" si="4"/>
        <v>16706674.056533402</v>
      </c>
      <c r="P17" s="58">
        <f>IF($J$14='2. Customer Classes'!$B$8,+O17/'4. Customer Growth'!$C10,+IF($J$14='2. Customer Classes'!$B$9,+O17/'4. Customer Growth'!$E10,+IF($J$14='2. Customer Classes'!$B$10,+O17/'4. Customer Growth'!$G10,+IF($J$14='2. Customer Classes'!$B$11,+O17/'4. Customer Growth'!$I10,+IF($J$14='2. Customer Classes'!$B$12,+O17/'4. Customer Growth'!$K10,+IF($J$14='2. Customer Classes'!$B$13,+O17/'4. Customer Growth'!$M10,IF($J$14='2. Customer Classes'!$B$14,+O17/'4. Customer Growth'!$O10)))))))</f>
        <v>21336.748475777014</v>
      </c>
      <c r="Q17" s="70"/>
      <c r="R17" s="109">
        <f t="shared" si="5"/>
        <v>2014</v>
      </c>
      <c r="S17" s="58">
        <f>IF($R$14='2. Customer Classes'!$B$8,+SUM('3. Consumption by Rate Class'!$D$28:$D$39),+IF($R$14='2. Customer Classes'!$B$9,+SUM('3. Consumption by Rate Class'!$F$28:$F$39),+IF($R$14='2. Customer Classes'!$B$10,+SUM('3. Consumption by Rate Class'!$H$28:$H$39),+IF($R$14='2. Customer Classes'!$B$11,+SUM('3. Consumption by Rate Class'!$J$28:$J$39),+IF($R$14='2. Customer Classes'!$B$12,+SUM('3. Consumption by Rate Class'!$L$28:$L$39),+IF($R$14='2. Customer Classes'!$B$13,+SUM('3. Consumption by Rate Class'!$O$28:$O$39),IF($R$14='2. Customer Classes'!$B$14,+SUM('3. Consumption by Rate Class'!$R$28:$R$39),0)))))))</f>
        <v>250496</v>
      </c>
      <c r="T17" s="60">
        <f t="shared" si="6"/>
        <v>137567233.44999999</v>
      </c>
      <c r="U17" s="60">
        <f t="shared" si="7"/>
        <v>138847385.74999535</v>
      </c>
      <c r="V17" s="61">
        <f t="shared" ref="V17:V24" si="16">S17/T17</f>
        <v>1.8208987250662779E-3</v>
      </c>
      <c r="W17" s="60">
        <f t="shared" ref="W17:W25" si="17">U17*V17</f>
        <v>252827.02769095221</v>
      </c>
      <c r="X17" s="319">
        <f>IF($R$14='2. Customer Classes'!$B$8,+W17/'4. Customer Growth'!$C10,+IF($R$14='2. Customer Classes'!$B$9,+W17/'4. Customer Growth'!$E10,+IF($R$14='2. Customer Classes'!$B$10,+W17/'4. Customer Growth'!$G10,+IF($R$14='2. Customer Classes'!$B$11,+W17/'4. Customer Growth'!$I10,+IF($R$14='2. Customer Classes'!$B$12,+W17/'4. Customer Growth'!$K10,+IF($R$14='2. Customer Classes'!$B$13,+W17/'4. Customer Growth'!$M10,IF($R$14='2. Customer Classes'!$B$14,+W17/'4. Customer Growth'!$O10)))))))</f>
        <v>6166.5128705110292</v>
      </c>
      <c r="Z17" s="109">
        <f t="shared" si="8"/>
        <v>2014</v>
      </c>
      <c r="AA17" s="58">
        <f>IF($Z$14='2. Customer Classes'!$B$8,+SUM('3. Consumption by Rate Class'!$D$28:$D$39),+IF($Z$14='2. Customer Classes'!$B$9,+SUM('3. Consumption by Rate Class'!$F$28:$F$39),+IF($Z$14='2. Customer Classes'!$B$10,+SUM('3. Consumption by Rate Class'!$H$28:$H$39),+IF($Z$14='2. Customer Classes'!$B$11,+SUM('3. Consumption by Rate Class'!$J$28:$J$39),+IF($Z$14='2. Customer Classes'!$B$12,+SUM('3. Consumption by Rate Class'!$L$28:$L$39),+IF($Z$14='2. Customer Classes'!$B$13,+SUM('3. Consumption by Rate Class'!$O$28:$O$39),IF($Z$14='2. Customer Classes'!$B$14,+SUM('3. Consumption by Rate Class'!$R$28:$R$39),0)))))))</f>
        <v>0</v>
      </c>
      <c r="AB17" s="60">
        <f t="shared" si="9"/>
        <v>137567233.44999999</v>
      </c>
      <c r="AC17" s="60">
        <f t="shared" si="10"/>
        <v>138847385.74999535</v>
      </c>
      <c r="AD17" s="61">
        <f t="shared" si="11"/>
        <v>0</v>
      </c>
      <c r="AE17" s="60">
        <f t="shared" ref="AE17:AE25" si="18">AC17*AD17</f>
        <v>0</v>
      </c>
      <c r="AF17" s="58" t="b">
        <f>IF($Z$14='2. Customer Classes'!$B$8,+AE17/'4. Customer Growth'!$C10,+IF($Z$14='2. Customer Classes'!$B$9,+AE17/'4. Customer Growth'!$E10,+IF($Z$14='2. Customer Classes'!$B$10,+AE17/'4. Customer Growth'!$G10,+IF($Z$14='2. Customer Classes'!$B$11,+AE17/'4. Customer Growth'!$I10,+IF($Z$14='2. Customer Classes'!$B$12,+AE17/'4. Customer Growth'!$K10,+IF($Z$14='2. Customer Classes'!$B$13,+AE17/'4. Customer Growth'!$M10,IF($Z$14='2. Customer Classes'!$B$14,+AE17/'4. Customer Growth'!$O10)))))))</f>
        <v>0</v>
      </c>
      <c r="AH17" s="109">
        <f t="shared" ref="AH17:AH27" si="19">R17</f>
        <v>2014</v>
      </c>
      <c r="AI17" s="58">
        <f>IF($AH$14='2. Customer Classes'!$B$8,+SUM('3. Consumption by Rate Class'!$D$28:$D$39),+IF($AH$14='2. Customer Classes'!$B$9,+SUM('3. Consumption by Rate Class'!$F$28:$F$39),+IF($AH$14='2. Customer Classes'!$B$10,+SUM('3. Consumption by Rate Class'!$H$28:$H$39),+IF($AH$14='2. Customer Classes'!$B$11,+SUM('3. Consumption by Rate Class'!$J$28:$J$39),+IF($AH$14='2. Customer Classes'!$B$12,+SUM('3. Consumption by Rate Class'!$L$28:$L$39),+IF($AH$14='2. Customer Classes'!$B$13,+SUM('3. Consumption by Rate Class'!$O$28:$O$39),IF($AH$14='2. Customer Classes'!$B$14,+SUM('3. Consumption by Rate Class'!$R$28:$R$39),0)))))))</f>
        <v>0</v>
      </c>
      <c r="AJ17" s="60">
        <f t="shared" si="12"/>
        <v>137567233.44999999</v>
      </c>
      <c r="AK17" s="60">
        <f t="shared" si="13"/>
        <v>138847385.74999535</v>
      </c>
      <c r="AL17" s="61">
        <f t="shared" si="14"/>
        <v>0</v>
      </c>
      <c r="AM17" s="60">
        <f t="shared" ref="AM17:AM25" si="20">AK17*AL17</f>
        <v>0</v>
      </c>
      <c r="AN17" s="58" t="b">
        <f>IF($AH$14='2. Customer Classes'!$B$8,+AM17/'4. Customer Growth'!$C10,+IF($AH$14='2. Customer Classes'!$B$9,+AM17/'4. Customer Growth'!$E10,+IF($AH$14='2. Customer Classes'!$B$10,+AM17/'4. Customer Growth'!$G10,+IF($AH$14='2. Customer Classes'!$B$11,+AM17/'4. Customer Growth'!$I10,+IF($AH$14='2. Customer Classes'!$B$12,+AM17/'4. Customer Growth'!$K10,+IF($AH$14='2. Customer Classes'!$B$13,+AM17/'4. Customer Growth'!$M10,IF($AH$14='2. Customer Classes'!$B$14,+AM17/'4. Customer Growth'!$O10)))))))</f>
        <v>0</v>
      </c>
    </row>
    <row r="18" spans="2:40" x14ac:dyDescent="0.25">
      <c r="B18" s="109">
        <f>'4. Customer Growth'!B11</f>
        <v>2015</v>
      </c>
      <c r="C18" s="58">
        <f>IF($B$14='2. Customer Classes'!$B$8,+SUM('3. Consumption by Rate Class'!$D$40:$D$51),+IF($B$14='2. Customer Classes'!$B$9,+SUM('3. Consumption by Rate Class'!$F$40:$F$51),+IF($B$14='2. Customer Classes'!$B$10,+SUM('3. Consumption by Rate Class'!$H$40:$H$51),+IF($B$14='2. Customer Classes'!$B$11,+SUM('3. Consumption by Rate Class'!$J$40:$J$51),+IF($B$14='2. Customer Classes'!$B$12,+SUM('3. Consumption by Rate Class'!$L$40:$L$51),+IF($B$14='2. Customer Classes'!$B$13,+SUM('3. Consumption by Rate Class'!$O$40:$O$51),IF($B$14='2. Customer Classes'!$B$14,+SUM('3. Consumption by Rate Class'!$R$40:$R$51),0)))))))</f>
        <v>88019894.347826093</v>
      </c>
      <c r="D18" s="60">
        <f>SUM('6. WS Regression Analysis'!J35:J46)</f>
        <v>137993374.59999999</v>
      </c>
      <c r="E18" s="60">
        <f>SUM('6. WS Regression Analysis'!U35:U46)</f>
        <v>137759492.49652126</v>
      </c>
      <c r="F18" s="61">
        <f t="shared" ref="F18:F23" si="21">C18/D18</f>
        <v>0.63785594491741704</v>
      </c>
      <c r="G18" s="60">
        <f t="shared" si="15"/>
        <v>87870711.257712394</v>
      </c>
      <c r="H18" s="319">
        <f>IF($B$14='2. Customer Classes'!$B$8,+G18/'4. Customer Growth'!$C11,+IF($B$14='2. Customer Classes'!$B$9,+G18/'4. Customer Growth'!$E11,+IF($B$14='2. Customer Classes'!$B$10,+G18/'4. Customer Growth'!$G11,+IF($B$14='2. Customer Classes'!$B$11,+G18/'4. Customer Growth'!$I11,+IF($B$14='2. Customer Classes'!$B$12,+G18/'4. Customer Growth'!$K11,+IF($B$14='2. Customer Classes'!$B$13,+G18/'4. Customer Growth'!$M11,IF($B$14='2. Customer Classes'!$B$14,+G18/'4. Customer Growth'!$O11)))))))</f>
        <v>7168.7302678125552</v>
      </c>
      <c r="I18" s="70"/>
      <c r="J18" s="109">
        <f t="shared" si="0"/>
        <v>2015</v>
      </c>
      <c r="K18" s="58">
        <f>IF($J$14='2. Customer Classes'!$B$8,+SUM('3. Consumption by Rate Class'!$D$40:$D$51),+IF($J$14='2. Customer Classes'!$B$9,+SUM('3. Consumption by Rate Class'!$F$40:$F$51),+IF($J$14='2. Customer Classes'!$B$10,+SUM('3. Consumption by Rate Class'!$H$40:$H$51),+IF($J$14='2. Customer Classes'!$B$11,+SUM('3. Consumption by Rate Class'!$J$40:$J$51),+IF($J$14='2. Customer Classes'!$B$12,+SUM('3. Consumption by Rate Class'!$L$40:$L$51),+IF($J$14='2. Customer Classes'!$B$13,+SUM('3. Consumption by Rate Class'!$O$40:$O$51),IF($J$14='2. Customer Classes'!$B$14,+SUM('3. Consumption by Rate Class'!$R$40:$R$51),0)))))))</f>
        <v>16816719.898242369</v>
      </c>
      <c r="L18" s="60">
        <f t="shared" si="1"/>
        <v>137993374.59999999</v>
      </c>
      <c r="M18" s="60">
        <f t="shared" si="2"/>
        <v>137759492.49652126</v>
      </c>
      <c r="N18" s="61">
        <f t="shared" si="3"/>
        <v>0.12186613992873807</v>
      </c>
      <c r="O18" s="60">
        <f t="shared" si="4"/>
        <v>16788217.589093003</v>
      </c>
      <c r="P18" s="58">
        <f>IF($J$14='2. Customer Classes'!$B$8,+O18/'4. Customer Growth'!$C11,+IF($J$14='2. Customer Classes'!$B$9,+O18/'4. Customer Growth'!$E11,+IF($J$14='2. Customer Classes'!$B$10,+O18/'4. Customer Growth'!$G11,+IF($J$14='2. Customer Classes'!$B$11,+O18/'4. Customer Growth'!$I11,+IF($J$14='2. Customer Classes'!$B$12,+O18/'4. Customer Growth'!$K11,+IF($J$14='2. Customer Classes'!$B$13,+O18/'4. Customer Growth'!$M11,IF($J$14='2. Customer Classes'!$B$14,+O18/'4. Customer Growth'!$O11)))))))</f>
        <v>21386.264444704462</v>
      </c>
      <c r="Q18" s="70"/>
      <c r="R18" s="109">
        <f t="shared" si="5"/>
        <v>2015</v>
      </c>
      <c r="S18" s="58">
        <f>IF($R$14='2. Customer Classes'!$B$8,+SUM('3. Consumption by Rate Class'!$D$40:$D$51),+IF($R$14='2. Customer Classes'!$B$9,+SUM('3. Consumption by Rate Class'!$F$40:$F$51),+IF($R$14='2. Customer Classes'!$B$10,+SUM('3. Consumption by Rate Class'!$H$40:$H$51),+IF($R$14='2. Customer Classes'!$B$11,+SUM('3. Consumption by Rate Class'!$J$40:$J$51),+IF($R$14='2. Customer Classes'!$B$12,+SUM('3. Consumption by Rate Class'!$L$40:$L$51),+IF($R$14='2. Customer Classes'!$B$13,+SUM('3. Consumption by Rate Class'!$O$40:$O$51),IF($R$14='2. Customer Classes'!$B$14,+SUM('3. Consumption by Rate Class'!$R$40:$R$51),0)))))))</f>
        <v>258733</v>
      </c>
      <c r="T18" s="60">
        <f t="shared" si="6"/>
        <v>137993374.59999999</v>
      </c>
      <c r="U18" s="60">
        <f t="shared" si="7"/>
        <v>137759492.49652126</v>
      </c>
      <c r="V18" s="61">
        <f t="shared" si="16"/>
        <v>1.8749668290233988E-3</v>
      </c>
      <c r="W18" s="60">
        <f t="shared" si="17"/>
        <v>258294.47881407518</v>
      </c>
      <c r="X18" s="319">
        <f>IF($R$14='2. Customer Classes'!$B$8,+W18/'4. Customer Growth'!$C11,+IF($R$14='2. Customer Classes'!$B$9,+W18/'4. Customer Growth'!$E11,+IF($R$14='2. Customer Classes'!$B$10,+W18/'4. Customer Growth'!$G11,+IF($R$14='2. Customer Classes'!$B$11,+W18/'4. Customer Growth'!$I11,+IF($R$14='2. Customer Classes'!$B$12,+W18/'4. Customer Growth'!$K11,+IF($R$14='2. Customer Classes'!$B$13,+W18/'4. Customer Growth'!$M11,IF($R$14='2. Customer Classes'!$B$14,+W18/'4. Customer Growth'!$O11)))))))</f>
        <v>6377.6414521993875</v>
      </c>
      <c r="Z18" s="109">
        <f t="shared" si="8"/>
        <v>2015</v>
      </c>
      <c r="AA18" s="58">
        <f>IF($Z$14='2. Customer Classes'!$B$8,+SUM('3. Consumption by Rate Class'!$D$40:$D$51),+IF($Z$14='2. Customer Classes'!$B$9,+SUM('3. Consumption by Rate Class'!$F$40:$F$51),+IF($Z$14='2. Customer Classes'!$B$10,+SUM('3. Consumption by Rate Class'!$H$40:$H$51),+IF($Z$14='2. Customer Classes'!$B$11,+SUM('3. Consumption by Rate Class'!$J$40:$J$51),+IF($Z$14='2. Customer Classes'!$B$12,+SUM('3. Consumption by Rate Class'!$L$40:$L$51),+IF($Z$14='2. Customer Classes'!$B$13,+SUM('3. Consumption by Rate Class'!$O$40:$O$51),IF($Z$14='2. Customer Classes'!$B$14,+SUM('3. Consumption by Rate Class'!$R$40:$R$51),0)))))))</f>
        <v>0</v>
      </c>
      <c r="AB18" s="60">
        <f t="shared" si="9"/>
        <v>137993374.59999999</v>
      </c>
      <c r="AC18" s="60">
        <f t="shared" si="10"/>
        <v>137759492.49652126</v>
      </c>
      <c r="AD18" s="61">
        <f t="shared" si="11"/>
        <v>0</v>
      </c>
      <c r="AE18" s="60">
        <f t="shared" si="18"/>
        <v>0</v>
      </c>
      <c r="AF18" s="58" t="b">
        <f>IF($Z$14='2. Customer Classes'!$B$8,+AE18/'4. Customer Growth'!$C11,+IF($Z$14='2. Customer Classes'!$B$9,+AE18/'4. Customer Growth'!$E11,+IF($Z$14='2. Customer Classes'!$B$10,+AE18/'4. Customer Growth'!$G11,+IF($Z$14='2. Customer Classes'!$B$11,+AE18/'4. Customer Growth'!$I11,+IF($Z$14='2. Customer Classes'!$B$12,+AE18/'4. Customer Growth'!$K11,+IF($Z$14='2. Customer Classes'!$B$13,+AE18/'4. Customer Growth'!$M11,IF($Z$14='2. Customer Classes'!$B$14,+AE18/'4. Customer Growth'!$O11)))))))</f>
        <v>0</v>
      </c>
      <c r="AH18" s="109">
        <f t="shared" si="19"/>
        <v>2015</v>
      </c>
      <c r="AI18" s="58">
        <f>IF($AH$14='2. Customer Classes'!$B$8,+SUM('3. Consumption by Rate Class'!$D$40:$D$51),+IF($AH$14='2. Customer Classes'!$B$9,+SUM('3. Consumption by Rate Class'!$F$40:$F$51),+IF($AH$14='2. Customer Classes'!$B$10,+SUM('3. Consumption by Rate Class'!$H$40:$H$51),+IF($AH$14='2. Customer Classes'!$B$11,+SUM('3. Consumption by Rate Class'!$J$40:$J$51),+IF($AH$14='2. Customer Classes'!$B$12,+SUM('3. Consumption by Rate Class'!$L$40:$L$51),+IF($AH$14='2. Customer Classes'!$B$13,+SUM('3. Consumption by Rate Class'!$O$40:$O$51),IF($AH$14='2. Customer Classes'!$B$14,+SUM('3. Consumption by Rate Class'!$R$40:$R$51),0)))))))</f>
        <v>0</v>
      </c>
      <c r="AJ18" s="60">
        <f t="shared" si="12"/>
        <v>137993374.59999999</v>
      </c>
      <c r="AK18" s="60">
        <f t="shared" si="13"/>
        <v>137759492.49652126</v>
      </c>
      <c r="AL18" s="61">
        <f t="shared" si="14"/>
        <v>0</v>
      </c>
      <c r="AM18" s="60">
        <f t="shared" si="20"/>
        <v>0</v>
      </c>
      <c r="AN18" s="58" t="b">
        <f>IF($AH$14='2. Customer Classes'!$B$8,+AM18/'4. Customer Growth'!$C11,+IF($AH$14='2. Customer Classes'!$B$9,+AM18/'4. Customer Growth'!$E11,+IF($AH$14='2. Customer Classes'!$B$10,+AM18/'4. Customer Growth'!$G11,+IF($AH$14='2. Customer Classes'!$B$11,+AM18/'4. Customer Growth'!$I11,+IF($AH$14='2. Customer Classes'!$B$12,+AM18/'4. Customer Growth'!$K11,+IF($AH$14='2. Customer Classes'!$B$13,+AM18/'4. Customer Growth'!$M11,IF($AH$14='2. Customer Classes'!$B$14,+AM18/'4. Customer Growth'!$O11)))))))</f>
        <v>0</v>
      </c>
    </row>
    <row r="19" spans="2:40" x14ac:dyDescent="0.25">
      <c r="B19" s="109">
        <f>'4. Customer Growth'!B12</f>
        <v>2016</v>
      </c>
      <c r="C19" s="58">
        <f>IF($B$14='2. Customer Classes'!$B$8,+SUM('3. Consumption by Rate Class'!$D$52:$D$63),+IF($B$14='2. Customer Classes'!$B$9,+SUM('3. Consumption by Rate Class'!$F$52:$F$63),+IF($B$14='2. Customer Classes'!$B$10,+SUM('3. Consumption by Rate Class'!$H$52:$H$63),+IF($B$14='2. Customer Classes'!$B$11,+SUM('3. Consumption by Rate Class'!$J$52:$J$63),+IF($B$14='2. Customer Classes'!$B$12,+SUM('3. Consumption by Rate Class'!$L$52:$L$63),+IF($B$14='2. Customer Classes'!$B$13,+SUM('3. Consumption by Rate Class'!$O$52:$O$63),IF($B$14='2. Customer Classes'!$B$14,+SUM('3. Consumption by Rate Class'!$R$52:$R$63),0)))))))</f>
        <v>89543529.152451292</v>
      </c>
      <c r="D19" s="60">
        <f>SUM('6. WS Regression Analysis'!J47:J58)</f>
        <v>137727428.06999999</v>
      </c>
      <c r="E19" s="60">
        <f>SUM('6. WS Regression Analysis'!U47:U58)</f>
        <v>137131414.94081908</v>
      </c>
      <c r="F19" s="61">
        <f t="shared" si="21"/>
        <v>0.65015030344530045</v>
      </c>
      <c r="G19" s="60">
        <f t="shared" si="15"/>
        <v>89156031.035656929</v>
      </c>
      <c r="H19" s="319">
        <f>IF($B$14='2. Customer Classes'!$B$8,+G19/'4. Customer Growth'!$C12,+IF($B$14='2. Customer Classes'!$B$9,+G19/'4. Customer Growth'!$E12,+IF($B$14='2. Customer Classes'!$B$10,+G19/'4. Customer Growth'!$G12,+IF($B$14='2. Customer Classes'!$B$11,+G19/'4. Customer Growth'!$I12,+IF($B$14='2. Customer Classes'!$B$12,+G19/'4. Customer Growth'!$K12,+IF($B$14='2. Customer Classes'!$B$13,+G19/'4. Customer Growth'!$M12,IF($B$14='2. Customer Classes'!$B$14,+G19/'4. Customer Growth'!$O12)))))))</f>
        <v>7174.3808671165152</v>
      </c>
      <c r="I19" s="70"/>
      <c r="J19" s="109">
        <f t="shared" si="0"/>
        <v>2016</v>
      </c>
      <c r="K19" s="58">
        <f>IF($J$14='2. Customer Classes'!$B$8,+SUM('3. Consumption by Rate Class'!$D$52:$D$63),+IF($J$14='2. Customer Classes'!$B$9,+SUM('3. Consumption by Rate Class'!$F$52:$F$63),+IF($J$14='2. Customer Classes'!$B$10,+SUM('3. Consumption by Rate Class'!$H$52:$H$63),+IF($J$14='2. Customer Classes'!$B$11,+SUM('3. Consumption by Rate Class'!$J$52:$J$63),+IF($J$14='2. Customer Classes'!$B$12,+SUM('3. Consumption by Rate Class'!$L$52:$L$63),+IF($J$14='2. Customer Classes'!$B$13,+SUM('3. Consumption by Rate Class'!$O$52:$O$63),IF($J$14='2. Customer Classes'!$B$14,+SUM('3. Consumption by Rate Class'!$R$52:$R$63),0)))))))</f>
        <v>17017150.589305334</v>
      </c>
      <c r="L19" s="60">
        <f t="shared" si="1"/>
        <v>137727428.06999999</v>
      </c>
      <c r="M19" s="60">
        <f t="shared" si="2"/>
        <v>137131414.94081908</v>
      </c>
      <c r="N19" s="61">
        <f t="shared" si="3"/>
        <v>0.1235567296054956</v>
      </c>
      <c r="O19" s="60">
        <f t="shared" si="4"/>
        <v>16943509.156261802</v>
      </c>
      <c r="P19" s="58">
        <f>IF($J$14='2. Customer Classes'!$B$8,+O19/'4. Customer Growth'!$C12,+IF($J$14='2. Customer Classes'!$B$9,+O19/'4. Customer Growth'!$E12,+IF($J$14='2. Customer Classes'!$B$10,+O19/'4. Customer Growth'!$G12,+IF($J$14='2. Customer Classes'!$B$11,+O19/'4. Customer Growth'!$I12,+IF($J$14='2. Customer Classes'!$B$12,+O19/'4. Customer Growth'!$K12,+IF($J$14='2. Customer Classes'!$B$13,+O19/'4. Customer Growth'!$M12,IF($J$14='2. Customer Classes'!$B$14,+O19/'4. Customer Growth'!$O12)))))))</f>
        <v>21299.194413905472</v>
      </c>
      <c r="Q19" s="70"/>
      <c r="R19" s="109">
        <f t="shared" si="5"/>
        <v>2016</v>
      </c>
      <c r="S19" s="58">
        <f>IF($R$14='2. Customer Classes'!$B$8,+SUM('3. Consumption by Rate Class'!$D$52:$D$63),+IF($R$14='2. Customer Classes'!$B$9,+SUM('3. Consumption by Rate Class'!$F$52:$F$63),+IF($R$14='2. Customer Classes'!$B$10,+SUM('3. Consumption by Rate Class'!$H$52:$H$63),+IF($R$14='2. Customer Classes'!$B$11,+SUM('3. Consumption by Rate Class'!$J$52:$J$63),+IF($R$14='2. Customer Classes'!$B$12,+SUM('3. Consumption by Rate Class'!$L$52:$L$63),+IF($R$14='2. Customer Classes'!$B$13,+SUM('3. Consumption by Rate Class'!$O$52:$O$63),IF($R$14='2. Customer Classes'!$B$14,+SUM('3. Consumption by Rate Class'!$R$52:$R$63),0)))))))</f>
        <v>183648</v>
      </c>
      <c r="T19" s="60">
        <f t="shared" si="6"/>
        <v>137727428.06999999</v>
      </c>
      <c r="U19" s="60">
        <f t="shared" si="7"/>
        <v>137131414.94081908</v>
      </c>
      <c r="V19" s="61">
        <f t="shared" si="16"/>
        <v>1.3334163178205932E-3</v>
      </c>
      <c r="W19" s="60">
        <f t="shared" si="17"/>
        <v>182853.26636791485</v>
      </c>
      <c r="X19" s="319">
        <f>IF($R$14='2. Customer Classes'!$B$8,+W19/'4. Customer Growth'!$C12,+IF($R$14='2. Customer Classes'!$B$9,+W19/'4. Customer Growth'!$E12,+IF($R$14='2. Customer Classes'!$B$10,+W19/'4. Customer Growth'!$G12,+IF($R$14='2. Customer Classes'!$B$11,+W19/'4. Customer Growth'!$I12,+IF($R$14='2. Customer Classes'!$B$12,+W19/'4. Customer Growth'!$K12,+IF($R$14='2. Customer Classes'!$B$13,+W19/'4. Customer Growth'!$M12,IF($R$14='2. Customer Classes'!$B$14,+W19/'4. Customer Growth'!$O12)))))))</f>
        <v>5009.6785306278043</v>
      </c>
      <c r="Z19" s="109">
        <f t="shared" si="8"/>
        <v>2016</v>
      </c>
      <c r="AA19" s="58">
        <f>IF($Z$14='2. Customer Classes'!$B$8,+SUM('3. Consumption by Rate Class'!$D$52:$D$63),+IF($Z$14='2. Customer Classes'!$B$9,+SUM('3. Consumption by Rate Class'!$F$52:$F$63),+IF($Z$14='2. Customer Classes'!$B$10,+SUM('3. Consumption by Rate Class'!$H$52:$H$63),+IF($Z$14='2. Customer Classes'!$B$11,+SUM('3. Consumption by Rate Class'!$J$52:$J$63),+IF($Z$14='2. Customer Classes'!$B$12,+SUM('3. Consumption by Rate Class'!$L$52:$L$63),+IF($Z$14='2. Customer Classes'!$B$13,+SUM('3. Consumption by Rate Class'!$O$52:$O$63),IF($Z$14='2. Customer Classes'!$B$14,+SUM('3. Consumption by Rate Class'!$R$52:$R$63),0)))))))</f>
        <v>0</v>
      </c>
      <c r="AB19" s="60">
        <f t="shared" si="9"/>
        <v>137727428.06999999</v>
      </c>
      <c r="AC19" s="60">
        <f t="shared" si="10"/>
        <v>137131414.94081908</v>
      </c>
      <c r="AD19" s="61">
        <f t="shared" si="11"/>
        <v>0</v>
      </c>
      <c r="AE19" s="60">
        <f t="shared" si="18"/>
        <v>0</v>
      </c>
      <c r="AF19" s="58" t="b">
        <f>IF($Z$14='2. Customer Classes'!$B$8,+AE19/'4. Customer Growth'!$C12,+IF($Z$14='2. Customer Classes'!$B$9,+AE19/'4. Customer Growth'!$E12,+IF($Z$14='2. Customer Classes'!$B$10,+AE19/'4. Customer Growth'!$G12,+IF($Z$14='2. Customer Classes'!$B$11,+AE19/'4. Customer Growth'!$I12,+IF($Z$14='2. Customer Classes'!$B$12,+AE19/'4. Customer Growth'!$K12,+IF($Z$14='2. Customer Classes'!$B$13,+AE19/'4. Customer Growth'!$M12,IF($Z$14='2. Customer Classes'!$B$14,+AE19/'4. Customer Growth'!$O12)))))))</f>
        <v>0</v>
      </c>
      <c r="AH19" s="109">
        <f t="shared" si="19"/>
        <v>2016</v>
      </c>
      <c r="AI19" s="58">
        <f>IF($AH$14='2. Customer Classes'!$B$8,+SUM('3. Consumption by Rate Class'!$D$52:$D$63),+IF($AH$14='2. Customer Classes'!$B$9,+SUM('3. Consumption by Rate Class'!$F$52:$F$63),+IF($AH$14='2. Customer Classes'!$B$10,+SUM('3. Consumption by Rate Class'!$H$52:$H$63),+IF($AH$14='2. Customer Classes'!$B$11,+SUM('3. Consumption by Rate Class'!$J$52:$J$63),+IF($AH$14='2. Customer Classes'!$B$12,+SUM('3. Consumption by Rate Class'!$L$52:$L$63),+IF($AH$14='2. Customer Classes'!$B$13,+SUM('3. Consumption by Rate Class'!$O$52:$O$63),IF($AH$14='2. Customer Classes'!$B$14,+SUM('3. Consumption by Rate Class'!$R$52:$R$63),0)))))))</f>
        <v>0</v>
      </c>
      <c r="AJ19" s="60">
        <f t="shared" si="12"/>
        <v>137727428.06999999</v>
      </c>
      <c r="AK19" s="60">
        <f t="shared" si="13"/>
        <v>137131414.94081908</v>
      </c>
      <c r="AL19" s="61">
        <f t="shared" si="14"/>
        <v>0</v>
      </c>
      <c r="AM19" s="60">
        <f t="shared" si="20"/>
        <v>0</v>
      </c>
      <c r="AN19" s="58" t="b">
        <f>IF($AH$14='2. Customer Classes'!$B$8,+AM19/'4. Customer Growth'!$C12,+IF($AH$14='2. Customer Classes'!$B$9,+AM19/'4. Customer Growth'!$E12,+IF($AH$14='2. Customer Classes'!$B$10,+AM19/'4. Customer Growth'!$G12,+IF($AH$14='2. Customer Classes'!$B$11,+AM19/'4. Customer Growth'!$I12,+IF($AH$14='2. Customer Classes'!$B$12,+AM19/'4. Customer Growth'!$K12,+IF($AH$14='2. Customer Classes'!$B$13,+AM19/'4. Customer Growth'!$M12,IF($AH$14='2. Customer Classes'!$B$14,+AM19/'4. Customer Growth'!$O12)))))))</f>
        <v>0</v>
      </c>
    </row>
    <row r="20" spans="2:40" x14ac:dyDescent="0.25">
      <c r="B20" s="109">
        <f>'4. Customer Growth'!B13</f>
        <v>2017</v>
      </c>
      <c r="C20" s="58">
        <f>IF($B$14='2. Customer Classes'!$B$8,+SUM('3. Consumption by Rate Class'!$D$64:$D$75),+IF($B$14='2. Customer Classes'!$B$9,+SUM('3. Consumption by Rate Class'!$F$64:$F$75),+IF($B$14='2. Customer Classes'!$B$10,+SUM('3. Consumption by Rate Class'!$H$64:$H$75),+IF($B$14='2. Customer Classes'!$B$11,+SUM('3. Consumption by Rate Class'!$J$64:$J$75),+IF($B$14='2. Customer Classes'!$B$12,+SUM('3. Consumption by Rate Class'!$L$64:$L$75),+IF($B$14='2. Customer Classes'!$B$13,+SUM('3. Consumption by Rate Class'!$O$64:$O$75),IF($B$14='2. Customer Classes'!$B$14,+SUM('3. Consumption by Rate Class'!$R$64:$R$75),0)))))))</f>
        <v>87839401</v>
      </c>
      <c r="D20" s="60">
        <f>SUM('6. WS Regression Analysis'!J59:J70)</f>
        <v>134234594</v>
      </c>
      <c r="E20" s="60">
        <f>SUM('6. WS Regression Analysis'!U59:U70)</f>
        <v>136986366.91437399</v>
      </c>
      <c r="F20" s="61">
        <f t="shared" si="21"/>
        <v>0.6543723073353207</v>
      </c>
      <c r="G20" s="60">
        <f t="shared" si="15"/>
        <v>89640084.991241753</v>
      </c>
      <c r="H20" s="319">
        <f>IF($B$14='2. Customer Classes'!$B$8,+G20/'4. Customer Growth'!$C13,+IF($B$14='2. Customer Classes'!$B$9,+G20/'4. Customer Growth'!$E13,+IF($B$14='2. Customer Classes'!$B$10,+G20/'4. Customer Growth'!$G13,+IF($B$14='2. Customer Classes'!$B$11,+G20/'4. Customer Growth'!$I13,+IF($B$14='2. Customer Classes'!$B$12,+G20/'4. Customer Growth'!$K13,+IF($B$14='2. Customer Classes'!$B$13,+G20/'4. Customer Growth'!$M13,IF($B$14='2. Customer Classes'!$B$14,+G20/'4. Customer Growth'!$O13)))))))</f>
        <v>7102.4550345647531</v>
      </c>
      <c r="I20" s="70"/>
      <c r="J20" s="109">
        <f t="shared" si="0"/>
        <v>2017</v>
      </c>
      <c r="K20" s="58">
        <f>IF($J$14='2. Customer Classes'!$B$8,+SUM('3. Consumption by Rate Class'!$D$64:$D$75),+IF($J$14='2. Customer Classes'!$B$9,+SUM('3. Consumption by Rate Class'!$F$64:$F$75),+IF($J$14='2. Customer Classes'!$B$10,+SUM('3. Consumption by Rate Class'!$H$64:$H$75),+IF($J$14='2. Customer Classes'!$B$11,+SUM('3. Consumption by Rate Class'!$J$64:$J$75),+IF($J$14='2. Customer Classes'!$B$12,+SUM('3. Consumption by Rate Class'!$L$64:$L$75),+IF($J$14='2. Customer Classes'!$B$13,+SUM('3. Consumption by Rate Class'!$O$64:$O$75),IF($J$14='2. Customer Classes'!$B$14,+SUM('3. Consumption by Rate Class'!$R$64:$R$75),0)))))))</f>
        <v>17003638</v>
      </c>
      <c r="L20" s="60">
        <f t="shared" si="1"/>
        <v>134234594</v>
      </c>
      <c r="M20" s="60">
        <f t="shared" si="2"/>
        <v>136986366.91437399</v>
      </c>
      <c r="N20" s="61">
        <f t="shared" si="3"/>
        <v>0.12667105768577064</v>
      </c>
      <c r="O20" s="60">
        <f t="shared" si="4"/>
        <v>17352207.985574812</v>
      </c>
      <c r="P20" s="58">
        <f>IF($J$14='2. Customer Classes'!$B$8,+O20/'4. Customer Growth'!$C13,+IF($J$14='2. Customer Classes'!$B$9,+O20/'4. Customer Growth'!$E13,+IF($J$14='2. Customer Classes'!$B$10,+O20/'4. Customer Growth'!$G13,+IF($J$14='2. Customer Classes'!$B$11,+O20/'4. Customer Growth'!$I13,+IF($J$14='2. Customer Classes'!$B$12,+O20/'4. Customer Growth'!$K13,+IF($J$14='2. Customer Classes'!$B$13,+O20/'4. Customer Growth'!$M13,IF($J$14='2. Customer Classes'!$B$14,+O20/'4. Customer Growth'!$O13)))))))</f>
        <v>21356.563674553614</v>
      </c>
      <c r="Q20" s="70"/>
      <c r="R20" s="109">
        <f t="shared" si="5"/>
        <v>2017</v>
      </c>
      <c r="S20" s="58">
        <f>IF($R$14='2. Customer Classes'!$B$8,+SUM('3. Consumption by Rate Class'!$D$64:$D$75),+IF($R$14='2. Customer Classes'!$B$9,+SUM('3. Consumption by Rate Class'!$F$64:$F$75),+IF($R$14='2. Customer Classes'!$B$10,+SUM('3. Consumption by Rate Class'!$H$64:$H$75),+IF($R$14='2. Customer Classes'!$B$11,+SUM('3. Consumption by Rate Class'!$J$64:$J$75),+IF($R$14='2. Customer Classes'!$B$12,+SUM('3. Consumption by Rate Class'!$L$64:$L$75),+IF($R$14='2. Customer Classes'!$B$13,+SUM('3. Consumption by Rate Class'!$O$64:$O$75),IF($R$14='2. Customer Classes'!$B$14,+SUM('3. Consumption by Rate Class'!$R$64:$R$75),0)))))))</f>
        <v>148714</v>
      </c>
      <c r="T20" s="60">
        <f t="shared" si="6"/>
        <v>134234594</v>
      </c>
      <c r="U20" s="60">
        <f t="shared" si="7"/>
        <v>136986366.91437399</v>
      </c>
      <c r="V20" s="61">
        <f t="shared" si="16"/>
        <v>1.1078664267424238E-3</v>
      </c>
      <c r="W20" s="60">
        <f t="shared" si="17"/>
        <v>151762.5968258541</v>
      </c>
      <c r="X20" s="319">
        <f>IF($R$14='2. Customer Classes'!$B$8,+W20/'4. Customer Growth'!$C13,+IF($R$14='2. Customer Classes'!$B$9,+W20/'4. Customer Growth'!$E13,+IF($R$14='2. Customer Classes'!$B$10,+W20/'4. Customer Growth'!$G13,+IF($R$14='2. Customer Classes'!$B$11,+W20/'4. Customer Growth'!$I13,+IF($R$14='2. Customer Classes'!$B$12,+W20/'4. Customer Growth'!$K13,+IF($R$14='2. Customer Classes'!$B$13,+W20/'4. Customer Growth'!$M13,IF($R$14='2. Customer Classes'!$B$14,+W20/'4. Customer Growth'!$O13)))))))</f>
        <v>4598.8665704804271</v>
      </c>
      <c r="Z20" s="109">
        <f t="shared" si="8"/>
        <v>2017</v>
      </c>
      <c r="AA20" s="58">
        <f>IF($Z$14='2. Customer Classes'!$B$8,+SUM('3. Consumption by Rate Class'!$D$64:$D$75),+IF($Z$14='2. Customer Classes'!$B$9,+SUM('3. Consumption by Rate Class'!$F$64:$F$75),+IF($Z$14='2. Customer Classes'!$B$10,+SUM('3. Consumption by Rate Class'!$H$64:$H$75),+IF($Z$14='2. Customer Classes'!$B$11,+SUM('3. Consumption by Rate Class'!$J$64:$J$75),+IF($Z$14='2. Customer Classes'!$B$12,+SUM('3. Consumption by Rate Class'!$L$64:$L$75),+IF($Z$14='2. Customer Classes'!$B$13,+SUM('3. Consumption by Rate Class'!$O$64:$O$75),IF($Z$14='2. Customer Classes'!$B$14,+SUM('3. Consumption by Rate Class'!$R$64:$R$75),0)))))))</f>
        <v>0</v>
      </c>
      <c r="AB20" s="60">
        <f t="shared" si="9"/>
        <v>134234594</v>
      </c>
      <c r="AC20" s="60">
        <f t="shared" si="10"/>
        <v>136986366.91437399</v>
      </c>
      <c r="AD20" s="61">
        <f t="shared" si="11"/>
        <v>0</v>
      </c>
      <c r="AE20" s="60">
        <f t="shared" si="18"/>
        <v>0</v>
      </c>
      <c r="AF20" s="58" t="b">
        <f>IF($Z$14='2. Customer Classes'!$B$8,+AE20/'4. Customer Growth'!$C13,+IF($Z$14='2. Customer Classes'!$B$9,+AE20/'4. Customer Growth'!$E13,+IF($Z$14='2. Customer Classes'!$B$10,+AE20/'4. Customer Growth'!$G13,+IF($Z$14='2. Customer Classes'!$B$11,+AE20/'4. Customer Growth'!$I13,+IF($Z$14='2. Customer Classes'!$B$12,+AE20/'4. Customer Growth'!$K13,+IF($Z$14='2. Customer Classes'!$B$13,+AE20/'4. Customer Growth'!$M13,IF($Z$14='2. Customer Classes'!$B$14,+AE20/'4. Customer Growth'!$O13)))))))</f>
        <v>0</v>
      </c>
      <c r="AH20" s="109">
        <f t="shared" si="19"/>
        <v>2017</v>
      </c>
      <c r="AI20" s="58">
        <f>IF($AH$14='2. Customer Classes'!$B$8,+SUM('3. Consumption by Rate Class'!$D$64:$D$75),+IF($AH$14='2. Customer Classes'!$B$9,+SUM('3. Consumption by Rate Class'!$F$64:$F$75),+IF($AH$14='2. Customer Classes'!$B$10,+SUM('3. Consumption by Rate Class'!$H$64:$H$75),+IF($AH$14='2. Customer Classes'!$B$11,+SUM('3. Consumption by Rate Class'!$J$64:$J$75),+IF($AH$14='2. Customer Classes'!$B$12,+SUM('3. Consumption by Rate Class'!$L$64:$L$75),+IF($AH$14='2. Customer Classes'!$B$13,+SUM('3. Consumption by Rate Class'!$O$64:$O$75),IF($AH$14='2. Customer Classes'!$B$14,+SUM('3. Consumption by Rate Class'!$R$64:$R$75),0)))))))</f>
        <v>0</v>
      </c>
      <c r="AJ20" s="60">
        <f t="shared" si="12"/>
        <v>134234594</v>
      </c>
      <c r="AK20" s="60">
        <f t="shared" si="13"/>
        <v>136986366.91437399</v>
      </c>
      <c r="AL20" s="61">
        <f t="shared" si="14"/>
        <v>0</v>
      </c>
      <c r="AM20" s="60">
        <f t="shared" si="20"/>
        <v>0</v>
      </c>
      <c r="AN20" s="58" t="b">
        <f>IF($AH$14='2. Customer Classes'!$B$8,+AM20/'4. Customer Growth'!$C13,+IF($AH$14='2. Customer Classes'!$B$9,+AM20/'4. Customer Growth'!$E13,+IF($AH$14='2. Customer Classes'!$B$10,+AM20/'4. Customer Growth'!$G13,+IF($AH$14='2. Customer Classes'!$B$11,+AM20/'4. Customer Growth'!$I13,+IF($AH$14='2. Customer Classes'!$B$12,+AM20/'4. Customer Growth'!$K13,+IF($AH$14='2. Customer Classes'!$B$13,+AM20/'4. Customer Growth'!$M13,IF($AH$14='2. Customer Classes'!$B$14,+AM20/'4. Customer Growth'!$O13)))))))</f>
        <v>0</v>
      </c>
    </row>
    <row r="21" spans="2:40" x14ac:dyDescent="0.25">
      <c r="B21" s="109">
        <f>'4. Customer Growth'!B14</f>
        <v>2018</v>
      </c>
      <c r="C21" s="58">
        <f>IF($B$14='2. Customer Classes'!$B$8,+SUM('3. Consumption by Rate Class'!$D$76:$D$87),+IF($B$14='2. Customer Classes'!$B$9,+SUM('3. Consumption by Rate Class'!$F$76:$F$87),+IF($B$14='2. Customer Classes'!$B$10,+SUM('3. Consumption by Rate Class'!$H$76:$H$87),+IF($B$14='2. Customer Classes'!$B$11,+SUM('3. Consumption by Rate Class'!$J$76:$J$87),+IF($B$14='2. Customer Classes'!$B$12,+SUM('3. Consumption by Rate Class'!$L$76:$L$87),+IF($B$14='2. Customer Classes'!$B$13,+SUM('3. Consumption by Rate Class'!$O$76:$O$87),IF($B$14='2. Customer Classes'!$B$14,+SUM('3. Consumption by Rate Class'!$R$76:$R$87),0)))))))</f>
        <v>95897147</v>
      </c>
      <c r="D21" s="60">
        <f>SUM('6. WS Regression Analysis'!J71:J82)</f>
        <v>144593587.54000002</v>
      </c>
      <c r="E21" s="60">
        <f>SUM('6. WS Regression Analysis'!U71:U82)</f>
        <v>140544492.40871233</v>
      </c>
      <c r="F21" s="61">
        <f t="shared" si="21"/>
        <v>0.66321853293439614</v>
      </c>
      <c r="G21" s="60">
        <f t="shared" si="15"/>
        <v>93211712.067315564</v>
      </c>
      <c r="H21" s="319">
        <f>IF($B$14='2. Customer Classes'!$B$8,+G21/'4. Customer Growth'!$C14,+IF($B$14='2. Customer Classes'!$B$9,+G21/'4. Customer Growth'!$E14,+IF($B$14='2. Customer Classes'!$B$10,+G21/'4. Customer Growth'!$G14,+IF($B$14='2. Customer Classes'!$B$11,+G21/'4. Customer Growth'!$I14,+IF($B$14='2. Customer Classes'!$B$12,+G21/'4. Customer Growth'!$K14,+IF($B$14='2. Customer Classes'!$B$13,+G21/'4. Customer Growth'!$M14,IF($B$14='2. Customer Classes'!$B$14,+G21/'4. Customer Growth'!$O14)))))))</f>
        <v>7260.6100691163392</v>
      </c>
      <c r="I21" s="70"/>
      <c r="J21" s="109">
        <f t="shared" si="0"/>
        <v>2018</v>
      </c>
      <c r="K21" s="58">
        <f>IF($J$14='2. Customer Classes'!$B$8,+SUM('3. Consumption by Rate Class'!$D$76:$D$87),+IF($J$14='2. Customer Classes'!$B$9,+SUM('3. Consumption by Rate Class'!$F$76:$F$87),+IF($J$14='2. Customer Classes'!$B$10,+SUM('3. Consumption by Rate Class'!$H$76:$H$87),+IF($J$14='2. Customer Classes'!$B$11,+SUM('3. Consumption by Rate Class'!$J$76:$J$87),+IF($J$14='2. Customer Classes'!$B$12,+SUM('3. Consumption by Rate Class'!$L$76:$L$87),+IF($J$14='2. Customer Classes'!$B$13,+SUM('3. Consumption by Rate Class'!$O$76:$O$87),IF($J$14='2. Customer Classes'!$B$14,+SUM('3. Consumption by Rate Class'!$R$76:$R$87),0)))))))</f>
        <v>17666223</v>
      </c>
      <c r="L21" s="60">
        <f t="shared" si="1"/>
        <v>144593587.54000002</v>
      </c>
      <c r="M21" s="60">
        <f t="shared" si="2"/>
        <v>140544492.40871233</v>
      </c>
      <c r="N21" s="61">
        <f t="shared" si="3"/>
        <v>0.12217846794286683</v>
      </c>
      <c r="O21" s="60">
        <f t="shared" si="4"/>
        <v>17171510.76030435</v>
      </c>
      <c r="P21" s="58">
        <f>IF($J$14='2. Customer Classes'!$B$8,+O21/'4. Customer Growth'!$C14,+IF($J$14='2. Customer Classes'!$B$9,+O21/'4. Customer Growth'!$E14,+IF($J$14='2. Customer Classes'!$B$10,+O21/'4. Customer Growth'!$G14,+IF($J$14='2. Customer Classes'!$B$11,+O21/'4. Customer Growth'!$I14,+IF($J$14='2. Customer Classes'!$B$12,+O21/'4. Customer Growth'!$K14,+IF($J$14='2. Customer Classes'!$B$13,+O21/'4. Customer Growth'!$M14,IF($J$14='2. Customer Classes'!$B$14,+O21/'4. Customer Growth'!$O14)))))))</f>
        <v>20966.435604767215</v>
      </c>
      <c r="Q21" s="70"/>
      <c r="R21" s="109">
        <f t="shared" si="5"/>
        <v>2018</v>
      </c>
      <c r="S21" s="58">
        <f>IF($R$14='2. Customer Classes'!$B$8,+SUM('3. Consumption by Rate Class'!$D$76:$D$87),+IF($R$14='2. Customer Classes'!$B$9,+SUM('3. Consumption by Rate Class'!$F$76:$F$87),+IF($R$14='2. Customer Classes'!$B$10,+SUM('3. Consumption by Rate Class'!$H$76:$H$87),+IF($R$14='2. Customer Classes'!$B$11,+SUM('3. Consumption by Rate Class'!$J$76:$J$87),+IF($R$14='2. Customer Classes'!$B$12,+SUM('3. Consumption by Rate Class'!$L$76:$L$87),+IF($R$14='2. Customer Classes'!$B$13,+SUM('3. Consumption by Rate Class'!$O$76:$O$87),IF($R$14='2. Customer Classes'!$B$14,+SUM('3. Consumption by Rate Class'!$R$76:$R$87),0)))))))</f>
        <v>153906</v>
      </c>
      <c r="T21" s="60">
        <f t="shared" si="6"/>
        <v>144593587.54000002</v>
      </c>
      <c r="U21" s="60">
        <f t="shared" si="7"/>
        <v>140544492.40871233</v>
      </c>
      <c r="V21" s="61">
        <f t="shared" si="16"/>
        <v>1.0644040487440276E-3</v>
      </c>
      <c r="W21" s="60">
        <f t="shared" si="17"/>
        <v>149596.12674850767</v>
      </c>
      <c r="X21" s="319">
        <f>IF($R$14='2. Customer Classes'!$B$8,+W21/'4. Customer Growth'!$C14,+IF($R$14='2. Customer Classes'!$B$9,+W21/'4. Customer Growth'!$E14,+IF($R$14='2. Customer Classes'!$B$10,+W21/'4. Customer Growth'!$G14,+IF($R$14='2. Customer Classes'!$B$11,+W21/'4. Customer Growth'!$I14,+IF($R$14='2. Customer Classes'!$B$12,+W21/'4. Customer Growth'!$K14,+IF($R$14='2. Customer Classes'!$B$13,+W21/'4. Customer Growth'!$M14,IF($R$14='2. Customer Classes'!$B$14,+W21/'4. Customer Growth'!$O14)))))))</f>
        <v>4336.1196158987732</v>
      </c>
      <c r="Z21" s="109">
        <f t="shared" si="8"/>
        <v>2018</v>
      </c>
      <c r="AA21" s="58">
        <f>IF($Z$14='2. Customer Classes'!$B$8,+SUM('3. Consumption by Rate Class'!$D$76:$D$87),+IF($Z$14='2. Customer Classes'!$B$9,+SUM('3. Consumption by Rate Class'!$F$76:$F$87),+IF($Z$14='2. Customer Classes'!$B$10,+SUM('3. Consumption by Rate Class'!$H$76:$H$87),+IF($Z$14='2. Customer Classes'!$B$11,+SUM('3. Consumption by Rate Class'!$J$76:$J$87),+IF($Z$14='2. Customer Classes'!$B$12,+SUM('3. Consumption by Rate Class'!$L$76:$L$87),+IF($Z$14='2. Customer Classes'!$B$13,+SUM('3. Consumption by Rate Class'!$O$76:$O$87),IF($Z$14='2. Customer Classes'!$B$14,+SUM('3. Consumption by Rate Class'!$R$76:$R$87),0)))))))</f>
        <v>0</v>
      </c>
      <c r="AB21" s="60">
        <f t="shared" si="9"/>
        <v>144593587.54000002</v>
      </c>
      <c r="AC21" s="60">
        <f t="shared" si="10"/>
        <v>140544492.40871233</v>
      </c>
      <c r="AD21" s="61">
        <f t="shared" si="11"/>
        <v>0</v>
      </c>
      <c r="AE21" s="60">
        <f t="shared" si="18"/>
        <v>0</v>
      </c>
      <c r="AF21" s="58" t="b">
        <f>IF($Z$14='2. Customer Classes'!$B$8,+AE21/'4. Customer Growth'!$C14,+IF($Z$14='2. Customer Classes'!$B$9,+AE21/'4. Customer Growth'!$E14,+IF($Z$14='2. Customer Classes'!$B$10,+AE21/'4. Customer Growth'!$G14,+IF($Z$14='2. Customer Classes'!$B$11,+AE21/'4. Customer Growth'!$I14,+IF($Z$14='2. Customer Classes'!$B$12,+AE21/'4. Customer Growth'!$K14,+IF($Z$14='2. Customer Classes'!$B$13,+AE21/'4. Customer Growth'!$M14,IF($Z$14='2. Customer Classes'!$B$14,+AE21/'4. Customer Growth'!$O14)))))))</f>
        <v>0</v>
      </c>
      <c r="AH21" s="109">
        <f t="shared" si="19"/>
        <v>2018</v>
      </c>
      <c r="AI21" s="58">
        <f>IF($AH$14='2. Customer Classes'!$B$8,+SUM('3. Consumption by Rate Class'!$D$76:$D$87),+IF($AH$14='2. Customer Classes'!$B$9,+SUM('3. Consumption by Rate Class'!$F$76:$F$87),+IF($AH$14='2. Customer Classes'!$B$10,+SUM('3. Consumption by Rate Class'!$H$76:$H$87),+IF($AH$14='2. Customer Classes'!$B$11,+SUM('3. Consumption by Rate Class'!$J$76:$J$87),+IF($AH$14='2. Customer Classes'!$B$12,+SUM('3. Consumption by Rate Class'!$L$76:$L$87),+IF($AH$14='2. Customer Classes'!$B$13,+SUM('3. Consumption by Rate Class'!$O$76:$O$87),IF($AH$14='2. Customer Classes'!$B$14,+SUM('3. Consumption by Rate Class'!$R$76:$R$87),0)))))))</f>
        <v>0</v>
      </c>
      <c r="AJ21" s="60">
        <f t="shared" si="12"/>
        <v>144593587.54000002</v>
      </c>
      <c r="AK21" s="60">
        <f t="shared" si="13"/>
        <v>140544492.40871233</v>
      </c>
      <c r="AL21" s="61">
        <f t="shared" si="14"/>
        <v>0</v>
      </c>
      <c r="AM21" s="60">
        <f t="shared" si="20"/>
        <v>0</v>
      </c>
      <c r="AN21" s="58" t="b">
        <f>IF($AH$14='2. Customer Classes'!$B$8,+AM21/'4. Customer Growth'!$C14,+IF($AH$14='2. Customer Classes'!$B$9,+AM21/'4. Customer Growth'!$E14,+IF($AH$14='2. Customer Classes'!$B$10,+AM21/'4. Customer Growth'!$G14,+IF($AH$14='2. Customer Classes'!$B$11,+AM21/'4. Customer Growth'!$I14,+IF($AH$14='2. Customer Classes'!$B$12,+AM21/'4. Customer Growth'!$K14,+IF($AH$14='2. Customer Classes'!$B$13,+AM21/'4. Customer Growth'!$M14,IF($AH$14='2. Customer Classes'!$B$14,+AM21/'4. Customer Growth'!$O14)))))))</f>
        <v>0</v>
      </c>
    </row>
    <row r="22" spans="2:40" x14ac:dyDescent="0.25">
      <c r="B22" s="109">
        <f>'4. Customer Growth'!B15</f>
        <v>2019</v>
      </c>
      <c r="C22" s="58">
        <f>IF($B$14='2. Customer Classes'!$B$8,+SUM('3. Consumption by Rate Class'!$D$88:$D$99),+IF($B$14='2. Customer Classes'!$B$9,+SUM('3. Consumption by Rate Class'!$F$88:$F$99),+IF($B$14='2. Customer Classes'!$B$10,+SUM('3. Consumption by Rate Class'!$H$88:$H$99),+IF($B$14='2. Customer Classes'!$B$11,+SUM('3. Consumption by Rate Class'!$J$88:$J$99),+IF($B$14='2. Customer Classes'!$B$12,+SUM('3. Consumption by Rate Class'!$L$88:$L$99),+IF($B$14='2. Customer Classes'!$B$13,+SUM('3. Consumption by Rate Class'!$O$88:$O$99),IF($B$14='2. Customer Classes'!$B$14,+SUM('3. Consumption by Rate Class'!$R$88:$R$99),0)))))))</f>
        <v>95046949</v>
      </c>
      <c r="D22" s="60">
        <f>SUM('6. WS Regression Analysis'!J83:J94)</f>
        <v>144125560.60999998</v>
      </c>
      <c r="E22" s="60">
        <f>SUM('6. WS Regression Analysis'!U83:U94)</f>
        <v>145329634.88216186</v>
      </c>
      <c r="F22" s="61">
        <f t="shared" si="21"/>
        <v>0.65947323013156955</v>
      </c>
      <c r="G22" s="60">
        <f t="shared" si="15"/>
        <v>95841003.749580905</v>
      </c>
      <c r="H22" s="319">
        <f>IF($B$14='2. Customer Classes'!$B$8,+G22/'4. Customer Growth'!$C15,+IF($B$14='2. Customer Classes'!$B$9,+G22/'4. Customer Growth'!$E15,+IF($B$14='2. Customer Classes'!$B$10,+G22/'4. Customer Growth'!$G15,+IF($B$14='2. Customer Classes'!$B$11,+G22/'4. Customer Growth'!$I15,+IF($B$14='2. Customer Classes'!$B$12,+G22/'4. Customer Growth'!$K15,+IF($B$14='2. Customer Classes'!$B$13,+G22/'4. Customer Growth'!$M15,IF($B$14='2. Customer Classes'!$B$14,+G22/'4. Customer Growth'!$O15)))))))</f>
        <v>7352.3074488574202</v>
      </c>
      <c r="I22" s="70"/>
      <c r="J22" s="109">
        <f t="shared" si="0"/>
        <v>2019</v>
      </c>
      <c r="K22" s="58">
        <f>IF($J$14='2. Customer Classes'!$B$8,+SUM('3. Consumption by Rate Class'!$D$88:$D$99),+IF($J$14='2. Customer Classes'!$B$9,+SUM('3. Consumption by Rate Class'!$F$88:$F$99),+IF($J$14='2. Customer Classes'!$B$10,+SUM('3. Consumption by Rate Class'!$H$88:$H$99),+IF($J$14='2. Customer Classes'!$B$11,+SUM('3. Consumption by Rate Class'!$J$88:$J$99),+IF($J$14='2. Customer Classes'!$B$12,+SUM('3. Consumption by Rate Class'!$L$88:$L$99),+IF($J$14='2. Customer Classes'!$B$13,+SUM('3. Consumption by Rate Class'!$O$88:$O$99),IF($J$14='2. Customer Classes'!$B$14,+SUM('3. Consumption by Rate Class'!$R$88:$R$99),0)))))))</f>
        <v>17600016</v>
      </c>
      <c r="L22" s="60">
        <f t="shared" si="1"/>
        <v>144125560.60999998</v>
      </c>
      <c r="M22" s="60">
        <f t="shared" si="2"/>
        <v>145329634.88216186</v>
      </c>
      <c r="N22" s="61">
        <f t="shared" si="3"/>
        <v>0.1221158545750617</v>
      </c>
      <c r="O22" s="60">
        <f t="shared" si="4"/>
        <v>17747052.558716893</v>
      </c>
      <c r="P22" s="58">
        <f>IF($J$14='2. Customer Classes'!$B$8,+O22/'4. Customer Growth'!$C15,+IF($J$14='2. Customer Classes'!$B$9,+O22/'4. Customer Growth'!$E15,+IF($J$14='2. Customer Classes'!$B$10,+O22/'4. Customer Growth'!$G15,+IF($J$14='2. Customer Classes'!$B$11,+O22/'4. Customer Growth'!$I15,+IF($J$14='2. Customer Classes'!$B$12,+O22/'4. Customer Growth'!$K15,+IF($J$14='2. Customer Classes'!$B$13,+O22/'4. Customer Growth'!$M15,IF($J$14='2. Customer Classes'!$B$14,+O22/'4. Customer Growth'!$O15)))))))</f>
        <v>21472.537881085169</v>
      </c>
      <c r="Q22" s="70"/>
      <c r="R22" s="109">
        <f t="shared" si="5"/>
        <v>2019</v>
      </c>
      <c r="S22" s="58">
        <f>IF($R$14='2. Customer Classes'!$B$8,+SUM('3. Consumption by Rate Class'!$D$88:$D$99),+IF($R$14='2. Customer Classes'!$B$9,+SUM('3. Consumption by Rate Class'!$F$88:$F$99),+IF($R$14='2. Customer Classes'!$B$10,+SUM('3. Consumption by Rate Class'!$H$88:$H$99),+IF($R$14='2. Customer Classes'!$B$11,+SUM('3. Consumption by Rate Class'!$J$88:$J$99),+IF($R$14='2. Customer Classes'!$B$12,+SUM('3. Consumption by Rate Class'!$L$88:$L$99),+IF($R$14='2. Customer Classes'!$B$13,+SUM('3. Consumption by Rate Class'!$O$88:$O$99),IF($R$14='2. Customer Classes'!$B$14,+SUM('3. Consumption by Rate Class'!$R$88:$R$99),0)))))))</f>
        <v>154158</v>
      </c>
      <c r="T22" s="60">
        <f t="shared" si="6"/>
        <v>144125560.60999998</v>
      </c>
      <c r="U22" s="60">
        <f t="shared" si="7"/>
        <v>145329634.88216186</v>
      </c>
      <c r="V22" s="61">
        <f t="shared" si="16"/>
        <v>1.0696090224907957E-3</v>
      </c>
      <c r="W22" s="60">
        <f t="shared" si="17"/>
        <v>155445.8887052534</v>
      </c>
      <c r="X22" s="319">
        <f>IF($R$14='2. Customer Classes'!$B$8,+W22/'4. Customer Growth'!$C15,+IF($R$14='2. Customer Classes'!$B$9,+W22/'4. Customer Growth'!$E15,+IF($R$14='2. Customer Classes'!$B$10,+W22/'4. Customer Growth'!$G15,+IF($R$14='2. Customer Classes'!$B$11,+W22/'4. Customer Growth'!$I15,+IF($R$14='2. Customer Classes'!$B$12,+W22/'4. Customer Growth'!$K15,+IF($R$14='2. Customer Classes'!$B$13,+W22/'4. Customer Growth'!$M15,IF($R$14='2. Customer Classes'!$B$14,+W22/'4. Customer Growth'!$O15)))))))</f>
        <v>4441.3111058643826</v>
      </c>
      <c r="Z22" s="109">
        <f t="shared" si="8"/>
        <v>2019</v>
      </c>
      <c r="AA22" s="58">
        <f>IF($Z$14='2. Customer Classes'!$B$8,+SUM('3. Consumption by Rate Class'!$D$88:$D$99),+IF($Z$14='2. Customer Classes'!$B$9,+SUM('3. Consumption by Rate Class'!$F$88:$F$99),+IF($Z$14='2. Customer Classes'!$B$10,+SUM('3. Consumption by Rate Class'!$H$88:$H$99),+IF($Z$14='2. Customer Classes'!$B$11,+SUM('3. Consumption by Rate Class'!$J$88:$J$99),+IF($Z$14='2. Customer Classes'!$B$12,+SUM('3. Consumption by Rate Class'!$L$88:$L$99),+IF($Z$14='2. Customer Classes'!$B$13,+SUM('3. Consumption by Rate Class'!$O$88:$O$99),IF($Z$14='2. Customer Classes'!$B$14,+SUM('3. Consumption by Rate Class'!$R$88:$R$99),0)))))))</f>
        <v>0</v>
      </c>
      <c r="AB22" s="60">
        <f t="shared" si="9"/>
        <v>144125560.60999998</v>
      </c>
      <c r="AC22" s="60">
        <f t="shared" si="10"/>
        <v>145329634.88216186</v>
      </c>
      <c r="AD22" s="61">
        <f t="shared" si="11"/>
        <v>0</v>
      </c>
      <c r="AE22" s="60">
        <f t="shared" si="18"/>
        <v>0</v>
      </c>
      <c r="AF22" s="58" t="b">
        <f>IF($Z$14='2. Customer Classes'!$B$8,+AE22/'4. Customer Growth'!$C15,+IF($Z$14='2. Customer Classes'!$B$9,+AE22/'4. Customer Growth'!$E15,+IF($Z$14='2. Customer Classes'!$B$10,+AE22/'4. Customer Growth'!$G15,+IF($Z$14='2. Customer Classes'!$B$11,+AE22/'4. Customer Growth'!$I15,+IF($Z$14='2. Customer Classes'!$B$12,+AE22/'4. Customer Growth'!$K15,+IF($Z$14='2. Customer Classes'!$B$13,+AE22/'4. Customer Growth'!$M15,IF($Z$14='2. Customer Classes'!$B$14,+AE22/'4. Customer Growth'!$O15)))))))</f>
        <v>0</v>
      </c>
      <c r="AH22" s="109">
        <f t="shared" si="19"/>
        <v>2019</v>
      </c>
      <c r="AI22" s="58">
        <f>IF($AH$14='2. Customer Classes'!$B$8,+SUM('3. Consumption by Rate Class'!$D$88:$D$99),+IF($AH$14='2. Customer Classes'!$B$9,+SUM('3. Consumption by Rate Class'!$F$88:$F$99),+IF($AH$14='2. Customer Classes'!$B$10,+SUM('3. Consumption by Rate Class'!$H$88:$H$99),+IF($AH$14='2. Customer Classes'!$B$11,+SUM('3. Consumption by Rate Class'!$J$88:$J$99),+IF($AH$14='2. Customer Classes'!$B$12,+SUM('3. Consumption by Rate Class'!$L$88:$L$99),+IF($AH$14='2. Customer Classes'!$B$13,+SUM('3. Consumption by Rate Class'!$O$88:$O$99),IF($AH$14='2. Customer Classes'!$B$14,+SUM('3. Consumption by Rate Class'!$R$88:$R$99),0)))))))</f>
        <v>0</v>
      </c>
      <c r="AJ22" s="60">
        <f t="shared" si="12"/>
        <v>144125560.60999998</v>
      </c>
      <c r="AK22" s="60">
        <f t="shared" si="13"/>
        <v>145329634.88216186</v>
      </c>
      <c r="AL22" s="61">
        <f t="shared" si="14"/>
        <v>0</v>
      </c>
      <c r="AM22" s="60">
        <f t="shared" si="20"/>
        <v>0</v>
      </c>
      <c r="AN22" s="58" t="b">
        <f>IF($AH$14='2. Customer Classes'!$B$8,+AM22/'4. Customer Growth'!$C15,+IF($AH$14='2. Customer Classes'!$B$9,+AM22/'4. Customer Growth'!$E15,+IF($AH$14='2. Customer Classes'!$B$10,+AM22/'4. Customer Growth'!$G15,+IF($AH$14='2. Customer Classes'!$B$11,+AM22/'4. Customer Growth'!$I15,+IF($AH$14='2. Customer Classes'!$B$12,+AM22/'4. Customer Growth'!$K15,+IF($AH$14='2. Customer Classes'!$B$13,+AM22/'4. Customer Growth'!$M15,IF($AH$14='2. Customer Classes'!$B$14,+AM22/'4. Customer Growth'!$O15)))))))</f>
        <v>0</v>
      </c>
    </row>
    <row r="23" spans="2:40" x14ac:dyDescent="0.25">
      <c r="B23" s="109">
        <f>'4. Customer Growth'!B16</f>
        <v>2020</v>
      </c>
      <c r="C23" s="58">
        <f>IF($B$14='2. Customer Classes'!$B$8,+SUM('3. Consumption by Rate Class'!$D$100:$D$111),+IF($B$14='2. Customer Classes'!$B$9,+SUM('3. Consumption by Rate Class'!$F$100:$F$111),+IF($B$14='2. Customer Classes'!$B$10,+SUM('3. Consumption by Rate Class'!$H$100:$H$111),+IF($B$14='2. Customer Classes'!$B$11,+SUM('3. Consumption by Rate Class'!$J$100:$J$111),+IF($B$14='2. Customer Classes'!$B$12,+SUM('3. Consumption by Rate Class'!$L$100:$L$111),+IF($B$14='2. Customer Classes'!$B$13,+SUM('3. Consumption by Rate Class'!$O$100:$O$111),IF($B$14='2. Customer Classes'!$B$14,+SUM('3. Consumption by Rate Class'!$R$100:$R$111),0)))))))</f>
        <v>102567918</v>
      </c>
      <c r="D23" s="60">
        <f>SUM('6. WS Regression Analysis'!J95:J106)</f>
        <v>150603831.59</v>
      </c>
      <c r="E23" s="60">
        <f>SUM('6. WS Regression Analysis'!U95:U106)</f>
        <v>151709224.20613581</v>
      </c>
      <c r="F23" s="61">
        <f t="shared" si="21"/>
        <v>0.68104454526248881</v>
      </c>
      <c r="G23" s="60">
        <f t="shared" si="15"/>
        <v>103320739.61159272</v>
      </c>
      <c r="H23" s="319">
        <f>IF($B$14='2. Customer Classes'!$B$8,+G23/'4. Customer Growth'!$C16,+IF($B$14='2. Customer Classes'!$B$9,+G23/'4. Customer Growth'!$E16,+IF($B$14='2. Customer Classes'!$B$10,+G23/'4. Customer Growth'!$G16,+IF($B$14='2. Customer Classes'!$B$11,+G23/'4. Customer Growth'!$I16,+IF($B$14='2. Customer Classes'!$B$12,+G23/'4. Customer Growth'!$K16,+IF($B$14='2. Customer Classes'!$B$13,+G23/'4. Customer Growth'!$M16,IF($B$14='2. Customer Classes'!$B$14,+G23/'4. Customer Growth'!$O16)))))))</f>
        <v>7790.1485042292634</v>
      </c>
      <c r="I23" s="70"/>
      <c r="J23" s="109">
        <f t="shared" si="0"/>
        <v>2020</v>
      </c>
      <c r="K23" s="58">
        <f>IF($J$14='2. Customer Classes'!$B$8,+SUM('3. Consumption by Rate Class'!$D$100:$D$111),+IF($J$14='2. Customer Classes'!$B$9,+SUM('3. Consumption by Rate Class'!$F$100:$F$111),+IF($J$14='2. Customer Classes'!$B$10,+SUM('3. Consumption by Rate Class'!$H$100:$H$111),+IF($J$14='2. Customer Classes'!$B$11,+SUM('3. Consumption by Rate Class'!$J$100:$J$111),+IF($J$14='2. Customer Classes'!$B$12,+SUM('3. Consumption by Rate Class'!$L$100:$L$111),+IF($J$14='2. Customer Classes'!$B$13,+SUM('3. Consumption by Rate Class'!$O$100:$O$111),IF($J$14='2. Customer Classes'!$B$14,+SUM('3. Consumption by Rate Class'!$R$100:$R$111),0)))))))</f>
        <v>16820699</v>
      </c>
      <c r="L23" s="60">
        <f t="shared" si="1"/>
        <v>150603831.59</v>
      </c>
      <c r="M23" s="60">
        <f t="shared" si="2"/>
        <v>151709224.20613581</v>
      </c>
      <c r="N23" s="61">
        <f t="shared" si="3"/>
        <v>0.11168838682532485</v>
      </c>
      <c r="O23" s="60">
        <f t="shared" si="4"/>
        <v>16944158.518104833</v>
      </c>
      <c r="P23" s="58">
        <f>IF($J$14='2. Customer Classes'!$B$8,+O23/'4. Customer Growth'!$C16,+IF($J$14='2. Customer Classes'!$B$9,+O23/'4. Customer Growth'!$E16,+IF($J$14='2. Customer Classes'!$B$10,+O23/'4. Customer Growth'!$G16,+IF($J$14='2. Customer Classes'!$B$11,+O23/'4. Customer Growth'!$I16,+IF($J$14='2. Customer Classes'!$B$12,+O23/'4. Customer Growth'!$K16,+IF($J$14='2. Customer Classes'!$B$13,+O23/'4. Customer Growth'!$M16,IF($J$14='2. Customer Classes'!$B$14,+O23/'4. Customer Growth'!$O16)))))))</f>
        <v>20353.343565291088</v>
      </c>
      <c r="Q23" s="70"/>
      <c r="R23" s="109">
        <f t="shared" si="5"/>
        <v>2020</v>
      </c>
      <c r="S23" s="58">
        <f>IF($R$14='2. Customer Classes'!$B$8,+SUM('3. Consumption by Rate Class'!$D$100:$D$111),+IF($R$14='2. Customer Classes'!$B$9,+SUM('3. Consumption by Rate Class'!$F$100:$F$111),+IF($R$14='2. Customer Classes'!$B$10,+SUM('3. Consumption by Rate Class'!$H$100:$H$111),+IF($R$14='2. Customer Classes'!$B$11,+SUM('3. Consumption by Rate Class'!$J$100:$J$111),+IF($R$14='2. Customer Classes'!$B$12,+SUM('3. Consumption by Rate Class'!$L$100:$L$111),+IF($R$14='2. Customer Classes'!$B$13,+SUM('3. Consumption by Rate Class'!$O$100:$O$111),IF($R$14='2. Customer Classes'!$B$14,+SUM('3. Consumption by Rate Class'!$R$100:$R$111),0)))))))</f>
        <v>153122</v>
      </c>
      <c r="T23" s="60">
        <f t="shared" si="6"/>
        <v>150603831.59</v>
      </c>
      <c r="U23" s="60">
        <f t="shared" si="7"/>
        <v>151709224.20613581</v>
      </c>
      <c r="V23" s="61">
        <f t="shared" si="16"/>
        <v>1.0167204803716774E-3</v>
      </c>
      <c r="W23" s="60">
        <f t="shared" si="17"/>
        <v>154245.87531167691</v>
      </c>
      <c r="X23" s="319">
        <f>IF($R$14='2. Customer Classes'!$B$8,+W23/'4. Customer Growth'!$C16,+IF($R$14='2. Customer Classes'!$B$9,+W23/'4. Customer Growth'!$E16,+IF($R$14='2. Customer Classes'!$B$10,+W23/'4. Customer Growth'!$G16,+IF($R$14='2. Customer Classes'!$B$11,+W23/'4. Customer Growth'!$I16,+IF($R$14='2. Customer Classes'!$B$12,+W23/'4. Customer Growth'!$K16,+IF($R$14='2. Customer Classes'!$B$13,+W23/'4. Customer Growth'!$M16,IF($R$14='2. Customer Classes'!$B$14,+W23/'4. Customer Growth'!$O16)))))))</f>
        <v>4407.0250089050542</v>
      </c>
      <c r="Z23" s="109">
        <f t="shared" si="8"/>
        <v>2020</v>
      </c>
      <c r="AA23" s="58">
        <f>IF($Z$14='2. Customer Classes'!$B$8,+SUM('3. Consumption by Rate Class'!$D$100:$D$111),+IF($Z$14='2. Customer Classes'!$B$9,+SUM('3. Consumption by Rate Class'!$F$100:$F$111),+IF($Z$14='2. Customer Classes'!$B$10,+SUM('3. Consumption by Rate Class'!$H$100:$H$111),+IF($Z$14='2. Customer Classes'!$B$11,+SUM('3. Consumption by Rate Class'!$J$100:$J$111),+IF($Z$14='2. Customer Classes'!$B$12,+SUM('3. Consumption by Rate Class'!$L$100:$L$111),+IF($Z$14='2. Customer Classes'!$B$13,+SUM('3. Consumption by Rate Class'!$O$100:$O$111),IF($Z$14='2. Customer Classes'!$B$14,+SUM('3. Consumption by Rate Class'!$R$100:$R$111),0)))))))</f>
        <v>0</v>
      </c>
      <c r="AB23" s="60">
        <f t="shared" si="9"/>
        <v>150603831.59</v>
      </c>
      <c r="AC23" s="60">
        <f t="shared" si="10"/>
        <v>151709224.20613581</v>
      </c>
      <c r="AD23" s="61">
        <f t="shared" si="11"/>
        <v>0</v>
      </c>
      <c r="AE23" s="60">
        <f t="shared" si="18"/>
        <v>0</v>
      </c>
      <c r="AF23" s="58" t="b">
        <f>IF($Z$14='2. Customer Classes'!$B$8,+AE23/'4. Customer Growth'!$C16,+IF($Z$14='2. Customer Classes'!$B$9,+AE23/'4. Customer Growth'!$E16,+IF($Z$14='2. Customer Classes'!$B$10,+AE23/'4. Customer Growth'!$G16,+IF($Z$14='2. Customer Classes'!$B$11,+AE23/'4. Customer Growth'!$I16,+IF($Z$14='2. Customer Classes'!$B$12,+AE23/'4. Customer Growth'!$K16,+IF($Z$14='2. Customer Classes'!$B$13,+AE23/'4. Customer Growth'!$M16,IF($Z$14='2. Customer Classes'!$B$14,+AE23/'4. Customer Growth'!$O16)))))))</f>
        <v>0</v>
      </c>
      <c r="AH23" s="109">
        <f t="shared" si="19"/>
        <v>2020</v>
      </c>
      <c r="AI23" s="58">
        <f>IF($AH$14='2. Customer Classes'!$B$8,+SUM('3. Consumption by Rate Class'!$D$100:$D$111),+IF($AH$14='2. Customer Classes'!$B$9,+SUM('3. Consumption by Rate Class'!$F$100:$F$111),+IF($AH$14='2. Customer Classes'!$B$10,+SUM('3. Consumption by Rate Class'!$H$100:$H$111),+IF($AH$14='2. Customer Classes'!$B$11,+SUM('3. Consumption by Rate Class'!$J$100:$J$111),+IF($AH$14='2. Customer Classes'!$B$12,+SUM('3. Consumption by Rate Class'!$L$100:$L$111),+IF($AH$14='2. Customer Classes'!$B$13,+SUM('3. Consumption by Rate Class'!$O$100:$O$111),IF($AH$14='2. Customer Classes'!$B$14,+SUM('3. Consumption by Rate Class'!$R$100:$R$111),0)))))))</f>
        <v>0</v>
      </c>
      <c r="AJ23" s="60">
        <f t="shared" si="12"/>
        <v>150603831.59</v>
      </c>
      <c r="AK23" s="60">
        <f t="shared" si="13"/>
        <v>151709224.20613581</v>
      </c>
      <c r="AL23" s="61">
        <f t="shared" si="14"/>
        <v>0</v>
      </c>
      <c r="AM23" s="60">
        <f t="shared" si="20"/>
        <v>0</v>
      </c>
      <c r="AN23" s="58" t="b">
        <f>IF($AH$14='2. Customer Classes'!$B$8,+AM23/'4. Customer Growth'!$C16,+IF($AH$14='2. Customer Classes'!$B$9,+AM23/'4. Customer Growth'!$E16,+IF($AH$14='2. Customer Classes'!$B$10,+AM23/'4. Customer Growth'!$G16,+IF($AH$14='2. Customer Classes'!$B$11,+AM23/'4. Customer Growth'!$I16,+IF($AH$14='2. Customer Classes'!$B$12,+AM23/'4. Customer Growth'!$K16,+IF($AH$14='2. Customer Classes'!$B$13,+AM23/'4. Customer Growth'!$M16,IF($AH$14='2. Customer Classes'!$B$14,+AM23/'4. Customer Growth'!$O16)))))))</f>
        <v>0</v>
      </c>
    </row>
    <row r="24" spans="2:40" x14ac:dyDescent="0.25">
      <c r="B24" s="109">
        <f>'4. Customer Growth'!B17</f>
        <v>2021</v>
      </c>
      <c r="C24" s="58">
        <f>IF($B$14='2. Customer Classes'!$B$8,+SUM('3. Consumption by Rate Class'!$D$112:$D$123),+IF($B$14='2. Customer Classes'!$B$9,+SUM('3. Consumption by Rate Class'!$F$112:$F$123),+IF($B$14='2. Customer Classes'!$B$10,+SUM('3. Consumption by Rate Class'!$H$112:$H$123),+IF($B$14='2. Customer Classes'!$B$11,+SUM('3. Consumption by Rate Class'!$J$112:$J$123),+IF($B$14='2. Customer Classes'!$B$12,+SUM('3. Consumption by Rate Class'!$L$112:$L$123),+IF($B$14='2. Customer Classes'!$B$13,+SUM('3. Consumption by Rate Class'!$O$112:$O$123),IF($B$14='2. Customer Classes'!$B$14,+SUM('3. Consumption by Rate Class'!$R$112:$R$123),0)))))))</f>
        <v>104845989</v>
      </c>
      <c r="D24" s="60">
        <f>SUM('6. WS Regression Analysis'!J107:J118)</f>
        <v>154199190.50999999</v>
      </c>
      <c r="E24" s="60">
        <f>SUM('6. WS Regression Analysis'!U107:U118)</f>
        <v>155206961.49635202</v>
      </c>
      <c r="F24" s="61">
        <f>C24/D24</f>
        <v>0.67993864723434216</v>
      </c>
      <c r="G24" s="60">
        <f t="shared" si="15"/>
        <v>105531211.44118223</v>
      </c>
      <c r="H24" s="319">
        <f>IF($B$14='2. Customer Classes'!$B$8,+G24/'4. Customer Growth'!$C17,+IF($B$14='2. Customer Classes'!$B$9,+G24/'4. Customer Growth'!$E17,+IF($B$14='2. Customer Classes'!$B$10,+G24/'4. Customer Growth'!$G17,+IF($B$14='2. Customer Classes'!$B$11,+G24/'4. Customer Growth'!$I17,+IF($B$14='2. Customer Classes'!$B$12,+G24/'4. Customer Growth'!$K17,+IF($B$14='2. Customer Classes'!$B$13,+G24/'4. Customer Growth'!$M17,IF($B$14='2. Customer Classes'!$B$14,+G24/'4. Customer Growth'!$O17)))))))</f>
        <v>7812.7863365672574</v>
      </c>
      <c r="I24" s="70"/>
      <c r="J24" s="109">
        <f t="shared" si="0"/>
        <v>2021</v>
      </c>
      <c r="K24" s="58">
        <f>IF($J$14='2. Customer Classes'!$B$8,+SUM('3. Consumption by Rate Class'!$D$112:$D$123),+IF($J$14='2. Customer Classes'!$B$9,+SUM('3. Consumption by Rate Class'!$F$112:$F$123),+IF($J$14='2. Customer Classes'!$B$10,+SUM('3. Consumption by Rate Class'!$H$112:$H$123),+IF($J$14='2. Customer Classes'!$B$11,+SUM('3. Consumption by Rate Class'!$J$112:$J$123),+IF($J$14='2. Customer Classes'!$B$12,+SUM('3. Consumption by Rate Class'!$L$112:$L$123),+IF($J$14='2. Customer Classes'!$B$13,+SUM('3. Consumption by Rate Class'!$O$112:$O$123),IF($J$14='2. Customer Classes'!$B$14,+SUM('3. Consumption by Rate Class'!$R$112:$R$123),0)))))))</f>
        <v>17504591</v>
      </c>
      <c r="L24" s="60">
        <f t="shared" si="1"/>
        <v>154199190.50999999</v>
      </c>
      <c r="M24" s="60">
        <f t="shared" si="2"/>
        <v>155206961.49635202</v>
      </c>
      <c r="N24" s="61">
        <f t="shared" si="3"/>
        <v>0.11351934431111561</v>
      </c>
      <c r="O24" s="60">
        <f t="shared" si="4"/>
        <v>17618992.501586448</v>
      </c>
      <c r="P24" s="58">
        <f>IF($J$14='2. Customer Classes'!$B$8,+O24/'4. Customer Growth'!$C17,+IF($J$14='2. Customer Classes'!$B$9,+O24/'4. Customer Growth'!$E17,+IF($J$14='2. Customer Classes'!$B$10,+O24/'4. Customer Growth'!$G17,+IF($J$14='2. Customer Classes'!$B$11,+O24/'4. Customer Growth'!$I17,+IF($J$14='2. Customer Classes'!$B$12,+O24/'4. Customer Growth'!$K17,+IF($J$14='2. Customer Classes'!$B$13,+O24/'4. Customer Growth'!$M17,IF($J$14='2. Customer Classes'!$B$14,+O24/'4. Customer Growth'!$O17)))))))</f>
        <v>21202.157041620274</v>
      </c>
      <c r="Q24" s="70"/>
      <c r="R24" s="109">
        <f t="shared" si="5"/>
        <v>2021</v>
      </c>
      <c r="S24" s="58">
        <f>IF($R$14='2. Customer Classes'!$B$8,+SUM('3. Consumption by Rate Class'!$D$112:$D$123),+IF($R$14='2. Customer Classes'!$B$9,+SUM('3. Consumption by Rate Class'!$F$112:$F$123),+IF($R$14='2. Customer Classes'!$B$10,+SUM('3. Consumption by Rate Class'!$H$112:$H$123),+IF($R$14='2. Customer Classes'!$B$11,+SUM('3. Consumption by Rate Class'!$J$112:$J$123),+IF($R$14='2. Customer Classes'!$B$12,+SUM('3. Consumption by Rate Class'!$L$112:$L$123),+IF($R$14='2. Customer Classes'!$B$13,+SUM('3. Consumption by Rate Class'!$O$112:$O$123),IF($R$14='2. Customer Classes'!$B$14,+SUM('3. Consumption by Rate Class'!$R$112:$R$123),0)))))))</f>
        <v>155365</v>
      </c>
      <c r="T24" s="60">
        <f t="shared" si="6"/>
        <v>154199190.50999999</v>
      </c>
      <c r="U24" s="60">
        <f t="shared" si="7"/>
        <v>155206961.49635202</v>
      </c>
      <c r="V24" s="61">
        <f t="shared" si="16"/>
        <v>1.0075604125167207E-3</v>
      </c>
      <c r="W24" s="60">
        <f t="shared" si="17"/>
        <v>156380.39015073123</v>
      </c>
      <c r="X24" s="319">
        <f>IF($R$14='2. Customer Classes'!$B$8,+W24/'4. Customer Growth'!$C17,+IF($R$14='2. Customer Classes'!$B$9,+W24/'4. Customer Growth'!$E17,+IF($R$14='2. Customer Classes'!$B$10,+W24/'4. Customer Growth'!$G17,+IF($R$14='2. Customer Classes'!$B$11,+W24/'4. Customer Growth'!$I17,+IF($R$14='2. Customer Classes'!$B$12,+W24/'4. Customer Growth'!$K17,+IF($R$14='2. Customer Classes'!$B$13,+W24/'4. Customer Growth'!$M17,IF($R$14='2. Customer Classes'!$B$14,+W24/'4. Customer Growth'!$O17)))))))</f>
        <v>4343.8997264092004</v>
      </c>
      <c r="Z24" s="109">
        <f t="shared" si="8"/>
        <v>2021</v>
      </c>
      <c r="AA24" s="58">
        <f>IF($Z$14='2. Customer Classes'!$B$8,+SUM('3. Consumption by Rate Class'!$D$112:$D$123),+IF($Z$14='2. Customer Classes'!$B$9,+SUM('3. Consumption by Rate Class'!$F$112:$F$123),+IF($Z$14='2. Customer Classes'!$B$10,+SUM('3. Consumption by Rate Class'!$H$112:$H$123),+IF($Z$14='2. Customer Classes'!$B$11,+SUM('3. Consumption by Rate Class'!$J$112:$J$123),+IF($Z$14='2. Customer Classes'!$B$12,+SUM('3. Consumption by Rate Class'!$L$112:$L$123),+IF($Z$14='2. Customer Classes'!$B$13,+SUM('3. Consumption by Rate Class'!$O$112:$O$123),IF($Z$14='2. Customer Classes'!$B$14,+SUM('3. Consumption by Rate Class'!$R$112:$R$123),0)))))))</f>
        <v>0</v>
      </c>
      <c r="AB24" s="60">
        <f t="shared" si="9"/>
        <v>154199190.50999999</v>
      </c>
      <c r="AC24" s="60">
        <f t="shared" si="10"/>
        <v>155206961.49635202</v>
      </c>
      <c r="AD24" s="61">
        <f t="shared" si="11"/>
        <v>0</v>
      </c>
      <c r="AE24" s="60">
        <f t="shared" si="18"/>
        <v>0</v>
      </c>
      <c r="AF24" s="58" t="b">
        <f>IF($Z$14='2. Customer Classes'!$B$8,+AE24/'4. Customer Growth'!$C17,+IF($Z$14='2. Customer Classes'!$B$9,+AE24/'4. Customer Growth'!$E17,+IF($Z$14='2. Customer Classes'!$B$10,+AE24/'4. Customer Growth'!$G17,+IF($Z$14='2. Customer Classes'!$B$11,+AE24/'4. Customer Growth'!$I17,+IF($Z$14='2. Customer Classes'!$B$12,+AE24/'4. Customer Growth'!$K17,+IF($Z$14='2. Customer Classes'!$B$13,+AE24/'4. Customer Growth'!$M17,IF($Z$14='2. Customer Classes'!$B$14,+AE24/'4. Customer Growth'!$O17)))))))</f>
        <v>0</v>
      </c>
      <c r="AH24" s="109">
        <f t="shared" si="19"/>
        <v>2021</v>
      </c>
      <c r="AI24" s="58">
        <f>IF($AH$14='2. Customer Classes'!$B$8,+SUM('3. Consumption by Rate Class'!$D$112:$D$123),+IF($AH$14='2. Customer Classes'!$B$9,+SUM('3. Consumption by Rate Class'!$F$112:$F$123),+IF($AH$14='2. Customer Classes'!$B$10,+SUM('3. Consumption by Rate Class'!$H$112:$H$123),+IF($AH$14='2. Customer Classes'!$B$11,+SUM('3. Consumption by Rate Class'!$J$112:$J$123),+IF($AH$14='2. Customer Classes'!$B$12,+SUM('3. Consumption by Rate Class'!$L$112:$L$123),+IF($AH$14='2. Customer Classes'!$B$13,+SUM('3. Consumption by Rate Class'!$O$112:$O$123),IF($AH$14='2. Customer Classes'!$B$14,+SUM('3. Consumption by Rate Class'!$R$112:$R$123),0)))))))</f>
        <v>0</v>
      </c>
      <c r="AJ24" s="60">
        <f t="shared" si="12"/>
        <v>154199190.50999999</v>
      </c>
      <c r="AK24" s="60">
        <f t="shared" si="13"/>
        <v>155206961.49635202</v>
      </c>
      <c r="AL24" s="61">
        <f t="shared" si="14"/>
        <v>0</v>
      </c>
      <c r="AM24" s="60">
        <f t="shared" si="20"/>
        <v>0</v>
      </c>
      <c r="AN24" s="58" t="b">
        <f>IF($AH$14='2. Customer Classes'!$B$8,+AM24/'4. Customer Growth'!$C17,+IF($AH$14='2. Customer Classes'!$B$9,+AM24/'4. Customer Growth'!$E17,+IF($AH$14='2. Customer Classes'!$B$10,+AM24/'4. Customer Growth'!$G17,+IF($AH$14='2. Customer Classes'!$B$11,+AM24/'4. Customer Growth'!$I17,+IF($AH$14='2. Customer Classes'!$B$12,+AM24/'4. Customer Growth'!$K17,+IF($AH$14='2. Customer Classes'!$B$13,+AM24/'4. Customer Growth'!$M17,IF($AH$14='2. Customer Classes'!$B$14,+AM24/'4. Customer Growth'!$O17)))))))</f>
        <v>0</v>
      </c>
    </row>
    <row r="25" spans="2:40" x14ac:dyDescent="0.25">
      <c r="B25" s="109">
        <f>'4. Customer Growth'!B18</f>
        <v>2022</v>
      </c>
      <c r="C25" s="58">
        <f>IF($B$14='2. Customer Classes'!$B$8,+SUM('3. Consumption by Rate Class'!$D$124:$D$135),+IF($B$14='2. Customer Classes'!$B$9,+SUM('3. Consumption by Rate Class'!$F$124:$F$135),+IF($B$14='2. Customer Classes'!$B$10,+SUM('3. Consumption by Rate Class'!$H$124:$H$135),+IF($B$14='2. Customer Classes'!$B$11,+SUM('3. Consumption by Rate Class'!$J$124:$J$135),+IF($B$14='2. Customer Classes'!$B$12,+SUM('3. Consumption by Rate Class'!$L$124:$L$135),+IF($B$14='2. Customer Classes'!$B$13,+SUM('3. Consumption by Rate Class'!$O$124:$O$135),IF($B$14='2. Customer Classes'!$B$14,+SUM('3. Consumption by Rate Class'!$R$124:$R$135),0)))))))</f>
        <v>105212685</v>
      </c>
      <c r="D25" s="60">
        <f>SUM('6. WS Regression Analysis'!J119:J130)</f>
        <v>157082097.17000002</v>
      </c>
      <c r="E25" s="60">
        <f>SUM('6. WS Regression Analysis'!U119:U130)</f>
        <v>157201772.51039681</v>
      </c>
      <c r="F25" s="61">
        <f>C25/D25</f>
        <v>0.66979424705627</v>
      </c>
      <c r="G25" s="60">
        <f>E25*F25</f>
        <v>105292842.85451227</v>
      </c>
      <c r="H25" s="319">
        <f>IF($B$14='2. Customer Classes'!$B$8,+G25/'4. Customer Growth'!$C18,+IF($B$14='2. Customer Classes'!$B$9,+G25/'4. Customer Growth'!$E18,+IF($B$14='2. Customer Classes'!$B$10,+G25/'4. Customer Growth'!$G18,+IF($B$14='2. Customer Classes'!$B$11,+G25/'4. Customer Growth'!$I18,+IF($B$14='2. Customer Classes'!$B$12,+G25/'4. Customer Growth'!$K18,+IF($B$14='2. Customer Classes'!$B$13,+G25/'4. Customer Growth'!$M18,IF($B$14='2. Customer Classes'!$B$14,+G25/'4. Customer Growth'!$O18)))))))</f>
        <v>7629.9161488777008</v>
      </c>
      <c r="I25" s="70"/>
      <c r="J25" s="109">
        <f t="shared" si="0"/>
        <v>2022</v>
      </c>
      <c r="K25" s="58">
        <f>IF($J$14='2. Customer Classes'!$B$8,+SUM('3. Consumption by Rate Class'!$D$124:$D$135),+IF($J$14='2. Customer Classes'!$B$9,+SUM('3. Consumption by Rate Class'!$F$124:$F$135),+IF($J$14='2. Customer Classes'!$B$10,+SUM('3. Consumption by Rate Class'!$H$124:$H$135),+IF($J$14='2. Customer Classes'!$B$11,+SUM('3. Consumption by Rate Class'!$J$124:$J$135),+IF($J$14='2. Customer Classes'!$B$12,+SUM('3. Consumption by Rate Class'!$L$124:$L$135),+IF($J$14='2. Customer Classes'!$B$13,+SUM('3. Consumption by Rate Class'!$O$124:$O$135),IF($J$14='2. Customer Classes'!$B$14,+SUM('3. Consumption by Rate Class'!$R$124:$R$135),0)))))))</f>
        <v>18818565</v>
      </c>
      <c r="L25" s="60">
        <f t="shared" si="1"/>
        <v>157082097.17000002</v>
      </c>
      <c r="M25" s="60">
        <f t="shared" si="2"/>
        <v>157201772.51039681</v>
      </c>
      <c r="N25" s="61">
        <f>K25/L25</f>
        <v>0.11980082605870647</v>
      </c>
      <c r="O25" s="60">
        <f>M25*N25</f>
        <v>18832902.204638392</v>
      </c>
      <c r="P25" s="58">
        <f>IF($J$14='2. Customer Classes'!$B$8,+O25/'4. Customer Growth'!$C18,+IF($J$14='2. Customer Classes'!$B$9,+O25/'4. Customer Growth'!$E18,+IF($J$14='2. Customer Classes'!$B$10,+O25/'4. Customer Growth'!$G18,+IF($J$14='2. Customer Classes'!$B$11,+O25/'4. Customer Growth'!$I18,+IF($J$14='2. Customer Classes'!$B$12,+O25/'4. Customer Growth'!$K18,+IF($J$14='2. Customer Classes'!$B$13,+O25/'4. Customer Growth'!$M18,IF($J$14='2. Customer Classes'!$B$14,+O25/'4. Customer Growth'!$O18)))))))</f>
        <v>22420.121672188561</v>
      </c>
      <c r="Q25" s="70"/>
      <c r="R25" s="109">
        <f t="shared" si="5"/>
        <v>2022</v>
      </c>
      <c r="S25" s="58">
        <f>IF($R$14='2. Customer Classes'!$B$8,+SUM('3. Consumption by Rate Class'!$D$124:$D$135),+IF($R$14='2. Customer Classes'!$B$9,+SUM('3. Consumption by Rate Class'!$F$124:$F$135),+IF($R$14='2. Customer Classes'!$B$10,+SUM('3. Consumption by Rate Class'!$H$124:$H$135),+IF($R$14='2. Customer Classes'!$B$11,+SUM('3. Consumption by Rate Class'!$J$124:$J$135),+IF($R$14='2. Customer Classes'!$B$12,+SUM('3. Consumption by Rate Class'!$L$124:$L$135),+IF($R$14='2. Customer Classes'!$B$13,+SUM('3. Consumption by Rate Class'!$O$124:$O$135),IF($R$14='2. Customer Classes'!$B$14,+SUM('3. Consumption by Rate Class'!$R$124:$R$135),0)))))))</f>
        <v>184559</v>
      </c>
      <c r="T25" s="60">
        <f t="shared" si="6"/>
        <v>157082097.17000002</v>
      </c>
      <c r="U25" s="60">
        <f t="shared" si="7"/>
        <v>157201772.51039681</v>
      </c>
      <c r="V25" s="61">
        <f>S25/T25</f>
        <v>1.1749206518440066E-3</v>
      </c>
      <c r="W25" s="60">
        <f t="shared" si="17"/>
        <v>184699.60902894865</v>
      </c>
      <c r="X25" s="319">
        <f>IF($R$14='2. Customer Classes'!$B$8,+W25/'4. Customer Growth'!$C18,+IF($R$14='2. Customer Classes'!$B$9,+W25/'4. Customer Growth'!$E18,+IF($R$14='2. Customer Classes'!$B$10,+W25/'4. Customer Growth'!$G18,+IF($R$14='2. Customer Classes'!$B$11,+W25/'4. Customer Growth'!$I18,+IF($R$14='2. Customer Classes'!$B$12,+W25/'4. Customer Growth'!$K18,+IF($R$14='2. Customer Classes'!$B$13,+W25/'4. Customer Growth'!$M18,IF($R$14='2. Customer Classes'!$B$14,+W25/'4. Customer Growth'!$O18)))))))</f>
        <v>4504.8685129011865</v>
      </c>
      <c r="Z25" s="109">
        <f t="shared" si="8"/>
        <v>2022</v>
      </c>
      <c r="AA25" s="58">
        <f>IF($Z$14='2. Customer Classes'!$B$8,+SUM('3. Consumption by Rate Class'!$D$124:$D$135),+IF($Z$14='2. Customer Classes'!$B$9,+SUM('3. Consumption by Rate Class'!$F$124:$F$135),+IF($Z$14='2. Customer Classes'!$B$10,+SUM('3. Consumption by Rate Class'!$H$124:$H$135),+IF($Z$14='2. Customer Classes'!$B$11,+SUM('3. Consumption by Rate Class'!$J$124:$J$135),+IF($Z$14='2. Customer Classes'!$B$12,+SUM('3. Consumption by Rate Class'!$L$124:$L$135),+IF($Z$14='2. Customer Classes'!$B$13,+SUM('3. Consumption by Rate Class'!$O$124:$O$135),IF($Z$14='2. Customer Classes'!$B$14,+SUM('3. Consumption by Rate Class'!$R$124:$R$135),0)))))))</f>
        <v>0</v>
      </c>
      <c r="AB25" s="60">
        <f t="shared" si="9"/>
        <v>157082097.17000002</v>
      </c>
      <c r="AC25" s="60">
        <f t="shared" si="10"/>
        <v>157201772.51039681</v>
      </c>
      <c r="AD25" s="61">
        <f t="shared" si="11"/>
        <v>0</v>
      </c>
      <c r="AE25" s="60">
        <f t="shared" si="18"/>
        <v>0</v>
      </c>
      <c r="AF25" s="58" t="b">
        <f>IF($Z$14='2. Customer Classes'!$B$8,+AE25/'4. Customer Growth'!$C18,+IF($Z$14='2. Customer Classes'!$B$9,+AE25/'4. Customer Growth'!$E18,+IF($Z$14='2. Customer Classes'!$B$10,+AE25/'4. Customer Growth'!$G18,+IF($Z$14='2. Customer Classes'!$B$11,+AE25/'4. Customer Growth'!$I18,+IF($Z$14='2. Customer Classes'!$B$12,+AE25/'4. Customer Growth'!$K18,+IF($Z$14='2. Customer Classes'!$B$13,+AE25/'4. Customer Growth'!$M18,IF($Z$14='2. Customer Classes'!$B$14,+AE25/'4. Customer Growth'!$O18)))))))</f>
        <v>0</v>
      </c>
      <c r="AH25" s="109">
        <f t="shared" si="19"/>
        <v>2022</v>
      </c>
      <c r="AI25" s="58">
        <f>IF($AH$14='2. Customer Classes'!$B$8,+SUM('3. Consumption by Rate Class'!$D$124:$D$135),+IF($AH$14='2. Customer Classes'!$B$9,+SUM('3. Consumption by Rate Class'!$F$124:$F$135),+IF($AH$14='2. Customer Classes'!$B$10,+SUM('3. Consumption by Rate Class'!$H$124:$H$135),+IF($AH$14='2. Customer Classes'!$B$11,+SUM('3. Consumption by Rate Class'!$J$124:$J$135),+IF($AH$14='2. Customer Classes'!$B$12,+SUM('3. Consumption by Rate Class'!$L$124:$L$135),+IF($AH$14='2. Customer Classes'!$B$13,+SUM('3. Consumption by Rate Class'!$O$124:$O$135),IF($AH$14='2. Customer Classes'!$B$14,+SUM('3. Consumption by Rate Class'!$R$124:$R$135),0)))))))</f>
        <v>0</v>
      </c>
      <c r="AJ25" s="60">
        <f t="shared" si="12"/>
        <v>157082097.17000002</v>
      </c>
      <c r="AK25" s="60">
        <f t="shared" si="13"/>
        <v>157201772.51039681</v>
      </c>
      <c r="AL25" s="61">
        <f t="shared" si="14"/>
        <v>0</v>
      </c>
      <c r="AM25" s="60">
        <f t="shared" si="20"/>
        <v>0</v>
      </c>
      <c r="AN25" s="58" t="b">
        <f>IF($AH$14='2. Customer Classes'!$B$8,+AM25/'4. Customer Growth'!$C18,+IF($AH$14='2. Customer Classes'!$B$9,+AM25/'4. Customer Growth'!$E18,+IF($AH$14='2. Customer Classes'!$B$10,+AM25/'4. Customer Growth'!$G18,+IF($AH$14='2. Customer Classes'!$B$11,+AM25/'4. Customer Growth'!$I18,+IF($AH$14='2. Customer Classes'!$B$12,+AM25/'4. Customer Growth'!$K18,+IF($AH$14='2. Customer Classes'!$B$13,+AM25/'4. Customer Growth'!$M18,IF($AH$14='2. Customer Classes'!$B$14,+AM25/'4. Customer Growth'!$O18)))))))</f>
        <v>0</v>
      </c>
    </row>
    <row r="26" spans="2:40" ht="14.25" customHeight="1" x14ac:dyDescent="0.25">
      <c r="B26" s="110" t="str">
        <f>'4. Customer Growth'!B22</f>
        <v>2023</v>
      </c>
      <c r="C26" s="63"/>
      <c r="D26" s="63"/>
      <c r="E26" s="96">
        <f>SUM('6. WS Regression Analysis'!U131:U142)</f>
        <v>159325738.91465476</v>
      </c>
      <c r="F26" s="64"/>
      <c r="G26" s="96">
        <f>'6.2. Weather Sensitive'!D15</f>
        <v>106350197.09524722</v>
      </c>
      <c r="H26" s="319">
        <f>IF($B$14='2. Customer Classes'!$B$8,+G26/'4. Customer Growth'!$C34,+IF($B$14='2. Customer Classes'!$B$9,+G26/'4. Customer Growth'!$E34,+IF($B$14='2. Customer Classes'!$B$10,+G26/'4. Customer Growth'!$G34,+IF($B$14='2. Customer Classes'!$B$11,+G26/'4. Customer Growth'!$I34,+IF($B$14='2. Customer Classes'!$B$12,+G26/'4. Customer Growth'!$K34,+IF($B$14='2. Customer Classes'!$B$13,+G26/'4. Customer Growth'!$M34,IF($B$14='2. Customer Classes'!$B$14,+G26/'4. Customer Growth'!$O34)))))))</f>
        <v>7513.7909492191056</v>
      </c>
      <c r="I26" s="70"/>
      <c r="J26" s="110" t="str">
        <f t="shared" si="0"/>
        <v>2023</v>
      </c>
      <c r="K26" s="63"/>
      <c r="L26" s="683"/>
      <c r="M26" s="96">
        <f>E26</f>
        <v>159325738.91465476</v>
      </c>
      <c r="N26" s="64"/>
      <c r="O26" s="96">
        <f>'6.2. Weather Sensitive'!E15</f>
        <v>18852905.426608346</v>
      </c>
      <c r="P26" s="58">
        <f>IF($J$14='2. Customer Classes'!$B$8,+O26/'4. Customer Growth'!$C34,+IF($J$14='2. Customer Classes'!$B$9,+O26/'4. Customer Growth'!$E34,+IF($J$14='2. Customer Classes'!$B$10,+O26/'4. Customer Growth'!$G34,+IF($J$14='2. Customer Classes'!$B$11,+O26/'4. Customer Growth'!$I34,+IF($J$14='2. Customer Classes'!$B$12,+O26/'4. Customer Growth'!$K34,+IF($J$14='2. Customer Classes'!$B$13,+O26/'4. Customer Growth'!$M34,IF($J$14='2. Customer Classes'!$B$14,+O26/'4. Customer Growth'!$O34)))))))</f>
        <v>22127.823270667071</v>
      </c>
      <c r="Q26" s="70"/>
      <c r="R26" s="110" t="str">
        <f t="shared" si="5"/>
        <v>2023</v>
      </c>
      <c r="S26" s="63"/>
      <c r="T26" s="63"/>
      <c r="U26" s="96">
        <f>M26</f>
        <v>159325738.91465476</v>
      </c>
      <c r="V26" s="64"/>
      <c r="W26" s="96">
        <f>'6.2. Weather Sensitive'!F15</f>
        <v>207019.8047360066</v>
      </c>
      <c r="X26" s="319">
        <f>IF($R$14='2. Customer Classes'!$B$8,+W26/'4. Customer Growth'!$C34,+IF($R$14='2. Customer Classes'!$B$9,+W26/'4. Customer Growth'!$E34,+IF($R$14='2. Customer Classes'!$B$10,+W26/'4. Customer Growth'!$G34,+IF($R$14='2. Customer Classes'!$B$11,+W26/'4. Customer Growth'!$I34,+IF($R$14='2. Customer Classes'!$B$12,+W26/'4. Customer Growth'!$K34,+IF($R$14='2. Customer Classes'!$B$13,+W26/'4. Customer Growth'!$M34,IF($R$14='2. Customer Classes'!$B$14,+W26/'4. Customer Growth'!$O34)))))))</f>
        <v>4500.4305377392739</v>
      </c>
      <c r="Z26" s="110" t="str">
        <f t="shared" si="8"/>
        <v>2023</v>
      </c>
      <c r="AA26" s="63"/>
      <c r="AB26" s="63">
        <f t="shared" si="9"/>
        <v>0</v>
      </c>
      <c r="AC26" s="96">
        <f>U26</f>
        <v>159325738.91465476</v>
      </c>
      <c r="AD26" s="64">
        <f>AD25</f>
        <v>0</v>
      </c>
      <c r="AE26" s="96">
        <f>AC26*AD26</f>
        <v>0</v>
      </c>
      <c r="AF26" s="58" t="b">
        <f>IF($Z$14='2. Customer Classes'!$B$8,+AE26/'4. Customer Growth'!$C34,+IF($Z$14='2. Customer Classes'!$B$9,+AE26/'4. Customer Growth'!$E34,+IF($Z$14='2. Customer Classes'!$B$10,+AE26/'4. Customer Growth'!$G34,+IF($Z$14='2. Customer Classes'!$B$11,+AE26/'4. Customer Growth'!$I34,+IF($Z$14='2. Customer Classes'!$B$12,+AE26/'4. Customer Growth'!$K34,+IF($Z$14='2. Customer Classes'!$B$13,+AE26/'4. Customer Growth'!$M34,IF($Z$14='2. Customer Classes'!$B$14,+AE26/'4. Customer Growth'!$O34)))))))</f>
        <v>0</v>
      </c>
      <c r="AH26" s="110" t="str">
        <f t="shared" si="19"/>
        <v>2023</v>
      </c>
      <c r="AI26" s="63"/>
      <c r="AJ26" s="63">
        <f t="shared" si="12"/>
        <v>0</v>
      </c>
      <c r="AK26" s="96">
        <f>AC26</f>
        <v>159325738.91465476</v>
      </c>
      <c r="AL26" s="64">
        <f>AL25</f>
        <v>0</v>
      </c>
      <c r="AM26" s="96">
        <f>AK26*AL26</f>
        <v>0</v>
      </c>
      <c r="AN26" s="58" t="b">
        <f>IF($AH$14='2. Customer Classes'!$B$8,+AM26/'4. Customer Growth'!$C34,+IF($AH$14='2. Customer Classes'!$B$9,+AM26/'4. Customer Growth'!$E34,+IF($AH$14='2. Customer Classes'!$B$10,+AM26/'4. Customer Growth'!$G34,+IF($AH$14='2. Customer Classes'!$B$11,+AM26/'4. Customer Growth'!$I34,+IF($AH$14='2. Customer Classes'!$B$12,+AM26/'4. Customer Growth'!$K34,+IF($AH$14='2. Customer Classes'!$B$13,+AM26/'4. Customer Growth'!$M34,IF($AH$14='2. Customer Classes'!$B$14,+AM26/'4. Customer Growth'!$O34)))))))</f>
        <v>0</v>
      </c>
    </row>
    <row r="27" spans="2:40" ht="14.25" customHeight="1" thickBot="1" x14ac:dyDescent="0.3">
      <c r="B27" s="111" t="str">
        <f>'4. Customer Growth'!B23</f>
        <v>2024</v>
      </c>
      <c r="C27" s="65"/>
      <c r="D27" s="65"/>
      <c r="E27" s="97">
        <f>SUM('6. WS Regression Analysis'!U143:U154)</f>
        <v>162434321.57996067</v>
      </c>
      <c r="F27" s="66"/>
      <c r="G27" s="97">
        <f>'6.2. Weather Sensitive'!D16</f>
        <v>108847740.38320151</v>
      </c>
      <c r="H27" s="319">
        <f>IF($B$14='2. Customer Classes'!$B$8,+G27/'4. Customer Growth'!$C35,+IF($B$14='2. Customer Classes'!$B$9,+G27/'4. Customer Growth'!$E35,+IF($B$14='2. Customer Classes'!$B$10,+G27/'4. Customer Growth'!$G35,+IF($B$14='2. Customer Classes'!$B$11,+G27/'4. Customer Growth'!$I35,+IF($B$14='2. Customer Classes'!$B$12,+G27/'4. Customer Growth'!$K35,+IF($B$14='2. Customer Classes'!$B$13,+G27/'4. Customer Growth'!$M35,IF($B$14='2. Customer Classes'!$B$14,+G27/'4. Customer Growth'!$O35)))))))</f>
        <v>7554.6738189340304</v>
      </c>
      <c r="I27" s="70"/>
      <c r="J27" s="111" t="str">
        <f t="shared" si="0"/>
        <v>2024</v>
      </c>
      <c r="K27" s="65"/>
      <c r="L27" s="682"/>
      <c r="M27" s="97">
        <f>E27</f>
        <v>162434321.57996067</v>
      </c>
      <c r="N27" s="66"/>
      <c r="O27" s="97">
        <f>'6.2. Weather Sensitive'!E16</f>
        <v>19131277.822161231</v>
      </c>
      <c r="P27" s="58">
        <f>IF($J$14='2. Customer Classes'!$B$8,+O27/'4. Customer Growth'!$C35,+IF($J$14='2. Customer Classes'!$B$9,+O27/'4. Customer Growth'!$E35,+IF($J$14='2. Customer Classes'!$B$10,+O27/'4. Customer Growth'!$G35,+IF($J$14='2. Customer Classes'!$B$11,+O27/'4. Customer Growth'!$I35,+IF($J$14='2. Customer Classes'!$B$12,+O27/'4. Customer Growth'!$K35,+IF($J$14='2. Customer Classes'!$B$13,+O27/'4. Customer Growth'!$M35,IF($J$14='2. Customer Classes'!$B$14,+O27/'4. Customer Growth'!$O35)))))))</f>
        <v>22297.526599255514</v>
      </c>
      <c r="Q27" s="70"/>
      <c r="R27" s="111" t="str">
        <f t="shared" si="5"/>
        <v>2024</v>
      </c>
      <c r="S27" s="65"/>
      <c r="T27" s="65"/>
      <c r="U27" s="97">
        <f>M27</f>
        <v>162434321.57996067</v>
      </c>
      <c r="V27" s="66"/>
      <c r="W27" s="97">
        <f>'6.2. Weather Sensitive'!F16</f>
        <v>215972.26929725398</v>
      </c>
      <c r="X27" s="493">
        <f>IF($R$14='2. Customer Classes'!$B$8,+W27/'4. Customer Growth'!$C35,+IF($R$14='2. Customer Classes'!$B$9,+W27/'4. Customer Growth'!$E35,+IF($R$14='2. Customer Classes'!$B$10,+W27/'4. Customer Growth'!$G35,+IF($R$14='2. Customer Classes'!$B$11,+W27/'4. Customer Growth'!$I35,+IF($R$14='2. Customer Classes'!$B$12,+W27/'4. Customer Growth'!$K35,+IF($R$14='2. Customer Classes'!$B$13,+W27/'4. Customer Growth'!$M35,IF($R$14='2. Customer Classes'!$B$14,+W27/'4. Customer Growth'!$O35)))))))</f>
        <v>4499.4222770261249</v>
      </c>
      <c r="Z27" s="110" t="str">
        <f t="shared" si="8"/>
        <v>2024</v>
      </c>
      <c r="AA27" s="65"/>
      <c r="AB27" s="65">
        <f t="shared" si="9"/>
        <v>0</v>
      </c>
      <c r="AC27" s="97">
        <f>U27</f>
        <v>162434321.57996067</v>
      </c>
      <c r="AD27" s="66">
        <f>AD26</f>
        <v>0</v>
      </c>
      <c r="AE27" s="97">
        <f>AC27*AD27</f>
        <v>0</v>
      </c>
      <c r="AF27" s="58" t="b">
        <f>IF($Z$14='2. Customer Classes'!$B$8,+AE27/'4. Customer Growth'!$C35,+IF($Z$14='2. Customer Classes'!$B$9,+AE27/'4. Customer Growth'!$E35,+IF($Z$14='2. Customer Classes'!$B$10,+AE27/'4. Customer Growth'!$G35,+IF($Z$14='2. Customer Classes'!$B$11,+AE27/'4. Customer Growth'!$I35,+IF($Z$14='2. Customer Classes'!$B$12,+AE27/'4. Customer Growth'!$K35,+IF($Z$14='2. Customer Classes'!$B$13,+AE27/'4. Customer Growth'!$M35,IF($Z$14='2. Customer Classes'!$B$14,+AE27/'4. Customer Growth'!$O35)))))))</f>
        <v>0</v>
      </c>
      <c r="AH27" s="110" t="str">
        <f t="shared" si="19"/>
        <v>2024</v>
      </c>
      <c r="AI27" s="65"/>
      <c r="AJ27" s="65">
        <f t="shared" si="12"/>
        <v>0</v>
      </c>
      <c r="AK27" s="97">
        <f>AC27</f>
        <v>162434321.57996067</v>
      </c>
      <c r="AL27" s="66">
        <f>AL26</f>
        <v>0</v>
      </c>
      <c r="AM27" s="97">
        <f>AK27*AL27</f>
        <v>0</v>
      </c>
      <c r="AN27" s="58" t="b">
        <f>IF($AH$14='2. Customer Classes'!$B$8,+AM27/'4. Customer Growth'!$C35,+IF($AH$14='2. Customer Classes'!$B$9,+AM27/'4. Customer Growth'!$E35,+IF($AH$14='2. Customer Classes'!$B$10,+AM27/'4. Customer Growth'!$G35,+IF($AH$14='2. Customer Classes'!$B$11,+AM27/'4. Customer Growth'!$I35,+IF($AH$14='2. Customer Classes'!$B$12,+AM27/'4. Customer Growth'!$K35,+IF($AH$14='2. Customer Classes'!$B$13,+AM27/'4. Customer Growth'!$M35,IF($AH$14='2. Customer Classes'!$B$14,+AM27/'4. Customer Growth'!$O35)))))))</f>
        <v>0</v>
      </c>
    </row>
    <row r="28" spans="2:40" ht="13.5" customHeight="1" x14ac:dyDescent="0.25">
      <c r="B28" s="842" t="s">
        <v>117</v>
      </c>
      <c r="C28" s="842"/>
      <c r="D28" s="842"/>
      <c r="E28" s="842"/>
      <c r="F28" s="842"/>
      <c r="G28" s="842"/>
      <c r="H28" s="842"/>
      <c r="J28" s="842" t="s">
        <v>117</v>
      </c>
      <c r="K28" s="842"/>
      <c r="L28" s="842"/>
      <c r="M28" s="842"/>
      <c r="N28" s="842"/>
      <c r="O28" s="842"/>
      <c r="P28" s="842"/>
      <c r="R28" s="842" t="s">
        <v>117</v>
      </c>
      <c r="S28" s="842"/>
      <c r="T28" s="842"/>
      <c r="U28" s="842"/>
      <c r="V28" s="842"/>
      <c r="W28" s="842"/>
      <c r="X28" s="842"/>
      <c r="Z28" s="842" t="s">
        <v>117</v>
      </c>
      <c r="AA28" s="842"/>
      <c r="AB28" s="842"/>
      <c r="AC28" s="842"/>
      <c r="AD28" s="842"/>
      <c r="AE28" s="842"/>
      <c r="AF28" s="842"/>
      <c r="AH28" s="842" t="s">
        <v>117</v>
      </c>
      <c r="AI28" s="842"/>
      <c r="AJ28" s="842"/>
      <c r="AK28" s="842"/>
      <c r="AL28" s="842"/>
      <c r="AM28" s="842"/>
      <c r="AN28" s="842"/>
    </row>
    <row r="29" spans="2:40" x14ac:dyDescent="0.25">
      <c r="B29" s="91"/>
      <c r="C29" s="91"/>
      <c r="D29" s="91"/>
      <c r="E29" s="92"/>
      <c r="F29" s="93"/>
      <c r="G29" s="94"/>
      <c r="H29" s="95"/>
      <c r="J29" s="95"/>
      <c r="K29" s="95"/>
      <c r="L29" s="95"/>
      <c r="M29" s="95"/>
      <c r="N29" s="95"/>
      <c r="O29" s="94"/>
      <c r="P29" s="95"/>
      <c r="R29" s="95"/>
      <c r="S29" s="95"/>
      <c r="T29" s="95"/>
      <c r="U29" s="95"/>
      <c r="V29" s="95"/>
      <c r="W29" s="94"/>
      <c r="X29" s="95"/>
      <c r="Z29" s="95"/>
      <c r="AA29" s="95"/>
      <c r="AB29" s="95"/>
      <c r="AC29" s="95"/>
      <c r="AD29" s="95"/>
      <c r="AE29" s="94"/>
      <c r="AF29" s="95"/>
      <c r="AH29" s="95"/>
      <c r="AI29" s="95"/>
      <c r="AJ29" s="95"/>
      <c r="AK29" s="95"/>
      <c r="AL29" s="95"/>
      <c r="AM29" s="94"/>
      <c r="AN29" s="95"/>
    </row>
    <row r="30" spans="2:40" x14ac:dyDescent="0.25">
      <c r="B30" s="91"/>
      <c r="C30" s="91"/>
      <c r="D30" s="91"/>
      <c r="E30" s="92"/>
      <c r="F30" s="93"/>
      <c r="G30" s="94"/>
      <c r="H30" s="95"/>
      <c r="J30" s="95"/>
      <c r="K30" s="95"/>
      <c r="L30" s="95"/>
      <c r="M30" s="95"/>
      <c r="N30" s="95"/>
      <c r="O30" s="94"/>
      <c r="P30" s="95"/>
      <c r="R30" s="95"/>
      <c r="S30" s="95"/>
      <c r="T30" s="95"/>
      <c r="U30" s="95"/>
      <c r="V30" s="95"/>
      <c r="W30" s="94"/>
      <c r="X30" s="95"/>
      <c r="Z30" s="95"/>
      <c r="AA30" s="95"/>
      <c r="AB30" s="95"/>
      <c r="AC30" s="95"/>
      <c r="AD30" s="95"/>
      <c r="AE30" s="94"/>
      <c r="AF30" s="95"/>
      <c r="AH30" s="95"/>
      <c r="AI30" s="95"/>
      <c r="AJ30" s="95"/>
      <c r="AK30" s="95"/>
      <c r="AL30" s="95"/>
      <c r="AM30" s="94"/>
      <c r="AN30" s="95"/>
    </row>
    <row r="31" spans="2:40" x14ac:dyDescent="0.25">
      <c r="B31" s="91"/>
      <c r="C31" s="91"/>
      <c r="D31" s="91"/>
      <c r="E31" s="92"/>
      <c r="F31" s="93"/>
      <c r="G31" s="94"/>
      <c r="H31" s="95"/>
      <c r="J31" s="95"/>
      <c r="K31" s="95"/>
      <c r="L31" s="95"/>
      <c r="M31" s="95"/>
      <c r="N31" s="95"/>
      <c r="O31" s="94"/>
      <c r="P31" s="95"/>
      <c r="R31" s="95"/>
      <c r="S31" s="95"/>
      <c r="T31" s="95"/>
      <c r="U31" s="95"/>
      <c r="V31" s="95"/>
      <c r="W31" s="94"/>
      <c r="X31" s="95"/>
      <c r="Z31" s="95"/>
      <c r="AA31" s="95"/>
      <c r="AB31" s="95"/>
      <c r="AC31" s="95"/>
      <c r="AD31" s="95"/>
      <c r="AE31" s="94"/>
      <c r="AF31" s="95"/>
      <c r="AH31" s="95"/>
      <c r="AI31" s="95"/>
      <c r="AJ31" s="95"/>
      <c r="AK31" s="95"/>
      <c r="AL31" s="95"/>
      <c r="AM31" s="94"/>
      <c r="AN31" s="95"/>
    </row>
    <row r="32" spans="2:40" x14ac:dyDescent="0.25">
      <c r="B32" s="91"/>
      <c r="C32" s="91"/>
      <c r="D32" s="91"/>
      <c r="E32" s="92"/>
      <c r="F32" s="93"/>
      <c r="G32" s="94"/>
      <c r="H32" s="95"/>
      <c r="J32" s="95"/>
      <c r="K32" s="95"/>
      <c r="L32" s="95"/>
      <c r="M32" s="95"/>
      <c r="N32" s="95"/>
      <c r="O32" s="94"/>
      <c r="P32" s="95"/>
      <c r="R32" s="95"/>
      <c r="S32" s="95"/>
      <c r="T32" s="95"/>
      <c r="U32" s="95"/>
      <c r="V32" s="95"/>
      <c r="W32" s="94"/>
      <c r="X32" s="95"/>
      <c r="Z32" s="95"/>
      <c r="AA32" s="95"/>
      <c r="AB32" s="95"/>
      <c r="AC32" s="95"/>
      <c r="AD32" s="95"/>
      <c r="AE32" s="94"/>
      <c r="AF32" s="95"/>
      <c r="AH32" s="95"/>
      <c r="AI32" s="95"/>
      <c r="AJ32" s="95"/>
      <c r="AK32" s="95"/>
      <c r="AL32" s="95"/>
      <c r="AM32" s="94"/>
      <c r="AN32" s="95"/>
    </row>
    <row r="33" spans="2:40" ht="15.5" x14ac:dyDescent="0.25">
      <c r="B33" s="841" t="s">
        <v>140</v>
      </c>
      <c r="C33" s="841"/>
      <c r="D33" s="841"/>
      <c r="E33" s="841"/>
      <c r="F33" s="841"/>
      <c r="G33" s="841"/>
      <c r="H33" s="841"/>
      <c r="I33" s="70"/>
      <c r="J33" s="841" t="s">
        <v>140</v>
      </c>
      <c r="K33" s="841"/>
      <c r="L33" s="841"/>
      <c r="M33" s="841"/>
      <c r="N33" s="841"/>
      <c r="O33" s="841"/>
      <c r="P33" s="841"/>
      <c r="Q33" s="70"/>
      <c r="R33" s="841" t="s">
        <v>140</v>
      </c>
      <c r="S33" s="841"/>
      <c r="T33" s="841"/>
      <c r="U33" s="841"/>
      <c r="V33" s="841"/>
      <c r="W33" s="841"/>
      <c r="X33" s="841"/>
      <c r="Z33" s="841" t="s">
        <v>140</v>
      </c>
      <c r="AA33" s="841"/>
      <c r="AB33" s="841"/>
      <c r="AC33" s="841"/>
      <c r="AD33" s="841"/>
      <c r="AE33" s="841"/>
      <c r="AF33" s="841"/>
      <c r="AH33" s="841" t="s">
        <v>140</v>
      </c>
      <c r="AI33" s="841"/>
      <c r="AJ33" s="841"/>
      <c r="AK33" s="841"/>
      <c r="AL33" s="841"/>
      <c r="AM33" s="841"/>
      <c r="AN33" s="841"/>
    </row>
    <row r="34" spans="2:40" ht="13" thickBot="1" x14ac:dyDescent="0.3">
      <c r="B34" s="67"/>
      <c r="C34" s="68"/>
      <c r="D34" s="68"/>
      <c r="E34" s="68"/>
      <c r="F34" s="68"/>
      <c r="G34" s="68"/>
      <c r="H34" s="70"/>
      <c r="I34" s="70"/>
      <c r="J34" s="67"/>
      <c r="K34" s="68"/>
      <c r="L34" s="68"/>
      <c r="M34" s="68"/>
      <c r="N34" s="68"/>
      <c r="O34" s="68"/>
      <c r="P34" s="70"/>
      <c r="Q34" s="70"/>
      <c r="R34" s="67"/>
      <c r="S34" s="68"/>
      <c r="T34" s="68"/>
      <c r="U34" s="68"/>
      <c r="V34" s="68"/>
      <c r="W34" s="68"/>
      <c r="X34" s="70"/>
      <c r="Z34" s="67"/>
      <c r="AA34" s="68"/>
      <c r="AB34" s="68"/>
      <c r="AC34" s="68"/>
      <c r="AD34" s="68"/>
      <c r="AE34" s="68"/>
      <c r="AF34" s="70"/>
      <c r="AH34" s="67"/>
      <c r="AI34" s="68"/>
      <c r="AJ34" s="68"/>
      <c r="AK34" s="68"/>
      <c r="AL34" s="68"/>
      <c r="AM34" s="68"/>
      <c r="AN34" s="70"/>
    </row>
    <row r="35" spans="2:40" ht="14.25" customHeight="1" thickBot="1" x14ac:dyDescent="0.3">
      <c r="B35" s="838" t="str">
        <f>B14</f>
        <v>Residential</v>
      </c>
      <c r="C35" s="839"/>
      <c r="D35" s="839"/>
      <c r="E35" s="839"/>
      <c r="F35" s="839"/>
      <c r="G35" s="839"/>
      <c r="H35" s="840"/>
      <c r="I35" s="30"/>
      <c r="J35" s="838" t="str">
        <f>J14</f>
        <v>General Service &lt; 50 kW</v>
      </c>
      <c r="K35" s="839"/>
      <c r="L35" s="839"/>
      <c r="M35" s="839"/>
      <c r="N35" s="839"/>
      <c r="O35" s="839"/>
      <c r="P35" s="840"/>
      <c r="Q35" s="30"/>
      <c r="R35" s="838" t="str">
        <f>R14</f>
        <v>Unmetered Scattered Load</v>
      </c>
      <c r="S35" s="839"/>
      <c r="T35" s="839"/>
      <c r="U35" s="839"/>
      <c r="V35" s="839"/>
      <c r="W35" s="839"/>
      <c r="X35" s="840"/>
      <c r="Z35" s="838" t="str">
        <f>Z14</f>
        <v>N/A</v>
      </c>
      <c r="AA35" s="839"/>
      <c r="AB35" s="839"/>
      <c r="AC35" s="839"/>
      <c r="AD35" s="839"/>
      <c r="AE35" s="839"/>
      <c r="AF35" s="840"/>
      <c r="AH35" s="838" t="str">
        <f>AH14</f>
        <v>N/A</v>
      </c>
      <c r="AI35" s="839"/>
      <c r="AJ35" s="839"/>
      <c r="AK35" s="839"/>
      <c r="AL35" s="839"/>
      <c r="AM35" s="839"/>
      <c r="AN35" s="840"/>
    </row>
    <row r="36" spans="2:40" ht="42" customHeight="1" x14ac:dyDescent="0.25">
      <c r="B36" s="57" t="s">
        <v>33</v>
      </c>
      <c r="C36" s="191" t="s">
        <v>39</v>
      </c>
      <c r="D36" s="831" t="s">
        <v>123</v>
      </c>
      <c r="E36" s="831"/>
      <c r="F36" s="833" t="s">
        <v>38</v>
      </c>
      <c r="G36" s="834"/>
      <c r="H36" s="69" t="s">
        <v>16</v>
      </c>
      <c r="I36" s="89"/>
      <c r="J36" s="57" t="s">
        <v>33</v>
      </c>
      <c r="K36" s="191" t="s">
        <v>39</v>
      </c>
      <c r="L36" s="831" t="s">
        <v>123</v>
      </c>
      <c r="M36" s="831"/>
      <c r="N36" s="827" t="s">
        <v>38</v>
      </c>
      <c r="O36" s="828"/>
      <c r="P36" s="69" t="s">
        <v>16</v>
      </c>
      <c r="Q36" s="89"/>
      <c r="R36" s="57" t="s">
        <v>33</v>
      </c>
      <c r="S36" s="191" t="s">
        <v>39</v>
      </c>
      <c r="T36" s="831" t="s">
        <v>123</v>
      </c>
      <c r="U36" s="831"/>
      <c r="V36" s="827" t="s">
        <v>38</v>
      </c>
      <c r="W36" s="828"/>
      <c r="X36" s="69" t="s">
        <v>16</v>
      </c>
      <c r="Z36" s="57" t="s">
        <v>33</v>
      </c>
      <c r="AA36" s="191" t="s">
        <v>39</v>
      </c>
      <c r="AB36" s="831" t="s">
        <v>123</v>
      </c>
      <c r="AC36" s="831"/>
      <c r="AD36" s="827" t="s">
        <v>38</v>
      </c>
      <c r="AE36" s="828"/>
      <c r="AF36" s="69" t="s">
        <v>16</v>
      </c>
      <c r="AH36" s="265" t="s">
        <v>33</v>
      </c>
      <c r="AI36" s="266" t="s">
        <v>39</v>
      </c>
      <c r="AJ36" s="843" t="s">
        <v>123</v>
      </c>
      <c r="AK36" s="843"/>
      <c r="AL36" s="844" t="s">
        <v>38</v>
      </c>
      <c r="AM36" s="845"/>
      <c r="AN36" s="247" t="s">
        <v>16</v>
      </c>
    </row>
    <row r="37" spans="2:40" ht="13" x14ac:dyDescent="0.25">
      <c r="B37" s="112" t="str">
        <f>B26</f>
        <v>2023</v>
      </c>
      <c r="C37" s="58">
        <f>IF($B$14='2. Customer Classes'!$B$8,+('4. Customer Growth'!$C$34-'4. Customer Growth'!$C$18),+IF($B$14='2. Customer Classes'!$B$9,+('4. Customer Growth'!$E$34-'4. Customer Growth'!$E$18),+IF($B$14='2. Customer Classes'!$B$10,+('4. Customer Growth'!$G$34-'4. Customer Growth'!$G$18),+IF($B$14='2. Customer Classes'!$B$11,+('4. Customer Growth'!$I$34-'4. Customer Growth'!$I$18),+IF($B$14='2. Customer Classes'!$B$12,+('4. Customer Growth'!$K$34-'4. Customer Growth'!$K$18),+IF($B$14='2. Customer Classes'!$B$13,+('4. Customer Growth'!$M$34-'4. Customer Growth'!$M$18),IF($B$14='2. Customer Classes'!$B$14,+('4. Customer Growth'!$O$34-'4. Customer Growth'!$O$18),0)))))))</f>
        <v>354</v>
      </c>
      <c r="D37" s="832">
        <f>IF(F25&gt;0,+H26,0)</f>
        <v>7513.7909492191056</v>
      </c>
      <c r="E37" s="832"/>
      <c r="F37" s="829">
        <f>IF(+$G$11="yes",+C37*D37,0)</f>
        <v>0</v>
      </c>
      <c r="G37" s="830"/>
      <c r="H37" s="71">
        <f>G26+F37</f>
        <v>106350197.09524722</v>
      </c>
      <c r="I37" s="90"/>
      <c r="J37" s="112" t="str">
        <f>B37</f>
        <v>2023</v>
      </c>
      <c r="K37" s="58">
        <f>IF($J$14='2. Customer Classes'!$B$8,+('4. Customer Growth'!$C$34-'4. Customer Growth'!$C$18),+IF($J$14='2. Customer Classes'!$B$9,+('4. Customer Growth'!$E$34-'4. Customer Growth'!$E$18),+IF($J$14='2. Customer Classes'!$B$10,+('4. Customer Growth'!$G$34-'4. Customer Growth'!$G$18),+IF($J$14='2. Customer Classes'!$B$11,+('4. Customer Growth'!$I$34-'4. Customer Growth'!$I$18),+IF($J$14='2. Customer Classes'!$B$12,+('4. Customer Growth'!$K$34-'4. Customer Growth'!$K$18),+IF($J$14='2. Customer Classes'!$B$13,+('4. Customer Growth'!$M$34-'4. Customer Growth'!$M$18),IF($J$14='2. Customer Classes'!$B$14,+('4. Customer Growth'!$O$34-'4. Customer Growth'!$O$18),0)))))))</f>
        <v>12</v>
      </c>
      <c r="L37" s="832">
        <f>IF(N25&gt;0,+P26,0)</f>
        <v>22127.823270667071</v>
      </c>
      <c r="M37" s="832"/>
      <c r="N37" s="829">
        <f>IF(+$G$11="yes",+K37*L37,0)</f>
        <v>0</v>
      </c>
      <c r="O37" s="830"/>
      <c r="P37" s="71">
        <f>O26+N37</f>
        <v>18852905.426608346</v>
      </c>
      <c r="Q37" s="90"/>
      <c r="R37" s="112" t="str">
        <f>B37</f>
        <v>2023</v>
      </c>
      <c r="S37" s="58">
        <f>IF($R$14='2. Customer Classes'!$B$8,+('4. Customer Growth'!$C$34-'4. Customer Growth'!$C$18),+IF($R$14='2. Customer Classes'!$B$9,+('4. Customer Growth'!$E$34-'4. Customer Growth'!$E$18),+IF($R$14='2. Customer Classes'!$B$10,+('4. Customer Growth'!$G$34-'4. Customer Growth'!$G$18),+IF($R$14='2. Customer Classes'!$B$11,+('4. Customer Growth'!$I$34-'4. Customer Growth'!$I$18),+IF($R$14='2. Customer Classes'!$B$12,+('4. Customer Growth'!$K$34-'4. Customer Growth'!$K$18),+IF($R$14='2. Customer Classes'!$B$13,+('4. Customer Growth'!$M$34-'4. Customer Growth'!$M$18),IF($R$14='2. Customer Classes'!$B$14,+('4. Customer Growth'!$O$34-'4. Customer Growth'!$O$18),0)))))))</f>
        <v>5</v>
      </c>
      <c r="T37" s="832">
        <f>IF(V25&gt;0,+X26,0)</f>
        <v>4500.4305377392739</v>
      </c>
      <c r="U37" s="832"/>
      <c r="V37" s="829">
        <f>IF(+$G$11="yes",+S37*T37,0)</f>
        <v>0</v>
      </c>
      <c r="W37" s="830"/>
      <c r="X37" s="71">
        <f>W26+V37</f>
        <v>207019.8047360066</v>
      </c>
      <c r="Z37" s="112" t="str">
        <f>J37</f>
        <v>2023</v>
      </c>
      <c r="AA37" s="58">
        <f>IF($Z$14='2. Customer Classes'!$B$8,+('4. Customer Growth'!$C$34-'4. Customer Growth'!$C$18),+IF($Z$14='2. Customer Classes'!$B$9,+('4. Customer Growth'!$E$34-'4. Customer Growth'!$E$18),+IF($Z$14='2. Customer Classes'!$B$10,+('4. Customer Growth'!$G$34-'4. Customer Growth'!$G$18),+IF($Z$14='2. Customer Classes'!$B$11,+('4. Customer Growth'!$I$34-'4. Customer Growth'!$I$18),+IF($Z$14='2. Customer Classes'!$B$12,+('4. Customer Growth'!$K$34-'4. Customer Growth'!$K$18),+IF($Z$14='2. Customer Classes'!$B$13,+('4. Customer Growth'!$M$34-'4. Customer Growth'!$M$18),IF($Z$14='2. Customer Classes'!$B$14,+('4. Customer Growth'!$O$34-'4. Customer Growth'!$O$18),0)))))))</f>
        <v>0</v>
      </c>
      <c r="AB37" s="832">
        <f>IF(AD25&gt;0,+AF26,0)</f>
        <v>0</v>
      </c>
      <c r="AC37" s="832"/>
      <c r="AD37" s="829">
        <f>IF(+$G$11="yes",+AA37*AB37,0)</f>
        <v>0</v>
      </c>
      <c r="AE37" s="830"/>
      <c r="AF37" s="71">
        <f>AE26+AD37</f>
        <v>0</v>
      </c>
      <c r="AH37" s="112" t="str">
        <f>R37</f>
        <v>2023</v>
      </c>
      <c r="AI37" s="58">
        <f>IF($AH$14='2. Customer Classes'!$B$8,+('4. Customer Growth'!$C$34-'4. Customer Growth'!$C$18),+IF($AH$14='2. Customer Classes'!$B$9,+('4. Customer Growth'!$E$34-'4. Customer Growth'!$E$18),+IF($AH$14='2. Customer Classes'!$B$10,+('4. Customer Growth'!$G$34-'4. Customer Growth'!$G$18),+IF($AH$14='2. Customer Classes'!$B$11,+('4. Customer Growth'!$I$34-'4. Customer Growth'!$I$18),+IF($AH$14='2. Customer Classes'!$B$12,+('4. Customer Growth'!$K$34-'4. Customer Growth'!$K$18),+IF($AH$14='2. Customer Classes'!$B$13,+('4. Customer Growth'!$M$34-'4. Customer Growth'!$M$18),IF($AH$14='2. Customer Classes'!$B$14,+('4. Customer Growth'!$O$34-'4. Customer Growth'!$O$18),0)))))))</f>
        <v>0</v>
      </c>
      <c r="AJ37" s="832">
        <f>IF(AL25&gt;0,+AN26,0)</f>
        <v>0</v>
      </c>
      <c r="AK37" s="832"/>
      <c r="AL37" s="829">
        <f>IF(+$G$11="yes",+AI37*AJ37,0)</f>
        <v>0</v>
      </c>
      <c r="AM37" s="830"/>
      <c r="AN37" s="71">
        <f>AM26+AL37</f>
        <v>0</v>
      </c>
    </row>
    <row r="38" spans="2:40" ht="13.5" thickBot="1" x14ac:dyDescent="0.3">
      <c r="B38" s="126" t="str">
        <f>B27</f>
        <v>2024</v>
      </c>
      <c r="C38" s="215">
        <f>IF($B$14='2. Customer Classes'!$B$8,+('4. Customer Growth'!$C$35-'4. Customer Growth'!$C$18),+IF($B$14='2. Customer Classes'!$B$9,+('4. Customer Growth'!$E$35-'4. Customer Growth'!$E$18),+IF($B$14='2. Customer Classes'!$B$10,+('4. Customer Growth'!$G$35-'4. Customer Growth'!$G$18),+IF($B$14='2. Customer Classes'!$B$11,+('4. Customer Growth'!$I$35-'4. Customer Growth'!$I$18),+IF($B$14='2. Customer Classes'!$B$12,+('4. Customer Growth'!$K$35-'4. Customer Growth'!$K$18),+IF($B$14='2. Customer Classes'!$B$13,+('4. Customer Growth'!$M$35-'4. Customer Growth'!$M$18),IF($B$14='2. Customer Classes'!$B$14,+('4. Customer Growth'!$O$35-'4. Customer Growth'!$O$18),0)))))))</f>
        <v>608</v>
      </c>
      <c r="D38" s="824">
        <f>IF(F25&gt;0,+H27,0)</f>
        <v>7554.6738189340304</v>
      </c>
      <c r="E38" s="824"/>
      <c r="F38" s="825">
        <f>IF(+$G$11="yes",+C38*D38,0)</f>
        <v>0</v>
      </c>
      <c r="G38" s="826"/>
      <c r="H38" s="72">
        <f>G27+F38</f>
        <v>108847740.38320151</v>
      </c>
      <c r="I38" s="90"/>
      <c r="J38" s="126" t="str">
        <f>B38</f>
        <v>2024</v>
      </c>
      <c r="K38" s="215">
        <f>IF($J$14='2. Customer Classes'!$B$8,+('4. Customer Growth'!$C$35-'4. Customer Growth'!$C$18),+IF($J$14='2. Customer Classes'!$B$9,+('4. Customer Growth'!$E$35-'4. Customer Growth'!$E$18),+IF($J$14='2. Customer Classes'!$B$10,+('4. Customer Growth'!$G$35-'4. Customer Growth'!$G$18),+IF($J$14='2. Customer Classes'!$B$11,+('4. Customer Growth'!$I$35-'4. Customer Growth'!$I$18),+IF($J$14='2. Customer Classes'!$B$12,+('4. Customer Growth'!$K$35-'4. Customer Growth'!$K$18),+IF($J$14='2. Customer Classes'!$B$13,+('4. Customer Growth'!$M$35-'4. Customer Growth'!$M$18),IF($J$14='2. Customer Classes'!$B$14,+('4. Customer Growth'!$O$35-'4. Customer Growth'!$O$18),0)))))))</f>
        <v>18</v>
      </c>
      <c r="L38" s="824">
        <f>IF(N25&gt;0,+P27,0)</f>
        <v>22297.526599255514</v>
      </c>
      <c r="M38" s="824"/>
      <c r="N38" s="825">
        <f>IF(+$G$11="yes",+K38*L38,0)</f>
        <v>0</v>
      </c>
      <c r="O38" s="826"/>
      <c r="P38" s="72">
        <f>O27+N38</f>
        <v>19131277.822161231</v>
      </c>
      <c r="Q38" s="90"/>
      <c r="R38" s="126" t="str">
        <f>B38</f>
        <v>2024</v>
      </c>
      <c r="S38" s="215">
        <f>IF($R$14='2. Customer Classes'!$B$8,+('4. Customer Growth'!$C$35-'4. Customer Growth'!$C$18),+IF($R$14='2. Customer Classes'!$B$9,+('4. Customer Growth'!$E$35-'4. Customer Growth'!$E$18),+IF($R$14='2. Customer Classes'!$B$10,+('4. Customer Growth'!$G$35-'4. Customer Growth'!$G$18),+IF($R$14='2. Customer Classes'!$B$11,+('4. Customer Growth'!$I$35-'4. Customer Growth'!$I$18),+IF($R$14='2. Customer Classes'!$B$12,+('4. Customer Growth'!$K$35-'4. Customer Growth'!$K$18),+IF($R$14='2. Customer Classes'!$B$13,+('4. Customer Growth'!$M$35-'4. Customer Growth'!$M$18),IF($R$14='2. Customer Classes'!$B$14,+('4. Customer Growth'!$O$35-'4. Customer Growth'!$O$18),0)))))))</f>
        <v>7</v>
      </c>
      <c r="T38" s="824">
        <f>IF(V25&gt;0,+X27,0)</f>
        <v>4499.4222770261249</v>
      </c>
      <c r="U38" s="824"/>
      <c r="V38" s="825">
        <f>IF(+$G$11="yes",+S38*T38,0)</f>
        <v>0</v>
      </c>
      <c r="W38" s="826"/>
      <c r="X38" s="72">
        <f>W27+V38</f>
        <v>215972.26929725398</v>
      </c>
      <c r="Z38" s="126" t="str">
        <f>J38</f>
        <v>2024</v>
      </c>
      <c r="AA38" s="215">
        <f>IF($Z$14='2. Customer Classes'!$B$8,+('4. Customer Growth'!$C$35-'4. Customer Growth'!$C$18),+IF($Z$14='2. Customer Classes'!$B$9,+('4. Customer Growth'!$E$35-'4. Customer Growth'!$E$18),+IF($Z$14='2. Customer Classes'!$B$10,+('4. Customer Growth'!$G$35-'4. Customer Growth'!$G$18),+IF($Z$14='2. Customer Classes'!$B$11,+('4. Customer Growth'!$I$35-'4. Customer Growth'!$I$18),+IF($Z$14='2. Customer Classes'!$B$12,+('4. Customer Growth'!$K$35-'4. Customer Growth'!$K$18),+IF($Z$14='2. Customer Classes'!$B$13,+('4. Customer Growth'!$M$35-'4. Customer Growth'!$M$18),IF($Z$14='2. Customer Classes'!$B$14,+('4. Customer Growth'!$O$35-'4. Customer Growth'!$O$18),0)))))))</f>
        <v>0</v>
      </c>
      <c r="AB38" s="824">
        <f>IF(AD25&gt;0,+AF27,0)</f>
        <v>0</v>
      </c>
      <c r="AC38" s="824"/>
      <c r="AD38" s="825">
        <f>IF(+$G$11="yes",+AA38*AB38,0)</f>
        <v>0</v>
      </c>
      <c r="AE38" s="826"/>
      <c r="AF38" s="72">
        <f>AE27+AD38</f>
        <v>0</v>
      </c>
      <c r="AG38" s="216"/>
      <c r="AH38" s="126" t="str">
        <f>R38</f>
        <v>2024</v>
      </c>
      <c r="AI38" s="215">
        <f>IF($AH$14='2. Customer Classes'!$B$8,+('4. Customer Growth'!$C$35-'4. Customer Growth'!$C$18),+IF($AH$14='2. Customer Classes'!$B$9,+('4. Customer Growth'!$E$35-'4. Customer Growth'!$E$18),+IF($AH$14='2. Customer Classes'!$B$10,+('4. Customer Growth'!$G$35-'4. Customer Growth'!$G$18),+IF($AH$14='2. Customer Classes'!$B$11,+('4. Customer Growth'!$I$35-'4. Customer Growth'!$I$18),+IF($AH$14='2. Customer Classes'!$B$12,+('4. Customer Growth'!$K$35-'4. Customer Growth'!$K$18),+IF($AH$14='2. Customer Classes'!$B$13,+('4. Customer Growth'!$M$35-'4. Customer Growth'!$M$18),IF($AH$14='2. Customer Classes'!$B$14,+('4. Customer Growth'!$O$35-'4. Customer Growth'!$O$18),0)))))))</f>
        <v>0</v>
      </c>
      <c r="AJ38" s="824">
        <f>IF(AL25&gt;0,+AN27,0)</f>
        <v>0</v>
      </c>
      <c r="AK38" s="824"/>
      <c r="AL38" s="825">
        <f>IF(+$G$11="yes",+AI38*AJ38,0)</f>
        <v>0</v>
      </c>
      <c r="AM38" s="826"/>
      <c r="AN38" s="72">
        <f>AM27+AL38</f>
        <v>0</v>
      </c>
    </row>
    <row r="39" spans="2:40" x14ac:dyDescent="0.25">
      <c r="B39" s="1"/>
      <c r="C39" s="1"/>
      <c r="D39" s="1"/>
      <c r="E39" s="1"/>
      <c r="F39" s="1"/>
      <c r="G39" s="1"/>
    </row>
    <row r="40" spans="2:40" x14ac:dyDescent="0.25">
      <c r="C40" s="47"/>
      <c r="F40" s="380"/>
      <c r="H40" s="379"/>
    </row>
    <row r="41" spans="2:40" x14ac:dyDescent="0.25">
      <c r="F41" s="381"/>
      <c r="H41" s="379"/>
      <c r="X41" s="188"/>
    </row>
    <row r="46" spans="2:40" x14ac:dyDescent="0.25">
      <c r="E46" s="51"/>
    </row>
    <row r="47" spans="2:40" x14ac:dyDescent="0.25">
      <c r="E47" s="51"/>
    </row>
    <row r="48" spans="2:40" ht="13" thickBot="1" x14ac:dyDescent="0.3">
      <c r="E48" s="51"/>
    </row>
    <row r="49" spans="2:5" ht="13" x14ac:dyDescent="0.3">
      <c r="B49" s="822" t="s">
        <v>141</v>
      </c>
      <c r="C49" s="823"/>
      <c r="E49" s="51"/>
    </row>
    <row r="50" spans="2:5" x14ac:dyDescent="0.25">
      <c r="B50" s="224" t="s">
        <v>142</v>
      </c>
      <c r="C50" s="221"/>
      <c r="E50" s="51"/>
    </row>
    <row r="51" spans="2:5" x14ac:dyDescent="0.25">
      <c r="B51" s="224" t="s">
        <v>143</v>
      </c>
      <c r="C51" s="221"/>
      <c r="E51" s="51"/>
    </row>
    <row r="52" spans="2:5" ht="13" thickBot="1" x14ac:dyDescent="0.3">
      <c r="B52" s="386" t="s">
        <v>179</v>
      </c>
      <c r="C52" s="385"/>
      <c r="E52" s="51"/>
    </row>
    <row r="54" spans="2:5" x14ac:dyDescent="0.25">
      <c r="E54" s="51"/>
    </row>
    <row r="55" spans="2:5" x14ac:dyDescent="0.25">
      <c r="E55" s="51"/>
    </row>
    <row r="56" spans="2:5" x14ac:dyDescent="0.25">
      <c r="E56" s="51"/>
    </row>
  </sheetData>
  <mergeCells count="51">
    <mergeCell ref="AH14:AN14"/>
    <mergeCell ref="AH28:AN28"/>
    <mergeCell ref="AH33:AN33"/>
    <mergeCell ref="AH35:AN35"/>
    <mergeCell ref="AJ36:AK36"/>
    <mergeCell ref="AL36:AM36"/>
    <mergeCell ref="AB37:AC37"/>
    <mergeCell ref="AD37:AE37"/>
    <mergeCell ref="AJ37:AK37"/>
    <mergeCell ref="AL37:AM37"/>
    <mergeCell ref="AB38:AC38"/>
    <mergeCell ref="AD38:AE38"/>
    <mergeCell ref="AJ38:AK38"/>
    <mergeCell ref="AL38:AM38"/>
    <mergeCell ref="Z14:AF14"/>
    <mergeCell ref="Z28:AF28"/>
    <mergeCell ref="Z33:AF33"/>
    <mergeCell ref="Z35:AF35"/>
    <mergeCell ref="AB36:AC36"/>
    <mergeCell ref="AD36:AE36"/>
    <mergeCell ref="F37:G37"/>
    <mergeCell ref="D36:E36"/>
    <mergeCell ref="D37:E37"/>
    <mergeCell ref="J14:P14"/>
    <mergeCell ref="R14:X14"/>
    <mergeCell ref="B14:H14"/>
    <mergeCell ref="B35:H35"/>
    <mergeCell ref="J35:P35"/>
    <mergeCell ref="R35:X35"/>
    <mergeCell ref="B33:H33"/>
    <mergeCell ref="J33:P33"/>
    <mergeCell ref="R33:X33"/>
    <mergeCell ref="B28:H28"/>
    <mergeCell ref="J28:P28"/>
    <mergeCell ref="R28:X28"/>
    <mergeCell ref="B49:C49"/>
    <mergeCell ref="T38:U38"/>
    <mergeCell ref="V38:W38"/>
    <mergeCell ref="F38:G38"/>
    <mergeCell ref="N36:O36"/>
    <mergeCell ref="N37:O37"/>
    <mergeCell ref="N38:O38"/>
    <mergeCell ref="T36:U36"/>
    <mergeCell ref="V36:W36"/>
    <mergeCell ref="T37:U37"/>
    <mergeCell ref="V37:W37"/>
    <mergeCell ref="D38:E38"/>
    <mergeCell ref="L36:M36"/>
    <mergeCell ref="L37:M37"/>
    <mergeCell ref="L38:M38"/>
    <mergeCell ref="F36:G36"/>
  </mergeCells>
  <dataValidations count="3">
    <dataValidation type="list" allowBlank="1" showInputMessage="1" showErrorMessage="1" sqref="G11" xr:uid="{00000000-0002-0000-0800-000000000000}">
      <formula1>$B$50:$B$51</formula1>
    </dataValidation>
    <dataValidation type="list" allowBlank="1" showInputMessage="1" showErrorMessage="1" sqref="AH14:AN14" xr:uid="{00000000-0002-0000-0800-000001000000}">
      <formula1>$B$8:$B$15</formula1>
    </dataValidation>
    <dataValidation type="list" allowBlank="1" showInputMessage="1" showErrorMessage="1" sqref="B14:H14 J14:P14 R14:X14" xr:uid="{39EB6CDA-C63D-47B3-8374-6FE95CC7A116}">
      <formula1>"Residential, General Service &lt; 50 kW, Unmetered Scattered Load, General Service &gt; 50 kW - 4999 kW - Excluding Wholesale Market Participant, General Service &gt; 50 kW - 4999 kW - Wholesale Market Participant, Streetlighting"</formula1>
    </dataValidation>
  </dataValidations>
  <pageMargins left="0.7" right="0.7" top="0.75" bottom="0.75" header="0.3" footer="0.3"/>
  <pageSetup scale="44"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5000000}">
          <x14:formula1>
            <xm:f>'2. Customer Classes'!$B$8:$B$15</xm:f>
          </x14:formula1>
          <xm:sqref>Z14:AF14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1. LDC Info</vt:lpstr>
      <vt:lpstr>2. Customer Classes</vt:lpstr>
      <vt:lpstr>3. Consumption by Rate Class</vt:lpstr>
      <vt:lpstr>4. Customer Growth</vt:lpstr>
      <vt:lpstr>5.Variables</vt:lpstr>
      <vt:lpstr>6. WS Regression Analysis</vt:lpstr>
      <vt:lpstr>6.1 Regression Scenarios</vt:lpstr>
      <vt:lpstr>6.2. Weather Sensitive</vt:lpstr>
      <vt:lpstr>7. Billed kWh</vt:lpstr>
      <vt:lpstr>7.1. Billed kW</vt:lpstr>
      <vt:lpstr>8.1. Loblaws KW Regression</vt:lpstr>
      <vt:lpstr>8. Final LF</vt:lpstr>
      <vt:lpstr>9. Exhibit_Tables</vt:lpstr>
      <vt:lpstr>10. Analysis_Tables</vt:lpstr>
      <vt:lpstr>X.1 Loss Factor</vt:lpstr>
      <vt:lpstr>X.2 Appendix 3-1-1 (D)</vt:lpstr>
      <vt:lpstr>'9. Exhibit_Tables'!_Hlk144452856</vt:lpstr>
      <vt:lpstr>AllVariables</vt:lpstr>
      <vt:lpstr>'5.Variables'!Print_Area</vt:lpstr>
      <vt:lpstr>'8. Final LF'!Print_Area</vt:lpstr>
      <vt:lpstr>Variable1</vt:lpstr>
      <vt:lpstr>Variable2</vt:lpstr>
      <vt:lpstr>Variable3</vt:lpstr>
      <vt:lpstr>Variable5</vt:lpstr>
      <vt:lpstr>Variable6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2023-10-20T14:14:38Z</dcterms:modified>
</cp:coreProperties>
</file>