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7100" tabRatio="779" activeTab="2"/>
  </bookViews>
  <sheets>
    <sheet name="Input - Customer Data" sheetId="1" r:id="rId1"/>
    <sheet name="Input - Adjustments &amp; Variables" sheetId="2" r:id="rId2"/>
    <sheet name="Input" sheetId="3" r:id="rId3"/>
    <sheet name="Output" sheetId="4" r:id="rId4"/>
    <sheet name="Forecast" sheetId="5" r:id="rId5"/>
    <sheet name="DW" sheetId="6" state="hidden" r:id="rId6"/>
    <sheet name="Bridge&amp;Test Year Class Forecast" sheetId="7" r:id="rId7"/>
    <sheet name="CDM Adjustment" sheetId="8" state="hidden" r:id="rId8"/>
    <sheet name="CDM Allocation" sheetId="9" state="hidden" r:id="rId9"/>
    <sheet name="LRAMVA Baseline" sheetId="10" state="hidden" r:id="rId10"/>
    <sheet name="Final LF " sheetId="11" r:id="rId11"/>
    <sheet name="Wholesale Analysis" sheetId="12" r:id="rId12"/>
    <sheet name="Analysis_Weather adj LF" sheetId="13" r:id="rId13"/>
    <sheet name="Analysis_Distr Revenues" sheetId="14" state="hidden" r:id="rId14"/>
    <sheet name="Wholesale to RRR analysis" sheetId="15" r:id="rId15"/>
    <sheet name="YoY" sheetId="16" r:id="rId16"/>
    <sheet name="Backup for pre CS update" sheetId="17" state="hidden" r:id="rId17"/>
  </sheets>
  <definedNames>
    <definedName name="_xlfn.FORECAST.LINEAR" hidden="1">#NAME?</definedName>
    <definedName name="CASENUMBER">#REF!</definedName>
    <definedName name="dwL">'DW'!$A$1:$U$101</definedName>
    <definedName name="dwU">'DW'!$W$1:$AQ$101</definedName>
    <definedName name="EBNUMBER">#REF!</definedName>
    <definedName name="keyflag">'Input'!$R$1</definedName>
    <definedName name="_xlnm.Print_Area" localSheetId="5">'DW'!$A$1:$AQ$101</definedName>
    <definedName name="_xlnm.Print_Area" localSheetId="10">'Final LF '!$B$3:$J$31</definedName>
    <definedName name="_xlnm.Print_Area" localSheetId="4">'Forecast'!$B$2:$BA$50</definedName>
    <definedName name="_xlnm.Print_Area" localSheetId="2">'Input'!$A$3:$AY$54</definedName>
    <definedName name="_xlnm.Print_Area" localSheetId="3">'Output'!$A$3:$AA$61</definedName>
    <definedName name="_xlnm.Print_Titles" localSheetId="4">'Forecast'!$B:$C,'Forecast'!$2:$3</definedName>
    <definedName name="_xlnm.Print_Titles" localSheetId="2">'Input'!$A:$A,'Input'!$3:$4</definedName>
    <definedName name="_xlnm.Print_Titles" localSheetId="3">'Output'!$3:$11</definedName>
    <definedName name="RebaseYear">#REF!</definedName>
  </definedNames>
  <calcPr fullCalcOnLoad="1"/>
</workbook>
</file>

<file path=xl/comments8.xml><?xml version="1.0" encoding="utf-8"?>
<comments xmlns="http://schemas.openxmlformats.org/spreadsheetml/2006/main">
  <authors>
    <author>Manuela Ris-Schofield</author>
  </authors>
  <commentList>
    <comment ref="I18" authorId="0">
      <text>
        <r>
          <rPr>
            <b/>
            <sz val="9"/>
            <rFont val="Tahoma"/>
            <family val="2"/>
          </rPr>
          <t>Manuela Ris-Schofield:</t>
        </r>
        <r>
          <rPr>
            <sz val="9"/>
            <rFont val="Tahoma"/>
            <family val="2"/>
          </rPr>
          <t xml:space="preserve">
From LDC Savings Persistence of the 2016 verified results (IESO)</t>
        </r>
      </text>
    </comment>
    <comment ref="O40" authorId="0">
      <text>
        <r>
          <rPr>
            <b/>
            <sz val="9"/>
            <rFont val="Tahoma"/>
            <family val="2"/>
          </rPr>
          <t>Manuela Ris-Schofield:</t>
        </r>
        <r>
          <rPr>
            <sz val="9"/>
            <rFont val="Tahoma"/>
            <family val="2"/>
          </rPr>
          <t xml:space="preserve">
from CDM plan</t>
        </r>
      </text>
    </comment>
  </commentList>
</comments>
</file>

<file path=xl/comments9.xml><?xml version="1.0" encoding="utf-8"?>
<comments xmlns="http://schemas.openxmlformats.org/spreadsheetml/2006/main">
  <authors>
    <author>Manuela Ris-Schofield</author>
  </authors>
  <commentList>
    <comment ref="M6" authorId="0">
      <text>
        <r>
          <rPr>
            <b/>
            <sz val="9"/>
            <rFont val="Tahoma"/>
            <family val="2"/>
          </rPr>
          <t>Manuela Ris-Schofield:</t>
        </r>
        <r>
          <rPr>
            <sz val="9"/>
            <rFont val="Tahoma"/>
            <family val="2"/>
          </rPr>
          <t xml:space="preserve">
from LRAMVA Tab 5 row378</t>
        </r>
      </text>
    </comment>
  </commentList>
</comments>
</file>

<file path=xl/sharedStrings.xml><?xml version="1.0" encoding="utf-8"?>
<sst xmlns="http://schemas.openxmlformats.org/spreadsheetml/2006/main" count="878" uniqueCount="272">
  <si>
    <t>Standard Error</t>
  </si>
  <si>
    <t>F - Statistic</t>
  </si>
  <si>
    <t xml:space="preserve"> Multiple Regression Equation</t>
  </si>
  <si>
    <t>Independent Analysis</t>
  </si>
  <si>
    <t>Coefficients</t>
  </si>
  <si>
    <t xml:space="preserve"> Intercept</t>
  </si>
  <si>
    <t>Intercept</t>
  </si>
  <si>
    <t>Equation Parameters</t>
  </si>
  <si>
    <t>Exponential</t>
  </si>
  <si>
    <t>Linear</t>
  </si>
  <si>
    <t>Int</t>
  </si>
  <si>
    <t>Leave Blank</t>
  </si>
  <si>
    <t>3rd Ord Poly</t>
  </si>
  <si>
    <t>2nd Ord Poly</t>
  </si>
  <si>
    <t xml:space="preserve"> R Squared</t>
  </si>
  <si>
    <t>Forecast Output</t>
  </si>
  <si>
    <t>Auto Correlation</t>
  </si>
  <si>
    <t>DW-Stat</t>
  </si>
  <si>
    <t xml:space="preserve">Adjusted R-Squared against other Indep </t>
  </si>
  <si>
    <t>Forecast Method</t>
  </si>
  <si>
    <t>Durbin-Watson Statistic</t>
  </si>
  <si>
    <t>Adjusted R Squared</t>
  </si>
  <si>
    <t>t Stat</t>
  </si>
  <si>
    <t>p Value</t>
  </si>
  <si>
    <t>Multicollinearity</t>
  </si>
  <si>
    <t>UPPER</t>
  </si>
  <si>
    <t>LOWER</t>
  </si>
  <si>
    <t>Coef</t>
  </si>
  <si>
    <t>RSQ</t>
  </si>
  <si>
    <t>Coef1</t>
  </si>
  <si>
    <t>Coef2</t>
  </si>
  <si>
    <t>Coef3</t>
  </si>
  <si>
    <t>2nd Order Polynominal</t>
  </si>
  <si>
    <t>3rd Order Polynomial</t>
  </si>
  <si>
    <t>Variable Trend Analysis For Forecasting</t>
  </si>
  <si>
    <t>to +/- on result of Regression Equation</t>
  </si>
  <si>
    <t xml:space="preserve">Step 2: </t>
  </si>
  <si>
    <t>95% Confidence/Autocorrelation</t>
  </si>
  <si>
    <t>Coefficient</t>
  </si>
  <si>
    <t xml:space="preserve">Coefficients: </t>
  </si>
  <si>
    <t>No. Forecast Observations:</t>
  </si>
  <si>
    <t>Include</t>
  </si>
  <si>
    <t>Feature Selection</t>
  </si>
  <si>
    <t>Minimum R-Squared</t>
  </si>
  <si>
    <t>Critical F-Statistic - 95% Confidence</t>
  </si>
  <si>
    <t>Confidence to which analysis holds</t>
  </si>
  <si>
    <t>ON</t>
  </si>
  <si>
    <t xml:space="preserve">Add More Variable Columns </t>
  </si>
  <si>
    <t>Variables With RSQ at &gt; 90%</t>
  </si>
  <si>
    <t>WS</t>
  </si>
  <si>
    <t>HDD</t>
  </si>
  <si>
    <t>CDD</t>
  </si>
  <si>
    <t>Last Rebasing Year</t>
  </si>
  <si>
    <t>Test Year</t>
  </si>
  <si>
    <t>Bridge Year</t>
  </si>
  <si>
    <t>Assigned EB Number</t>
  </si>
  <si>
    <t xml:space="preserve">Utility Name   </t>
  </si>
  <si>
    <t>LDC Info</t>
  </si>
  <si>
    <t>other</t>
  </si>
  <si>
    <t xml:space="preserve"> </t>
  </si>
  <si>
    <t>General Service &gt; 50 to 4999 kW</t>
  </si>
  <si>
    <t>General Service &lt; 50 kW</t>
  </si>
  <si>
    <t>Residential</t>
  </si>
  <si>
    <t>Customer Class Name</t>
  </si>
  <si>
    <t>Customer Class</t>
  </si>
  <si>
    <t>December</t>
  </si>
  <si>
    <t>November</t>
  </si>
  <si>
    <t>October</t>
  </si>
  <si>
    <t>September</t>
  </si>
  <si>
    <t>August</t>
  </si>
  <si>
    <t>July</t>
  </si>
  <si>
    <t>June</t>
  </si>
  <si>
    <t>May</t>
  </si>
  <si>
    <t>April</t>
  </si>
  <si>
    <t>March</t>
  </si>
  <si>
    <t>February</t>
  </si>
  <si>
    <t>January</t>
  </si>
  <si>
    <t>Montth</t>
  </si>
  <si>
    <t>Year</t>
  </si>
  <si>
    <t>kWh</t>
  </si>
  <si>
    <t>kW</t>
  </si>
  <si>
    <t>Total</t>
  </si>
  <si>
    <r>
      <t xml:space="preserve">Consumption should reflect usage in the month, </t>
    </r>
    <r>
      <rPr>
        <b/>
        <u val="single"/>
        <sz val="11"/>
        <rFont val="Arial"/>
        <family val="2"/>
      </rPr>
      <t>not the month in which it was billed</t>
    </r>
    <r>
      <rPr>
        <b/>
        <sz val="11"/>
        <rFont val="Arial"/>
        <family val="2"/>
      </rPr>
      <t xml:space="preserve"> (e.g what was used in January not what was billed in January, etc.).</t>
    </r>
  </si>
  <si>
    <t>2) Number of customers is defined as number of connections (i.e., meters). Add or delete rate classes as appropriate.</t>
  </si>
  <si>
    <t>1) "Metered" or Class consumption is monthly usage measured at the retail meter, unadjusted for losses (i.e., the retail consumption amount)</t>
  </si>
  <si>
    <t xml:space="preserve">Notes: </t>
  </si>
  <si>
    <t>Adjusted</t>
  </si>
  <si>
    <t>In the section below, LDCs can adjust the computed customer count for the Bridge and Test Year for special cirumstance such as new subdivision or loss of customer or other utiliy specific reasons.</t>
  </si>
  <si>
    <t>Geomean</t>
  </si>
  <si>
    <t>Growth Rate</t>
  </si>
  <si>
    <t>Customers or Connections</t>
  </si>
  <si>
    <t>Date</t>
  </si>
  <si>
    <t>Customer Growth Chart</t>
  </si>
  <si>
    <t>Cust Count</t>
  </si>
  <si>
    <t>Revised Wholesale Purchases</t>
  </si>
  <si>
    <t>Adjustment to Wholesale (i.e loss of user)</t>
  </si>
  <si>
    <t>Unadjusted Wholesale Purchases kWh</t>
  </si>
  <si>
    <t>Variables Used</t>
  </si>
  <si>
    <t>Added Load</t>
  </si>
  <si>
    <t>New Customer</t>
  </si>
  <si>
    <t>GS&lt;50</t>
  </si>
  <si>
    <t>Load corrected based on utility input</t>
  </si>
  <si>
    <t>Per customer</t>
  </si>
  <si>
    <t>Weather Normal</t>
  </si>
  <si>
    <t>Ratio%</t>
  </si>
  <si>
    <t>Avg</t>
  </si>
  <si>
    <t>kWh per connection</t>
  </si>
  <si>
    <t>Connection</t>
  </si>
  <si>
    <t>KW/kWh Ratio</t>
  </si>
  <si>
    <t>KW per connection</t>
  </si>
  <si>
    <t>Cust/Conn</t>
  </si>
  <si>
    <t>Weather Adjusted Load Forecast Results</t>
  </si>
  <si>
    <t>Target</t>
  </si>
  <si>
    <t>Share</t>
  </si>
  <si>
    <t>Amount used for CDM threshold for LRAMVA (2014)</t>
  </si>
  <si>
    <t xml:space="preserve">Default Value selection rationale.  </t>
  </si>
  <si>
    <t>Weight Factor for each year's CDM program impact on 2014 load forecast</t>
  </si>
  <si>
    <t>Weight Factor for Inclusion in CDM Adjustment to 2014 Load Forecast</t>
  </si>
  <si>
    <t>Total in Year</t>
  </si>
  <si>
    <t>2014 CDM Programs</t>
  </si>
  <si>
    <t>2013 CDM Programs</t>
  </si>
  <si>
    <t>2012 CDM Programs</t>
  </si>
  <si>
    <t>2011 CDM Programs</t>
  </si>
  <si>
    <t>4 Year (2011-2014) kWh Target:</t>
  </si>
  <si>
    <t>Final Load Forecast Results</t>
  </si>
  <si>
    <t>GS&gt;50</t>
  </si>
  <si>
    <t xml:space="preserve">Average per customer </t>
  </si>
  <si>
    <t>%chg</t>
  </si>
  <si>
    <t>Cust</t>
  </si>
  <si>
    <t>Consumption</t>
  </si>
  <si>
    <t>Customer/ Connection</t>
  </si>
  <si>
    <t>Wholesale Purchases</t>
  </si>
  <si>
    <t>Retail Consumption</t>
  </si>
  <si>
    <t>Wholesale</t>
  </si>
  <si>
    <t>Adjustements to Wholesale Purchases</t>
  </si>
  <si>
    <t>Load Forecast CDM Adjustment Work Form (2015)</t>
  </si>
  <si>
    <t>2011-2014 CDM Program - 2014, last year of the current CDM plan</t>
  </si>
  <si>
    <t>2015-2020 CDM Program - 2015, first year of the current CDM plan</t>
  </si>
  <si>
    <t>6 Year (2015-2020) kWh Target:</t>
  </si>
  <si>
    <t>%</t>
  </si>
  <si>
    <t>2015 CDM Programs</t>
  </si>
  <si>
    <t>2016 CDM Programs</t>
  </si>
  <si>
    <t>2017 CDM Programs</t>
  </si>
  <si>
    <t>2018 CDM Programs</t>
  </si>
  <si>
    <t>2019 CDM Programs</t>
  </si>
  <si>
    <t>2020 CDM Programs</t>
  </si>
  <si>
    <t>Distributor can select "0", "0.5", or "1" from drop-down list</t>
  </si>
  <si>
    <t>2011-2014 and 2015-2020 LRAMVA and 2015 CDM adjustment to Load Forecast</t>
  </si>
  <si>
    <t>2011 CDM adjustment (per Board Decision in 2011 Cost of Service Application)</t>
  </si>
  <si>
    <t>Amount used for CDM threshold for LRAMVA (2015)</t>
  </si>
  <si>
    <t>Manual Adjustment for 2015 Load Forecast (billed basis)</t>
  </si>
  <si>
    <t xml:space="preserve"> Adjusted load from 2015 Forecast</t>
  </si>
  <si>
    <t xml:space="preserve">Total Wholesale </t>
  </si>
  <si>
    <t>Actual kWh</t>
  </si>
  <si>
    <t>Customer</t>
  </si>
  <si>
    <t>kWh per customer</t>
  </si>
  <si>
    <t>KW per customer</t>
  </si>
  <si>
    <t>Weather Sensitive</t>
  </si>
  <si>
    <t>year over year</t>
  </si>
  <si>
    <t>Median</t>
  </si>
  <si>
    <t>Mean</t>
  </si>
  <si>
    <t>Adjustments</t>
  </si>
  <si>
    <t>Adjustment to Wholesale (FIT &amp; Microfit)</t>
  </si>
  <si>
    <t>kWh Purchased VS Weather Adjsuted</t>
  </si>
  <si>
    <t>kWh Purchased VS kWh Adjsuted for Loss of Intermediate Cust and impact of FIT &amp; Microfit</t>
  </si>
  <si>
    <t>Origine of variables</t>
  </si>
  <si>
    <t>AVG Temp: Stats Canada</t>
  </si>
  <si>
    <t>Variance Inflation Factor</t>
  </si>
  <si>
    <t>Residential Actual kWh</t>
  </si>
  <si>
    <t xml:space="preserve">Total Actual Wholesale </t>
  </si>
  <si>
    <t>Residential Weather Normal</t>
  </si>
  <si>
    <t>(F2 to toggle between value and formula)</t>
  </si>
  <si>
    <t>(without impacts of CDM)</t>
  </si>
  <si>
    <t>R Squared</t>
  </si>
  <si>
    <t>kWh/cust</t>
  </si>
  <si>
    <t>kW/cust</t>
  </si>
  <si>
    <t>kWh/conn</t>
  </si>
  <si>
    <t>kW/conn</t>
  </si>
  <si>
    <t>StreetLights</t>
  </si>
  <si>
    <t xml:space="preserve">Winter: </t>
  </si>
  <si>
    <t xml:space="preserve">Employment: </t>
  </si>
  <si>
    <t xml:space="preserve">Cust count: </t>
  </si>
  <si>
    <t>Utiliyt Name</t>
  </si>
  <si>
    <t>EB-0000-0000</t>
  </si>
  <si>
    <t>USL</t>
  </si>
  <si>
    <t>Unmetered Scattered Load</t>
  </si>
  <si>
    <t>Number of Customer/ Connection</t>
  </si>
  <si>
    <t>Daylight hours</t>
  </si>
  <si>
    <t>NoD in Month</t>
  </si>
  <si>
    <t>Positive autocorrelation detected</t>
  </si>
  <si>
    <t>Total for 2018</t>
  </si>
  <si>
    <t xml:space="preserve">Final Adjusted (kWh) </t>
  </si>
  <si>
    <t>Fixed</t>
  </si>
  <si>
    <t>Variable</t>
  </si>
  <si>
    <t>Revenues</t>
  </si>
  <si>
    <t>General Service &gt; 50 kW - 4999 kW</t>
  </si>
  <si>
    <t>Streetlighting</t>
  </si>
  <si>
    <t>2014 Board Approved</t>
  </si>
  <si>
    <t xml:space="preserve">Variance </t>
  </si>
  <si>
    <t>Predicted Wholesale</t>
  </si>
  <si>
    <t>Predicted  Wholesale</t>
  </si>
  <si>
    <t xml:space="preserve">Predicted </t>
  </si>
  <si>
    <t xml:space="preserve">Adjsuted </t>
  </si>
  <si>
    <t>Wholesale VS Adj.</t>
  </si>
  <si>
    <t>Wholeslae</t>
  </si>
  <si>
    <t>Wholesale vs Predicted</t>
  </si>
  <si>
    <t>Period</t>
  </si>
  <si>
    <t>Actual</t>
  </si>
  <si>
    <t>Forecast</t>
  </si>
  <si>
    <t>Error</t>
  </si>
  <si>
    <t xml:space="preserve">Absolute Value of Error </t>
  </si>
  <si>
    <t>Square  of Error</t>
  </si>
  <si>
    <t>Absolute Values of Errors Divided by Actual Values.</t>
  </si>
  <si>
    <t>t</t>
  </si>
  <si>
    <t>Totals</t>
  </si>
  <si>
    <r>
      <t xml:space="preserve"> A</t>
    </r>
    <r>
      <rPr>
        <vertAlign val="subscript"/>
        <sz val="11"/>
        <color indexed="8"/>
        <rFont val="Arial"/>
        <family val="2"/>
      </rPr>
      <t>t</t>
    </r>
  </si>
  <si>
    <r>
      <t>F</t>
    </r>
    <r>
      <rPr>
        <vertAlign val="subscript"/>
        <sz val="11"/>
        <color indexed="8"/>
        <rFont val="Arial"/>
        <family val="2"/>
      </rPr>
      <t>t</t>
    </r>
  </si>
  <si>
    <r>
      <t xml:space="preserve"> A</t>
    </r>
    <r>
      <rPr>
        <vertAlign val="subscript"/>
        <sz val="11"/>
        <color indexed="8"/>
        <rFont val="Arial"/>
        <family val="2"/>
      </rPr>
      <t xml:space="preserve">t </t>
    </r>
    <r>
      <rPr>
        <sz val="10"/>
        <rFont val="Arial"/>
        <family val="2"/>
      </rPr>
      <t>-F</t>
    </r>
    <r>
      <rPr>
        <vertAlign val="subscript"/>
        <sz val="11"/>
        <color indexed="8"/>
        <rFont val="Arial"/>
        <family val="2"/>
      </rPr>
      <t>t</t>
    </r>
  </si>
  <si>
    <r>
      <t>| A</t>
    </r>
    <r>
      <rPr>
        <vertAlign val="subscript"/>
        <sz val="11"/>
        <color indexed="8"/>
        <rFont val="Arial"/>
        <family val="2"/>
      </rPr>
      <t>t</t>
    </r>
    <r>
      <rPr>
        <sz val="10"/>
        <rFont val="Arial"/>
        <family val="2"/>
      </rPr>
      <t xml:space="preserve"> -F</t>
    </r>
    <r>
      <rPr>
        <vertAlign val="subscript"/>
        <sz val="11"/>
        <color indexed="8"/>
        <rFont val="Arial"/>
        <family val="2"/>
      </rPr>
      <t>t</t>
    </r>
    <r>
      <rPr>
        <sz val="10"/>
        <rFont val="Arial"/>
        <family val="2"/>
      </rPr>
      <t>|</t>
    </r>
  </si>
  <si>
    <r>
      <t>( A</t>
    </r>
    <r>
      <rPr>
        <vertAlign val="subscript"/>
        <sz val="11"/>
        <color indexed="8"/>
        <rFont val="Arial"/>
        <family val="2"/>
      </rPr>
      <t>t</t>
    </r>
    <r>
      <rPr>
        <sz val="10"/>
        <rFont val="Arial"/>
        <family val="2"/>
      </rPr>
      <t xml:space="preserve"> -F</t>
    </r>
    <r>
      <rPr>
        <vertAlign val="subscript"/>
        <sz val="11"/>
        <color indexed="8"/>
        <rFont val="Arial"/>
        <family val="2"/>
      </rPr>
      <t>t</t>
    </r>
    <r>
      <rPr>
        <sz val="10"/>
        <rFont val="Arial"/>
        <family val="2"/>
      </rPr>
      <t>)^2</t>
    </r>
  </si>
  <si>
    <r>
      <t>| (A</t>
    </r>
    <r>
      <rPr>
        <vertAlign val="subscript"/>
        <sz val="11"/>
        <color indexed="8"/>
        <rFont val="Arial"/>
        <family val="2"/>
      </rPr>
      <t>t</t>
    </r>
    <r>
      <rPr>
        <sz val="10"/>
        <rFont val="Arial"/>
        <family val="2"/>
      </rPr>
      <t xml:space="preserve"> -F</t>
    </r>
    <r>
      <rPr>
        <vertAlign val="subscript"/>
        <sz val="11"/>
        <color indexed="8"/>
        <rFont val="Arial"/>
        <family val="2"/>
      </rPr>
      <t>t</t>
    </r>
    <r>
      <rPr>
        <sz val="10"/>
        <rFont val="Arial"/>
        <family val="2"/>
      </rPr>
      <t>)/A</t>
    </r>
    <r>
      <rPr>
        <vertAlign val="subscript"/>
        <sz val="11"/>
        <color indexed="8"/>
        <rFont val="Arial"/>
        <family val="2"/>
      </rPr>
      <t>t</t>
    </r>
    <r>
      <rPr>
        <sz val="10"/>
        <rFont val="Arial"/>
        <family val="2"/>
      </rPr>
      <t>|</t>
    </r>
  </si>
  <si>
    <t>2017+2018</t>
  </si>
  <si>
    <t>total</t>
  </si>
  <si>
    <t>verified (kWh)</t>
  </si>
  <si>
    <t>verified (kW)</t>
  </si>
  <si>
    <t>CDM Plan</t>
  </si>
  <si>
    <t>Alternate Allocation methodology as suggested in Settlement Conference</t>
  </si>
  <si>
    <t>Methodology as filed</t>
  </si>
  <si>
    <t>Spring Fall</t>
  </si>
  <si>
    <t>Sentinel</t>
  </si>
  <si>
    <t>Streetlights</t>
  </si>
  <si>
    <t>Large User</t>
  </si>
  <si>
    <t>='Bridge&amp;Test Year Class Forecast'!K17</t>
  </si>
  <si>
    <t xml:space="preserve">Per Customer Weather Normalized </t>
  </si>
  <si>
    <t>RRR 2.1.5</t>
  </si>
  <si>
    <t xml:space="preserve"> Kwh</t>
  </si>
  <si>
    <t xml:space="preserve"> Cust Count</t>
  </si>
  <si>
    <t xml:space="preserve"> kW</t>
  </si>
  <si>
    <t xml:space="preserve">Sentinel </t>
  </si>
  <si>
    <t xml:space="preserve">Street Lighting </t>
  </si>
  <si>
    <t>Connection Count</t>
  </si>
  <si>
    <t>Connections</t>
  </si>
  <si>
    <t>HDD: Stats Canada Wiarton</t>
  </si>
  <si>
    <t>CDD :Stats Canada Wiarton</t>
  </si>
  <si>
    <t>CustCount</t>
  </si>
  <si>
    <t>Wiarton</t>
  </si>
  <si>
    <t>TO</t>
  </si>
  <si>
    <t>2023</t>
  </si>
  <si>
    <t>2024</t>
  </si>
  <si>
    <t>WHOLESALE RRR</t>
  </si>
  <si>
    <t xml:space="preserve">(Retail) RRR excl. losses </t>
  </si>
  <si>
    <t>System losses</t>
  </si>
  <si>
    <t>Embedded Gen</t>
  </si>
  <si>
    <t>Load Transfer</t>
  </si>
  <si>
    <t xml:space="preserve">(Wholesale) RRR Including losses </t>
  </si>
  <si>
    <t>Retail RRR</t>
  </si>
  <si>
    <t>Difference between LF and RRR</t>
  </si>
  <si>
    <t xml:space="preserve">Total </t>
  </si>
  <si>
    <t>16-17 do not include LTLT (?)</t>
  </si>
  <si>
    <t>Retail LF</t>
  </si>
  <si>
    <t>Wholesale LF</t>
  </si>
  <si>
    <t>Diff (LF vs RRR)</t>
  </si>
  <si>
    <t>Wholesale RRR</t>
  </si>
  <si>
    <t>10 yr avg</t>
  </si>
  <si>
    <t>avg vs 2020</t>
  </si>
  <si>
    <t>Avg vs 2021</t>
  </si>
  <si>
    <t>Avg vs 2022</t>
  </si>
  <si>
    <t>2018 BA</t>
  </si>
  <si>
    <t>Customers</t>
  </si>
  <si>
    <t>GS &lt; 50 kW</t>
  </si>
  <si>
    <t>GS &gt; 50 to 4999 kW</t>
  </si>
  <si>
    <t xml:space="preserve">Year over Year Variance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</si>
</sst>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
    <numFmt numFmtId="169" formatCode="#,##0.000"/>
    <numFmt numFmtId="170" formatCode="#,##0.0000"/>
    <numFmt numFmtId="171" formatCode="#,##0.00000"/>
    <numFmt numFmtId="172" formatCode="0.0"/>
    <numFmt numFmtId="173" formatCode="0.000"/>
    <numFmt numFmtId="174" formatCode="_(* #,##0.0_);_(* \(#,##0.0\);_(* &quot;-&quot;??_);_(@_)"/>
    <numFmt numFmtId="175" formatCode="_(* #,##0_);_(* \(#,##0\);_(* &quot;-&quot;??_);_(@_)"/>
    <numFmt numFmtId="176" formatCode="_-&quot;$&quot;* #,##0_-;\-&quot;$&quot;* #,##0_-;_-&quot;$&quot;* &quot;-&quot;??_-;_-@_-"/>
    <numFmt numFmtId="177" formatCode="_-* #,##0_-;\-* #,##0_-;_-* &quot;-&quot;??_-;_-@_-"/>
    <numFmt numFmtId="178" formatCode="#,##0_ ;\-#,##0\ "/>
    <numFmt numFmtId="179" formatCode="_(* #,##0.00_);_(* \(#,##0.00\);_(* \-??_);_(@_)"/>
    <numFmt numFmtId="180" formatCode="#,##0.0000000"/>
    <numFmt numFmtId="181" formatCode="_-* #,##0.000_-;\-* #,##0.000_-;_-* &quot;-&quot;??_-;_-@_-"/>
    <numFmt numFmtId="182" formatCode="#,##0.000000"/>
    <numFmt numFmtId="183" formatCode="#,##0.0"/>
    <numFmt numFmtId="184" formatCode="_(* #,##0.0_);_(* \(#,##0.0\);_(* \-??_);_(@_)"/>
    <numFmt numFmtId="185" formatCode="mm/dd/yyyy"/>
    <numFmt numFmtId="186" formatCode="0\-0"/>
    <numFmt numFmtId="187" formatCode="_-* #,##0.00_-;\-* #,##0.00_-;_-* \-??_-;_-@_-"/>
    <numFmt numFmtId="188" formatCode="_-\$* #,##0.00_-;&quot;-$&quot;* #,##0.00_-;_-\$* \-??_-;_-@_-"/>
    <numFmt numFmtId="189" formatCode="_(\$* #,##0.00_);_(\$* \(#,##0.00\);_(\$* \-??_);_(@_)"/>
    <numFmt numFmtId="190" formatCode="\$#,##0_);&quot;($&quot;#,##0\)"/>
    <numFmt numFmtId="191" formatCode="##\-#"/>
    <numFmt numFmtId="192" formatCode="_(* #,##0_);_(* \(#,##0\);_(* \-??_);_(@_)"/>
    <numFmt numFmtId="193" formatCode="&quot;£ &quot;#,##0.00;[Red]&quot;-£ &quot;#,##0.00"/>
    <numFmt numFmtId="194" formatCode="[$-409]mmmm\ d\,\ yyyy;@"/>
    <numFmt numFmtId="195" formatCode="&quot;£ &quot;#,##0.00;[Red]\-&quot;£ &quot;#,##0.00"/>
    <numFmt numFmtId="196" formatCode="0.000000"/>
    <numFmt numFmtId="197" formatCode="0.00000"/>
    <numFmt numFmtId="198" formatCode="[$-1009]mmmm\ d\,\ yyyy"/>
    <numFmt numFmtId="199" formatCode="[$-409]h:mm:ss\ AM/PM"/>
    <numFmt numFmtId="200" formatCode="&quot;Yes&quot;;&quot;Yes&quot;;&quot;No&quot;"/>
    <numFmt numFmtId="201" formatCode="&quot;True&quot;;&quot;True&quot;;&quot;False&quot;"/>
    <numFmt numFmtId="202" formatCode="&quot;On&quot;;&quot;On&quot;;&quot;Off&quot;"/>
    <numFmt numFmtId="203" formatCode="[$€-2]\ #,##0.00_);[Red]\([$€-2]\ #,##0.00\)"/>
    <numFmt numFmtId="204" formatCode="&quot;$&quot;* #,##0_);[Red]&quot;$&quot;* \(#,##0\);&quot;$&quot;* &quot;-&quot;"/>
    <numFmt numFmtId="205" formatCode="&quot;$&quot;* #,##0.000_);[Red]&quot;$&quot;* \(#,##0.000\);&quot;$&quot;* &quot;-&quot;"/>
    <numFmt numFmtId="206" formatCode="&quot;$&quot;* #,##0.00_);[Red]&quot;$&quot;* \(#,##0.00\);&quot;$&quot;* &quot;-&quot;"/>
    <numFmt numFmtId="207" formatCode="&quot;$&quot;* #,##0_);&quot;$&quot;* \(#,##0\);&quot;$&quot;* &quot;-&quot;"/>
    <numFmt numFmtId="208" formatCode="&quot;$&quot;* #,##0.00_);&quot;$&quot;* \(#,##0.00\);&quot;$&quot;* &quot;-&quot;"/>
    <numFmt numFmtId="209" formatCode="* #,##0_);* \(#,##0\);* &quot;-&quot;"/>
    <numFmt numFmtId="210" formatCode="_-* #,##0.0_-;\-* #,##0.0_-;_-* &quot;-&quot;??_-;_-@_-"/>
    <numFmt numFmtId="211" formatCode="_-* #,##0.0000_-;\-* #,##0.0000_-;_-* &quot;-&quot;??_-;_-@_-"/>
    <numFmt numFmtId="212" formatCode="_-* #,##0.00000_-;\-* #,##0.00000_-;_-* &quot;-&quot;??_-;_-@_-"/>
    <numFmt numFmtId="213" formatCode="_(&quot;$&quot;* #,##0.0000_);_(&quot;$&quot;* \(#,##0.0000\);_(&quot;$&quot;* &quot;-&quot;??_);_(@_)"/>
    <numFmt numFmtId="214" formatCode="&quot;$&quot;#,##0.0;[Red]\-&quot;$&quot;#,##0.0"/>
    <numFmt numFmtId="215" formatCode="&quot;$&quot;#,##0.000;[Red]\-&quot;$&quot;#,##0.000"/>
    <numFmt numFmtId="216" formatCode="&quot;$&quot;#,##0.0000;[Red]\-&quot;$&quot;#,##0.0000"/>
    <numFmt numFmtId="217" formatCode="[$-F800]dddd\,\ mmmm\ dd\,\ yyyy"/>
    <numFmt numFmtId="218" formatCode="&quot;$&quot;#,##0.00"/>
    <numFmt numFmtId="219" formatCode="0;[Red]0"/>
    <numFmt numFmtId="220" formatCode="0_ ;[Red]\-0\ "/>
    <numFmt numFmtId="221" formatCode="&quot;$&quot;#,##0.000"/>
    <numFmt numFmtId="222" formatCode="&quot;$&quot;#,##0.0000"/>
    <numFmt numFmtId="223" formatCode="&quot;$&quot;#,##0.0"/>
    <numFmt numFmtId="224" formatCode="&quot;$&quot;#,##0"/>
    <numFmt numFmtId="225" formatCode="0.0000000"/>
    <numFmt numFmtId="226" formatCode="0.0%"/>
  </numFmts>
  <fonts count="175">
    <font>
      <sz val="10"/>
      <name val="Times New Roman"/>
      <family val="0"/>
    </font>
    <font>
      <sz val="11"/>
      <color indexed="8"/>
      <name val="Calibri"/>
      <family val="2"/>
    </font>
    <font>
      <sz val="9"/>
      <name val="Arial"/>
      <family val="2"/>
    </font>
    <font>
      <sz val="10"/>
      <name val="Helv"/>
      <family val="0"/>
    </font>
    <font>
      <b/>
      <sz val="9"/>
      <color indexed="33"/>
      <name val="Arial"/>
      <family val="2"/>
    </font>
    <font>
      <b/>
      <sz val="8"/>
      <name val="Arial"/>
      <family val="2"/>
    </font>
    <font>
      <sz val="10"/>
      <name val="Arial"/>
      <family val="2"/>
    </font>
    <font>
      <sz val="12"/>
      <name val="Arial"/>
      <family val="2"/>
    </font>
    <font>
      <b/>
      <sz val="10"/>
      <name val="Arial"/>
      <family val="2"/>
    </font>
    <font>
      <sz val="10"/>
      <color indexed="9"/>
      <name val="Arial"/>
      <family val="2"/>
    </font>
    <font>
      <b/>
      <sz val="11"/>
      <name val="Arial"/>
      <family val="2"/>
    </font>
    <font>
      <sz val="8"/>
      <color indexed="23"/>
      <name val="Arial"/>
      <family val="2"/>
    </font>
    <font>
      <sz val="8"/>
      <name val="Arial"/>
      <family val="2"/>
    </font>
    <font>
      <b/>
      <sz val="10"/>
      <color indexed="11"/>
      <name val="Arial"/>
      <family val="2"/>
    </font>
    <font>
      <b/>
      <sz val="10"/>
      <color indexed="18"/>
      <name val="Arial"/>
      <family val="2"/>
    </font>
    <font>
      <b/>
      <sz val="12"/>
      <color indexed="43"/>
      <name val="Arial"/>
      <family val="2"/>
    </font>
    <font>
      <sz val="10"/>
      <color indexed="18"/>
      <name val="Arial"/>
      <family val="2"/>
    </font>
    <font>
      <sz val="8"/>
      <color indexed="18"/>
      <name val="Arial"/>
      <family val="2"/>
    </font>
    <font>
      <b/>
      <sz val="10"/>
      <color indexed="9"/>
      <name val="Arial"/>
      <family val="2"/>
    </font>
    <font>
      <sz val="10"/>
      <color indexed="63"/>
      <name val="Arial"/>
      <family val="2"/>
    </font>
    <font>
      <sz val="10"/>
      <color indexed="47"/>
      <name val="Arial"/>
      <family val="2"/>
    </font>
    <font>
      <sz val="12"/>
      <color indexed="47"/>
      <name val="Arial"/>
      <family val="2"/>
    </font>
    <font>
      <b/>
      <sz val="9"/>
      <name val="Arial"/>
      <family val="2"/>
    </font>
    <font>
      <b/>
      <sz val="8"/>
      <color indexed="9"/>
      <name val="Arial"/>
      <family val="2"/>
    </font>
    <font>
      <u val="single"/>
      <sz val="10"/>
      <color indexed="12"/>
      <name val="Times New Roman"/>
      <family val="1"/>
    </font>
    <font>
      <u val="single"/>
      <sz val="10"/>
      <color indexed="36"/>
      <name val="Times New Roman"/>
      <family val="1"/>
    </font>
    <font>
      <sz val="8"/>
      <name val="Times New Roman"/>
      <family val="1"/>
    </font>
    <font>
      <b/>
      <sz val="9"/>
      <color indexed="18"/>
      <name val="Arial"/>
      <family val="2"/>
    </font>
    <font>
      <b/>
      <sz val="10"/>
      <color indexed="51"/>
      <name val="Arial"/>
      <family val="2"/>
    </font>
    <font>
      <b/>
      <sz val="12"/>
      <color indexed="51"/>
      <name val="Arial"/>
      <family val="2"/>
    </font>
    <font>
      <b/>
      <sz val="9"/>
      <color indexed="51"/>
      <name val="Arial"/>
      <family val="2"/>
    </font>
    <font>
      <sz val="11"/>
      <color indexed="10"/>
      <name val="Calibri"/>
      <family val="2"/>
    </font>
    <font>
      <sz val="11"/>
      <name val="Arial"/>
      <family val="2"/>
    </font>
    <font>
      <b/>
      <u val="single"/>
      <sz val="11"/>
      <name val="Arial"/>
      <family val="2"/>
    </font>
    <font>
      <i/>
      <sz val="10"/>
      <name val="Arial"/>
      <family val="2"/>
    </font>
    <font>
      <sz val="10"/>
      <color indexed="8"/>
      <name val="Arial"/>
      <family val="2"/>
    </font>
    <font>
      <b/>
      <sz val="10"/>
      <color indexed="8"/>
      <name val="Arial"/>
      <family val="2"/>
    </font>
    <font>
      <sz val="10"/>
      <name val="Mangal"/>
      <family val="2"/>
    </font>
    <font>
      <sz val="6"/>
      <name val="Arial"/>
      <family val="2"/>
    </font>
    <font>
      <i/>
      <sz val="9"/>
      <name val="Arial"/>
      <family val="2"/>
    </font>
    <font>
      <u val="single"/>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0"/>
      <color indexed="10"/>
      <name val="Arial"/>
      <family val="2"/>
    </font>
    <font>
      <b/>
      <sz val="10"/>
      <color indexed="63"/>
      <name val="Arial"/>
      <family val="2"/>
    </font>
    <font>
      <b/>
      <sz val="18"/>
      <color indexed="62"/>
      <name val="Cambria"/>
      <family val="2"/>
    </font>
    <font>
      <b/>
      <i/>
      <u val="single"/>
      <sz val="12"/>
      <color indexed="8"/>
      <name val="Arial"/>
      <family val="2"/>
    </font>
    <font>
      <b/>
      <sz val="18"/>
      <color indexed="8"/>
      <name val="Arial"/>
      <family val="2"/>
    </font>
    <font>
      <b/>
      <sz val="10"/>
      <color indexed="10"/>
      <name val="Arial"/>
      <family val="2"/>
    </font>
    <font>
      <i/>
      <sz val="10"/>
      <color indexed="8"/>
      <name val="Arial"/>
      <family val="2"/>
    </font>
    <font>
      <b/>
      <sz val="9"/>
      <color indexed="8"/>
      <name val="Arial"/>
      <family val="2"/>
    </font>
    <font>
      <b/>
      <i/>
      <sz val="10"/>
      <color indexed="8"/>
      <name val="Arial"/>
      <family val="2"/>
    </font>
    <font>
      <i/>
      <sz val="12"/>
      <color indexed="8"/>
      <name val="Arial"/>
      <family val="2"/>
    </font>
    <font>
      <sz val="9"/>
      <color indexed="8"/>
      <name val="Arial"/>
      <family val="2"/>
    </font>
    <font>
      <i/>
      <sz val="16"/>
      <color indexed="8"/>
      <name val="Arial"/>
      <family val="2"/>
    </font>
    <font>
      <sz val="11"/>
      <color indexed="16"/>
      <name val="Calibri"/>
      <family val="2"/>
    </font>
    <font>
      <sz val="11"/>
      <color indexed="34"/>
      <name val="Calibri"/>
      <family val="2"/>
    </font>
    <font>
      <sz val="10"/>
      <color indexed="34"/>
      <name val="Arial"/>
      <family val="2"/>
    </font>
    <font>
      <b/>
      <sz val="11"/>
      <color indexed="59"/>
      <name val="Calibri"/>
      <family val="2"/>
    </font>
    <font>
      <b/>
      <sz val="11"/>
      <color indexed="52"/>
      <name val="Calibri"/>
      <family val="2"/>
    </font>
    <font>
      <b/>
      <sz val="10"/>
      <color indexed="52"/>
      <name val="Arial"/>
      <family val="2"/>
    </font>
    <font>
      <i/>
      <sz val="11"/>
      <color indexed="19"/>
      <name val="Calibri"/>
      <family val="2"/>
    </font>
    <font>
      <i/>
      <sz val="10"/>
      <color indexed="23"/>
      <name val="Arial"/>
      <family val="2"/>
    </font>
    <font>
      <sz val="11"/>
      <color indexed="56"/>
      <name val="Calibri"/>
      <family val="2"/>
    </font>
    <font>
      <sz val="10"/>
      <color indexed="56"/>
      <name val="Arial"/>
      <family val="2"/>
    </font>
    <font>
      <b/>
      <sz val="15"/>
      <color indexed="62"/>
      <name val="Calibri"/>
      <family val="2"/>
    </font>
    <font>
      <b/>
      <sz val="15"/>
      <color indexed="11"/>
      <name val="Calibri"/>
      <family val="2"/>
    </font>
    <font>
      <b/>
      <sz val="13"/>
      <color indexed="62"/>
      <name val="Calibri"/>
      <family val="2"/>
    </font>
    <font>
      <b/>
      <sz val="13"/>
      <color indexed="11"/>
      <name val="Calibri"/>
      <family val="2"/>
    </font>
    <font>
      <b/>
      <sz val="11"/>
      <color indexed="62"/>
      <name val="Calibri"/>
      <family val="2"/>
    </font>
    <font>
      <b/>
      <sz val="11"/>
      <color indexed="11"/>
      <name val="Calibri"/>
      <family val="2"/>
    </font>
    <font>
      <b/>
      <sz val="11"/>
      <color indexed="11"/>
      <name val="Arial"/>
      <family val="2"/>
    </font>
    <font>
      <u val="single"/>
      <sz val="7.5"/>
      <color indexed="12"/>
      <name val="Arial"/>
      <family val="2"/>
    </font>
    <font>
      <u val="single"/>
      <sz val="10"/>
      <color indexed="12"/>
      <name val="Arial"/>
      <family val="2"/>
    </font>
    <font>
      <sz val="11"/>
      <color indexed="63"/>
      <name val="Calibri"/>
      <family val="2"/>
    </font>
    <font>
      <sz val="10"/>
      <color indexed="62"/>
      <name val="Arial"/>
      <family val="2"/>
    </font>
    <font>
      <sz val="11"/>
      <color indexed="59"/>
      <name val="Calibri"/>
      <family val="2"/>
    </font>
    <font>
      <sz val="11"/>
      <color indexed="52"/>
      <name val="Calibri"/>
      <family val="2"/>
    </font>
    <font>
      <sz val="10"/>
      <color indexed="52"/>
      <name val="Arial"/>
      <family val="2"/>
    </font>
    <font>
      <sz val="11"/>
      <color indexed="60"/>
      <name val="Calibri"/>
      <family val="2"/>
    </font>
    <font>
      <sz val="11"/>
      <color indexed="23"/>
      <name val="Calibri"/>
      <family val="2"/>
    </font>
    <font>
      <sz val="10"/>
      <color indexed="23"/>
      <name val="Arial"/>
      <family val="2"/>
    </font>
    <font>
      <sz val="10"/>
      <color indexed="8"/>
      <name val="Courier New"/>
      <family val="2"/>
    </font>
    <font>
      <b/>
      <sz val="18"/>
      <color indexed="11"/>
      <name val="Cambria"/>
      <family val="2"/>
    </font>
    <font>
      <b/>
      <sz val="1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10"/>
      <color indexed="20"/>
      <name val="Arial"/>
      <family val="2"/>
    </font>
    <font>
      <sz val="10"/>
      <color indexed="17"/>
      <name val="Arial"/>
      <family val="2"/>
    </font>
    <font>
      <b/>
      <sz val="15"/>
      <color indexed="62"/>
      <name val="Arial"/>
      <family val="2"/>
    </font>
    <font>
      <b/>
      <sz val="15"/>
      <color indexed="56"/>
      <name val="Arial"/>
      <family val="2"/>
    </font>
    <font>
      <b/>
      <sz val="13"/>
      <color indexed="62"/>
      <name val="Arial"/>
      <family val="2"/>
    </font>
    <font>
      <b/>
      <sz val="13"/>
      <color indexed="56"/>
      <name val="Arial"/>
      <family val="2"/>
    </font>
    <font>
      <b/>
      <sz val="11"/>
      <color indexed="62"/>
      <name val="Arial"/>
      <family val="2"/>
    </font>
    <font>
      <b/>
      <sz val="11"/>
      <color indexed="56"/>
      <name val="Arial"/>
      <family val="2"/>
    </font>
    <font>
      <sz val="10"/>
      <color indexed="60"/>
      <name val="Arial"/>
      <family val="2"/>
    </font>
    <font>
      <b/>
      <sz val="11"/>
      <color indexed="53"/>
      <name val="Calibri"/>
      <family val="2"/>
    </font>
    <font>
      <i/>
      <sz val="11"/>
      <color indexed="21"/>
      <name val="Calibri"/>
      <family val="2"/>
    </font>
    <font>
      <sz val="11"/>
      <color indexed="53"/>
      <name val="Calibri"/>
      <family val="2"/>
    </font>
    <font>
      <sz val="11"/>
      <color indexed="19"/>
      <name val="Calibri"/>
      <family val="2"/>
    </font>
    <font>
      <sz val="8"/>
      <color indexed="8"/>
      <name val="Arial"/>
      <family val="2"/>
    </font>
    <font>
      <vertAlign val="subscript"/>
      <sz val="11"/>
      <color indexed="8"/>
      <name val="Arial"/>
      <family val="2"/>
    </font>
    <font>
      <sz val="9"/>
      <name val="Tahoma"/>
      <family val="2"/>
    </font>
    <font>
      <b/>
      <sz val="9"/>
      <name val="Tahoma"/>
      <family val="2"/>
    </font>
    <font>
      <b/>
      <i/>
      <sz val="10"/>
      <name val="Arial"/>
      <family val="2"/>
    </font>
    <font>
      <sz val="8.25"/>
      <color indexed="8"/>
      <name val="Arial"/>
      <family val="2"/>
    </font>
    <font>
      <b/>
      <vertAlign val="superscript"/>
      <sz val="9"/>
      <color indexed="8"/>
      <name val="Arial"/>
      <family val="2"/>
    </font>
    <font>
      <sz val="10"/>
      <color indexed="8"/>
      <name val="Calibri"/>
      <family val="2"/>
    </font>
    <font>
      <sz val="9"/>
      <color indexed="63"/>
      <name val="Calibri"/>
      <family val="2"/>
    </font>
    <font>
      <sz val="14"/>
      <color indexed="63"/>
      <name val="Calibri"/>
      <family val="2"/>
    </font>
    <font>
      <sz val="8.25"/>
      <color indexed="63"/>
      <name val="Calibri"/>
      <family val="2"/>
    </font>
    <font>
      <b/>
      <sz val="11"/>
      <color indexed="10"/>
      <name val="Calibri"/>
      <family val="2"/>
    </font>
    <font>
      <sz val="9"/>
      <color indexed="8"/>
      <name val="Calibri"/>
      <family val="2"/>
    </font>
    <font>
      <b/>
      <sz val="8"/>
      <color indexed="8"/>
      <name val="Calibri"/>
      <family val="2"/>
    </font>
    <font>
      <sz val="10"/>
      <color indexed="8"/>
      <name val="Courier"/>
      <family val="2"/>
    </font>
    <font>
      <b/>
      <sz val="12"/>
      <color indexed="8"/>
      <name val="Arial"/>
      <family val="2"/>
    </font>
    <font>
      <i/>
      <sz val="10"/>
      <color indexed="10"/>
      <name val="Arial"/>
      <family val="2"/>
    </font>
    <font>
      <sz val="11"/>
      <name val="Calibri"/>
      <family val="2"/>
    </font>
    <font>
      <sz val="10"/>
      <color indexed="22"/>
      <name val="Arial"/>
      <family val="2"/>
    </font>
    <font>
      <sz val="10"/>
      <color indexed="55"/>
      <name val="Arial"/>
      <family val="2"/>
    </font>
    <font>
      <b/>
      <sz val="12"/>
      <color indexed="9"/>
      <name val="Arial"/>
      <family val="2"/>
    </font>
    <font>
      <sz val="10"/>
      <color indexed="30"/>
      <name val="Arial"/>
      <family val="2"/>
    </font>
    <font>
      <i/>
      <sz val="10"/>
      <color indexed="30"/>
      <name val="Arial"/>
      <family val="2"/>
    </font>
    <font>
      <b/>
      <sz val="12"/>
      <color indexed="63"/>
      <name val="Arial"/>
      <family val="2"/>
    </font>
    <font>
      <b/>
      <sz val="13"/>
      <color indexed="63"/>
      <name val="Arial"/>
      <family val="2"/>
    </font>
    <font>
      <b/>
      <sz val="9"/>
      <color indexed="63"/>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0"/>
      <color rgb="FFFA7D00"/>
      <name val="Arial"/>
      <family val="2"/>
    </font>
    <font>
      <b/>
      <sz val="11"/>
      <color rgb="FFFA7D00"/>
      <name val="Calibri"/>
      <family val="2"/>
    </font>
    <font>
      <b/>
      <sz val="11"/>
      <color theme="0"/>
      <name val="Calibri"/>
      <family val="2"/>
    </font>
    <font>
      <b/>
      <sz val="10"/>
      <color theme="0"/>
      <name val="Arial"/>
      <family val="2"/>
    </font>
    <font>
      <i/>
      <sz val="11"/>
      <color rgb="FF7F7F7F"/>
      <name val="Calibri"/>
      <family val="2"/>
    </font>
    <font>
      <i/>
      <sz val="10"/>
      <color rgb="FF7F7F7F"/>
      <name val="Arial"/>
      <family val="2"/>
    </font>
    <font>
      <sz val="9"/>
      <color theme="1"/>
      <name val="Calibri"/>
      <family val="2"/>
    </font>
    <font>
      <b/>
      <sz val="8"/>
      <color theme="1"/>
      <name val="Calibri"/>
      <family val="2"/>
    </font>
    <font>
      <sz val="11"/>
      <color rgb="FF006100"/>
      <name val="Calibri"/>
      <family val="2"/>
    </font>
    <font>
      <sz val="10"/>
      <color rgb="FF006100"/>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0"/>
      <color theme="1"/>
      <name val="Courier"/>
      <family val="2"/>
    </font>
    <font>
      <b/>
      <sz val="11"/>
      <color rgb="FF3F3F3F"/>
      <name val="Calibri"/>
      <family val="2"/>
    </font>
    <font>
      <b/>
      <sz val="10"/>
      <color rgb="FF3F3F3F"/>
      <name val="Arial"/>
      <family val="2"/>
    </font>
    <font>
      <sz val="10"/>
      <color rgb="FF000000"/>
      <name val="Arial"/>
      <family val="2"/>
    </font>
    <font>
      <b/>
      <sz val="12"/>
      <color rgb="FF000000"/>
      <name val="Arial"/>
      <family val="2"/>
    </font>
    <font>
      <sz val="11"/>
      <color rgb="FF000000"/>
      <name val="Calibri"/>
      <family val="2"/>
    </font>
    <font>
      <b/>
      <sz val="11"/>
      <color theme="1"/>
      <name val="Calibri"/>
      <family val="2"/>
    </font>
    <font>
      <b/>
      <sz val="10"/>
      <color theme="1"/>
      <name val="Arial"/>
      <family val="2"/>
    </font>
    <font>
      <sz val="11"/>
      <color rgb="FFFF0000"/>
      <name val="Calibri"/>
      <family val="2"/>
    </font>
    <font>
      <sz val="10"/>
      <color rgb="FFFF0000"/>
      <name val="Arial"/>
      <family val="2"/>
    </font>
    <font>
      <i/>
      <sz val="10"/>
      <color rgb="FFFF0000"/>
      <name val="Arial"/>
      <family val="2"/>
    </font>
    <font>
      <sz val="10"/>
      <color theme="0" tint="-0.24997000396251678"/>
      <name val="Arial"/>
      <family val="2"/>
    </font>
    <font>
      <sz val="10"/>
      <color theme="0" tint="-0.3499799966812134"/>
      <name val="Arial"/>
      <family val="2"/>
    </font>
    <font>
      <b/>
      <sz val="12"/>
      <color theme="0"/>
      <name val="Arial"/>
      <family val="2"/>
    </font>
    <font>
      <i/>
      <sz val="10"/>
      <color theme="1"/>
      <name val="Arial"/>
      <family val="2"/>
    </font>
    <font>
      <sz val="10"/>
      <color rgb="FF0070C0"/>
      <name val="Arial"/>
      <family val="2"/>
    </font>
    <font>
      <i/>
      <sz val="10"/>
      <color rgb="FF0070C0"/>
      <name val="Arial"/>
      <family val="2"/>
    </font>
    <font>
      <b/>
      <sz val="8"/>
      <name val="Times New Roman"/>
      <family val="2"/>
    </font>
  </fonts>
  <fills count="116">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58"/>
        <bgColor indexed="64"/>
      </patternFill>
    </fill>
    <fill>
      <patternFill patternType="solid">
        <fgColor indexed="31"/>
        <bgColor indexed="64"/>
      </patternFill>
    </fill>
    <fill>
      <patternFill patternType="solid">
        <fgColor indexed="31"/>
        <bgColor indexed="64"/>
      </patternFill>
    </fill>
    <fill>
      <patternFill patternType="solid">
        <fgColor indexed="29"/>
        <bgColor indexed="64"/>
      </patternFill>
    </fill>
    <fill>
      <patternFill patternType="solid">
        <fgColor indexed="36"/>
        <bgColor indexed="64"/>
      </patternFill>
    </fill>
    <fill>
      <patternFill patternType="solid">
        <fgColor indexed="45"/>
        <bgColor indexed="64"/>
      </patternFill>
    </fill>
    <fill>
      <patternFill patternType="solid">
        <fgColor indexed="45"/>
        <bgColor indexed="64"/>
      </patternFill>
    </fill>
    <fill>
      <patternFill patternType="solid">
        <fgColor indexed="26"/>
        <bgColor indexed="64"/>
      </patternFill>
    </fill>
    <fill>
      <patternFill patternType="solid">
        <fgColor indexed="39"/>
        <bgColor indexed="64"/>
      </patternFill>
    </fill>
    <fill>
      <patternFill patternType="solid">
        <fgColor indexed="39"/>
        <bgColor indexed="64"/>
      </patternFill>
    </fill>
    <fill>
      <patternFill patternType="solid">
        <fgColor indexed="42"/>
        <bgColor indexed="64"/>
      </patternFill>
    </fill>
    <fill>
      <patternFill patternType="solid">
        <fgColor indexed="42"/>
        <bgColor indexed="64"/>
      </patternFill>
    </fill>
    <fill>
      <patternFill patternType="solid">
        <fgColor indexed="28"/>
        <bgColor indexed="64"/>
      </patternFill>
    </fill>
    <fill>
      <patternFill patternType="solid">
        <fgColor indexed="28"/>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indexed="18"/>
        <bgColor indexed="64"/>
      </patternFill>
    </fill>
    <fill>
      <patternFill patternType="solid">
        <fgColor indexed="18"/>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6"/>
        <bgColor indexed="64"/>
      </patternFill>
    </fill>
    <fill>
      <patternFill patternType="solid">
        <fgColor indexed="17"/>
        <bgColor indexed="64"/>
      </patternFill>
    </fill>
    <fill>
      <patternFill patternType="solid">
        <fgColor indexed="11"/>
        <bgColor indexed="64"/>
      </patternFill>
    </fill>
    <fill>
      <patternFill patternType="solid">
        <fgColor indexed="14"/>
        <bgColor indexed="64"/>
      </patternFill>
    </fill>
    <fill>
      <patternFill patternType="solid">
        <fgColor theme="8" tint="0.5999900102615356"/>
        <bgColor indexed="64"/>
      </patternFill>
    </fill>
    <fill>
      <patternFill patternType="solid">
        <fgColor indexed="15"/>
        <bgColor indexed="64"/>
      </patternFill>
    </fill>
    <fill>
      <patternFill patternType="solid">
        <fgColor indexed="34"/>
        <bgColor indexed="64"/>
      </patternFill>
    </fill>
    <fill>
      <patternFill patternType="solid">
        <fgColor indexed="20"/>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24"/>
        <bgColor indexed="64"/>
      </patternFill>
    </fill>
    <fill>
      <patternFill patternType="darkGray">
        <fgColor indexed="50"/>
        <bgColor indexed="46"/>
      </patternFill>
    </fill>
    <fill>
      <patternFill patternType="solid">
        <fgColor indexed="30"/>
        <bgColor indexed="64"/>
      </patternFill>
    </fill>
    <fill>
      <patternFill patternType="solid">
        <fgColor indexed="53"/>
        <bgColor indexed="64"/>
      </patternFill>
    </fill>
    <fill>
      <patternFill patternType="solid">
        <fgColor theme="5" tint="0.39998000860214233"/>
        <bgColor indexed="64"/>
      </patternFill>
    </fill>
    <fill>
      <patternFill patternType="mediumGray">
        <fgColor indexed="11"/>
        <bgColor indexed="22"/>
      </patternFill>
    </fill>
    <fill>
      <patternFill patternType="solid">
        <fgColor indexed="35"/>
        <bgColor indexed="64"/>
      </patternFill>
    </fill>
    <fill>
      <patternFill patternType="solid">
        <fgColor indexed="36"/>
        <bgColor indexed="64"/>
      </patternFill>
    </fill>
    <fill>
      <patternFill patternType="solid">
        <fgColor indexed="46"/>
        <bgColor indexed="64"/>
      </patternFill>
    </fill>
    <fill>
      <patternFill patternType="solid">
        <fgColor theme="8" tint="0.39998000860214233"/>
        <bgColor indexed="64"/>
      </patternFill>
    </fill>
    <fill>
      <patternFill patternType="solid">
        <fgColor indexed="49"/>
        <bgColor indexed="64"/>
      </patternFill>
    </fill>
    <fill>
      <patternFill patternType="darkGray">
        <fgColor indexed="52"/>
        <bgColor indexed="59"/>
      </patternFill>
    </fill>
    <fill>
      <patternFill patternType="solid">
        <fgColor indexed="52"/>
        <bgColor indexed="64"/>
      </patternFill>
    </fill>
    <fill>
      <patternFill patternType="solid">
        <fgColor indexed="56"/>
        <bgColor indexed="64"/>
      </patternFill>
    </fill>
    <fill>
      <patternFill patternType="darkGray">
        <fgColor indexed="48"/>
        <bgColor indexed="19"/>
      </patternFill>
    </fill>
    <fill>
      <patternFill patternType="solid">
        <fgColor indexed="62"/>
        <bgColor indexed="64"/>
      </patternFill>
    </fill>
    <fill>
      <patternFill patternType="solid">
        <fgColor indexed="62"/>
        <bgColor indexed="64"/>
      </patternFill>
    </fill>
    <fill>
      <patternFill patternType="solid">
        <fgColor indexed="48"/>
        <bgColor indexed="64"/>
      </patternFill>
    </fill>
    <fill>
      <patternFill patternType="darkGray">
        <fgColor indexed="48"/>
        <bgColor indexed="61"/>
      </patternFill>
    </fill>
    <fill>
      <patternFill patternType="solid">
        <fgColor theme="5"/>
        <bgColor indexed="64"/>
      </patternFill>
    </fill>
    <fill>
      <patternFill patternType="solid">
        <fgColor indexed="60"/>
        <bgColor indexed="64"/>
      </patternFill>
    </fill>
    <fill>
      <patternFill patternType="solid">
        <fgColor indexed="10"/>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50"/>
        <bgColor indexed="64"/>
      </patternFill>
    </fill>
    <fill>
      <patternFill patternType="solid">
        <fgColor indexed="54"/>
        <bgColor indexed="64"/>
      </patternFill>
    </fill>
    <fill>
      <patternFill patternType="solid">
        <fgColor indexed="57"/>
        <bgColor indexed="64"/>
      </patternFill>
    </fill>
    <fill>
      <patternFill patternType="solid">
        <fgColor indexed="50"/>
        <bgColor indexed="64"/>
      </patternFill>
    </fill>
    <fill>
      <patternFill patternType="solid">
        <fgColor indexed="54"/>
        <bgColor indexed="64"/>
      </patternFill>
    </fill>
    <fill>
      <patternFill patternType="darkGray">
        <fgColor indexed="54"/>
        <bgColor indexed="19"/>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9"/>
        <bgColor indexed="64"/>
      </patternFill>
    </fill>
    <fill>
      <patternFill patternType="solid">
        <fgColor indexed="52"/>
        <bgColor indexed="64"/>
      </patternFill>
    </fill>
    <fill>
      <patternFill patternType="solid">
        <fgColor rgb="FFFFC7CE"/>
        <bgColor indexed="64"/>
      </patternFill>
    </fill>
    <fill>
      <patternFill patternType="solid">
        <fgColor indexed="33"/>
        <bgColor indexed="64"/>
      </patternFill>
    </fill>
    <fill>
      <patternFill patternType="solid">
        <fgColor indexed="33"/>
        <bgColor indexed="64"/>
      </patternFill>
    </fill>
    <fill>
      <patternFill patternType="solid">
        <fgColor indexed="9"/>
        <bgColor indexed="64"/>
      </patternFill>
    </fill>
    <fill>
      <patternFill patternType="solid">
        <fgColor indexed="32"/>
        <bgColor indexed="64"/>
      </patternFill>
    </fill>
    <fill>
      <patternFill patternType="solid">
        <fgColor indexed="22"/>
        <bgColor indexed="64"/>
      </patternFill>
    </fill>
    <fill>
      <patternFill patternType="solid">
        <fgColor indexed="32"/>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40"/>
        <bgColor indexed="64"/>
      </patternFill>
    </fill>
    <fill>
      <patternFill patternType="solid">
        <fgColor indexed="42"/>
        <bgColor indexed="64"/>
      </patternFill>
    </fill>
    <fill>
      <patternFill patternType="solid">
        <fgColor rgb="FFC6EFCE"/>
        <bgColor indexed="64"/>
      </patternFill>
    </fill>
    <fill>
      <patternFill patternType="mediumGray">
        <fgColor indexed="42"/>
        <bgColor indexed="11"/>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rgb="FFFFEB9C"/>
        <bgColor indexed="64"/>
      </patternFill>
    </fill>
    <fill>
      <patternFill patternType="mediumGray">
        <fgColor indexed="43"/>
        <bgColor indexed="34"/>
      </patternFill>
    </fill>
    <fill>
      <patternFill patternType="solid">
        <fgColor indexed="43"/>
        <bgColor indexed="64"/>
      </patternFill>
    </fill>
    <fill>
      <patternFill patternType="solid">
        <fgColor indexed="34"/>
        <bgColor indexed="64"/>
      </patternFill>
    </fill>
    <fill>
      <patternFill patternType="solid">
        <fgColor rgb="FFFFFFCC"/>
        <bgColor indexed="64"/>
      </patternFill>
    </fill>
    <fill>
      <patternFill patternType="solid">
        <fgColor indexed="63"/>
        <bgColor indexed="64"/>
      </patternFill>
    </fill>
    <fill>
      <patternFill patternType="solid">
        <fgColor indexed="23"/>
        <bgColor indexed="64"/>
      </patternFill>
    </fill>
    <fill>
      <patternFill patternType="gray125">
        <bgColor indexed="18"/>
      </patternFill>
    </fill>
    <fill>
      <patternFill patternType="solid">
        <fgColor indexed="17"/>
        <bgColor indexed="64"/>
      </patternFill>
    </fill>
    <fill>
      <patternFill patternType="solid">
        <fgColor theme="1"/>
        <bgColor indexed="64"/>
      </patternFill>
    </fill>
    <fill>
      <patternFill patternType="solid">
        <fgColor theme="6" tint="0.7999799847602844"/>
        <bgColor indexed="64"/>
      </patternFill>
    </fill>
    <fill>
      <patternFill patternType="solid">
        <fgColor rgb="FFD9D9D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theme="9" tint="0.7999799847602844"/>
        <bgColor indexed="64"/>
      </patternFill>
    </fill>
  </fills>
  <borders count="219">
    <border>
      <left/>
      <right/>
      <top/>
      <bottom/>
      <diagonal/>
    </border>
    <border>
      <left style="thin">
        <color rgb="FF7F7F7F"/>
      </left>
      <right style="thin">
        <color rgb="FF7F7F7F"/>
      </right>
      <top style="thin">
        <color rgb="FF7F7F7F"/>
      </top>
      <bottom style="thin">
        <color rgb="FF7F7F7F"/>
      </bottom>
    </border>
    <border>
      <left style="thin">
        <color indexed="19"/>
      </left>
      <right style="thin">
        <color indexed="19"/>
      </right>
      <top style="thin">
        <color indexed="19"/>
      </top>
      <bottom style="thin">
        <color indexed="19"/>
      </bottom>
    </border>
    <border>
      <left style="thin">
        <color indexed="23"/>
      </left>
      <right style="thin">
        <color indexed="23"/>
      </right>
      <top style="thin">
        <color indexed="23"/>
      </top>
      <bottom style="thin">
        <color indexed="23"/>
      </bottom>
    </border>
    <border>
      <left style="thin">
        <color indexed="21"/>
      </left>
      <right style="thin">
        <color indexed="21"/>
      </right>
      <top style="thin">
        <color indexed="21"/>
      </top>
      <bottom style="thin">
        <color indexed="2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theme="4" tint="-0.24993999302387238"/>
      </left>
      <right style="thin">
        <color theme="4" tint="-0.24993999302387238"/>
      </right>
      <top style="thin">
        <color theme="4" tint="-0.24993999302387238"/>
      </top>
      <bottom style="thin">
        <color theme="4" tint="-0.24993999302387238"/>
      </bottom>
    </border>
    <border>
      <left>
        <color indexed="63"/>
      </left>
      <right>
        <color indexed="63"/>
      </right>
      <top>
        <color indexed="63"/>
      </top>
      <bottom style="thick">
        <color indexed="56"/>
      </bottom>
    </border>
    <border>
      <left/>
      <right/>
      <top/>
      <bottom style="thick">
        <color indexed="49"/>
      </bottom>
    </border>
    <border>
      <left/>
      <right/>
      <top/>
      <bottom style="thick">
        <color indexed="48"/>
      </bottom>
    </border>
    <border>
      <left/>
      <right/>
      <top/>
      <bottom style="thick">
        <color indexed="62"/>
      </bottom>
    </border>
    <border>
      <left>
        <color indexed="63"/>
      </left>
      <right>
        <color indexed="63"/>
      </right>
      <top>
        <color indexed="63"/>
      </top>
      <bottom style="thick">
        <color indexed="27"/>
      </bottom>
    </border>
    <border>
      <left/>
      <right/>
      <top/>
      <bottom style="thick">
        <color theme="4" tint="0.49998000264167786"/>
      </bottom>
    </border>
    <border>
      <left/>
      <right/>
      <top/>
      <bottom style="thick">
        <color indexed="24"/>
      </bottom>
    </border>
    <border>
      <left/>
      <right/>
      <top/>
      <bottom style="thick">
        <color indexed="22"/>
      </bottom>
    </border>
    <border>
      <left>
        <color indexed="63"/>
      </left>
      <right>
        <color indexed="63"/>
      </right>
      <top>
        <color indexed="63"/>
      </top>
      <bottom style="medium">
        <color indexed="27"/>
      </bottom>
    </border>
    <border>
      <left/>
      <right/>
      <top/>
      <bottom style="medium">
        <color indexed="49"/>
      </bottom>
    </border>
    <border>
      <left/>
      <right/>
      <top/>
      <bottom style="medium">
        <color indexed="24"/>
      </bottom>
    </border>
    <border>
      <left/>
      <right/>
      <top/>
      <bottom style="medium">
        <color indexed="50"/>
      </bottom>
    </border>
    <border>
      <left/>
      <right/>
      <top/>
      <bottom style="medium">
        <color indexed="30"/>
      </bottom>
    </border>
    <border>
      <left style="thin"/>
      <right style="thin"/>
      <top style="thin"/>
      <bottom style="thin"/>
    </border>
    <border>
      <left>
        <color indexed="63"/>
      </left>
      <right>
        <color indexed="63"/>
      </right>
      <top>
        <color indexed="63"/>
      </top>
      <bottom style="double">
        <color indexed="10"/>
      </bottom>
    </border>
    <border>
      <left/>
      <right/>
      <top/>
      <bottom style="double">
        <color rgb="FFFF8001"/>
      </bottom>
    </border>
    <border>
      <left/>
      <right/>
      <top/>
      <bottom style="double">
        <color indexed="59"/>
      </bottom>
    </border>
    <border>
      <left/>
      <right/>
      <top/>
      <bottom style="double">
        <color indexed="52"/>
      </bottom>
    </border>
    <border>
      <left/>
      <right/>
      <top/>
      <bottom style="double">
        <color indexed="53"/>
      </bottom>
    </border>
    <border>
      <left style="thin">
        <color rgb="FFB2B2B2"/>
      </left>
      <right style="thin">
        <color rgb="FFB2B2B2"/>
      </right>
      <top style="thin">
        <color rgb="FFB2B2B2"/>
      </top>
      <bottom style="thin">
        <color rgb="FFB2B2B2"/>
      </bottom>
    </border>
    <border>
      <left style="thin">
        <color indexed="50"/>
      </left>
      <right style="thin">
        <color indexed="50"/>
      </right>
      <top style="thin">
        <color indexed="50"/>
      </top>
      <bottom style="thin">
        <color indexed="50"/>
      </bottom>
    </border>
    <border>
      <left style="thin">
        <color indexed="30"/>
      </left>
      <right style="thin">
        <color indexed="30"/>
      </right>
      <top style="thin">
        <color indexed="30"/>
      </top>
      <bottom style="thin">
        <color indexed="30"/>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style="thin">
        <color indexed="49"/>
      </top>
      <bottom style="double">
        <color indexed="49"/>
      </bottom>
    </border>
    <border>
      <left/>
      <right/>
      <top style="thin">
        <color indexed="48"/>
      </top>
      <bottom style="double">
        <color indexed="48"/>
      </bottom>
    </border>
    <border>
      <left/>
      <right/>
      <top style="double">
        <color indexed="63"/>
      </top>
      <bottom/>
    </border>
    <border>
      <left/>
      <right/>
      <top style="thin">
        <color indexed="62"/>
      </top>
      <bottom style="double">
        <color indexed="62"/>
      </bottom>
    </border>
    <border>
      <left style="medium"/>
      <right/>
      <top/>
      <bottom/>
    </border>
    <border>
      <left style="thin">
        <color indexed="54"/>
      </left>
      <right style="thick">
        <color indexed="54"/>
      </right>
      <top style="thin">
        <color indexed="54"/>
      </top>
      <bottom style="hair">
        <color indexed="54"/>
      </bottom>
    </border>
    <border>
      <left style="thin">
        <color indexed="54"/>
      </left>
      <right style="thick">
        <color indexed="54"/>
      </right>
      <top style="hair">
        <color indexed="54"/>
      </top>
      <bottom style="hair">
        <color indexed="54"/>
      </bottom>
    </border>
    <border>
      <left style="medium">
        <color indexed="23"/>
      </left>
      <right style="thin">
        <color indexed="23"/>
      </right>
      <top style="medium">
        <color indexed="23"/>
      </top>
      <bottom style="hair">
        <color indexed="23"/>
      </bottom>
    </border>
    <border>
      <left style="thin">
        <color indexed="23"/>
      </left>
      <right style="thin">
        <color indexed="23"/>
      </right>
      <top style="medium">
        <color indexed="23"/>
      </top>
      <bottom style="hair">
        <color indexed="23"/>
      </bottom>
    </border>
    <border>
      <left style="thin">
        <color indexed="23"/>
      </left>
      <right style="medium">
        <color indexed="23"/>
      </right>
      <top style="medium">
        <color indexed="23"/>
      </top>
      <bottom style="hair">
        <color indexed="23"/>
      </bottom>
    </border>
    <border>
      <left style="medium">
        <color indexed="23"/>
      </left>
      <right style="thin">
        <color indexed="23"/>
      </right>
      <top style="hair">
        <color indexed="23"/>
      </top>
      <bottom style="hair">
        <color indexed="23"/>
      </bottom>
    </border>
    <border>
      <left style="medium">
        <color indexed="23"/>
      </left>
      <right style="thin">
        <color indexed="23"/>
      </right>
      <top style="hair">
        <color indexed="23"/>
      </top>
      <bottom style="medium">
        <color indexed="23"/>
      </bottom>
    </border>
    <border>
      <left style="thin">
        <color indexed="23"/>
      </left>
      <right style="thin">
        <color indexed="23"/>
      </right>
      <top style="hair">
        <color indexed="23"/>
      </top>
      <bottom style="hair">
        <color indexed="23"/>
      </bottom>
    </border>
    <border>
      <left style="thin">
        <color indexed="23"/>
      </left>
      <right style="medium">
        <color indexed="23"/>
      </right>
      <top style="hair">
        <color indexed="23"/>
      </top>
      <bottom style="hair">
        <color indexed="23"/>
      </bottom>
    </border>
    <border>
      <left style="thin">
        <color indexed="23"/>
      </left>
      <right style="thin">
        <color indexed="23"/>
      </right>
      <top style="hair">
        <color indexed="23"/>
      </top>
      <bottom style="medium">
        <color indexed="23"/>
      </bottom>
    </border>
    <border>
      <left style="thin">
        <color indexed="23"/>
      </left>
      <right style="medium">
        <color indexed="23"/>
      </right>
      <top style="hair">
        <color indexed="23"/>
      </top>
      <bottom style="medium">
        <color indexed="23"/>
      </bottom>
    </border>
    <border>
      <left style="medium">
        <color indexed="54"/>
      </left>
      <right style="thin">
        <color indexed="54"/>
      </right>
      <top style="medium">
        <color indexed="54"/>
      </top>
      <bottom style="medium">
        <color indexed="54"/>
      </bottom>
    </border>
    <border>
      <left style="thin">
        <color indexed="54"/>
      </left>
      <right style="thin">
        <color indexed="54"/>
      </right>
      <top>
        <color indexed="63"/>
      </top>
      <bottom style="medium">
        <color indexed="54"/>
      </bottom>
    </border>
    <border>
      <left style="thin">
        <color indexed="54"/>
      </left>
      <right style="thin">
        <color indexed="54"/>
      </right>
      <top style="medium">
        <color indexed="54"/>
      </top>
      <bottom style="medium">
        <color indexed="54"/>
      </bottom>
    </border>
    <border>
      <left style="medium">
        <color indexed="54"/>
      </left>
      <right style="thin">
        <color indexed="54"/>
      </right>
      <top>
        <color indexed="63"/>
      </top>
      <bottom style="medium">
        <color indexed="54"/>
      </bottom>
    </border>
    <border>
      <left style="thin">
        <color indexed="54"/>
      </left>
      <right style="thin">
        <color indexed="54"/>
      </right>
      <top style="hair">
        <color indexed="54"/>
      </top>
      <bottom style="hair">
        <color indexed="54"/>
      </bottom>
    </border>
    <border>
      <left style="medium">
        <color indexed="54"/>
      </left>
      <right>
        <color indexed="63"/>
      </right>
      <top style="medium">
        <color indexed="54"/>
      </top>
      <bottom style="medium">
        <color indexed="54"/>
      </bottom>
    </border>
    <border>
      <left style="thin">
        <color indexed="54"/>
      </left>
      <right style="medium">
        <color indexed="54"/>
      </right>
      <top style="medium">
        <color indexed="54"/>
      </top>
      <bottom style="thin">
        <color indexed="54"/>
      </bottom>
    </border>
    <border>
      <left style="thin">
        <color indexed="54"/>
      </left>
      <right style="medium">
        <color indexed="54"/>
      </right>
      <top style="thin">
        <color indexed="54"/>
      </top>
      <bottom style="medium">
        <color indexed="54"/>
      </bottom>
    </border>
    <border>
      <left style="medium">
        <color indexed="54"/>
      </left>
      <right>
        <color indexed="63"/>
      </right>
      <top style="medium">
        <color indexed="54"/>
      </top>
      <bottom style="thin">
        <color indexed="54"/>
      </bottom>
    </border>
    <border>
      <left>
        <color indexed="63"/>
      </left>
      <right style="thin">
        <color indexed="54"/>
      </right>
      <top style="medium">
        <color indexed="54"/>
      </top>
      <bottom style="thin">
        <color indexed="54"/>
      </bottom>
    </border>
    <border>
      <left style="medium">
        <color indexed="54"/>
      </left>
      <right>
        <color indexed="63"/>
      </right>
      <top style="thin">
        <color indexed="54"/>
      </top>
      <bottom style="medium">
        <color indexed="54"/>
      </bottom>
    </border>
    <border>
      <left>
        <color indexed="63"/>
      </left>
      <right style="thin">
        <color indexed="54"/>
      </right>
      <top style="thin">
        <color indexed="54"/>
      </top>
      <bottom style="medium">
        <color indexed="54"/>
      </bottom>
    </border>
    <border>
      <left>
        <color indexed="63"/>
      </left>
      <right/>
      <top style="thick">
        <color indexed="54"/>
      </top>
      <bottom/>
    </border>
    <border>
      <left/>
      <right style="thick">
        <color indexed="54"/>
      </right>
      <top style="thick">
        <color indexed="54"/>
      </top>
      <bottom/>
    </border>
    <border>
      <left style="thick">
        <color indexed="54"/>
      </left>
      <right style="thin">
        <color indexed="54"/>
      </right>
      <top style="thin">
        <color indexed="54"/>
      </top>
      <bottom style="thin">
        <color indexed="54"/>
      </bottom>
    </border>
    <border>
      <left style="thin">
        <color indexed="54"/>
      </left>
      <right style="medium">
        <color indexed="54"/>
      </right>
      <top style="thin">
        <color indexed="54"/>
      </top>
      <bottom style="hair">
        <color indexed="54"/>
      </bottom>
    </border>
    <border>
      <left style="medium">
        <color indexed="54"/>
      </left>
      <right style="thin">
        <color indexed="54"/>
      </right>
      <top style="medium">
        <color indexed="54"/>
      </top>
      <bottom style="hair">
        <color indexed="54"/>
      </bottom>
    </border>
    <border>
      <left style="thin">
        <color indexed="54"/>
      </left>
      <right>
        <color indexed="63"/>
      </right>
      <top style="medium">
        <color indexed="54"/>
      </top>
      <bottom style="thin">
        <color indexed="54"/>
      </bottom>
    </border>
    <border>
      <left>
        <color indexed="63"/>
      </left>
      <right>
        <color indexed="63"/>
      </right>
      <top style="medium">
        <color indexed="54"/>
      </top>
      <bottom style="thin">
        <color indexed="54"/>
      </bottom>
    </border>
    <border>
      <left>
        <color indexed="63"/>
      </left>
      <right style="medium">
        <color indexed="54"/>
      </right>
      <top style="medium">
        <color indexed="54"/>
      </top>
      <bottom style="thin">
        <color indexed="54"/>
      </bottom>
    </border>
    <border>
      <left>
        <color indexed="63"/>
      </left>
      <right style="thick">
        <color indexed="54"/>
      </right>
      <top>
        <color indexed="63"/>
      </top>
      <bottom>
        <color indexed="63"/>
      </bottom>
    </border>
    <border>
      <left style="thin">
        <color indexed="54"/>
      </left>
      <right style="medium">
        <color indexed="54"/>
      </right>
      <top style="hair">
        <color indexed="54"/>
      </top>
      <bottom style="hair">
        <color indexed="54"/>
      </bottom>
    </border>
    <border>
      <left style="medium">
        <color indexed="54"/>
      </left>
      <right style="thin">
        <color indexed="54"/>
      </right>
      <top style="hair">
        <color indexed="54"/>
      </top>
      <bottom style="hair">
        <color indexed="54"/>
      </bottom>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medium">
        <color indexed="54"/>
      </right>
      <top style="thin">
        <color indexed="54"/>
      </top>
      <bottom style="thin">
        <color indexed="54"/>
      </bottom>
    </border>
    <border>
      <left style="thick">
        <color indexed="54"/>
      </left>
      <right style="thin">
        <color indexed="54"/>
      </right>
      <top style="thin">
        <color indexed="54"/>
      </top>
      <bottom style="medium">
        <color indexed="54"/>
      </bottom>
    </border>
    <border>
      <left style="thin">
        <color indexed="54"/>
      </left>
      <right style="medium">
        <color indexed="54"/>
      </right>
      <top style="hair">
        <color indexed="54"/>
      </top>
      <bottom style="medium">
        <color indexed="54"/>
      </bottom>
    </border>
    <border>
      <left style="medium">
        <color indexed="54"/>
      </left>
      <right style="thin">
        <color indexed="54"/>
      </right>
      <top style="hair">
        <color indexed="54"/>
      </top>
      <bottom style="medium">
        <color indexed="54"/>
      </bottom>
    </border>
    <border>
      <left style="thin">
        <color indexed="54"/>
      </left>
      <right>
        <color indexed="63"/>
      </right>
      <top style="thin">
        <color indexed="54"/>
      </top>
      <bottom style="medium">
        <color indexed="54"/>
      </bottom>
    </border>
    <border>
      <left>
        <color indexed="63"/>
      </left>
      <right>
        <color indexed="63"/>
      </right>
      <top style="thin">
        <color indexed="54"/>
      </top>
      <bottom style="medium">
        <color indexed="54"/>
      </bottom>
    </border>
    <border>
      <left>
        <color indexed="63"/>
      </left>
      <right style="medium">
        <color indexed="54"/>
      </right>
      <top style="thin">
        <color indexed="54"/>
      </top>
      <bottom style="medium">
        <color indexed="54"/>
      </bottom>
    </border>
    <border>
      <left style="thick">
        <color indexed="54"/>
      </left>
      <right/>
      <top/>
      <bottom>
        <color indexed="63"/>
      </bottom>
    </border>
    <border>
      <left>
        <color indexed="63"/>
      </left>
      <right style="thick">
        <color indexed="54"/>
      </right>
      <top style="medium">
        <color indexed="54"/>
      </top>
      <bottom style="thin">
        <color indexed="54"/>
      </bottom>
    </border>
    <border>
      <left style="thin">
        <color indexed="54"/>
      </left>
      <right style="thin">
        <color indexed="54"/>
      </right>
      <top style="thin">
        <color indexed="54"/>
      </top>
      <bottom style="thin">
        <color indexed="54"/>
      </bottom>
    </border>
    <border>
      <left style="thin">
        <color indexed="54"/>
      </left>
      <right style="medium">
        <color indexed="54"/>
      </right>
      <top style="thin">
        <color indexed="54"/>
      </top>
      <bottom style="thin">
        <color indexed="54"/>
      </bottom>
    </border>
    <border>
      <left style="medium">
        <color indexed="54"/>
      </left>
      <right style="thin">
        <color indexed="54"/>
      </right>
      <top style="thin">
        <color indexed="54"/>
      </top>
      <bottom/>
    </border>
    <border>
      <left style="thin">
        <color indexed="54"/>
      </left>
      <right style="thin">
        <color indexed="54"/>
      </right>
      <top style="thin">
        <color indexed="54"/>
      </top>
      <bottom/>
    </border>
    <border>
      <left style="thin">
        <color indexed="54"/>
      </left>
      <right style="medium">
        <color indexed="54"/>
      </right>
      <top style="thin">
        <color indexed="54"/>
      </top>
      <bottom/>
    </border>
    <border>
      <left style="medium">
        <color indexed="54"/>
      </left>
      <right style="medium">
        <color indexed="54"/>
      </right>
      <top style="medium">
        <color indexed="54"/>
      </top>
      <bottom style="hair">
        <color indexed="54"/>
      </bottom>
    </border>
    <border>
      <left style="medium">
        <color indexed="54"/>
      </left>
      <right style="thin">
        <color indexed="54"/>
      </right>
      <top/>
      <bottom style="thin">
        <color indexed="54"/>
      </bottom>
    </border>
    <border>
      <left style="thin">
        <color indexed="54"/>
      </left>
      <right style="thin">
        <color indexed="54"/>
      </right>
      <top/>
      <bottom style="thin">
        <color indexed="54"/>
      </bottom>
    </border>
    <border>
      <left style="thin">
        <color indexed="54"/>
      </left>
      <right style="medium">
        <color indexed="54"/>
      </right>
      <top/>
      <bottom style="thin">
        <color indexed="54"/>
      </bottom>
    </border>
    <border>
      <left style="medium">
        <color indexed="54"/>
      </left>
      <right style="medium">
        <color indexed="54"/>
      </right>
      <top style="hair">
        <color indexed="54"/>
      </top>
      <bottom style="thin">
        <color indexed="54"/>
      </bottom>
    </border>
    <border>
      <left style="medium">
        <color indexed="54"/>
      </left>
      <right style="hair">
        <color indexed="54"/>
      </right>
      <top style="hair">
        <color indexed="54"/>
      </top>
      <bottom style="thin">
        <color indexed="54"/>
      </bottom>
    </border>
    <border>
      <left style="hair">
        <color indexed="54"/>
      </left>
      <right style="hair">
        <color indexed="54"/>
      </right>
      <top style="hair">
        <color indexed="54"/>
      </top>
      <bottom style="thin">
        <color indexed="54"/>
      </bottom>
    </border>
    <border>
      <left style="hair">
        <color indexed="54"/>
      </left>
      <right>
        <color indexed="63"/>
      </right>
      <top style="hair">
        <color indexed="54"/>
      </top>
      <bottom style="thin">
        <color indexed="54"/>
      </bottom>
    </border>
    <border>
      <left style="thin">
        <color indexed="54"/>
      </left>
      <right style="hair">
        <color indexed="54"/>
      </right>
      <top style="hair">
        <color indexed="54"/>
      </top>
      <bottom style="thin">
        <color indexed="54"/>
      </bottom>
    </border>
    <border>
      <left style="hair">
        <color indexed="54"/>
      </left>
      <right style="thin">
        <color indexed="54"/>
      </right>
      <top style="hair">
        <color indexed="54"/>
      </top>
      <bottom style="thin">
        <color indexed="54"/>
      </bottom>
    </border>
    <border>
      <left style="thick">
        <color indexed="54"/>
      </left>
      <right style="thin">
        <color indexed="54"/>
      </right>
      <top style="thin">
        <color indexed="54"/>
      </top>
      <bottom style="hair">
        <color indexed="54"/>
      </bottom>
    </border>
    <border>
      <left/>
      <right>
        <color indexed="63"/>
      </right>
      <top style="thin">
        <color indexed="54"/>
      </top>
      <bottom style="hair">
        <color indexed="54"/>
      </bottom>
    </border>
    <border>
      <left style="thin">
        <color indexed="54"/>
      </left>
      <right style="thin">
        <color indexed="54"/>
      </right>
      <top style="thin">
        <color indexed="54"/>
      </top>
      <bottom style="hair">
        <color indexed="54"/>
      </bottom>
    </border>
    <border>
      <left style="medium">
        <color indexed="54"/>
      </left>
      <right style="thin">
        <color indexed="54"/>
      </right>
      <top style="thin">
        <color indexed="54"/>
      </top>
      <bottom style="hair">
        <color indexed="54"/>
      </bottom>
    </border>
    <border>
      <left style="medium">
        <color indexed="54"/>
      </left>
      <right style="hair">
        <color indexed="54"/>
      </right>
      <top style="thin">
        <color indexed="54"/>
      </top>
      <bottom style="hair">
        <color indexed="54"/>
      </bottom>
    </border>
    <border>
      <left style="hair">
        <color indexed="54"/>
      </left>
      <right style="hair">
        <color indexed="54"/>
      </right>
      <top style="thin">
        <color indexed="54"/>
      </top>
      <bottom style="hair">
        <color indexed="54"/>
      </bottom>
    </border>
    <border>
      <left style="hair">
        <color indexed="54"/>
      </left>
      <right>
        <color indexed="63"/>
      </right>
      <top style="thin">
        <color indexed="54"/>
      </top>
      <bottom style="hair">
        <color indexed="54"/>
      </bottom>
    </border>
    <border>
      <left style="thin">
        <color indexed="54"/>
      </left>
      <right style="hair">
        <color indexed="54"/>
      </right>
      <top style="thin">
        <color indexed="54"/>
      </top>
      <bottom style="hair">
        <color indexed="54"/>
      </bottom>
    </border>
    <border>
      <left style="hair">
        <color indexed="54"/>
      </left>
      <right style="thin">
        <color indexed="54"/>
      </right>
      <top style="thin">
        <color indexed="54"/>
      </top>
      <bottom style="hair">
        <color indexed="54"/>
      </bottom>
    </border>
    <border>
      <left>
        <color indexed="63"/>
      </left>
      <right style="hair">
        <color indexed="54"/>
      </right>
      <top style="thin">
        <color indexed="54"/>
      </top>
      <bottom style="hair">
        <color indexed="54"/>
      </bottom>
    </border>
    <border>
      <left style="thick">
        <color indexed="54"/>
      </left>
      <right style="thin">
        <color indexed="54"/>
      </right>
      <top style="hair">
        <color indexed="54"/>
      </top>
      <bottom style="hair">
        <color indexed="54"/>
      </bottom>
    </border>
    <border>
      <left/>
      <right>
        <color indexed="63"/>
      </right>
      <top style="hair">
        <color indexed="54"/>
      </top>
      <bottom style="hair">
        <color indexed="54"/>
      </bottom>
    </border>
    <border>
      <left style="hair">
        <color indexed="54"/>
      </left>
      <right style="medium">
        <color indexed="54"/>
      </right>
      <top style="hair">
        <color indexed="54"/>
      </top>
      <bottom style="hair">
        <color indexed="54"/>
      </bottom>
    </border>
    <border>
      <left style="medium">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color indexed="63"/>
      </right>
      <top style="hair">
        <color indexed="54"/>
      </top>
      <bottom style="hair">
        <color indexed="54"/>
      </bottom>
    </border>
    <border>
      <left style="thin">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color indexed="63"/>
      </left>
      <right style="hair">
        <color indexed="54"/>
      </right>
      <top style="hair">
        <color indexed="54"/>
      </top>
      <bottom style="hair">
        <color indexed="54"/>
      </bottom>
    </border>
    <border>
      <left style="thin">
        <color indexed="54"/>
      </left>
      <right style="thick">
        <color indexed="54"/>
      </right>
      <top style="thin">
        <color indexed="54"/>
      </top>
      <bottom style="thin">
        <color indexed="54"/>
      </bottom>
    </border>
    <border>
      <left style="thin">
        <color indexed="54"/>
      </left>
      <right style="thin">
        <color indexed="54"/>
      </right>
      <top style="medium">
        <color indexed="54"/>
      </top>
      <bottom style="hair">
        <color indexed="54"/>
      </bottom>
    </border>
    <border>
      <left>
        <color indexed="63"/>
      </left>
      <right>
        <color indexed="63"/>
      </right>
      <top style="medium">
        <color indexed="54"/>
      </top>
      <bottom style="medium">
        <color indexed="54"/>
      </bottom>
    </border>
    <border>
      <left>
        <color indexed="63"/>
      </left>
      <right style="thin">
        <color indexed="54"/>
      </right>
      <top style="medium">
        <color indexed="54"/>
      </top>
      <bottom style="medium">
        <color indexed="54"/>
      </bottom>
    </border>
    <border>
      <left style="thin">
        <color indexed="54"/>
      </left>
      <right style="medium">
        <color indexed="54"/>
      </right>
      <top style="medium">
        <color indexed="54"/>
      </top>
      <bottom style="medium">
        <color indexed="54"/>
      </bottom>
    </border>
    <border>
      <left style="thin">
        <color indexed="54"/>
      </left>
      <right style="thin">
        <color indexed="54"/>
      </right>
      <top style="medium">
        <color indexed="54"/>
      </top>
      <bottom style="thin">
        <color indexed="54"/>
      </botto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ck">
        <color indexed="54"/>
      </left>
      <right/>
      <top style="thick">
        <color indexed="54"/>
      </top>
      <bottom/>
    </border>
    <border>
      <left/>
      <right style="medium">
        <color indexed="54"/>
      </right>
      <top style="thick">
        <color indexed="54"/>
      </top>
      <bottom/>
    </border>
    <border>
      <left>
        <color indexed="63"/>
      </left>
      <right style="thin"/>
      <top>
        <color indexed="63"/>
      </top>
      <bottom>
        <color indexed="63"/>
      </bottom>
    </border>
    <border>
      <left/>
      <right style="medium"/>
      <top/>
      <bottom style="medium"/>
    </border>
    <border>
      <left/>
      <right style="medium"/>
      <top/>
      <bottom/>
    </border>
    <border>
      <left/>
      <right/>
      <top style="thin"/>
      <bottom style="thin"/>
    </border>
    <border>
      <left>
        <color indexed="63"/>
      </left>
      <right style="medium"/>
      <top style="thin"/>
      <bottom style="thin"/>
    </border>
    <border>
      <left style="medium"/>
      <right style="thin">
        <color indexed="54"/>
      </right>
      <top>
        <color indexed="63"/>
      </top>
      <bottom style="medium">
        <color indexed="54"/>
      </bottom>
    </border>
    <border>
      <left style="thin">
        <color indexed="54"/>
      </left>
      <right style="medium"/>
      <top>
        <color indexed="63"/>
      </top>
      <bottom style="medium">
        <color indexed="54"/>
      </bottom>
    </border>
    <border>
      <left style="thin">
        <color indexed="54"/>
      </left>
      <right style="thin">
        <color indexed="54"/>
      </right>
      <top>
        <color indexed="63"/>
      </top>
      <bottom>
        <color indexed="63"/>
      </bottom>
    </border>
    <border>
      <left style="thick">
        <color indexed="54"/>
      </left>
      <right>
        <color indexed="63"/>
      </right>
      <top style="thick">
        <color indexed="54"/>
      </top>
      <bottom style="thin"/>
    </border>
    <border>
      <left>
        <color indexed="63"/>
      </left>
      <right>
        <color indexed="63"/>
      </right>
      <top style="thick">
        <color indexed="54"/>
      </top>
      <bottom style="thin"/>
    </border>
    <border>
      <left style="thin"/>
      <right>
        <color indexed="63"/>
      </right>
      <top style="thin"/>
      <bottom style="thin"/>
    </border>
    <border>
      <left>
        <color indexed="63"/>
      </left>
      <right style="thin"/>
      <top style="thin"/>
      <bottom style="thin"/>
    </border>
    <border>
      <left/>
      <right style="double"/>
      <top/>
      <bottom/>
    </border>
    <border>
      <left style="medium"/>
      <right/>
      <top/>
      <bottom style="double"/>
    </border>
    <border>
      <left/>
      <right/>
      <top/>
      <bottom style="double"/>
    </border>
    <border>
      <left/>
      <right style="double"/>
      <top/>
      <bottom style="double"/>
    </border>
    <border>
      <left/>
      <right style="medium"/>
      <top/>
      <bottom style="double"/>
    </border>
    <border>
      <left style="medium"/>
      <right/>
      <top style="double"/>
      <bottom style="thin"/>
    </border>
    <border>
      <left/>
      <right/>
      <top style="double"/>
      <bottom style="thin"/>
    </border>
    <border>
      <left/>
      <right style="double"/>
      <top style="double"/>
      <bottom style="thin"/>
    </border>
    <border>
      <left/>
      <right style="medium"/>
      <top style="double"/>
      <bottom style="thin"/>
    </border>
    <border>
      <left style="medium"/>
      <right/>
      <top/>
      <bottom style="medium"/>
    </border>
    <border>
      <left/>
      <right/>
      <top/>
      <bottom style="medium"/>
    </border>
    <border>
      <left/>
      <right style="double"/>
      <top/>
      <bottom style="medium"/>
    </border>
    <border>
      <left style="medium"/>
      <right/>
      <top style="medium"/>
      <bottom/>
    </border>
    <border>
      <left/>
      <right/>
      <top style="medium"/>
      <bottom/>
    </border>
    <border>
      <left/>
      <right style="medium"/>
      <top style="medium"/>
      <bottom/>
    </border>
    <border>
      <left style="medium"/>
      <right style="thin"/>
      <top/>
      <bottom style="thin"/>
    </border>
    <border>
      <left style="medium"/>
      <right>
        <color indexed="63"/>
      </right>
      <top style="thin"/>
      <bottom style="thin"/>
    </border>
    <border>
      <left style="medium"/>
      <right style="thin"/>
      <top style="thin"/>
      <bottom style="double"/>
    </border>
    <border>
      <left style="thin"/>
      <right style="medium"/>
      <top style="double"/>
      <bottom style="thin"/>
    </border>
    <border>
      <left style="thin"/>
      <right style="thin"/>
      <top/>
      <bottom style="thin"/>
    </border>
    <border>
      <left style="thin"/>
      <right>
        <color indexed="63"/>
      </right>
      <top>
        <color indexed="63"/>
      </top>
      <bottom style="thin"/>
    </border>
    <border>
      <left style="thin">
        <color indexed="62"/>
      </left>
      <right style="thin">
        <color indexed="62"/>
      </right>
      <top style="thin">
        <color indexed="62"/>
      </top>
      <bottom style="thin">
        <color indexed="62"/>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thin">
        <color indexed="62"/>
      </left>
      <right style="thin">
        <color indexed="62"/>
      </right>
      <top style="thin">
        <color indexed="62"/>
      </top>
      <bottom>
        <color indexed="63"/>
      </bottom>
    </border>
    <border>
      <left style="thin">
        <color indexed="54"/>
      </left>
      <right style="thin">
        <color indexed="54"/>
      </right>
      <top>
        <color indexed="63"/>
      </top>
      <bottom style="hair">
        <color indexed="54"/>
      </bottom>
    </border>
    <border>
      <left>
        <color indexed="63"/>
      </left>
      <right style="thin">
        <color indexed="62"/>
      </right>
      <top style="thin">
        <color indexed="62"/>
      </top>
      <bottom>
        <color indexed="63"/>
      </bottom>
    </border>
    <border>
      <left style="medium"/>
      <right>
        <color indexed="63"/>
      </right>
      <top>
        <color indexed="63"/>
      </top>
      <bottom style="thin"/>
    </border>
    <border>
      <left/>
      <right style="thin"/>
      <top style="thin"/>
      <bottom/>
    </border>
    <border>
      <left/>
      <right/>
      <top style="thin">
        <color indexed="9"/>
      </top>
      <bottom/>
    </border>
    <border>
      <left>
        <color indexed="63"/>
      </left>
      <right style="thin"/>
      <top style="thin">
        <color indexed="9"/>
      </top>
      <bottom/>
    </border>
    <border>
      <left/>
      <right style="thin"/>
      <top/>
      <bottom style="double"/>
    </border>
    <border>
      <left style="medium">
        <color indexed="54"/>
      </left>
      <right>
        <color indexed="63"/>
      </right>
      <top>
        <color indexed="63"/>
      </top>
      <bottom>
        <color indexed="63"/>
      </bottom>
    </border>
    <border>
      <left/>
      <right/>
      <top style="thin"/>
      <bottom/>
    </border>
    <border>
      <left style="medium"/>
      <right style="medium"/>
      <top style="thin"/>
      <bottom style="medium"/>
    </border>
    <border>
      <left/>
      <right/>
      <top style="thin"/>
      <bottom style="medium"/>
    </border>
    <border>
      <left>
        <color indexed="63"/>
      </left>
      <right style="thin"/>
      <top style="thin"/>
      <bottom style="medium"/>
    </border>
    <border>
      <left/>
      <right style="thin">
        <color indexed="54"/>
      </right>
      <top/>
      <bottom/>
    </border>
    <border>
      <left style="thin"/>
      <right style="thin"/>
      <top style="thin"/>
      <bottom style="double"/>
    </border>
    <border>
      <left style="medium">
        <color indexed="54"/>
      </left>
      <right>
        <color indexed="63"/>
      </right>
      <top style="medium">
        <color indexed="54"/>
      </top>
      <bottom style="thin"/>
    </border>
    <border>
      <left>
        <color indexed="63"/>
      </left>
      <right>
        <color indexed="63"/>
      </right>
      <top style="medium">
        <color indexed="54"/>
      </top>
      <bottom style="thin"/>
    </border>
    <border>
      <left style="medium"/>
      <right>
        <color indexed="63"/>
      </right>
      <top style="medium"/>
      <bottom style="thin"/>
    </border>
    <border>
      <left>
        <color indexed="63"/>
      </left>
      <right style="medium"/>
      <top style="medium"/>
      <bottom style="thin"/>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style="medium">
        <color indexed="54"/>
      </right>
      <top style="medium">
        <color indexed="54"/>
      </top>
      <bottom style="thin"/>
    </border>
    <border>
      <left style="medium">
        <color indexed="54"/>
      </left>
      <right style="medium">
        <color indexed="54"/>
      </right>
      <top style="medium">
        <color indexed="54"/>
      </top>
      <bottom>
        <color indexed="63"/>
      </bottom>
    </border>
    <border>
      <left style="medium">
        <color indexed="54"/>
      </left>
      <right style="medium">
        <color indexed="54"/>
      </right>
      <top>
        <color indexed="63"/>
      </top>
      <bottom style="medium">
        <color indexed="54"/>
      </bottom>
    </border>
    <border>
      <left style="medium">
        <color indexed="54"/>
      </left>
      <right>
        <color indexed="63"/>
      </right>
      <top style="medium">
        <color indexed="54"/>
      </top>
      <bottom>
        <color indexed="63"/>
      </bottom>
    </border>
    <border>
      <left style="medium">
        <color indexed="54"/>
      </left>
      <right>
        <color indexed="63"/>
      </right>
      <top>
        <color indexed="63"/>
      </top>
      <bottom style="medium">
        <color indexed="54"/>
      </bottom>
    </border>
    <border>
      <left style="thick">
        <color indexed="54"/>
      </left>
      <right>
        <color indexed="63"/>
      </right>
      <top style="medium">
        <color indexed="54"/>
      </top>
      <bottom style="thin">
        <color indexed="54"/>
      </bottom>
    </border>
    <border>
      <left style="medium">
        <color indexed="54"/>
      </left>
      <right>
        <color indexed="63"/>
      </right>
      <top style="thick">
        <color indexed="54"/>
      </top>
      <bottom>
        <color indexed="63"/>
      </bottom>
    </border>
    <border>
      <left style="medium">
        <color indexed="54"/>
      </left>
      <right>
        <color indexed="63"/>
      </right>
      <top style="thick">
        <color indexed="54"/>
      </top>
      <bottom style="medium">
        <color indexed="54"/>
      </bottom>
    </border>
    <border>
      <left>
        <color indexed="63"/>
      </left>
      <right>
        <color indexed="63"/>
      </right>
      <top style="thick">
        <color indexed="54"/>
      </top>
      <bottom style="medium">
        <color indexed="54"/>
      </bottom>
    </border>
    <border>
      <left>
        <color indexed="63"/>
      </left>
      <right style="medium">
        <color indexed="54"/>
      </right>
      <top style="thick">
        <color indexed="54"/>
      </top>
      <bottom style="medium">
        <color indexed="54"/>
      </bottom>
    </border>
    <border>
      <left style="thin">
        <color indexed="54"/>
      </left>
      <right style="thick">
        <color indexed="54"/>
      </right>
      <top style="thin">
        <color indexed="54"/>
      </top>
      <bottom>
        <color indexed="63"/>
      </bottom>
    </border>
    <border>
      <left style="thin">
        <color indexed="54"/>
      </left>
      <right style="thick">
        <color indexed="54"/>
      </right>
      <top>
        <color indexed="63"/>
      </top>
      <bottom style="thin">
        <color indexed="54"/>
      </bottom>
    </border>
    <border>
      <left style="medium">
        <color indexed="54"/>
      </left>
      <right>
        <color indexed="63"/>
      </right>
      <top style="thin">
        <color indexed="54"/>
      </top>
      <bottom style="hair">
        <color indexed="54"/>
      </bottom>
    </border>
    <border>
      <left>
        <color indexed="63"/>
      </left>
      <right style="thin">
        <color indexed="54"/>
      </right>
      <top style="thin">
        <color indexed="54"/>
      </top>
      <bottom style="hair">
        <color indexed="54"/>
      </bottom>
    </border>
    <border>
      <left style="thin">
        <color indexed="54"/>
      </left>
      <right>
        <color indexed="63"/>
      </right>
      <top style="thin">
        <color indexed="54"/>
      </top>
      <bottom style="hair">
        <color indexed="54"/>
      </bottom>
    </border>
    <border>
      <left>
        <color indexed="63"/>
      </left>
      <right>
        <color indexed="63"/>
      </right>
      <top>
        <color indexed="63"/>
      </top>
      <bottom style="medium">
        <color indexed="54"/>
      </bottom>
    </border>
    <border>
      <left>
        <color indexed="63"/>
      </left>
      <right style="medium">
        <color indexed="54"/>
      </right>
      <top>
        <color indexed="63"/>
      </top>
      <bottom style="medium">
        <color indexed="54"/>
      </bottom>
    </border>
    <border>
      <left>
        <color indexed="63"/>
      </left>
      <right>
        <color indexed="63"/>
      </right>
      <top style="medium"/>
      <bottom style="thin"/>
    </border>
    <border>
      <left style="medium"/>
      <right>
        <color indexed="63"/>
      </right>
      <top style="medium"/>
      <bottom style="medium"/>
    </border>
    <border>
      <left/>
      <right/>
      <top style="medium"/>
      <bottom style="medium"/>
    </border>
    <border>
      <left style="thin"/>
      <right>
        <color indexed="63"/>
      </right>
      <top>
        <color indexed="63"/>
      </top>
      <bottom>
        <color indexed="63"/>
      </bottom>
    </border>
  </borders>
  <cellStyleXfs count="21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3" fontId="6" fillId="0" borderId="0">
      <alignment/>
      <protection/>
    </xf>
    <xf numFmtId="183" fontId="6" fillId="0" borderId="0">
      <alignment/>
      <protection/>
    </xf>
    <xf numFmtId="183" fontId="6" fillId="0" borderId="0">
      <alignment/>
      <protection/>
    </xf>
    <xf numFmtId="183" fontId="6"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4" fontId="6" fillId="0" borderId="0">
      <alignment/>
      <protection/>
    </xf>
    <xf numFmtId="184" fontId="6" fillId="0" borderId="0">
      <alignment/>
      <protection/>
    </xf>
    <xf numFmtId="174" fontId="6" fillId="0" borderId="0">
      <alignment/>
      <protection/>
    </xf>
    <xf numFmtId="174" fontId="6" fillId="0" borderId="0">
      <alignment/>
      <protection/>
    </xf>
    <xf numFmtId="185" fontId="6" fillId="0" borderId="0">
      <alignment/>
      <protection/>
    </xf>
    <xf numFmtId="185" fontId="6" fillId="0" borderId="0">
      <alignment/>
      <protection/>
    </xf>
    <xf numFmtId="14" fontId="6" fillId="0" borderId="0">
      <alignment/>
      <protection/>
    </xf>
    <xf numFmtId="185" fontId="6" fillId="0" borderId="0">
      <alignment/>
      <protection/>
    </xf>
    <xf numFmtId="185" fontId="6" fillId="0" borderId="0">
      <alignment/>
      <protection/>
    </xf>
    <xf numFmtId="14" fontId="6" fillId="0" borderId="0">
      <alignment/>
      <protection/>
    </xf>
    <xf numFmtId="186" fontId="6" fillId="0" borderId="0">
      <alignment/>
      <protection/>
    </xf>
    <xf numFmtId="186" fontId="6" fillId="0" borderId="0">
      <alignment/>
      <protection/>
    </xf>
    <xf numFmtId="186" fontId="6" fillId="0" borderId="0">
      <alignment/>
      <protection/>
    </xf>
    <xf numFmtId="186" fontId="6" fillId="0" borderId="0">
      <alignment/>
      <protection/>
    </xf>
    <xf numFmtId="185" fontId="6" fillId="0" borderId="0">
      <alignment/>
      <protection/>
    </xf>
    <xf numFmtId="0" fontId="136" fillId="2"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4"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194" fontId="136" fillId="3" borderId="0" applyNumberFormat="0" applyBorder="0" applyAlignment="0" applyProtection="0"/>
    <xf numFmtId="0" fontId="137" fillId="3" borderId="0" applyNumberFormat="0" applyBorder="0" applyAlignment="0" applyProtection="0"/>
    <xf numFmtId="0" fontId="1"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194" fontId="1" fillId="7"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6"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 fillId="9"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194" fontId="136" fillId="8" borderId="0" applyNumberFormat="0" applyBorder="0" applyAlignment="0" applyProtection="0"/>
    <xf numFmtId="0" fontId="137" fillId="8" borderId="0" applyNumberFormat="0" applyBorder="0" applyAlignment="0" applyProtection="0"/>
    <xf numFmtId="0" fontId="1"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194" fontId="1" fillId="11"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7" fillId="8" borderId="0" applyNumberFormat="0" applyBorder="0" applyAlignment="0" applyProtection="0"/>
    <xf numFmtId="0" fontId="136"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13"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194" fontId="136" fillId="12" borderId="0" applyNumberFormat="0" applyBorder="0" applyAlignment="0" applyProtection="0"/>
    <xf numFmtId="0" fontId="137" fillId="12"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194" fontId="1" fillId="16"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6"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 fillId="17"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0" fontId="136" fillId="3" borderId="0" applyNumberFormat="0" applyBorder="0" applyAlignment="0" applyProtection="0"/>
    <xf numFmtId="194" fontId="136" fillId="3" borderId="0" applyNumberFormat="0" applyBorder="0" applyAlignment="0" applyProtection="0"/>
    <xf numFmtId="0" fontId="137" fillId="3"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94" fontId="1" fillId="20"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7" fillId="3" borderId="0" applyNumberFormat="0" applyBorder="0" applyAlignment="0" applyProtection="0"/>
    <xf numFmtId="0" fontId="136"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 fillId="22"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0" fontId="136" fillId="21" borderId="0" applyNumberFormat="0" applyBorder="0" applyAlignment="0" applyProtection="0"/>
    <xf numFmtId="194" fontId="136" fillId="21" borderId="0" applyNumberFormat="0" applyBorder="0" applyAlignment="0" applyProtection="0"/>
    <xf numFmtId="0" fontId="137" fillId="21" borderId="0" applyNumberFormat="0" applyBorder="0" applyAlignment="0" applyProtection="0"/>
    <xf numFmtId="0" fontId="1" fillId="22"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0" fontId="35" fillId="22"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194" fontId="1" fillId="24"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7" fillId="21" borderId="0" applyNumberFormat="0" applyBorder="0" applyAlignment="0" applyProtection="0"/>
    <xf numFmtId="0" fontId="136"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 fillId="25"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0" fontId="136" fillId="12" borderId="0" applyNumberFormat="0" applyBorder="0" applyAlignment="0" applyProtection="0"/>
    <xf numFmtId="194" fontId="136" fillId="12" borderId="0" applyNumberFormat="0" applyBorder="0" applyAlignment="0" applyProtection="0"/>
    <xf numFmtId="0" fontId="137" fillId="12" borderId="0" applyNumberFormat="0" applyBorder="0" applyAlignment="0" applyProtection="0"/>
    <xf numFmtId="0" fontId="1" fillId="27"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0" fontId="35" fillId="27" borderId="0" applyNumberFormat="0" applyBorder="0" applyAlignment="0" applyProtection="0"/>
    <xf numFmtId="0" fontId="35" fillId="3" borderId="0" applyNumberFormat="0" applyBorder="0" applyAlignment="0" applyProtection="0"/>
    <xf numFmtId="0" fontId="1" fillId="3" borderId="0" applyNumberFormat="0" applyBorder="0" applyAlignment="0" applyProtection="0"/>
    <xf numFmtId="194" fontId="1" fillId="3"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7" fillId="12" borderId="0" applyNumberFormat="0" applyBorder="0" applyAlignment="0" applyProtection="0"/>
    <xf numFmtId="0" fontId="136" fillId="24"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6"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194" fontId="136" fillId="28" borderId="0" applyNumberFormat="0" applyBorder="0" applyAlignment="0" applyProtection="0"/>
    <xf numFmtId="0" fontId="137" fillId="28" borderId="0" applyNumberFormat="0" applyBorder="0" applyAlignment="0" applyProtection="0"/>
    <xf numFmtId="0" fontId="1" fillId="29"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35" fillId="29"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94" fontId="1" fillId="2"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6"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 fillId="3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 fillId="1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0" fontId="136" fillId="30" borderId="0" applyNumberFormat="0" applyBorder="0" applyAlignment="0" applyProtection="0"/>
    <xf numFmtId="194" fontId="136" fillId="30" borderId="0" applyNumberFormat="0" applyBorder="0" applyAlignment="0" applyProtection="0"/>
    <xf numFmtId="0" fontId="137" fillId="30" borderId="0" applyNumberFormat="0" applyBorder="0" applyAlignment="0" applyProtection="0"/>
    <xf numFmtId="0" fontId="1" fillId="31"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0" fontId="35" fillId="31" borderId="0" applyNumberFormat="0" applyBorder="0" applyAlignment="0" applyProtection="0"/>
    <xf numFmtId="0" fontId="35" fillId="8" borderId="0" applyNumberFormat="0" applyBorder="0" applyAlignment="0" applyProtection="0"/>
    <xf numFmtId="0" fontId="1" fillId="8" borderId="0" applyNumberFormat="0" applyBorder="0" applyAlignment="0" applyProtection="0"/>
    <xf numFmtId="194" fontId="1" fillId="8"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6"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33"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194" fontId="136" fillId="32" borderId="0" applyNumberFormat="0" applyBorder="0" applyAlignment="0" applyProtection="0"/>
    <xf numFmtId="0" fontId="137" fillId="32"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1" fillId="36" borderId="0" applyNumberFormat="0" applyBorder="0" applyAlignment="0" applyProtection="0"/>
    <xf numFmtId="194" fontId="1" fillId="36"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6" fillId="11"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 fillId="37"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0" fontId="136" fillId="28" borderId="0" applyNumberFormat="0" applyBorder="0" applyAlignment="0" applyProtection="0"/>
    <xf numFmtId="194" fontId="136" fillId="28" borderId="0" applyNumberFormat="0" applyBorder="0" applyAlignment="0" applyProtection="0"/>
    <xf numFmtId="0" fontId="137" fillId="2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194" fontId="1" fillId="20"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7" fillId="28" borderId="0" applyNumberFormat="0" applyBorder="0" applyAlignment="0" applyProtection="0"/>
    <xf numFmtId="0" fontId="136" fillId="24"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 fillId="39"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0" fontId="136" fillId="38" borderId="0" applyNumberFormat="0" applyBorder="0" applyAlignment="0" applyProtection="0"/>
    <xf numFmtId="194" fontId="136" fillId="38" borderId="0" applyNumberFormat="0" applyBorder="0" applyAlignment="0" applyProtection="0"/>
    <xf numFmtId="0" fontId="137" fillId="38" borderId="0" applyNumberFormat="0" applyBorder="0" applyAlignment="0" applyProtection="0"/>
    <xf numFmtId="0" fontId="1" fillId="29"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0" fontId="35" fillId="29" borderId="0" applyNumberFormat="0" applyBorder="0" applyAlignment="0" applyProtection="0"/>
    <xf numFmtId="0" fontId="35" fillId="2" borderId="0" applyNumberFormat="0" applyBorder="0" applyAlignment="0" applyProtection="0"/>
    <xf numFmtId="0" fontId="1" fillId="2" borderId="0" applyNumberFormat="0" applyBorder="0" applyAlignment="0" applyProtection="0"/>
    <xf numFmtId="194" fontId="1" fillId="2"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6" fillId="1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 fillId="40"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0" fontId="136" fillId="32" borderId="0" applyNumberFormat="0" applyBorder="0" applyAlignment="0" applyProtection="0"/>
    <xf numFmtId="194" fontId="136" fillId="32" borderId="0" applyNumberFormat="0" applyBorder="0" applyAlignment="0" applyProtection="0"/>
    <xf numFmtId="0" fontId="137" fillId="32" borderId="0" applyNumberFormat="0" applyBorder="0" applyAlignment="0" applyProtection="0"/>
    <xf numFmtId="0" fontId="1" fillId="42" borderId="0" applyNumberFormat="0" applyBorder="0" applyAlignment="0" applyProtection="0"/>
    <xf numFmtId="0" fontId="35" fillId="43" borderId="0" applyNumberFormat="0" applyBorder="0" applyAlignment="0" applyProtection="0"/>
    <xf numFmtId="0" fontId="1"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1" fillId="43" borderId="0" applyNumberFormat="0" applyBorder="0" applyAlignment="0" applyProtection="0"/>
    <xf numFmtId="194" fontId="1" fillId="43"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7" fillId="32" borderId="0" applyNumberFormat="0" applyBorder="0" applyAlignment="0" applyProtection="0"/>
    <xf numFmtId="0" fontId="138" fillId="2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5" borderId="0" applyNumberFormat="0" applyBorder="0" applyAlignment="0" applyProtection="0"/>
    <xf numFmtId="0" fontId="138" fillId="44" borderId="0" applyNumberFormat="0" applyBorder="0" applyAlignment="0" applyProtection="0"/>
    <xf numFmtId="0" fontId="138" fillId="44" borderId="0" applyNumberFormat="0" applyBorder="0" applyAlignment="0" applyProtection="0"/>
    <xf numFmtId="194" fontId="138" fillId="44" borderId="0" applyNumberFormat="0" applyBorder="0" applyAlignment="0" applyProtection="0"/>
    <xf numFmtId="0" fontId="9" fillId="47" borderId="0" applyNumberFormat="0" applyBorder="0" applyAlignment="0" applyProtection="0"/>
    <xf numFmtId="0" fontId="41" fillId="46" borderId="0" applyNumberFormat="0" applyBorder="0" applyAlignment="0" applyProtection="0"/>
    <xf numFmtId="0" fontId="9" fillId="47" borderId="0" applyNumberFormat="0" applyBorder="0" applyAlignment="0" applyProtection="0"/>
    <xf numFmtId="0" fontId="41" fillId="47"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41" fillId="47" borderId="0" applyNumberFormat="0" applyBorder="0" applyAlignment="0" applyProtection="0"/>
    <xf numFmtId="194" fontId="41" fillId="47"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8" fillId="48"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8" borderId="0" applyNumberFormat="0" applyBorder="0" applyAlignment="0" applyProtection="0"/>
    <xf numFmtId="0" fontId="41" fillId="31" borderId="0" applyNumberFormat="0" applyBorder="0" applyAlignment="0" applyProtection="0"/>
    <xf numFmtId="0" fontId="138" fillId="49" borderId="0" applyNumberFormat="0" applyBorder="0" applyAlignment="0" applyProtection="0"/>
    <xf numFmtId="0" fontId="138" fillId="49" borderId="0" applyNumberFormat="0" applyBorder="0" applyAlignment="0" applyProtection="0"/>
    <xf numFmtId="194" fontId="138" fillId="49" borderId="0" applyNumberFormat="0" applyBorder="0" applyAlignment="0" applyProtection="0"/>
    <xf numFmtId="0" fontId="9" fillId="8" borderId="0" applyNumberFormat="0" applyBorder="0" applyAlignment="0" applyProtection="0"/>
    <xf numFmtId="0" fontId="41" fillId="31" borderId="0" applyNumberFormat="0" applyBorder="0" applyAlignment="0" applyProtection="0"/>
    <xf numFmtId="0" fontId="9" fillId="8" borderId="0" applyNumberFormat="0" applyBorder="0" applyAlignment="0" applyProtection="0"/>
    <xf numFmtId="0" fontId="41" fillId="8" borderId="0" applyNumberFormat="0" applyBorder="0" applyAlignment="0" applyProtection="0"/>
    <xf numFmtId="0" fontId="9" fillId="31" borderId="0" applyNumberFormat="0" applyBorder="0" applyAlignment="0" applyProtection="0"/>
    <xf numFmtId="0" fontId="9" fillId="8" borderId="0" applyNumberFormat="0" applyBorder="0" applyAlignment="0" applyProtection="0"/>
    <xf numFmtId="0" fontId="41" fillId="8" borderId="0" applyNumberFormat="0" applyBorder="0" applyAlignment="0" applyProtection="0"/>
    <xf numFmtId="194" fontId="41" fillId="8"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8" fillId="43"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41" fillId="50"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50"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194" fontId="138" fillId="32" borderId="0" applyNumberFormat="0" applyBorder="0" applyAlignment="0" applyProtection="0"/>
    <xf numFmtId="0" fontId="41" fillId="51" borderId="0" applyNumberFormat="0" applyBorder="0" applyAlignment="0" applyProtection="0"/>
    <xf numFmtId="0" fontId="9" fillId="36" borderId="0" applyNumberFormat="0" applyBorder="0" applyAlignment="0" applyProtection="0"/>
    <xf numFmtId="0" fontId="41" fillId="35" borderId="0" applyNumberFormat="0" applyBorder="0" applyAlignment="0" applyProtection="0"/>
    <xf numFmtId="0" fontId="9" fillId="36" borderId="0" applyNumberFormat="0" applyBorder="0" applyAlignment="0" applyProtection="0"/>
    <xf numFmtId="0" fontId="41" fillId="36"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41" fillId="36" borderId="0" applyNumberFormat="0" applyBorder="0" applyAlignment="0" applyProtection="0"/>
    <xf numFmtId="194" fontId="41" fillId="36"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8" fillId="11"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41" fillId="19" borderId="0" applyNumberFormat="0" applyBorder="0" applyAlignment="0" applyProtection="0"/>
    <xf numFmtId="0" fontId="41" fillId="9" borderId="0" applyNumberFormat="0" applyBorder="0" applyAlignment="0" applyProtection="0"/>
    <xf numFmtId="0" fontId="41" fillId="52" borderId="0" applyNumberFormat="0" applyBorder="0" applyAlignment="0" applyProtection="0"/>
    <xf numFmtId="0" fontId="41" fillId="1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194" fontId="138" fillId="28" borderId="0" applyNumberFormat="0" applyBorder="0" applyAlignment="0" applyProtection="0"/>
    <xf numFmtId="0" fontId="41" fillId="53" borderId="0" applyNumberFormat="0" applyBorder="0" applyAlignment="0" applyProtection="0"/>
    <xf numFmtId="0" fontId="9" fillId="52" borderId="0" applyNumberFormat="0" applyBorder="0" applyAlignment="0" applyProtection="0"/>
    <xf numFmtId="0" fontId="41" fillId="9" borderId="0" applyNumberFormat="0" applyBorder="0" applyAlignment="0" applyProtection="0"/>
    <xf numFmtId="0" fontId="9" fillId="52" borderId="0" applyNumberFormat="0" applyBorder="0" applyAlignment="0" applyProtection="0"/>
    <xf numFmtId="0" fontId="41" fillId="52" borderId="0" applyNumberFormat="0" applyBorder="0" applyAlignment="0" applyProtection="0"/>
    <xf numFmtId="0" fontId="9" fillId="9" borderId="0" applyNumberFormat="0" applyBorder="0" applyAlignment="0" applyProtection="0"/>
    <xf numFmtId="0" fontId="9" fillId="52" borderId="0" applyNumberFormat="0" applyBorder="0" applyAlignment="0" applyProtection="0"/>
    <xf numFmtId="0" fontId="41" fillId="52" borderId="0" applyNumberFormat="0" applyBorder="0" applyAlignment="0" applyProtection="0"/>
    <xf numFmtId="194" fontId="41" fillId="52"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9" fillId="28" borderId="0" applyNumberFormat="0" applyBorder="0" applyAlignment="0" applyProtection="0"/>
    <xf numFmtId="0" fontId="138" fillId="2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41" fillId="29" borderId="0" applyNumberFormat="0" applyBorder="0" applyAlignment="0" applyProtection="0"/>
    <xf numFmtId="0" fontId="41" fillId="55" borderId="0" applyNumberFormat="0" applyBorder="0" applyAlignment="0" applyProtection="0"/>
    <xf numFmtId="0" fontId="41" fillId="44" borderId="0" applyNumberFormat="0" applyBorder="0" applyAlignment="0" applyProtection="0"/>
    <xf numFmtId="0" fontId="41" fillId="29" borderId="0" applyNumberFormat="0" applyBorder="0" applyAlignment="0" applyProtection="0"/>
    <xf numFmtId="0" fontId="138" fillId="54" borderId="0" applyNumberFormat="0" applyBorder="0" applyAlignment="0" applyProtection="0"/>
    <xf numFmtId="0" fontId="138" fillId="54" borderId="0" applyNumberFormat="0" applyBorder="0" applyAlignment="0" applyProtection="0"/>
    <xf numFmtId="194" fontId="138" fillId="54" borderId="0" applyNumberFormat="0" applyBorder="0" applyAlignment="0" applyProtection="0"/>
    <xf numFmtId="0" fontId="9" fillId="44" borderId="0" applyNumberFormat="0" applyBorder="0" applyAlignment="0" applyProtection="0"/>
    <xf numFmtId="0" fontId="41" fillId="55" borderId="0" applyNumberFormat="0" applyBorder="0" applyAlignment="0" applyProtection="0"/>
    <xf numFmtId="0" fontId="9" fillId="44" borderId="0" applyNumberFormat="0" applyBorder="0" applyAlignment="0" applyProtection="0"/>
    <xf numFmtId="0" fontId="41" fillId="44" borderId="0" applyNumberFormat="0" applyBorder="0" applyAlignment="0" applyProtection="0"/>
    <xf numFmtId="0" fontId="9" fillId="55" borderId="0" applyNumberFormat="0" applyBorder="0" applyAlignment="0" applyProtection="0"/>
    <xf numFmtId="0" fontId="9" fillId="44" borderId="0" applyNumberFormat="0" applyBorder="0" applyAlignment="0" applyProtection="0"/>
    <xf numFmtId="0" fontId="41" fillId="44" borderId="0" applyNumberFormat="0" applyBorder="0" applyAlignment="0" applyProtection="0"/>
    <xf numFmtId="194" fontId="41" fillId="4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8"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2" borderId="0" applyNumberFormat="0" applyBorder="0" applyAlignment="0" applyProtection="0"/>
    <xf numFmtId="0" fontId="138" fillId="8" borderId="0" applyNumberFormat="0" applyBorder="0" applyAlignment="0" applyProtection="0"/>
    <xf numFmtId="0" fontId="138" fillId="8" borderId="0" applyNumberFormat="0" applyBorder="0" applyAlignment="0" applyProtection="0"/>
    <xf numFmtId="194" fontId="138" fillId="8" borderId="0" applyNumberFormat="0" applyBorder="0" applyAlignment="0" applyProtection="0"/>
    <xf numFmtId="0" fontId="9" fillId="57" borderId="0" applyNumberFormat="0" applyBorder="0" applyAlignment="0" applyProtection="0"/>
    <xf numFmtId="0" fontId="41" fillId="56" borderId="0" applyNumberFormat="0" applyBorder="0" applyAlignment="0" applyProtection="0"/>
    <xf numFmtId="0" fontId="9" fillId="57" borderId="0" applyNumberFormat="0" applyBorder="0" applyAlignment="0" applyProtection="0"/>
    <xf numFmtId="0" fontId="41" fillId="57"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41" fillId="57" borderId="0" applyNumberFormat="0" applyBorder="0" applyAlignment="0" applyProtection="0"/>
    <xf numFmtId="194" fontId="41" fillId="57"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9" fillId="8" borderId="0" applyNumberFormat="0" applyBorder="0" applyAlignment="0" applyProtection="0"/>
    <xf numFmtId="0" fontId="138" fillId="58"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138" fillId="44" borderId="0" applyNumberFormat="0" applyBorder="0" applyAlignment="0" applyProtection="0"/>
    <xf numFmtId="0" fontId="138" fillId="44" borderId="0" applyNumberFormat="0" applyBorder="0" applyAlignment="0" applyProtection="0"/>
    <xf numFmtId="194" fontId="138" fillId="44" borderId="0" applyNumberFormat="0" applyBorder="0" applyAlignment="0" applyProtection="0"/>
    <xf numFmtId="0" fontId="41" fillId="63" borderId="0" applyNumberFormat="0" applyBorder="0" applyAlignment="0" applyProtection="0"/>
    <xf numFmtId="0" fontId="9" fillId="61" borderId="0" applyNumberFormat="0" applyBorder="0" applyAlignment="0" applyProtection="0"/>
    <xf numFmtId="0" fontId="41" fillId="60" borderId="0" applyNumberFormat="0" applyBorder="0" applyAlignment="0" applyProtection="0"/>
    <xf numFmtId="0" fontId="9" fillId="61" borderId="0" applyNumberFormat="0" applyBorder="0" applyAlignment="0" applyProtection="0"/>
    <xf numFmtId="0" fontId="41" fillId="61"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41" fillId="61" borderId="0" applyNumberFormat="0" applyBorder="0" applyAlignment="0" applyProtection="0"/>
    <xf numFmtId="194" fontId="41" fillId="61"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9" fillId="44" borderId="0" applyNumberFormat="0" applyBorder="0" applyAlignment="0" applyProtection="0"/>
    <xf numFmtId="0" fontId="138" fillId="48"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41" fillId="65" borderId="0" applyNumberFormat="0" applyBorder="0" applyAlignment="0" applyProtection="0"/>
    <xf numFmtId="0" fontId="138" fillId="64" borderId="0" applyNumberFormat="0" applyBorder="0" applyAlignment="0" applyProtection="0"/>
    <xf numFmtId="0" fontId="138" fillId="64" borderId="0" applyNumberFormat="0" applyBorder="0" applyAlignment="0" applyProtection="0"/>
    <xf numFmtId="194" fontId="138" fillId="64" borderId="0" applyNumberFormat="0" applyBorder="0" applyAlignment="0" applyProtection="0"/>
    <xf numFmtId="0" fontId="41" fillId="68" borderId="0" applyNumberFormat="0" applyBorder="0" applyAlignment="0" applyProtection="0"/>
    <xf numFmtId="0" fontId="9" fillId="67" borderId="0" applyNumberFormat="0" applyBorder="0" applyAlignment="0" applyProtection="0"/>
    <xf numFmtId="0" fontId="41" fillId="66" borderId="0" applyNumberFormat="0" applyBorder="0" applyAlignment="0" applyProtection="0"/>
    <xf numFmtId="0" fontId="9" fillId="67" borderId="0" applyNumberFormat="0" applyBorder="0" applyAlignment="0" applyProtection="0"/>
    <xf numFmtId="0" fontId="41"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41" fillId="67" borderId="0" applyNumberFormat="0" applyBorder="0" applyAlignment="0" applyProtection="0"/>
    <xf numFmtId="194" fontId="41" fillId="67"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9" fillId="64" borderId="0" applyNumberFormat="0" applyBorder="0" applyAlignment="0" applyProtection="0"/>
    <xf numFmtId="0" fontId="138" fillId="43"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41" fillId="72" borderId="0" applyNumberFormat="0" applyBorder="0" applyAlignment="0" applyProtection="0"/>
    <xf numFmtId="0" fontId="41" fillId="70" borderId="0" applyNumberFormat="0" applyBorder="0" applyAlignment="0" applyProtection="0"/>
    <xf numFmtId="0" fontId="138" fillId="69" borderId="0" applyNumberFormat="0" applyBorder="0" applyAlignment="0" applyProtection="0"/>
    <xf numFmtId="0" fontId="138" fillId="69" borderId="0" applyNumberFormat="0" applyBorder="0" applyAlignment="0" applyProtection="0"/>
    <xf numFmtId="194" fontId="138" fillId="69" borderId="0" applyNumberFormat="0" applyBorder="0" applyAlignment="0" applyProtection="0"/>
    <xf numFmtId="0" fontId="41" fillId="73" borderId="0" applyNumberFormat="0" applyBorder="0" applyAlignment="0" applyProtection="0"/>
    <xf numFmtId="0" fontId="9" fillId="72" borderId="0" applyNumberFormat="0" applyBorder="0" applyAlignment="0" applyProtection="0"/>
    <xf numFmtId="0" fontId="41" fillId="71" borderId="0" applyNumberFormat="0" applyBorder="0" applyAlignment="0" applyProtection="0"/>
    <xf numFmtId="0" fontId="9" fillId="72" borderId="0" applyNumberFormat="0" applyBorder="0" applyAlignment="0" applyProtection="0"/>
    <xf numFmtId="0" fontId="41" fillId="72"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41" fillId="72" borderId="0" applyNumberFormat="0" applyBorder="0" applyAlignment="0" applyProtection="0"/>
    <xf numFmtId="194" fontId="41" fillId="72"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9" fillId="69" borderId="0" applyNumberFormat="0" applyBorder="0" applyAlignment="0" applyProtection="0"/>
    <xf numFmtId="0" fontId="138"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41" fillId="75" borderId="0" applyNumberFormat="0" applyBorder="0" applyAlignment="0" applyProtection="0"/>
    <xf numFmtId="0" fontId="41" fillId="9" borderId="0" applyNumberFormat="0" applyBorder="0" applyAlignment="0" applyProtection="0"/>
    <xf numFmtId="0" fontId="41" fillId="52" borderId="0" applyNumberFormat="0" applyBorder="0" applyAlignment="0" applyProtection="0"/>
    <xf numFmtId="0" fontId="41" fillId="75" borderId="0" applyNumberFormat="0" applyBorder="0" applyAlignment="0" applyProtection="0"/>
    <xf numFmtId="0" fontId="138" fillId="74" borderId="0" applyNumberFormat="0" applyBorder="0" applyAlignment="0" applyProtection="0"/>
    <xf numFmtId="0" fontId="138" fillId="74" borderId="0" applyNumberFormat="0" applyBorder="0" applyAlignment="0" applyProtection="0"/>
    <xf numFmtId="194" fontId="138" fillId="74" borderId="0" applyNumberFormat="0" applyBorder="0" applyAlignment="0" applyProtection="0"/>
    <xf numFmtId="0" fontId="41" fillId="76" borderId="0" applyNumberFormat="0" applyBorder="0" applyAlignment="0" applyProtection="0"/>
    <xf numFmtId="0" fontId="9" fillId="52" borderId="0" applyNumberFormat="0" applyBorder="0" applyAlignment="0" applyProtection="0"/>
    <xf numFmtId="0" fontId="41" fillId="9" borderId="0" applyNumberFormat="0" applyBorder="0" applyAlignment="0" applyProtection="0"/>
    <xf numFmtId="0" fontId="9" fillId="52" borderId="0" applyNumberFormat="0" applyBorder="0" applyAlignment="0" applyProtection="0"/>
    <xf numFmtId="0" fontId="41" fillId="52" borderId="0" applyNumberFormat="0" applyBorder="0" applyAlignment="0" applyProtection="0"/>
    <xf numFmtId="0" fontId="9" fillId="9" borderId="0" applyNumberFormat="0" applyBorder="0" applyAlignment="0" applyProtection="0"/>
    <xf numFmtId="0" fontId="9" fillId="52" borderId="0" applyNumberFormat="0" applyBorder="0" applyAlignment="0" applyProtection="0"/>
    <xf numFmtId="0" fontId="41" fillId="52" borderId="0" applyNumberFormat="0" applyBorder="0" applyAlignment="0" applyProtection="0"/>
    <xf numFmtId="194" fontId="41" fillId="52"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9" fillId="74" borderId="0" applyNumberFormat="0" applyBorder="0" applyAlignment="0" applyProtection="0"/>
    <xf numFmtId="0" fontId="138"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44" borderId="0" applyNumberFormat="0" applyBorder="0" applyAlignment="0" applyProtection="0"/>
    <xf numFmtId="0" fontId="41" fillId="55"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194" fontId="138" fillId="77" borderId="0" applyNumberFormat="0" applyBorder="0" applyAlignment="0" applyProtection="0"/>
    <xf numFmtId="0" fontId="9" fillId="44" borderId="0" applyNumberFormat="0" applyBorder="0" applyAlignment="0" applyProtection="0"/>
    <xf numFmtId="0" fontId="41" fillId="55" borderId="0" applyNumberFormat="0" applyBorder="0" applyAlignment="0" applyProtection="0"/>
    <xf numFmtId="0" fontId="9" fillId="44" borderId="0" applyNumberFormat="0" applyBorder="0" applyAlignment="0" applyProtection="0"/>
    <xf numFmtId="0" fontId="41" fillId="44" borderId="0" applyNumberFormat="0" applyBorder="0" applyAlignment="0" applyProtection="0"/>
    <xf numFmtId="0" fontId="9" fillId="55" borderId="0" applyNumberFormat="0" applyBorder="0" applyAlignment="0" applyProtection="0"/>
    <xf numFmtId="0" fontId="9" fillId="44" borderId="0" applyNumberFormat="0" applyBorder="0" applyAlignment="0" applyProtection="0"/>
    <xf numFmtId="0" fontId="41" fillId="44" borderId="0" applyNumberFormat="0" applyBorder="0" applyAlignment="0" applyProtection="0"/>
    <xf numFmtId="194" fontId="41" fillId="44"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9" fillId="77" borderId="0" applyNumberFormat="0" applyBorder="0" applyAlignment="0" applyProtection="0"/>
    <xf numFmtId="0" fontId="138" fillId="67"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41" fillId="56" borderId="0" applyNumberFormat="0" applyBorder="0" applyAlignment="0" applyProtection="0"/>
    <xf numFmtId="0" fontId="41" fillId="79" borderId="0" applyNumberFormat="0" applyBorder="0" applyAlignment="0" applyProtection="0"/>
    <xf numFmtId="0" fontId="41" fillId="48" borderId="0" applyNumberFormat="0" applyBorder="0" applyAlignment="0" applyProtection="0"/>
    <xf numFmtId="0" fontId="41" fillId="56" borderId="0" applyNumberFormat="0" applyBorder="0" applyAlignment="0" applyProtection="0"/>
    <xf numFmtId="0" fontId="138" fillId="78" borderId="0" applyNumberFormat="0" applyBorder="0" applyAlignment="0" applyProtection="0"/>
    <xf numFmtId="0" fontId="138" fillId="78" borderId="0" applyNumberFormat="0" applyBorder="0" applyAlignment="0" applyProtection="0"/>
    <xf numFmtId="194" fontId="138" fillId="78" borderId="0" applyNumberFormat="0" applyBorder="0" applyAlignment="0" applyProtection="0"/>
    <xf numFmtId="0" fontId="41" fillId="80" borderId="0" applyNumberFormat="0" applyBorder="0" applyAlignment="0" applyProtection="0"/>
    <xf numFmtId="0" fontId="9" fillId="48" borderId="0" applyNumberFormat="0" applyBorder="0" applyAlignment="0" applyProtection="0"/>
    <xf numFmtId="0" fontId="41" fillId="79" borderId="0" applyNumberFormat="0" applyBorder="0" applyAlignment="0" applyProtection="0"/>
    <xf numFmtId="0" fontId="9" fillId="48" borderId="0" applyNumberFormat="0" applyBorder="0" applyAlignment="0" applyProtection="0"/>
    <xf numFmtId="0" fontId="41" fillId="48" borderId="0" applyNumberFormat="0" applyBorder="0" applyAlignment="0" applyProtection="0"/>
    <xf numFmtId="0" fontId="9" fillId="79" borderId="0" applyNumberFormat="0" applyBorder="0" applyAlignment="0" applyProtection="0"/>
    <xf numFmtId="0" fontId="9" fillId="48" borderId="0" applyNumberFormat="0" applyBorder="0" applyAlignment="0" applyProtection="0"/>
    <xf numFmtId="0" fontId="41" fillId="48" borderId="0" applyNumberFormat="0" applyBorder="0" applyAlignment="0" applyProtection="0"/>
    <xf numFmtId="194" fontId="41" fillId="4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39" fillId="78" borderId="0" applyNumberFormat="0" applyBorder="0" applyAlignment="0" applyProtection="0"/>
    <xf numFmtId="0" fontId="140" fillId="20"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61" fillId="82" borderId="0" applyNumberFormat="0" applyBorder="0" applyAlignment="0" applyProtection="0"/>
    <xf numFmtId="0" fontId="62" fillId="10" borderId="0" applyNumberFormat="0" applyBorder="0" applyAlignment="0" applyProtection="0"/>
    <xf numFmtId="0" fontId="42" fillId="11" borderId="0" applyNumberFormat="0" applyBorder="0" applyAlignment="0" applyProtection="0"/>
    <xf numFmtId="0" fontId="61" fillId="82" borderId="0" applyNumberFormat="0" applyBorder="0" applyAlignment="0" applyProtection="0"/>
    <xf numFmtId="0" fontId="140" fillId="81" borderId="0" applyNumberFormat="0" applyBorder="0" applyAlignment="0" applyProtection="0"/>
    <xf numFmtId="0" fontId="140" fillId="81" borderId="0" applyNumberFormat="0" applyBorder="0" applyAlignment="0" applyProtection="0"/>
    <xf numFmtId="194" fontId="140" fillId="81" borderId="0" applyNumberFormat="0" applyBorder="0" applyAlignment="0" applyProtection="0"/>
    <xf numFmtId="0" fontId="61" fillId="83" borderId="0" applyNumberFormat="0" applyBorder="0" applyAlignment="0" applyProtection="0"/>
    <xf numFmtId="0" fontId="62" fillId="10" borderId="0" applyNumberFormat="0" applyBorder="0" applyAlignment="0" applyProtection="0"/>
    <xf numFmtId="0" fontId="97" fillId="11" borderId="0" applyNumberFormat="0" applyBorder="0" applyAlignment="0" applyProtection="0"/>
    <xf numFmtId="0" fontId="42" fillId="11" borderId="0" applyNumberFormat="0" applyBorder="0" applyAlignment="0" applyProtection="0"/>
    <xf numFmtId="0" fontId="63" fillId="10" borderId="0" applyNumberFormat="0" applyBorder="0" applyAlignment="0" applyProtection="0"/>
    <xf numFmtId="0" fontId="97" fillId="11" borderId="0" applyNumberFormat="0" applyBorder="0" applyAlignment="0" applyProtection="0"/>
    <xf numFmtId="0" fontId="42" fillId="11" borderId="0" applyNumberFormat="0" applyBorder="0" applyAlignment="0" applyProtection="0"/>
    <xf numFmtId="194" fontId="42" fillId="1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41" fillId="81" borderId="0" applyNumberFormat="0" applyBorder="0" applyAlignment="0" applyProtection="0"/>
    <xf numFmtId="0" fontId="121" fillId="84" borderId="1"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64" fillId="85" borderId="2" applyNumberFormat="0" applyAlignment="0" applyProtection="0"/>
    <xf numFmtId="0" fontId="65" fillId="86" borderId="3" applyNumberFormat="0" applyAlignment="0" applyProtection="0"/>
    <xf numFmtId="0" fontId="65" fillId="28" borderId="3" applyNumberFormat="0" applyAlignment="0" applyProtection="0"/>
    <xf numFmtId="0" fontId="64" fillId="85" borderId="2" applyNumberFormat="0" applyAlignment="0" applyProtection="0"/>
    <xf numFmtId="0" fontId="143" fillId="3" borderId="1" applyNumberFormat="0" applyAlignment="0" applyProtection="0"/>
    <xf numFmtId="0" fontId="143" fillId="3" borderId="1" applyNumberFormat="0" applyAlignment="0" applyProtection="0"/>
    <xf numFmtId="194" fontId="143" fillId="3" borderId="1" applyNumberFormat="0" applyAlignment="0" applyProtection="0"/>
    <xf numFmtId="0" fontId="106" fillId="87" borderId="4" applyNumberFormat="0" applyAlignment="0" applyProtection="0"/>
    <xf numFmtId="0" fontId="65" fillId="86" borderId="3" applyNumberFormat="0" applyAlignment="0" applyProtection="0"/>
    <xf numFmtId="0" fontId="66" fillId="28" borderId="3" applyNumberFormat="0" applyAlignment="0" applyProtection="0"/>
    <xf numFmtId="0" fontId="65" fillId="28" borderId="3" applyNumberFormat="0" applyAlignment="0" applyProtection="0"/>
    <xf numFmtId="0" fontId="66" fillId="86" borderId="3" applyNumberFormat="0" applyAlignment="0" applyProtection="0"/>
    <xf numFmtId="0" fontId="66" fillId="28" borderId="3" applyNumberFormat="0" applyAlignment="0" applyProtection="0"/>
    <xf numFmtId="0" fontId="65" fillId="28" borderId="3" applyNumberFormat="0" applyAlignment="0" applyProtection="0"/>
    <xf numFmtId="194" fontId="65" fillId="28" borderId="3" applyNumberFormat="0" applyAlignment="0" applyProtection="0"/>
    <xf numFmtId="0" fontId="142" fillId="3" borderId="1" applyNumberFormat="0" applyAlignment="0" applyProtection="0"/>
    <xf numFmtId="0" fontId="142" fillId="3" borderId="1" applyNumberFormat="0" applyAlignment="0" applyProtection="0"/>
    <xf numFmtId="0" fontId="142" fillId="3" borderId="1" applyNumberFormat="0" applyAlignment="0" applyProtection="0"/>
    <xf numFmtId="0" fontId="144" fillId="88" borderId="5"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0" fontId="43" fillId="46" borderId="6" applyNumberFormat="0" applyAlignment="0" applyProtection="0"/>
    <xf numFmtId="0" fontId="43" fillId="89" borderId="6" applyNumberFormat="0" applyAlignment="0" applyProtection="0"/>
    <xf numFmtId="0" fontId="43" fillId="90" borderId="6" applyNumberFormat="0" applyAlignment="0" applyProtection="0"/>
    <xf numFmtId="0" fontId="43" fillId="46" borderId="6" applyNumberFormat="0" applyAlignment="0" applyProtection="0"/>
    <xf numFmtId="0" fontId="144" fillId="88" borderId="5" applyNumberFormat="0" applyAlignment="0" applyProtection="0"/>
    <xf numFmtId="0" fontId="144" fillId="88" borderId="5" applyNumberFormat="0" applyAlignment="0" applyProtection="0"/>
    <xf numFmtId="194" fontId="144" fillId="88" borderId="5" applyNumberFormat="0" applyAlignment="0" applyProtection="0"/>
    <xf numFmtId="0" fontId="43" fillId="91" borderId="6" applyNumberFormat="0" applyAlignment="0" applyProtection="0"/>
    <xf numFmtId="0" fontId="43" fillId="89" borderId="6" applyNumberFormat="0" applyAlignment="0" applyProtection="0"/>
    <xf numFmtId="0" fontId="18" fillId="90" borderId="6" applyNumberFormat="0" applyAlignment="0" applyProtection="0"/>
    <xf numFmtId="0" fontId="43" fillId="90" borderId="6" applyNumberFormat="0" applyAlignment="0" applyProtection="0"/>
    <xf numFmtId="0" fontId="18" fillId="89" borderId="6" applyNumberFormat="0" applyAlignment="0" applyProtection="0"/>
    <xf numFmtId="0" fontId="18" fillId="90" borderId="6" applyNumberFormat="0" applyAlignment="0" applyProtection="0"/>
    <xf numFmtId="0" fontId="43" fillId="90" borderId="6" applyNumberFormat="0" applyAlignment="0" applyProtection="0"/>
    <xf numFmtId="194" fontId="43" fillId="90" borderId="6" applyNumberFormat="0" applyAlignment="0" applyProtection="0"/>
    <xf numFmtId="0" fontId="145" fillId="88" borderId="5" applyNumberFormat="0" applyAlignment="0" applyProtection="0"/>
    <xf numFmtId="0" fontId="145" fillId="88" borderId="5" applyNumberFormat="0" applyAlignment="0" applyProtection="0"/>
    <xf numFmtId="0" fontId="145" fillId="88" borderId="5"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6" fillId="0" borderId="0" applyFont="0" applyFill="0" applyBorder="0" applyAlignment="0" applyProtection="0"/>
    <xf numFmtId="187" fontId="3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87" fontId="37" fillId="0" borderId="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79" fontId="37" fillId="0" borderId="0" applyFill="0" applyBorder="0" applyAlignment="0" applyProtection="0"/>
    <xf numFmtId="179" fontId="3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43" fontId="1" fillId="0" borderId="0" applyFont="0" applyFill="0" applyBorder="0" applyAlignment="0" applyProtection="0"/>
    <xf numFmtId="179" fontId="37" fillId="0" borderId="0" applyFill="0" applyBorder="0" applyAlignment="0" applyProtection="0"/>
    <xf numFmtId="43" fontId="6" fillId="0" borderId="0" applyFont="0" applyFill="0" applyBorder="0" applyAlignment="0" applyProtection="0"/>
    <xf numFmtId="187" fontId="37"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37" fillId="0" borderId="0" applyFill="0" applyBorder="0" applyAlignment="0" applyProtection="0"/>
    <xf numFmtId="179" fontId="37"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179" fontId="37" fillId="0" borderId="0" applyFill="0" applyBorder="0" applyAlignment="0" applyProtection="0"/>
    <xf numFmtId="179" fontId="37" fillId="0" borderId="0" applyFill="0" applyBorder="0" applyAlignment="0" applyProtection="0"/>
    <xf numFmtId="43" fontId="6" fillId="0" borderId="0" applyFont="0" applyFill="0" applyBorder="0" applyAlignment="0" applyProtection="0"/>
    <xf numFmtId="187" fontId="37" fillId="0" borderId="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179" fontId="37"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9" fontId="3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187" fontId="37" fillId="0" borderId="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87" fontId="37" fillId="0" borderId="0" applyFill="0" applyBorder="0" applyAlignment="0" applyProtection="0"/>
    <xf numFmtId="187" fontId="3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6" fillId="0" borderId="0" applyFont="0" applyFill="0" applyBorder="0" applyAlignment="0" applyProtection="0"/>
    <xf numFmtId="3" fontId="37" fillId="0" borderId="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88" fontId="37" fillId="0" borderId="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189" fontId="37" fillId="0" borderId="0" applyFill="0" applyBorder="0" applyAlignment="0" applyProtection="0"/>
    <xf numFmtId="189" fontId="37"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8" fontId="37" fillId="0" borderId="0" applyFill="0" applyBorder="0" applyAlignment="0" applyProtection="0"/>
    <xf numFmtId="44" fontId="1" fillId="0" borderId="0" applyFont="0" applyFill="0" applyBorder="0" applyAlignment="0" applyProtection="0"/>
    <xf numFmtId="189" fontId="37" fillId="0" borderId="0" applyFill="0" applyBorder="0" applyAlignment="0" applyProtection="0"/>
    <xf numFmtId="44" fontId="6" fillId="0" borderId="0" applyFont="0" applyFill="0" applyBorder="0" applyAlignment="0" applyProtection="0"/>
    <xf numFmtId="188" fontId="37" fillId="0" borderId="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8" fontId="37" fillId="0" borderId="0" applyFill="0" applyBorder="0" applyAlignment="0" applyProtection="0"/>
    <xf numFmtId="189" fontId="37" fillId="0" borderId="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37" fillId="0" borderId="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188" fontId="37" fillId="0" borderId="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190" fontId="37" fillId="0" borderId="0" applyFill="0" applyBorder="0" applyAlignment="0" applyProtection="0"/>
    <xf numFmtId="190" fontId="37" fillId="0" borderId="0" applyFill="0" applyBorder="0" applyAlignment="0" applyProtection="0"/>
    <xf numFmtId="5" fontId="6" fillId="0" borderId="0" applyFont="0" applyFill="0" applyBorder="0" applyAlignment="0" applyProtection="0"/>
    <xf numFmtId="190" fontId="37" fillId="0" borderId="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4" fontId="37" fillId="0" borderId="0" applyFill="0" applyBorder="0" applyAlignment="0" applyProtection="0"/>
    <xf numFmtId="14" fontId="37" fillId="0" borderId="0" applyFill="0" applyBorder="0" applyAlignment="0" applyProtection="0"/>
    <xf numFmtId="14" fontId="6" fillId="0" borderId="0" applyFont="0" applyFill="0" applyBorder="0" applyAlignment="0" applyProtection="0"/>
    <xf numFmtId="14" fontId="37" fillId="0" borderId="0" applyFill="0" applyBorder="0" applyAlignment="0" applyProtection="0"/>
    <xf numFmtId="14" fontId="6" fillId="0" borderId="0" applyFont="0" applyFill="0" applyBorder="0" applyAlignment="0" applyProtection="0"/>
    <xf numFmtId="14" fontId="6" fillId="0" borderId="0" applyFont="0" applyFill="0" applyBorder="0" applyAlignment="0" applyProtection="0"/>
    <xf numFmtId="0" fontId="69" fillId="15" borderId="0" applyNumberFormat="0" applyBorder="0" applyAlignment="0" applyProtection="0"/>
    <xf numFmtId="0" fontId="45" fillId="92" borderId="0" applyNumberFormat="0" applyBorder="0" applyAlignment="0" applyProtection="0"/>
    <xf numFmtId="0" fontId="6" fillId="0" borderId="0">
      <alignment/>
      <protection/>
    </xf>
    <xf numFmtId="0" fontId="146"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6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7"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194" fontId="146" fillId="0" borderId="0" applyNumberFormat="0" applyFill="0" applyBorder="0" applyAlignment="0" applyProtection="0"/>
    <xf numFmtId="0" fontId="107"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4" fillId="0" borderId="0" applyNumberFormat="0" applyFill="0" applyBorder="0" applyAlignment="0" applyProtection="0"/>
    <xf numFmtId="194" fontId="4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3" borderId="7" applyNumberFormat="0" applyAlignment="0" applyProtection="0"/>
    <xf numFmtId="0" fontId="149" fillId="44" borderId="7" applyNumberFormat="0">
      <alignment horizontal="center" vertical="center"/>
      <protection/>
    </xf>
    <xf numFmtId="2" fontId="37" fillId="0" borderId="0" applyFill="0" applyBorder="0" applyAlignment="0" applyProtection="0"/>
    <xf numFmtId="2" fontId="37" fillId="0" borderId="0" applyFill="0" applyBorder="0" applyAlignment="0" applyProtection="0"/>
    <xf numFmtId="2" fontId="6" fillId="0" borderId="0" applyFont="0" applyFill="0" applyBorder="0" applyAlignment="0" applyProtection="0"/>
    <xf numFmtId="2" fontId="37" fillId="0" borderId="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0" fontId="25" fillId="0" borderId="0" applyNumberFormat="0" applyFill="0" applyBorder="0" applyAlignment="0" applyProtection="0"/>
    <xf numFmtId="0" fontId="150" fillId="24"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69" fillId="94" borderId="0" applyNumberFormat="0" applyBorder="0" applyAlignment="0" applyProtection="0"/>
    <xf numFmtId="0" fontId="69" fillId="15" borderId="0" applyNumberFormat="0" applyBorder="0" applyAlignment="0" applyProtection="0"/>
    <xf numFmtId="0" fontId="45" fillId="16" borderId="0" applyNumberFormat="0" applyBorder="0" applyAlignment="0" applyProtection="0"/>
    <xf numFmtId="0" fontId="69" fillId="94" borderId="0" applyNumberFormat="0" applyBorder="0" applyAlignment="0" applyProtection="0"/>
    <xf numFmtId="0" fontId="150" fillId="93" borderId="0" applyNumberFormat="0" applyBorder="0" applyAlignment="0" applyProtection="0"/>
    <xf numFmtId="0" fontId="150" fillId="93" borderId="0" applyNumberFormat="0" applyBorder="0" applyAlignment="0" applyProtection="0"/>
    <xf numFmtId="194" fontId="150" fillId="93" borderId="0" applyNumberFormat="0" applyBorder="0" applyAlignment="0" applyProtection="0"/>
    <xf numFmtId="0" fontId="45" fillId="95" borderId="0" applyNumberFormat="0" applyBorder="0" applyAlignment="0" applyProtection="0"/>
    <xf numFmtId="0" fontId="69" fillId="15" borderId="0" applyNumberFormat="0" applyBorder="0" applyAlignment="0" applyProtection="0"/>
    <xf numFmtId="0" fontId="98" fillId="16" borderId="0" applyNumberFormat="0" applyBorder="0" applyAlignment="0" applyProtection="0"/>
    <xf numFmtId="0" fontId="45" fillId="16" borderId="0" applyNumberFormat="0" applyBorder="0" applyAlignment="0" applyProtection="0"/>
    <xf numFmtId="0" fontId="70" fillId="15" borderId="0" applyNumberFormat="0" applyBorder="0" applyAlignment="0" applyProtection="0"/>
    <xf numFmtId="0" fontId="98" fillId="16" borderId="0" applyNumberFormat="0" applyBorder="0" applyAlignment="0" applyProtection="0"/>
    <xf numFmtId="0" fontId="45" fillId="16" borderId="0" applyNumberFormat="0" applyBorder="0" applyAlignment="0" applyProtection="0"/>
    <xf numFmtId="194" fontId="45" fillId="16"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51" fillId="93" borderId="0" applyNumberFormat="0" applyBorder="0" applyAlignment="0" applyProtection="0"/>
    <xf numFmtId="0" fontId="12" fillId="86" borderId="0" applyNumberFormat="0" applyBorder="0" applyAlignment="0" applyProtection="0"/>
    <xf numFmtId="0" fontId="12" fillId="86" borderId="0" applyNumberFormat="0" applyBorder="0" applyAlignment="0" applyProtection="0"/>
    <xf numFmtId="38" fontId="12" fillId="28" borderId="0" applyNumberFormat="0" applyBorder="0" applyAlignment="0" applyProtection="0"/>
    <xf numFmtId="38" fontId="12" fillId="28" borderId="0" applyNumberFormat="0" applyBorder="0" applyAlignment="0" applyProtection="0"/>
    <xf numFmtId="0" fontId="12" fillId="96" borderId="0" applyNumberFormat="0" applyBorder="0" applyAlignment="0" applyProtection="0"/>
    <xf numFmtId="0" fontId="71" fillId="0" borderId="8"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71" fillId="0" borderId="10" applyNumberFormat="0" applyFill="0" applyAlignment="0" applyProtection="0"/>
    <xf numFmtId="0" fontId="71" fillId="0" borderId="10" applyNumberFormat="0" applyFill="0" applyAlignment="0" applyProtection="0"/>
    <xf numFmtId="0" fontId="71" fillId="0" borderId="9" applyNumberFormat="0" applyFill="0" applyAlignment="0" applyProtection="0"/>
    <xf numFmtId="0" fontId="72" fillId="0" borderId="11" applyNumberFormat="0" applyFill="0" applyAlignment="0" applyProtection="0"/>
    <xf numFmtId="0" fontId="92" fillId="0" borderId="11" applyNumberFormat="0" applyFill="0" applyAlignment="0" applyProtection="0"/>
    <xf numFmtId="0" fontId="71" fillId="0" borderId="9" applyNumberFormat="0" applyFill="0" applyAlignment="0" applyProtection="0"/>
    <xf numFmtId="194" fontId="71" fillId="0" borderId="9" applyNumberFormat="0" applyFill="0" applyAlignment="0" applyProtection="0"/>
    <xf numFmtId="0" fontId="37" fillId="0" borderId="0" applyNumberFormat="0" applyFill="0" applyAlignment="0" applyProtection="0"/>
    <xf numFmtId="0" fontId="90" fillId="0" borderId="0" applyNumberFormat="0" applyFont="0" applyFill="0" applyAlignment="0" applyProtection="0"/>
    <xf numFmtId="0" fontId="72" fillId="0" borderId="11" applyNumberFormat="0" applyFill="0" applyAlignment="0" applyProtection="0"/>
    <xf numFmtId="0" fontId="100" fillId="0" borderId="11" applyNumberFormat="0" applyFill="0" applyAlignment="0" applyProtection="0"/>
    <xf numFmtId="0" fontId="92" fillId="0" borderId="11" applyNumberFormat="0" applyFill="0" applyAlignment="0" applyProtection="0"/>
    <xf numFmtId="0" fontId="90" fillId="0" borderId="0" applyNumberFormat="0" applyFont="0" applyFill="0" applyAlignment="0" applyProtection="0"/>
    <xf numFmtId="0" fontId="92" fillId="0" borderId="11" applyNumberFormat="0" applyFill="0" applyAlignment="0" applyProtection="0"/>
    <xf numFmtId="194" fontId="92" fillId="0" borderId="11" applyNumberFormat="0" applyFill="0" applyAlignment="0" applyProtection="0"/>
    <xf numFmtId="0" fontId="99" fillId="0" borderId="9" applyNumberFormat="0" applyFill="0" applyAlignment="0" applyProtection="0"/>
    <xf numFmtId="0" fontId="99" fillId="0" borderId="9" applyNumberFormat="0" applyFill="0" applyAlignment="0" applyProtection="0"/>
    <xf numFmtId="0" fontId="73" fillId="0" borderId="12"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73" fillId="0" borderId="14" applyNumberFormat="0" applyFill="0" applyAlignment="0" applyProtection="0"/>
    <xf numFmtId="0" fontId="73" fillId="0" borderId="14" applyNumberFormat="0" applyFill="0" applyAlignment="0" applyProtection="0"/>
    <xf numFmtId="0" fontId="73" fillId="0" borderId="13" applyNumberFormat="0" applyFill="0" applyAlignment="0" applyProtection="0"/>
    <xf numFmtId="0" fontId="74" fillId="0" borderId="15" applyNumberFormat="0" applyFill="0" applyAlignment="0" applyProtection="0"/>
    <xf numFmtId="0" fontId="93" fillId="0" borderId="15" applyNumberFormat="0" applyFill="0" applyAlignment="0" applyProtection="0"/>
    <xf numFmtId="0" fontId="73" fillId="0" borderId="13" applyNumberFormat="0" applyFill="0" applyAlignment="0" applyProtection="0"/>
    <xf numFmtId="194" fontId="73" fillId="0" borderId="13" applyNumberFormat="0" applyFill="0" applyAlignment="0" applyProtection="0"/>
    <xf numFmtId="0" fontId="37" fillId="0" borderId="0" applyNumberFormat="0" applyFill="0" applyAlignment="0" applyProtection="0"/>
    <xf numFmtId="0" fontId="91" fillId="0" borderId="0" applyNumberFormat="0" applyFont="0" applyFill="0" applyAlignment="0" applyProtection="0"/>
    <xf numFmtId="0" fontId="74" fillId="0" borderId="15" applyNumberFormat="0" applyFill="0" applyAlignment="0" applyProtection="0"/>
    <xf numFmtId="0" fontId="102" fillId="0" borderId="15" applyNumberFormat="0" applyFill="0" applyAlignment="0" applyProtection="0"/>
    <xf numFmtId="0" fontId="93" fillId="0" borderId="15" applyNumberFormat="0" applyFill="0" applyAlignment="0" applyProtection="0"/>
    <xf numFmtId="0" fontId="91" fillId="0" borderId="0" applyNumberFormat="0" applyFont="0" applyFill="0" applyAlignment="0" applyProtection="0"/>
    <xf numFmtId="0" fontId="93" fillId="0" borderId="15" applyNumberFormat="0" applyFill="0" applyAlignment="0" applyProtection="0"/>
    <xf numFmtId="194" fontId="93" fillId="0" borderId="15"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75" fillId="0" borderId="16"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75" fillId="0" borderId="18" applyNumberFormat="0" applyFill="0" applyAlignment="0" applyProtection="0"/>
    <xf numFmtId="0" fontId="76" fillId="0" borderId="19" applyNumberFormat="0" applyFill="0" applyAlignment="0" applyProtection="0"/>
    <xf numFmtId="0" fontId="94" fillId="0" borderId="20" applyNumberFormat="0" applyFill="0" applyAlignment="0" applyProtection="0"/>
    <xf numFmtId="0" fontId="75" fillId="0" borderId="18"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194" fontId="75" fillId="0" borderId="17" applyNumberFormat="0" applyFill="0" applyAlignment="0" applyProtection="0"/>
    <xf numFmtId="0" fontId="76" fillId="0" borderId="19" applyNumberFormat="0" applyFill="0" applyAlignment="0" applyProtection="0"/>
    <xf numFmtId="0" fontId="104" fillId="0" borderId="20" applyNumberFormat="0" applyFill="0" applyAlignment="0" applyProtection="0"/>
    <xf numFmtId="0" fontId="94" fillId="0" borderId="20" applyNumberFormat="0" applyFill="0" applyAlignment="0" applyProtection="0"/>
    <xf numFmtId="0" fontId="77" fillId="0" borderId="19" applyNumberFormat="0" applyFill="0" applyAlignment="0" applyProtection="0"/>
    <xf numFmtId="0" fontId="104" fillId="0" borderId="20" applyNumberFormat="0" applyFill="0" applyAlignment="0" applyProtection="0"/>
    <xf numFmtId="0" fontId="94" fillId="0" borderId="20" applyNumberFormat="0" applyFill="0" applyAlignment="0" applyProtection="0"/>
    <xf numFmtId="194" fontId="94" fillId="0" borderId="20"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103" fillId="0" borderId="17" applyNumberFormat="0" applyFill="0" applyAlignment="0" applyProtection="0"/>
    <xf numFmtId="0" fontId="7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9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4" fontId="75" fillId="0" borderId="0" applyNumberFormat="0" applyFill="0" applyBorder="0" applyAlignment="0" applyProtection="0"/>
    <xf numFmtId="0" fontId="76" fillId="0" borderId="0" applyNumberFormat="0" applyFill="0" applyBorder="0" applyAlignment="0" applyProtection="0"/>
    <xf numFmtId="0" fontId="104" fillId="0" borderId="0" applyNumberFormat="0" applyFill="0" applyBorder="0" applyAlignment="0" applyProtection="0"/>
    <xf numFmtId="0" fontId="94" fillId="0" borderId="0" applyNumberFormat="0" applyFill="0" applyBorder="0" applyAlignment="0" applyProtection="0"/>
    <xf numFmtId="0" fontId="77" fillId="0" borderId="0" applyNumberFormat="0" applyFill="0" applyBorder="0" applyAlignment="0" applyProtection="0"/>
    <xf numFmtId="0" fontId="104" fillId="0" borderId="0" applyNumberFormat="0" applyFill="0" applyBorder="0" applyAlignment="0" applyProtection="0"/>
    <xf numFmtId="0" fontId="94" fillId="0" borderId="0" applyNumberFormat="0" applyFill="0" applyBorder="0" applyAlignment="0" applyProtection="0"/>
    <xf numFmtId="194" fontId="9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94" fontId="79" fillId="0" borderId="0" applyNumberFormat="0" applyFill="0" applyBorder="0" applyAlignment="0" applyProtection="0"/>
    <xf numFmtId="0" fontId="79" fillId="0" borderId="0" applyNumberFormat="0" applyFill="0" applyBorder="0" applyAlignment="0" applyProtection="0"/>
    <xf numFmtId="0" fontId="152" fillId="32" borderId="1" applyNumberFormat="0" applyAlignment="0" applyProtection="0"/>
    <xf numFmtId="0" fontId="12" fillId="97" borderId="0" applyNumberFormat="0" applyBorder="0" applyAlignment="0" applyProtection="0"/>
    <xf numFmtId="0" fontId="12" fillId="97" borderId="0" applyNumberFormat="0" applyBorder="0" applyAlignment="0" applyProtection="0"/>
    <xf numFmtId="10" fontId="12" fillId="12" borderId="21" applyNumberFormat="0" applyBorder="0" applyAlignment="0" applyProtection="0"/>
    <xf numFmtId="10" fontId="12" fillId="12" borderId="21" applyNumberFormat="0" applyBorder="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80" fillId="27" borderId="2" applyNumberFormat="0" applyAlignment="0" applyProtection="0"/>
    <xf numFmtId="0" fontId="46" fillId="27" borderId="3" applyNumberFormat="0" applyAlignment="0" applyProtection="0"/>
    <xf numFmtId="0" fontId="46" fillId="3" borderId="3" applyNumberFormat="0" applyAlignment="0" applyProtection="0"/>
    <xf numFmtId="0" fontId="80" fillId="27" borderId="2" applyNumberFormat="0" applyAlignment="0" applyProtection="0"/>
    <xf numFmtId="0" fontId="152" fillId="32" borderId="1" applyNumberFormat="0" applyAlignment="0" applyProtection="0"/>
    <xf numFmtId="0" fontId="152" fillId="32" borderId="1" applyNumberFormat="0" applyAlignment="0" applyProtection="0"/>
    <xf numFmtId="194" fontId="152" fillId="32" borderId="1" applyNumberFormat="0" applyAlignment="0" applyProtection="0"/>
    <xf numFmtId="0" fontId="80" fillId="27" borderId="4"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81" fillId="27" borderId="3" applyNumberFormat="0" applyAlignment="0" applyProtection="0"/>
    <xf numFmtId="0" fontId="81" fillId="3" borderId="3" applyNumberFormat="0" applyAlignment="0" applyProtection="0"/>
    <xf numFmtId="0" fontId="46" fillId="27" borderId="3" applyNumberFormat="0" applyAlignment="0" applyProtection="0"/>
    <xf numFmtId="0" fontId="81" fillId="3" borderId="3" applyNumberFormat="0" applyAlignment="0" applyProtection="0"/>
    <xf numFmtId="0" fontId="46" fillId="3" borderId="3" applyNumberFormat="0" applyAlignment="0" applyProtection="0"/>
    <xf numFmtId="0" fontId="46" fillId="3" borderId="3" applyNumberFormat="0" applyAlignment="0" applyProtection="0"/>
    <xf numFmtId="194"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46" fillId="3" borderId="3" applyNumberFormat="0" applyAlignment="0" applyProtection="0"/>
    <xf numFmtId="0" fontId="81" fillId="3" borderId="3" applyNumberFormat="0" applyAlignment="0" applyProtection="0"/>
    <xf numFmtId="0" fontId="81" fillId="3" borderId="3" applyNumberFormat="0" applyAlignment="0" applyProtection="0"/>
    <xf numFmtId="0" fontId="46" fillId="27" borderId="3" applyNumberFormat="0" applyAlignment="0" applyProtection="0"/>
    <xf numFmtId="0" fontId="81" fillId="3" borderId="3" applyNumberFormat="0" applyAlignment="0" applyProtection="0"/>
    <xf numFmtId="0" fontId="46" fillId="3" borderId="3" applyNumberFormat="0" applyAlignment="0" applyProtection="0"/>
    <xf numFmtId="0" fontId="46" fillId="27" borderId="3" applyNumberFormat="0" applyAlignment="0" applyProtection="0"/>
    <xf numFmtId="0" fontId="81" fillId="3"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46" fillId="27" borderId="3" applyNumberFormat="0" applyAlignment="0" applyProtection="0"/>
    <xf numFmtId="0" fontId="46" fillId="3" borderId="3" applyNumberFormat="0" applyAlignment="0" applyProtection="0"/>
    <xf numFmtId="0" fontId="31" fillId="0" borderId="22"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82" fillId="0" borderId="24"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82" fillId="0" borderId="24" applyNumberFormat="0" applyFill="0" applyAlignment="0" applyProtection="0"/>
    <xf numFmtId="0" fontId="154" fillId="0" borderId="23" applyNumberFormat="0" applyFill="0" applyAlignment="0" applyProtection="0"/>
    <xf numFmtId="0" fontId="154" fillId="0" borderId="23" applyNumberFormat="0" applyFill="0" applyAlignment="0" applyProtection="0"/>
    <xf numFmtId="194" fontId="154" fillId="0" borderId="23" applyNumberFormat="0" applyFill="0" applyAlignment="0" applyProtection="0"/>
    <xf numFmtId="0" fontId="108" fillId="0" borderId="26" applyNumberFormat="0" applyFill="0" applyAlignment="0" applyProtection="0"/>
    <xf numFmtId="0" fontId="83" fillId="0" borderId="25" applyNumberFormat="0" applyFill="0" applyAlignment="0" applyProtection="0"/>
    <xf numFmtId="0" fontId="84" fillId="0" borderId="25" applyNumberFormat="0" applyFill="0" applyAlignment="0" applyProtection="0"/>
    <xf numFmtId="0" fontId="83" fillId="0" borderId="25" applyNumberFormat="0" applyFill="0" applyAlignment="0" applyProtection="0"/>
    <xf numFmtId="0" fontId="84" fillId="0" borderId="25" applyNumberFormat="0" applyFill="0" applyAlignment="0" applyProtection="0"/>
    <xf numFmtId="0" fontId="84" fillId="0" borderId="25" applyNumberFormat="0" applyFill="0" applyAlignment="0" applyProtection="0"/>
    <xf numFmtId="0" fontId="83" fillId="0" borderId="25" applyNumberFormat="0" applyFill="0" applyAlignment="0" applyProtection="0"/>
    <xf numFmtId="194" fontId="83" fillId="0" borderId="25"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0" fontId="153" fillId="0" borderId="23" applyNumberFormat="0" applyFill="0" applyAlignment="0" applyProtection="0"/>
    <xf numFmtId="191" fontId="6" fillId="0" borderId="0">
      <alignment/>
      <protection/>
    </xf>
    <xf numFmtId="191" fontId="6" fillId="0" borderId="0">
      <alignment/>
      <protection/>
    </xf>
    <xf numFmtId="191" fontId="6" fillId="0" borderId="0">
      <alignment/>
      <protection/>
    </xf>
    <xf numFmtId="191" fontId="6" fillId="0" borderId="0">
      <alignment/>
      <protection/>
    </xf>
    <xf numFmtId="192" fontId="6" fillId="0" borderId="0">
      <alignment/>
      <protection/>
    </xf>
    <xf numFmtId="192" fontId="6" fillId="0" borderId="0">
      <alignment/>
      <protection/>
    </xf>
    <xf numFmtId="175" fontId="6" fillId="0" borderId="0">
      <alignment/>
      <protection/>
    </xf>
    <xf numFmtId="175"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191" fontId="6" fillId="0" borderId="0">
      <alignment/>
      <protection/>
    </xf>
    <xf numFmtId="0" fontId="109"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85" fillId="99" borderId="0" applyNumberFormat="0" applyBorder="0" applyAlignment="0" applyProtection="0"/>
    <xf numFmtId="0" fontId="86" fillId="100" borderId="0" applyNumberFormat="0" applyBorder="0" applyAlignment="0" applyProtection="0"/>
    <xf numFmtId="0" fontId="85" fillId="32" borderId="0" applyNumberFormat="0" applyBorder="0" applyAlignment="0" applyProtection="0"/>
    <xf numFmtId="0" fontId="85" fillId="99" borderId="0" applyNumberFormat="0" applyBorder="0" applyAlignment="0" applyProtection="0"/>
    <xf numFmtId="0" fontId="156" fillId="98" borderId="0" applyNumberFormat="0" applyBorder="0" applyAlignment="0" applyProtection="0"/>
    <xf numFmtId="0" fontId="156" fillId="98" borderId="0" applyNumberFormat="0" applyBorder="0" applyAlignment="0" applyProtection="0"/>
    <xf numFmtId="194" fontId="156" fillId="98" borderId="0" applyNumberFormat="0" applyBorder="0" applyAlignment="0" applyProtection="0"/>
    <xf numFmtId="0" fontId="109" fillId="101" borderId="0" applyNumberFormat="0" applyBorder="0" applyAlignment="0" applyProtection="0"/>
    <xf numFmtId="0" fontId="86" fillId="100" borderId="0" applyNumberFormat="0" applyBorder="0" applyAlignment="0" applyProtection="0"/>
    <xf numFmtId="0" fontId="105" fillId="32" borderId="0" applyNumberFormat="0" applyBorder="0" applyAlignment="0" applyProtection="0"/>
    <xf numFmtId="0" fontId="85" fillId="32" borderId="0" applyNumberFormat="0" applyBorder="0" applyAlignment="0" applyProtection="0"/>
    <xf numFmtId="0" fontId="87" fillId="100" borderId="0" applyNumberFormat="0" applyBorder="0" applyAlignment="0" applyProtection="0"/>
    <xf numFmtId="0" fontId="105" fillId="32" borderId="0" applyNumberFormat="0" applyBorder="0" applyAlignment="0" applyProtection="0"/>
    <xf numFmtId="0" fontId="85" fillId="32" borderId="0" applyNumberFormat="0" applyBorder="0" applyAlignment="0" applyProtection="0"/>
    <xf numFmtId="194" fontId="85" fillId="32"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0" fontId="155" fillId="98" borderId="0" applyNumberFormat="0" applyBorder="0" applyAlignment="0" applyProtection="0"/>
    <xf numFmtId="193" fontId="6" fillId="0" borderId="0">
      <alignment/>
      <protection/>
    </xf>
    <xf numFmtId="193" fontId="6" fillId="0" borderId="0">
      <alignment/>
      <protection/>
    </xf>
    <xf numFmtId="195" fontId="6" fillId="0" borderId="0">
      <alignment/>
      <protection/>
    </xf>
    <xf numFmtId="195" fontId="6" fillId="0" borderId="0">
      <alignment/>
      <protection/>
    </xf>
    <xf numFmtId="0" fontId="6" fillId="0" borderId="0">
      <alignment/>
      <protection/>
    </xf>
    <xf numFmtId="0" fontId="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194" fontId="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6" fillId="0" borderId="0">
      <alignment/>
      <protection/>
    </xf>
    <xf numFmtId="0" fontId="136" fillId="0" borderId="0">
      <alignment/>
      <protection/>
    </xf>
    <xf numFmtId="0" fontId="6" fillId="0" borderId="0">
      <alignment/>
      <protection/>
    </xf>
    <xf numFmtId="0" fontId="6" fillId="0" borderId="0">
      <alignment/>
      <protection/>
    </xf>
    <xf numFmtId="0" fontId="6" fillId="0" borderId="0">
      <alignment/>
      <protection/>
    </xf>
    <xf numFmtId="0" fontId="136" fillId="0" borderId="0">
      <alignment/>
      <protection/>
    </xf>
    <xf numFmtId="0" fontId="0" fillId="0" borderId="0">
      <alignment/>
      <protection/>
    </xf>
    <xf numFmtId="0" fontId="6" fillId="0" borderId="0">
      <alignment/>
      <protection/>
    </xf>
    <xf numFmtId="0" fontId="1" fillId="0" borderId="0">
      <alignment/>
      <protection/>
    </xf>
    <xf numFmtId="0" fontId="136" fillId="0" borderId="0">
      <alignment/>
      <protection/>
    </xf>
    <xf numFmtId="0" fontId="6" fillId="0" borderId="0">
      <alignment/>
      <protection/>
    </xf>
    <xf numFmtId="0" fontId="6" fillId="0" borderId="0">
      <alignment/>
      <protection/>
    </xf>
    <xf numFmtId="0" fontId="136" fillId="0" borderId="0">
      <alignment/>
      <protection/>
    </xf>
    <xf numFmtId="0" fontId="6" fillId="0" borderId="0">
      <alignment/>
      <protection/>
    </xf>
    <xf numFmtId="0" fontId="6" fillId="0" borderId="0">
      <alignment/>
      <protection/>
    </xf>
    <xf numFmtId="0" fontId="136" fillId="0" borderId="0">
      <alignment/>
      <protection/>
    </xf>
    <xf numFmtId="0" fontId="1" fillId="0" borderId="0">
      <alignment/>
      <protection/>
    </xf>
    <xf numFmtId="0" fontId="6" fillId="0" borderId="0">
      <alignment/>
      <protection/>
    </xf>
    <xf numFmtId="194" fontId="6" fillId="0" borderId="0">
      <alignment/>
      <protection/>
    </xf>
    <xf numFmtId="0" fontId="6" fillId="0" borderId="0">
      <alignment/>
      <protection/>
    </xf>
    <xf numFmtId="0" fontId="0" fillId="0" borderId="0">
      <alignment/>
      <protection/>
    </xf>
    <xf numFmtId="0" fontId="136" fillId="0" borderId="0">
      <alignment/>
      <protection/>
    </xf>
    <xf numFmtId="0" fontId="136" fillId="0" borderId="0">
      <alignment/>
      <protection/>
    </xf>
    <xf numFmtId="0" fontId="0" fillId="0" borderId="0">
      <alignment/>
      <protection/>
    </xf>
    <xf numFmtId="0" fontId="0" fillId="0" borderId="0">
      <alignment/>
      <protection/>
    </xf>
    <xf numFmtId="0" fontId="136" fillId="0" borderId="0">
      <alignment/>
      <protection/>
    </xf>
    <xf numFmtId="0" fontId="13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7" fillId="0" borderId="0">
      <alignment/>
      <protection/>
    </xf>
    <xf numFmtId="0" fontId="136" fillId="0" borderId="0">
      <alignment/>
      <protection/>
    </xf>
    <xf numFmtId="0" fontId="1" fillId="0" borderId="0">
      <alignment/>
      <protection/>
    </xf>
    <xf numFmtId="0" fontId="88" fillId="0" borderId="0">
      <alignment/>
      <protection/>
    </xf>
    <xf numFmtId="0" fontId="157" fillId="0" borderId="0">
      <alignment/>
      <protection/>
    </xf>
    <xf numFmtId="0" fontId="6" fillId="0" borderId="0">
      <alignment/>
      <protection/>
    </xf>
    <xf numFmtId="0" fontId="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194" fontId="136" fillId="0" borderId="0">
      <alignment/>
      <protection/>
    </xf>
    <xf numFmtId="0" fontId="6" fillId="0" borderId="0">
      <alignment/>
      <protection/>
    </xf>
    <xf numFmtId="0" fontId="13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7" fillId="0" borderId="0">
      <alignment/>
      <protection/>
    </xf>
    <xf numFmtId="0" fontId="136"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36"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194" fontId="13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7" fillId="0" borderId="0">
      <alignment/>
      <protection/>
    </xf>
    <xf numFmtId="0" fontId="1" fillId="0" borderId="0">
      <alignment/>
      <protection/>
    </xf>
    <xf numFmtId="0" fontId="6" fillId="0" borderId="0">
      <alignment/>
      <protection/>
    </xf>
    <xf numFmtId="0" fontId="136" fillId="0" borderId="0">
      <alignment/>
      <protection/>
    </xf>
    <xf numFmtId="0" fontId="1" fillId="0" borderId="0">
      <alignment/>
      <protection/>
    </xf>
    <xf numFmtId="0" fontId="1" fillId="0" borderId="0">
      <alignment/>
      <protection/>
    </xf>
    <xf numFmtId="0" fontId="136" fillId="0" borderId="0">
      <alignment/>
      <protection/>
    </xf>
    <xf numFmtId="0" fontId="1" fillId="0" borderId="0">
      <alignment/>
      <protection/>
    </xf>
    <xf numFmtId="0" fontId="136" fillId="0" borderId="0">
      <alignment/>
      <protection/>
    </xf>
    <xf numFmtId="0" fontId="1" fillId="0" borderId="0">
      <alignment/>
      <protection/>
    </xf>
    <xf numFmtId="0" fontId="136" fillId="0" borderId="0">
      <alignment/>
      <protection/>
    </xf>
    <xf numFmtId="0" fontId="6" fillId="0" borderId="0">
      <alignment/>
      <protection/>
    </xf>
    <xf numFmtId="0" fontId="6" fillId="0" borderId="0">
      <alignment/>
      <protection/>
    </xf>
    <xf numFmtId="0" fontId="136" fillId="0" borderId="0">
      <alignment/>
      <protection/>
    </xf>
    <xf numFmtId="194" fontId="136" fillId="0" borderId="0">
      <alignment/>
      <protection/>
    </xf>
    <xf numFmtId="0" fontId="13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36" fillId="0" borderId="0">
      <alignment/>
      <protection/>
    </xf>
    <xf numFmtId="0" fontId="6" fillId="0" borderId="0">
      <alignment/>
      <protection/>
    </xf>
    <xf numFmtId="0" fontId="6" fillId="0" borderId="0">
      <alignment/>
      <protection/>
    </xf>
    <xf numFmtId="194" fontId="136" fillId="0" borderId="0">
      <alignment/>
      <protection/>
    </xf>
    <xf numFmtId="0" fontId="13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136" fillId="0" borderId="0">
      <alignment/>
      <protection/>
    </xf>
    <xf numFmtId="0" fontId="136" fillId="0" borderId="0">
      <alignment/>
      <protection/>
    </xf>
    <xf numFmtId="0" fontId="6" fillId="0" borderId="0">
      <alignment/>
      <protection/>
    </xf>
    <xf numFmtId="0" fontId="6" fillId="0" borderId="0">
      <alignment/>
      <protection/>
    </xf>
    <xf numFmtId="0" fontId="136" fillId="0" borderId="0">
      <alignment/>
      <protection/>
    </xf>
    <xf numFmtId="0" fontId="136" fillId="0" borderId="0">
      <alignment/>
      <protection/>
    </xf>
    <xf numFmtId="0" fontId="6" fillId="0" borderId="0">
      <alignment/>
      <protection/>
    </xf>
    <xf numFmtId="0" fontId="136" fillId="0" borderId="0">
      <alignment/>
      <protection/>
    </xf>
    <xf numFmtId="0" fontId="96" fillId="0" borderId="0">
      <alignment/>
      <protection/>
    </xf>
    <xf numFmtId="0" fontId="6" fillId="0" borderId="0">
      <alignment/>
      <protection/>
    </xf>
    <xf numFmtId="0" fontId="6" fillId="0" borderId="0">
      <alignment/>
      <protection/>
    </xf>
    <xf numFmtId="0" fontId="35" fillId="0" borderId="0">
      <alignment/>
      <protection/>
    </xf>
    <xf numFmtId="0" fontId="35" fillId="0" borderId="0">
      <alignment/>
      <protection/>
    </xf>
    <xf numFmtId="0" fontId="35" fillId="0" borderId="0">
      <alignment/>
      <protection/>
    </xf>
    <xf numFmtId="0" fontId="6" fillId="0" borderId="0">
      <alignment/>
      <protection/>
    </xf>
    <xf numFmtId="0" fontId="6" fillId="0" borderId="0">
      <alignment/>
      <protection/>
    </xf>
    <xf numFmtId="0" fontId="6" fillId="0" borderId="0">
      <alignment/>
      <protection/>
    </xf>
    <xf numFmtId="0" fontId="136" fillId="0" borderId="0">
      <alignment/>
      <protection/>
    </xf>
    <xf numFmtId="0" fontId="6" fillId="0" borderId="0">
      <alignment/>
      <protection/>
    </xf>
    <xf numFmtId="0" fontId="136" fillId="0" borderId="0">
      <alignment/>
      <protection/>
    </xf>
    <xf numFmtId="0" fontId="136" fillId="0" borderId="0">
      <alignment/>
      <protection/>
    </xf>
    <xf numFmtId="0" fontId="1" fillId="0" borderId="0">
      <alignment/>
      <protection/>
    </xf>
    <xf numFmtId="0" fontId="1" fillId="0" borderId="0">
      <alignment/>
      <protection/>
    </xf>
    <xf numFmtId="0" fontId="136" fillId="0" borderId="0">
      <alignment/>
      <protection/>
    </xf>
    <xf numFmtId="0" fontId="136" fillId="0" borderId="0">
      <alignment/>
      <protection/>
    </xf>
    <xf numFmtId="0" fontId="136" fillId="0" borderId="0">
      <alignment/>
      <protection/>
    </xf>
    <xf numFmtId="0" fontId="3" fillId="0" borderId="0">
      <alignment/>
      <protection/>
    </xf>
    <xf numFmtId="0" fontId="0"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37" fillId="97" borderId="29" applyNumberFormat="0" applyAlignment="0" applyProtection="0"/>
    <xf numFmtId="0" fontId="37" fillId="97" borderId="30" applyNumberFormat="0" applyAlignment="0" applyProtection="0"/>
    <xf numFmtId="0" fontId="6" fillId="12" borderId="30"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0" fontId="37" fillId="97" borderId="28" applyNumberFormat="0" applyAlignment="0" applyProtection="0"/>
    <xf numFmtId="0" fontId="1" fillId="102" borderId="27" applyNumberFormat="0" applyFont="0" applyAlignment="0" applyProtection="0"/>
    <xf numFmtId="0" fontId="1" fillId="102" borderId="27" applyNumberFormat="0" applyFont="0" applyAlignment="0" applyProtection="0"/>
    <xf numFmtId="0" fontId="1" fillId="102" borderId="27" applyNumberFormat="0" applyFont="0" applyAlignment="0" applyProtection="0"/>
    <xf numFmtId="194" fontId="1" fillId="102" borderId="27" applyNumberFormat="0" applyFont="0" applyAlignment="0" applyProtection="0"/>
    <xf numFmtId="0" fontId="35" fillId="102" borderId="27" applyNumberFormat="0" applyFont="0" applyAlignment="0" applyProtection="0"/>
    <xf numFmtId="0" fontId="37" fillId="97" borderId="30" applyNumberFormat="0" applyAlignment="0" applyProtection="0"/>
    <xf numFmtId="0" fontId="35" fillId="102" borderId="27" applyNumberFormat="0" applyFont="0" applyAlignment="0" applyProtection="0"/>
    <xf numFmtId="0" fontId="7" fillId="12" borderId="30" applyNumberFormat="0" applyFont="0" applyAlignment="0" applyProtection="0"/>
    <xf numFmtId="0" fontId="6" fillId="12" borderId="30" applyNumberFormat="0" applyFont="0" applyAlignment="0" applyProtection="0"/>
    <xf numFmtId="0" fontId="6" fillId="12" borderId="30" applyNumberFormat="0" applyFont="0" applyAlignment="0" applyProtection="0"/>
    <xf numFmtId="0" fontId="35" fillId="102" borderId="27" applyNumberFormat="0" applyFont="0" applyAlignment="0" applyProtection="0"/>
    <xf numFmtId="194" fontId="6" fillId="12" borderId="30"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35" fillId="102" borderId="27" applyNumberFormat="0" applyFont="0" applyAlignment="0" applyProtection="0"/>
    <xf numFmtId="0" fontId="158" fillId="84" borderId="31"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0" fontId="47" fillId="85" borderId="32" applyNumberFormat="0" applyAlignment="0" applyProtection="0"/>
    <xf numFmtId="0" fontId="47" fillId="86" borderId="32" applyNumberFormat="0" applyAlignment="0" applyProtection="0"/>
    <xf numFmtId="0" fontId="47" fillId="28" borderId="32" applyNumberFormat="0" applyAlignment="0" applyProtection="0"/>
    <xf numFmtId="0" fontId="47" fillId="85" borderId="32" applyNumberFormat="0" applyAlignment="0" applyProtection="0"/>
    <xf numFmtId="0" fontId="158" fillId="3" borderId="31" applyNumberFormat="0" applyAlignment="0" applyProtection="0"/>
    <xf numFmtId="0" fontId="158" fillId="3" borderId="31" applyNumberFormat="0" applyAlignment="0" applyProtection="0"/>
    <xf numFmtId="194" fontId="158" fillId="3" borderId="31" applyNumberFormat="0" applyAlignment="0" applyProtection="0"/>
    <xf numFmtId="0" fontId="47" fillId="87" borderId="32" applyNumberFormat="0" applyAlignment="0" applyProtection="0"/>
    <xf numFmtId="0" fontId="47" fillId="86" borderId="32" applyNumberFormat="0" applyAlignment="0" applyProtection="0"/>
    <xf numFmtId="0" fontId="50" fillId="28" borderId="32" applyNumberFormat="0" applyAlignment="0" applyProtection="0"/>
    <xf numFmtId="0" fontId="47" fillId="28" borderId="32" applyNumberFormat="0" applyAlignment="0" applyProtection="0"/>
    <xf numFmtId="0" fontId="50" fillId="86" borderId="32" applyNumberFormat="0" applyAlignment="0" applyProtection="0"/>
    <xf numFmtId="0" fontId="50" fillId="28" borderId="32" applyNumberFormat="0" applyAlignment="0" applyProtection="0"/>
    <xf numFmtId="0" fontId="47" fillId="28" borderId="32" applyNumberFormat="0" applyAlignment="0" applyProtection="0"/>
    <xf numFmtId="194" fontId="47" fillId="28" borderId="32" applyNumberFormat="0" applyAlignment="0" applyProtection="0"/>
    <xf numFmtId="0" fontId="159" fillId="3" borderId="31" applyNumberFormat="0" applyAlignment="0" applyProtection="0"/>
    <xf numFmtId="0" fontId="159" fillId="3" borderId="31" applyNumberFormat="0" applyAlignment="0" applyProtection="0"/>
    <xf numFmtId="0" fontId="159" fillId="3" borderId="31" applyNumberFormat="0" applyAlignment="0" applyProtection="0"/>
    <xf numFmtId="9" fontId="0" fillId="0" borderId="0" applyFont="0" applyFill="0" applyBorder="0" applyAlignment="0" applyProtection="0"/>
    <xf numFmtId="10" fontId="37" fillId="0" borderId="0" applyFill="0" applyBorder="0" applyAlignment="0" applyProtection="0"/>
    <xf numFmtId="10" fontId="37" fillId="0" borderId="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9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7"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0" fontId="37" fillId="0" borderId="0" applyNumberFormat="0" applyFill="0" applyBorder="0" applyAlignment="0" applyProtection="0"/>
    <xf numFmtId="0" fontId="96" fillId="0" borderId="0" applyNumberFormat="0" applyFont="0" applyFill="0" applyBorder="0" applyAlignment="0" applyProtection="0"/>
    <xf numFmtId="0" fontId="160" fillId="0" borderId="0" applyNumberFormat="0" applyBorder="0" applyAlignment="0">
      <protection/>
    </xf>
    <xf numFmtId="0" fontId="161" fillId="0" borderId="0" applyNumberFormat="0" applyBorder="0" applyAlignment="0">
      <protection/>
    </xf>
    <xf numFmtId="0" fontId="162" fillId="0" borderId="0" applyNumberFormat="0" applyBorder="0" applyAlignment="0">
      <protection/>
    </xf>
    <xf numFmtId="0" fontId="51" fillId="0" borderId="0" applyNumberFormat="0" applyFill="0" applyBorder="0" applyAlignment="0" applyProtection="0"/>
    <xf numFmtId="0" fontId="51" fillId="0" borderId="0" applyNumberFormat="0" applyFill="0" applyBorder="0" applyAlignment="0" applyProtection="0"/>
    <xf numFmtId="0" fontId="89" fillId="0" borderId="0" applyNumberFormat="0" applyFill="0" applyBorder="0" applyAlignment="0" applyProtection="0"/>
    <xf numFmtId="0" fontId="9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94" fontId="51" fillId="0" borderId="0" applyNumberFormat="0" applyFill="0" applyBorder="0" applyAlignment="0" applyProtection="0"/>
    <xf numFmtId="0" fontId="89"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94" fontId="95" fillId="0" borderId="0" applyNumberFormat="0" applyFill="0" applyBorder="0" applyAlignment="0" applyProtection="0"/>
    <xf numFmtId="0" fontId="163" fillId="0" borderId="33"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48" fillId="0" borderId="35" applyNumberFormat="0" applyFill="0" applyAlignment="0" applyProtection="0"/>
    <xf numFmtId="0" fontId="37" fillId="0" borderId="0" applyNumberFormat="0" applyBorder="0" applyAlignment="0" applyProtection="0"/>
    <xf numFmtId="0" fontId="6" fillId="0" borderId="36" applyNumberFormat="0" applyFont="0" applyBorder="0" applyAlignment="0" applyProtection="0"/>
    <xf numFmtId="0" fontId="48" fillId="0" borderId="35" applyNumberFormat="0" applyFill="0" applyAlignment="0" applyProtection="0"/>
    <xf numFmtId="0" fontId="163" fillId="0" borderId="34"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163" fillId="0" borderId="34" applyNumberFormat="0" applyFill="0" applyAlignment="0" applyProtection="0"/>
    <xf numFmtId="194" fontId="163" fillId="0" borderId="34" applyNumberFormat="0" applyFill="0" applyAlignment="0" applyProtection="0"/>
    <xf numFmtId="0" fontId="37" fillId="0" borderId="0" applyNumberFormat="0" applyBorder="0" applyAlignment="0" applyProtection="0"/>
    <xf numFmtId="0" fontId="6" fillId="0" borderId="36" applyNumberFormat="0" applyFont="0" applyBorder="0" applyAlignment="0" applyProtection="0"/>
    <xf numFmtId="0" fontId="48" fillId="0" borderId="37" applyNumberFormat="0" applyFill="0" applyAlignment="0" applyProtection="0"/>
    <xf numFmtId="0" fontId="36" fillId="0" borderId="37" applyNumberFormat="0" applyFill="0" applyAlignment="0" applyProtection="0"/>
    <xf numFmtId="0" fontId="48" fillId="0" borderId="37" applyNumberFormat="0" applyFill="0" applyAlignment="0" applyProtection="0"/>
    <xf numFmtId="0" fontId="6" fillId="0" borderId="36" applyNumberFormat="0" applyFont="0" applyBorder="0" applyAlignment="0" applyProtection="0"/>
    <xf numFmtId="0" fontId="48" fillId="0" borderId="37" applyNumberFormat="0" applyFill="0" applyAlignment="0" applyProtection="0"/>
    <xf numFmtId="194" fontId="48" fillId="0" borderId="37" applyNumberFormat="0" applyFill="0" applyAlignment="0" applyProtection="0"/>
    <xf numFmtId="0" fontId="164" fillId="0" borderId="34" applyNumberFormat="0" applyFill="0" applyAlignment="0" applyProtection="0"/>
    <xf numFmtId="0" fontId="164" fillId="0" borderId="34" applyNumberFormat="0" applyFill="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94" fontId="165" fillId="0" borderId="0" applyNumberFormat="0" applyFill="0" applyBorder="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1" fillId="0" borderId="0" applyNumberFormat="0" applyFill="0" applyBorder="0" applyAlignment="0" applyProtection="0"/>
    <xf numFmtId="194" fontId="31"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cellStyleXfs>
  <cellXfs count="789">
    <xf numFmtId="0" fontId="0" fillId="0" borderId="0" xfId="0" applyAlignment="1">
      <alignment/>
    </xf>
    <xf numFmtId="1" fontId="2" fillId="0" borderId="38" xfId="1798" applyNumberFormat="1" applyFont="1" applyFill="1" applyBorder="1" applyAlignment="1" applyProtection="1">
      <alignment horizontal="right"/>
      <protection locked="0"/>
    </xf>
    <xf numFmtId="0" fontId="6" fillId="0" borderId="0" xfId="0" applyFont="1" applyFill="1" applyAlignment="1" applyProtection="1">
      <alignment/>
      <protection locked="0"/>
    </xf>
    <xf numFmtId="1" fontId="2" fillId="0" borderId="0" xfId="1798" applyNumberFormat="1" applyFont="1" applyFill="1" applyBorder="1" applyProtection="1">
      <alignment/>
      <protection locked="0"/>
    </xf>
    <xf numFmtId="1" fontId="2" fillId="0" borderId="0" xfId="0" applyNumberFormat="1" applyFont="1" applyFill="1" applyBorder="1" applyAlignment="1" applyProtection="1">
      <alignment/>
      <protection locked="0"/>
    </xf>
    <xf numFmtId="1" fontId="2" fillId="0" borderId="0" xfId="0" applyNumberFormat="1" applyFont="1" applyFill="1" applyAlignment="1" applyProtection="1">
      <alignment/>
      <protection locked="0"/>
    </xf>
    <xf numFmtId="1" fontId="4" fillId="0" borderId="0" xfId="1798" applyNumberFormat="1" applyFont="1" applyFill="1" applyBorder="1" applyProtection="1">
      <alignment/>
      <protection locked="0"/>
    </xf>
    <xf numFmtId="1" fontId="2" fillId="0" borderId="0" xfId="1087" applyNumberFormat="1" applyFont="1" applyFill="1" applyAlignment="1" applyProtection="1">
      <alignment/>
      <protection locked="0"/>
    </xf>
    <xf numFmtId="0" fontId="6" fillId="2" borderId="39" xfId="0" applyFont="1" applyFill="1" applyBorder="1" applyAlignment="1" applyProtection="1">
      <alignment/>
      <protection locked="0"/>
    </xf>
    <xf numFmtId="0" fontId="6" fillId="2" borderId="40" xfId="0" applyFont="1" applyFill="1" applyBorder="1" applyAlignment="1" applyProtection="1">
      <alignment/>
      <protection locked="0"/>
    </xf>
    <xf numFmtId="0" fontId="13" fillId="0" borderId="0" xfId="0" applyFont="1" applyFill="1" applyAlignment="1" applyProtection="1">
      <alignment/>
      <protection locked="0"/>
    </xf>
    <xf numFmtId="0" fontId="8" fillId="0" borderId="0" xfId="0" applyFont="1" applyFill="1" applyAlignment="1" applyProtection="1">
      <alignment/>
      <protection locked="0"/>
    </xf>
    <xf numFmtId="0" fontId="6" fillId="0" borderId="0" xfId="0" applyFont="1" applyAlignment="1">
      <alignment/>
    </xf>
    <xf numFmtId="0" fontId="18" fillId="103" borderId="41" xfId="0" applyFont="1" applyFill="1" applyBorder="1" applyAlignment="1">
      <alignment/>
    </xf>
    <xf numFmtId="0" fontId="18" fillId="103" borderId="42" xfId="0" applyFont="1" applyFill="1" applyBorder="1" applyAlignment="1">
      <alignment/>
    </xf>
    <xf numFmtId="0" fontId="18" fillId="103" borderId="43" xfId="0" applyFont="1" applyFill="1" applyBorder="1" applyAlignment="1">
      <alignment horizontal="right"/>
    </xf>
    <xf numFmtId="0" fontId="6" fillId="28" borderId="44" xfId="0" applyFont="1" applyFill="1" applyBorder="1" applyAlignment="1">
      <alignment/>
    </xf>
    <xf numFmtId="0" fontId="6" fillId="28" borderId="45" xfId="0" applyFont="1" applyFill="1" applyBorder="1" applyAlignment="1">
      <alignment horizontal="right"/>
    </xf>
    <xf numFmtId="168" fontId="6" fillId="0" borderId="46" xfId="0" applyNumberFormat="1" applyFont="1" applyBorder="1" applyAlignment="1">
      <alignment/>
    </xf>
    <xf numFmtId="168" fontId="6" fillId="0" borderId="47" xfId="0" applyNumberFormat="1" applyFont="1" applyBorder="1" applyAlignment="1">
      <alignment/>
    </xf>
    <xf numFmtId="168" fontId="6" fillId="0" borderId="48" xfId="0" applyNumberFormat="1" applyFont="1" applyBorder="1" applyAlignment="1">
      <alignment/>
    </xf>
    <xf numFmtId="168" fontId="6" fillId="0" borderId="49" xfId="0" applyNumberFormat="1" applyFont="1" applyBorder="1" applyAlignment="1">
      <alignment/>
    </xf>
    <xf numFmtId="0" fontId="8" fillId="3" borderId="50" xfId="0" applyFont="1" applyFill="1" applyBorder="1" applyAlignment="1" applyProtection="1">
      <alignment horizontal="center"/>
      <protection locked="0"/>
    </xf>
    <xf numFmtId="0" fontId="23" fillId="104" borderId="51" xfId="0" applyFont="1" applyFill="1" applyBorder="1" applyAlignment="1" applyProtection="1">
      <alignment horizontal="center" wrapText="1"/>
      <protection locked="0"/>
    </xf>
    <xf numFmtId="0" fontId="5" fillId="28" borderId="51" xfId="0" applyFont="1" applyFill="1" applyBorder="1" applyAlignment="1" applyProtection="1">
      <alignment horizontal="center" wrapText="1"/>
      <protection locked="0"/>
    </xf>
    <xf numFmtId="2" fontId="8" fillId="3" borderId="52" xfId="0" applyNumberFormat="1" applyFont="1" applyFill="1" applyBorder="1" applyAlignment="1" applyProtection="1">
      <alignment/>
      <protection locked="0"/>
    </xf>
    <xf numFmtId="0" fontId="8" fillId="0" borderId="50" xfId="0" applyFont="1" applyFill="1" applyBorder="1" applyAlignment="1" applyProtection="1">
      <alignment horizontal="right"/>
      <protection locked="0"/>
    </xf>
    <xf numFmtId="0" fontId="23" fillId="104" borderId="53" xfId="0" applyFont="1" applyFill="1" applyBorder="1" applyAlignment="1" applyProtection="1">
      <alignment horizontal="center" wrapText="1"/>
      <protection locked="0"/>
    </xf>
    <xf numFmtId="0" fontId="8" fillId="3" borderId="51" xfId="0" applyFont="1" applyFill="1" applyBorder="1" applyAlignment="1" applyProtection="1">
      <alignment horizontal="center"/>
      <protection locked="0"/>
    </xf>
    <xf numFmtId="2" fontId="19" fillId="0" borderId="54" xfId="0" applyNumberFormat="1" applyFont="1" applyFill="1" applyBorder="1" applyAlignment="1" applyProtection="1">
      <alignment/>
      <protection locked="0"/>
    </xf>
    <xf numFmtId="0" fontId="8" fillId="3" borderId="55" xfId="0" applyFont="1" applyFill="1" applyBorder="1" applyAlignment="1" applyProtection="1">
      <alignment horizontal="right"/>
      <protection locked="0"/>
    </xf>
    <xf numFmtId="9" fontId="8" fillId="2" borderId="56" xfId="0" applyNumberFormat="1" applyFont="1" applyFill="1" applyBorder="1" applyAlignment="1" applyProtection="1">
      <alignment horizontal="center"/>
      <protection locked="0"/>
    </xf>
    <xf numFmtId="0" fontId="8" fillId="2" borderId="57" xfId="0" applyFont="1" applyFill="1" applyBorder="1" applyAlignment="1" applyProtection="1">
      <alignment horizontal="center"/>
      <protection locked="0"/>
    </xf>
    <xf numFmtId="0" fontId="27" fillId="0" borderId="58" xfId="0" applyFont="1" applyFill="1" applyBorder="1" applyAlignment="1" applyProtection="1">
      <alignment/>
      <protection locked="0"/>
    </xf>
    <xf numFmtId="0" fontId="27" fillId="0" borderId="59" xfId="0" applyFont="1" applyFill="1" applyBorder="1" applyAlignment="1" applyProtection="1">
      <alignment horizontal="right"/>
      <protection locked="0"/>
    </xf>
    <xf numFmtId="0" fontId="14" fillId="0" borderId="0" xfId="0" applyFont="1" applyFill="1" applyAlignment="1" applyProtection="1">
      <alignment/>
      <protection locked="0"/>
    </xf>
    <xf numFmtId="0" fontId="27" fillId="0" borderId="60" xfId="0" applyFont="1" applyFill="1" applyBorder="1" applyAlignment="1" applyProtection="1">
      <alignment/>
      <protection locked="0"/>
    </xf>
    <xf numFmtId="0" fontId="27" fillId="0" borderId="61" xfId="0" applyFont="1" applyFill="1" applyBorder="1" applyAlignment="1" applyProtection="1">
      <alignment horizontal="right"/>
      <protection locked="0"/>
    </xf>
    <xf numFmtId="0" fontId="9" fillId="0" borderId="0" xfId="0" applyFont="1" applyFill="1" applyAlignment="1" applyProtection="1">
      <alignment/>
      <protection/>
    </xf>
    <xf numFmtId="0" fontId="6" fillId="0" borderId="0" xfId="0" applyFont="1" applyFill="1" applyAlignment="1" applyProtection="1">
      <alignment/>
      <protection/>
    </xf>
    <xf numFmtId="0" fontId="20" fillId="0" borderId="0" xfId="0" applyFont="1" applyFill="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0" fontId="21" fillId="0" borderId="0" xfId="0" applyFont="1" applyFill="1" applyAlignment="1" applyProtection="1">
      <alignment/>
      <protection/>
    </xf>
    <xf numFmtId="0" fontId="6" fillId="0" borderId="62" xfId="0" applyFont="1" applyFill="1" applyBorder="1" applyAlignment="1" applyProtection="1">
      <alignment/>
      <protection/>
    </xf>
    <xf numFmtId="0" fontId="6" fillId="0" borderId="63" xfId="0" applyFont="1" applyFill="1" applyBorder="1" applyAlignment="1" applyProtection="1">
      <alignment/>
      <protection/>
    </xf>
    <xf numFmtId="0" fontId="8" fillId="3" borderId="64" xfId="0" applyFont="1" applyFill="1" applyBorder="1" applyAlignment="1" applyProtection="1">
      <alignment/>
      <protection/>
    </xf>
    <xf numFmtId="168" fontId="14" fillId="0" borderId="65"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0" fontId="8" fillId="3" borderId="67" xfId="0" applyFont="1" applyFill="1" applyBorder="1" applyAlignment="1" applyProtection="1">
      <alignment/>
      <protection/>
    </xf>
    <xf numFmtId="0" fontId="8" fillId="3" borderId="68" xfId="0" applyFont="1" applyFill="1" applyBorder="1" applyAlignment="1" applyProtection="1">
      <alignment/>
      <protection/>
    </xf>
    <xf numFmtId="0" fontId="8" fillId="3" borderId="69" xfId="0" applyFont="1" applyFill="1" applyBorder="1" applyAlignment="1" applyProtection="1">
      <alignment/>
      <protection/>
    </xf>
    <xf numFmtId="0" fontId="16" fillId="0"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70" xfId="0" applyFont="1" applyFill="1" applyBorder="1" applyAlignment="1" applyProtection="1">
      <alignment/>
      <protection/>
    </xf>
    <xf numFmtId="168" fontId="14" fillId="0" borderId="71" xfId="0" applyNumberFormat="1" applyFont="1" applyFill="1" applyBorder="1" applyAlignment="1" applyProtection="1">
      <alignment horizontal="center"/>
      <protection/>
    </xf>
    <xf numFmtId="0" fontId="14" fillId="0" borderId="72" xfId="0" applyFont="1" applyFill="1" applyBorder="1" applyAlignment="1" applyProtection="1">
      <alignment horizontal="center"/>
      <protection/>
    </xf>
    <xf numFmtId="0" fontId="22" fillId="3" borderId="73" xfId="0" applyFont="1" applyFill="1" applyBorder="1" applyAlignment="1" applyProtection="1">
      <alignment/>
      <protection/>
    </xf>
    <xf numFmtId="0" fontId="8" fillId="3" borderId="74" xfId="0" applyFont="1" applyFill="1" applyBorder="1" applyAlignment="1" applyProtection="1">
      <alignment/>
      <protection/>
    </xf>
    <xf numFmtId="0" fontId="8" fillId="3" borderId="75" xfId="0"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6" fillId="0" borderId="70" xfId="0" applyFont="1" applyBorder="1" applyAlignment="1" applyProtection="1">
      <alignment/>
      <protection/>
    </xf>
    <xf numFmtId="0" fontId="10" fillId="0" borderId="0" xfId="0" applyFont="1" applyFill="1" applyBorder="1" applyAlignment="1" applyProtection="1">
      <alignment/>
      <protection/>
    </xf>
    <xf numFmtId="173" fontId="14" fillId="0" borderId="72" xfId="0" applyNumberFormat="1" applyFont="1" applyFill="1" applyBorder="1" applyAlignment="1" applyProtection="1">
      <alignment horizontal="center"/>
      <protection/>
    </xf>
    <xf numFmtId="0" fontId="8" fillId="3" borderId="73" xfId="0" applyFont="1" applyFill="1" applyBorder="1" applyAlignment="1" applyProtection="1">
      <alignment/>
      <protection/>
    </xf>
    <xf numFmtId="0" fontId="8" fillId="0" borderId="70" xfId="0" applyFont="1" applyBorder="1" applyAlignment="1" applyProtection="1">
      <alignment horizontal="right"/>
      <protection/>
    </xf>
    <xf numFmtId="0" fontId="8" fillId="3" borderId="76" xfId="0" applyFont="1" applyFill="1" applyBorder="1" applyAlignment="1" applyProtection="1">
      <alignment/>
      <protection/>
    </xf>
    <xf numFmtId="168" fontId="14" fillId="0" borderId="77" xfId="0" applyNumberFormat="1" applyFont="1" applyFill="1" applyBorder="1" applyAlignment="1" applyProtection="1">
      <alignment horizontal="center"/>
      <protection/>
    </xf>
    <xf numFmtId="10" fontId="14" fillId="0" borderId="78" xfId="1891" applyNumberFormat="1" applyFont="1" applyFill="1" applyBorder="1" applyAlignment="1" applyProtection="1">
      <alignment horizontal="center"/>
      <protection/>
    </xf>
    <xf numFmtId="0" fontId="8" fillId="3" borderId="79" xfId="0" applyFont="1" applyFill="1" applyBorder="1" applyAlignment="1" applyProtection="1">
      <alignment/>
      <protection/>
    </xf>
    <xf numFmtId="0" fontId="8" fillId="3" borderId="80" xfId="0" applyFont="1" applyFill="1" applyBorder="1" applyAlignment="1" applyProtection="1">
      <alignment/>
      <protection/>
    </xf>
    <xf numFmtId="0" fontId="8" fillId="3" borderId="81" xfId="0" applyFont="1" applyFill="1" applyBorder="1" applyAlignment="1" applyProtection="1">
      <alignment/>
      <protection/>
    </xf>
    <xf numFmtId="0" fontId="6" fillId="0" borderId="82" xfId="0" applyFont="1" applyFill="1" applyBorder="1" applyAlignment="1" applyProtection="1">
      <alignment/>
      <protection/>
    </xf>
    <xf numFmtId="0" fontId="15" fillId="105" borderId="58" xfId="0" applyFont="1" applyFill="1" applyBorder="1" applyAlignment="1" applyProtection="1">
      <alignment vertical="center"/>
      <protection/>
    </xf>
    <xf numFmtId="0" fontId="15" fillId="105" borderId="68" xfId="0" applyFont="1" applyFill="1" applyBorder="1" applyAlignment="1" applyProtection="1">
      <alignment vertical="center"/>
      <protection/>
    </xf>
    <xf numFmtId="0" fontId="15" fillId="105" borderId="83"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0" fontId="5" fillId="3" borderId="73" xfId="0" applyFont="1" applyFill="1" applyBorder="1" applyAlignment="1" applyProtection="1">
      <alignment horizontal="center" vertical="center" wrapText="1"/>
      <protection/>
    </xf>
    <xf numFmtId="0" fontId="5" fillId="3" borderId="84" xfId="0" applyFont="1" applyFill="1" applyBorder="1" applyAlignment="1" applyProtection="1">
      <alignment horizontal="center" vertical="center" wrapText="1"/>
      <protection/>
    </xf>
    <xf numFmtId="0" fontId="5" fillId="3" borderId="85" xfId="0" applyFont="1" applyFill="1" applyBorder="1" applyAlignment="1" applyProtection="1">
      <alignment horizontal="center" vertical="center" wrapText="1"/>
      <protection/>
    </xf>
    <xf numFmtId="49" fontId="5" fillId="3" borderId="86" xfId="0" applyNumberFormat="1" applyFont="1" applyFill="1" applyBorder="1" applyAlignment="1" applyProtection="1">
      <alignment horizontal="center" wrapText="1"/>
      <protection/>
    </xf>
    <xf numFmtId="49" fontId="5" fillId="3" borderId="87" xfId="0" applyNumberFormat="1" applyFont="1" applyFill="1" applyBorder="1" applyAlignment="1" applyProtection="1">
      <alignment horizontal="center" wrapText="1"/>
      <protection/>
    </xf>
    <xf numFmtId="49" fontId="5" fillId="3" borderId="88" xfId="0" applyNumberFormat="1" applyFont="1" applyFill="1" applyBorder="1" applyAlignment="1" applyProtection="1">
      <alignment horizontal="center" wrapText="1"/>
      <protection/>
    </xf>
    <xf numFmtId="0" fontId="22" fillId="3" borderId="89" xfId="0" applyFont="1" applyFill="1" applyBorder="1" applyAlignment="1" applyProtection="1">
      <alignment horizontal="center" vertical="center" wrapText="1"/>
      <protection/>
    </xf>
    <xf numFmtId="0" fontId="10" fillId="3" borderId="64" xfId="0" applyFont="1" applyFill="1" applyBorder="1" applyAlignment="1" applyProtection="1">
      <alignment/>
      <protection/>
    </xf>
    <xf numFmtId="169" fontId="16" fillId="0" borderId="74" xfId="0" applyNumberFormat="1" applyFont="1" applyFill="1" applyBorder="1" applyAlignment="1" applyProtection="1">
      <alignment horizontal="right"/>
      <protection/>
    </xf>
    <xf numFmtId="169" fontId="16" fillId="0" borderId="84" xfId="0" applyNumberFormat="1" applyFont="1" applyFill="1" applyBorder="1" applyAlignment="1" applyProtection="1">
      <alignment horizontal="right"/>
      <protection/>
    </xf>
    <xf numFmtId="10" fontId="16" fillId="0" borderId="85" xfId="1891" applyNumberFormat="1" applyFont="1" applyFill="1" applyBorder="1" applyAlignment="1" applyProtection="1">
      <alignment horizontal="right"/>
      <protection/>
    </xf>
    <xf numFmtId="0" fontId="6" fillId="3" borderId="90" xfId="0" applyFont="1" applyFill="1" applyBorder="1" applyAlignment="1" applyProtection="1">
      <alignment/>
      <protection/>
    </xf>
    <xf numFmtId="0" fontId="6" fillId="3" borderId="91" xfId="0" applyFont="1" applyFill="1" applyBorder="1" applyAlignment="1" applyProtection="1">
      <alignment/>
      <protection/>
    </xf>
    <xf numFmtId="0" fontId="6" fillId="3" borderId="92" xfId="0" applyFont="1" applyFill="1" applyBorder="1" applyAlignment="1" applyProtection="1">
      <alignment/>
      <protection/>
    </xf>
    <xf numFmtId="0" fontId="5" fillId="3" borderId="93" xfId="0" applyFont="1" applyFill="1" applyBorder="1" applyAlignment="1" applyProtection="1">
      <alignment horizontal="center"/>
      <protection/>
    </xf>
    <xf numFmtId="0" fontId="5" fillId="3" borderId="94" xfId="0" applyFont="1" applyFill="1" applyBorder="1" applyAlignment="1" applyProtection="1">
      <alignment horizontal="right" vertical="center"/>
      <protection/>
    </xf>
    <xf numFmtId="0" fontId="5" fillId="3" borderId="95" xfId="0" applyFont="1" applyFill="1" applyBorder="1" applyAlignment="1" applyProtection="1">
      <alignment horizontal="right" vertical="center"/>
      <protection/>
    </xf>
    <xf numFmtId="0" fontId="5" fillId="3" borderId="96" xfId="0" applyFont="1" applyFill="1" applyBorder="1" applyAlignment="1" applyProtection="1">
      <alignment horizontal="right" vertical="center"/>
      <protection/>
    </xf>
    <xf numFmtId="0" fontId="5" fillId="3" borderId="97" xfId="0" applyFont="1" applyFill="1" applyBorder="1" applyAlignment="1" applyProtection="1">
      <alignment horizontal="right" vertical="center"/>
      <protection/>
    </xf>
    <xf numFmtId="0" fontId="5" fillId="3" borderId="98" xfId="0" applyFont="1" applyFill="1" applyBorder="1" applyAlignment="1" applyProtection="1">
      <alignment horizontal="right" vertical="center"/>
      <protection/>
    </xf>
    <xf numFmtId="0" fontId="12" fillId="3" borderId="99" xfId="0" applyFont="1" applyFill="1" applyBorder="1" applyAlignment="1" applyProtection="1">
      <alignment/>
      <protection/>
    </xf>
    <xf numFmtId="169" fontId="16" fillId="0" borderId="100" xfId="0" applyNumberFormat="1" applyFont="1" applyFill="1" applyBorder="1" applyAlignment="1" applyProtection="1">
      <alignment horizontal="right"/>
      <protection/>
    </xf>
    <xf numFmtId="169" fontId="16" fillId="0" borderId="101" xfId="0" applyNumberFormat="1" applyFont="1" applyFill="1" applyBorder="1" applyAlignment="1" applyProtection="1">
      <alignment horizontal="right"/>
      <protection/>
    </xf>
    <xf numFmtId="10" fontId="16" fillId="0" borderId="65" xfId="1891" applyNumberFormat="1" applyFont="1" applyFill="1" applyBorder="1" applyAlignment="1" applyProtection="1">
      <alignment horizontal="right"/>
      <protection/>
    </xf>
    <xf numFmtId="10" fontId="16" fillId="0" borderId="102" xfId="0" applyNumberFormat="1" applyFont="1" applyFill="1" applyBorder="1" applyAlignment="1" applyProtection="1">
      <alignment horizontal="right"/>
      <protection/>
    </xf>
    <xf numFmtId="2" fontId="16" fillId="0" borderId="101" xfId="0" applyNumberFormat="1" applyFont="1" applyFill="1" applyBorder="1" applyAlignment="1" applyProtection="1">
      <alignment horizontal="right"/>
      <protection/>
    </xf>
    <xf numFmtId="2" fontId="16" fillId="0" borderId="65" xfId="0" applyNumberFormat="1" applyFont="1" applyFill="1" applyBorder="1" applyAlignment="1" applyProtection="1">
      <alignment horizontal="right"/>
      <protection/>
    </xf>
    <xf numFmtId="2" fontId="16" fillId="0" borderId="102" xfId="0" applyNumberFormat="1" applyFont="1" applyFill="1" applyBorder="1" applyAlignment="1" applyProtection="1">
      <alignment horizontal="center"/>
      <protection/>
    </xf>
    <xf numFmtId="10" fontId="16" fillId="0" borderId="102" xfId="0" applyNumberFormat="1" applyFont="1" applyFill="1" applyBorder="1" applyAlignment="1" applyProtection="1">
      <alignment horizontal="center"/>
      <protection/>
    </xf>
    <xf numFmtId="9" fontId="11" fillId="0" borderId="65" xfId="0" applyNumberFormat="1" applyFont="1" applyFill="1" applyBorder="1" applyAlignment="1" applyProtection="1">
      <alignment horizontal="center"/>
      <protection/>
    </xf>
    <xf numFmtId="2" fontId="17" fillId="0" borderId="103" xfId="0" applyNumberFormat="1" applyFont="1" applyFill="1" applyBorder="1" applyAlignment="1" applyProtection="1">
      <alignment horizontal="right"/>
      <protection/>
    </xf>
    <xf numFmtId="172" fontId="17" fillId="0" borderId="104" xfId="0" applyNumberFormat="1" applyFont="1" applyFill="1" applyBorder="1" applyAlignment="1" applyProtection="1">
      <alignment horizontal="right"/>
      <protection/>
    </xf>
    <xf numFmtId="9" fontId="17" fillId="0" borderId="105" xfId="0" applyNumberFormat="1" applyFont="1" applyFill="1" applyBorder="1" applyAlignment="1" applyProtection="1">
      <alignment horizontal="right"/>
      <protection/>
    </xf>
    <xf numFmtId="2" fontId="17" fillId="0" borderId="106" xfId="0" applyNumberFormat="1" applyFont="1" applyFill="1" applyBorder="1" applyAlignment="1" applyProtection="1">
      <alignment horizontal="right"/>
      <protection/>
    </xf>
    <xf numFmtId="9" fontId="17" fillId="0" borderId="107" xfId="0" applyNumberFormat="1" applyFont="1" applyFill="1" applyBorder="1" applyAlignment="1" applyProtection="1">
      <alignment horizontal="right"/>
      <protection/>
    </xf>
    <xf numFmtId="2" fontId="17" fillId="0" borderId="108" xfId="0" applyNumberFormat="1" applyFont="1" applyFill="1" applyBorder="1" applyAlignment="1" applyProtection="1">
      <alignment horizontal="right"/>
      <protection/>
    </xf>
    <xf numFmtId="2" fontId="17" fillId="0" borderId="104" xfId="0" applyNumberFormat="1" applyFont="1" applyFill="1" applyBorder="1" applyAlignment="1" applyProtection="1">
      <alignment horizontal="right"/>
      <protection/>
    </xf>
    <xf numFmtId="0" fontId="12" fillId="3" borderId="109" xfId="0" applyFont="1" applyFill="1" applyBorder="1" applyAlignment="1" applyProtection="1">
      <alignment/>
      <protection/>
    </xf>
    <xf numFmtId="169" fontId="16" fillId="0" borderId="110" xfId="0" applyNumberFormat="1" applyFont="1" applyFill="1" applyBorder="1" applyAlignment="1" applyProtection="1">
      <alignment horizontal="right"/>
      <protection/>
    </xf>
    <xf numFmtId="169" fontId="16" fillId="0" borderId="54" xfId="0" applyNumberFormat="1" applyFont="1" applyFill="1" applyBorder="1" applyAlignment="1" applyProtection="1">
      <alignment horizontal="right"/>
      <protection/>
    </xf>
    <xf numFmtId="10" fontId="16" fillId="0" borderId="71" xfId="1891" applyNumberFormat="1" applyFont="1" applyFill="1" applyBorder="1" applyAlignment="1" applyProtection="1">
      <alignment horizontal="right"/>
      <protection/>
    </xf>
    <xf numFmtId="10" fontId="16" fillId="0" borderId="72" xfId="0" applyNumberFormat="1" applyFont="1" applyFill="1" applyBorder="1" applyAlignment="1" applyProtection="1">
      <alignment horizontal="right"/>
      <protection/>
    </xf>
    <xf numFmtId="2" fontId="16" fillId="0" borderId="54" xfId="0" applyNumberFormat="1" applyFont="1" applyFill="1" applyBorder="1" applyAlignment="1" applyProtection="1">
      <alignment horizontal="right"/>
      <protection/>
    </xf>
    <xf numFmtId="2" fontId="16" fillId="0" borderId="71" xfId="0" applyNumberFormat="1" applyFont="1" applyFill="1" applyBorder="1" applyAlignment="1" applyProtection="1">
      <alignment horizontal="right"/>
      <protection/>
    </xf>
    <xf numFmtId="2" fontId="16" fillId="0" borderId="72" xfId="0" applyNumberFormat="1" applyFont="1" applyFill="1" applyBorder="1" applyAlignment="1" applyProtection="1">
      <alignment horizontal="center"/>
      <protection/>
    </xf>
    <xf numFmtId="10" fontId="16" fillId="0" borderId="72" xfId="0" applyNumberFormat="1" applyFont="1" applyFill="1" applyBorder="1" applyAlignment="1" applyProtection="1">
      <alignment horizontal="center"/>
      <protection/>
    </xf>
    <xf numFmtId="9" fontId="17" fillId="0" borderId="111" xfId="0" applyNumberFormat="1" applyFont="1" applyFill="1" applyBorder="1" applyAlignment="1" applyProtection="1">
      <alignment horizontal="center"/>
      <protection/>
    </xf>
    <xf numFmtId="2" fontId="17" fillId="0" borderId="112" xfId="0" applyNumberFormat="1" applyFont="1" applyFill="1" applyBorder="1" applyAlignment="1" applyProtection="1">
      <alignment horizontal="right"/>
      <protection/>
    </xf>
    <xf numFmtId="172" fontId="17" fillId="0" borderId="113" xfId="0" applyNumberFormat="1" applyFont="1" applyFill="1" applyBorder="1" applyAlignment="1" applyProtection="1">
      <alignment horizontal="right"/>
      <protection/>
    </xf>
    <xf numFmtId="9" fontId="17" fillId="0" borderId="114" xfId="0" applyNumberFormat="1" applyFont="1" applyFill="1" applyBorder="1" applyAlignment="1" applyProtection="1">
      <alignment horizontal="right"/>
      <protection/>
    </xf>
    <xf numFmtId="2" fontId="17" fillId="0" borderId="115" xfId="0" applyNumberFormat="1" applyFont="1" applyFill="1" applyBorder="1" applyAlignment="1" applyProtection="1">
      <alignment horizontal="right"/>
      <protection/>
    </xf>
    <xf numFmtId="9" fontId="17" fillId="0" borderId="116" xfId="0" applyNumberFormat="1" applyFont="1" applyFill="1" applyBorder="1" applyAlignment="1" applyProtection="1">
      <alignment horizontal="right"/>
      <protection/>
    </xf>
    <xf numFmtId="2" fontId="17" fillId="0" borderId="117" xfId="0" applyNumberFormat="1" applyFont="1" applyFill="1" applyBorder="1" applyAlignment="1" applyProtection="1">
      <alignment horizontal="right"/>
      <protection/>
    </xf>
    <xf numFmtId="2" fontId="17" fillId="0" borderId="113" xfId="0" applyNumberFormat="1" applyFont="1" applyFill="1" applyBorder="1" applyAlignment="1" applyProtection="1">
      <alignment horizontal="right"/>
      <protection/>
    </xf>
    <xf numFmtId="169" fontId="16" fillId="0" borderId="117" xfId="0" applyNumberFormat="1" applyFont="1" applyFill="1" applyBorder="1" applyAlignment="1" applyProtection="1">
      <alignment horizontal="right"/>
      <protection/>
    </xf>
    <xf numFmtId="0" fontId="8" fillId="2" borderId="118" xfId="0" applyFont="1" applyFill="1" applyBorder="1" applyAlignment="1" applyProtection="1">
      <alignment horizontal="center"/>
      <protection locked="0"/>
    </xf>
    <xf numFmtId="2" fontId="19" fillId="0" borderId="119" xfId="0" applyNumberFormat="1" applyFont="1" applyFill="1" applyBorder="1" applyAlignment="1" applyProtection="1">
      <alignment/>
      <protection locked="0"/>
    </xf>
    <xf numFmtId="2" fontId="16" fillId="0" borderId="72" xfId="0" applyNumberFormat="1" applyFont="1" applyFill="1" applyBorder="1" applyAlignment="1" applyProtection="1">
      <alignment/>
      <protection locked="0"/>
    </xf>
    <xf numFmtId="2" fontId="16" fillId="0" borderId="54" xfId="0" applyNumberFormat="1" applyFont="1" applyFill="1" applyBorder="1" applyAlignment="1" applyProtection="1">
      <alignment/>
      <protection locked="0"/>
    </xf>
    <xf numFmtId="0" fontId="6" fillId="0" borderId="55" xfId="0" applyFont="1" applyFill="1" applyBorder="1" applyAlignment="1" applyProtection="1">
      <alignment/>
      <protection locked="0"/>
    </xf>
    <xf numFmtId="0" fontId="27" fillId="0" borderId="120" xfId="0" applyFont="1" applyFill="1" applyBorder="1" applyAlignment="1" applyProtection="1">
      <alignment/>
      <protection locked="0"/>
    </xf>
    <xf numFmtId="0" fontId="27" fillId="0" borderId="121" xfId="0" applyFont="1" applyFill="1" applyBorder="1" applyAlignment="1" applyProtection="1">
      <alignment horizontal="right"/>
      <protection locked="0"/>
    </xf>
    <xf numFmtId="1" fontId="8" fillId="2" borderId="122" xfId="1087" applyNumberFormat="1" applyFont="1" applyFill="1" applyBorder="1" applyAlignment="1" applyProtection="1">
      <alignment horizontal="center"/>
      <protection locked="0"/>
    </xf>
    <xf numFmtId="0" fontId="18" fillId="106" borderId="123" xfId="0" applyFont="1" applyFill="1" applyBorder="1" applyAlignment="1" applyProtection="1">
      <alignment horizontal="center"/>
      <protection locked="0"/>
    </xf>
    <xf numFmtId="0" fontId="30" fillId="105" borderId="55" xfId="0" applyFont="1" applyFill="1" applyBorder="1" applyAlignment="1" applyProtection="1">
      <alignment horizontal="center" wrapText="1"/>
      <protection/>
    </xf>
    <xf numFmtId="0" fontId="29" fillId="105" borderId="68" xfId="0" applyFont="1" applyFill="1" applyBorder="1" applyAlignment="1" applyProtection="1">
      <alignment horizontal="right" vertical="center"/>
      <protection/>
    </xf>
    <xf numFmtId="0" fontId="6" fillId="0" borderId="0" xfId="1565" applyFont="1">
      <alignment/>
      <protection/>
    </xf>
    <xf numFmtId="0" fontId="6" fillId="0" borderId="0" xfId="1565" applyFont="1" applyAlignment="1">
      <alignment horizontal="center"/>
      <protection/>
    </xf>
    <xf numFmtId="0" fontId="6" fillId="0" borderId="0" xfId="1565" applyFont="1" applyAlignment="1">
      <alignment horizontal="left"/>
      <protection/>
    </xf>
    <xf numFmtId="0" fontId="0" fillId="0" borderId="0" xfId="1565">
      <alignment/>
      <protection/>
    </xf>
    <xf numFmtId="0" fontId="0" fillId="0" borderId="0" xfId="1565" applyAlignment="1">
      <alignment horizontal="center"/>
      <protection/>
    </xf>
    <xf numFmtId="0" fontId="6" fillId="0" borderId="0" xfId="1565" applyFont="1" applyFill="1" applyBorder="1">
      <alignment/>
      <protection/>
    </xf>
    <xf numFmtId="2" fontId="49" fillId="0" borderId="0" xfId="1565" applyNumberFormat="1" applyFont="1" applyFill="1" applyBorder="1" applyAlignment="1">
      <alignment horizontal="center"/>
      <protection/>
    </xf>
    <xf numFmtId="0" fontId="6" fillId="0" borderId="0" xfId="1565" applyFont="1" applyFill="1" applyBorder="1" applyAlignment="1">
      <alignment horizontal="center"/>
      <protection/>
    </xf>
    <xf numFmtId="0" fontId="6" fillId="0" borderId="21" xfId="1565" applyFont="1" applyFill="1" applyBorder="1" applyAlignment="1">
      <alignment horizontal="center"/>
      <protection/>
    </xf>
    <xf numFmtId="0" fontId="32" fillId="0" borderId="0" xfId="1565" applyFont="1" applyFill="1" applyAlignment="1">
      <alignment horizontal="center"/>
      <protection/>
    </xf>
    <xf numFmtId="0" fontId="32" fillId="0" borderId="0" xfId="1565" applyFont="1" applyFill="1" applyAlignment="1">
      <alignment horizontal="left"/>
      <protection/>
    </xf>
    <xf numFmtId="0" fontId="10" fillId="0" borderId="0" xfId="1565" applyFont="1" applyFill="1" applyAlignment="1">
      <alignment horizontal="left"/>
      <protection/>
    </xf>
    <xf numFmtId="0" fontId="52" fillId="0" borderId="0" xfId="1565" applyFont="1" applyBorder="1" applyAlignment="1">
      <alignment horizontal="left" vertical="center"/>
      <protection/>
    </xf>
    <xf numFmtId="0" fontId="53" fillId="0" borderId="0" xfId="1565" applyFont="1" applyBorder="1" applyAlignment="1">
      <alignment horizontal="left" vertical="center"/>
      <protection/>
    </xf>
    <xf numFmtId="168" fontId="6" fillId="0" borderId="21" xfId="1565" applyNumberFormat="1" applyFont="1" applyBorder="1" applyAlignment="1">
      <alignment horizontal="center"/>
      <protection/>
    </xf>
    <xf numFmtId="0" fontId="8" fillId="0" borderId="0" xfId="1565" applyFont="1">
      <alignment/>
      <protection/>
    </xf>
    <xf numFmtId="0" fontId="34" fillId="0" borderId="21" xfId="1565" applyFont="1" applyBorder="1" applyAlignment="1">
      <alignment horizontal="center"/>
      <protection/>
    </xf>
    <xf numFmtId="168" fontId="34" fillId="0" borderId="21" xfId="1565" applyNumberFormat="1" applyFont="1" applyBorder="1" applyAlignment="1">
      <alignment horizontal="center"/>
      <protection/>
    </xf>
    <xf numFmtId="0" fontId="6" fillId="0" borderId="21" xfId="1565" applyFont="1" applyBorder="1" applyAlignment="1">
      <alignment horizontal="center"/>
      <protection/>
    </xf>
    <xf numFmtId="168" fontId="6" fillId="0" borderId="21" xfId="1565" applyNumberFormat="1" applyFont="1" applyFill="1" applyBorder="1" applyAlignment="1">
      <alignment horizontal="center"/>
      <protection/>
    </xf>
    <xf numFmtId="2" fontId="6" fillId="0" borderId="0" xfId="1098" applyNumberFormat="1" applyFont="1" applyFill="1" applyBorder="1" applyAlignment="1">
      <alignment horizontal="center"/>
    </xf>
    <xf numFmtId="2" fontId="6" fillId="0" borderId="21" xfId="1098" applyNumberFormat="1" applyFont="1" applyFill="1" applyBorder="1" applyAlignment="1">
      <alignment horizontal="center"/>
    </xf>
    <xf numFmtId="49" fontId="6" fillId="0" borderId="21" xfId="1565" applyNumberFormat="1" applyFont="1" applyBorder="1" applyAlignment="1">
      <alignment horizontal="center"/>
      <protection/>
    </xf>
    <xf numFmtId="0" fontId="6" fillId="0" borderId="21" xfId="1565" applyFont="1" applyBorder="1">
      <alignment/>
      <protection/>
    </xf>
    <xf numFmtId="0" fontId="6" fillId="0" borderId="0" xfId="1565" applyFont="1" applyFill="1">
      <alignment/>
      <protection/>
    </xf>
    <xf numFmtId="0" fontId="6" fillId="0" borderId="0" xfId="1565" applyFont="1" applyBorder="1">
      <alignment/>
      <protection/>
    </xf>
    <xf numFmtId="3" fontId="54" fillId="0" borderId="124" xfId="1565" applyNumberFormat="1" applyFont="1" applyBorder="1" applyAlignment="1">
      <alignment horizontal="center" vertical="center" wrapText="1"/>
      <protection/>
    </xf>
    <xf numFmtId="49" fontId="49" fillId="0" borderId="125" xfId="1565" applyNumberFormat="1" applyFont="1" applyBorder="1" applyAlignment="1">
      <alignment horizontal="center" vertical="center" wrapText="1"/>
      <protection/>
    </xf>
    <xf numFmtId="3" fontId="54" fillId="0" borderId="126" xfId="1565" applyNumberFormat="1" applyFont="1" applyBorder="1" applyAlignment="1">
      <alignment horizontal="center" vertical="center" wrapText="1"/>
      <protection/>
    </xf>
    <xf numFmtId="0" fontId="6" fillId="0" borderId="0" xfId="1565" applyFont="1" applyBorder="1" applyAlignment="1">
      <alignment horizontal="center"/>
      <protection/>
    </xf>
    <xf numFmtId="3" fontId="35" fillId="0" borderId="0" xfId="1565" applyNumberFormat="1" applyFont="1" applyBorder="1" applyAlignment="1">
      <alignment horizontal="center" vertical="center" wrapText="1"/>
      <protection/>
    </xf>
    <xf numFmtId="3" fontId="35" fillId="0" borderId="126" xfId="1565" applyNumberFormat="1" applyFont="1" applyBorder="1" applyAlignment="1">
      <alignment horizontal="center" vertical="center" wrapText="1"/>
      <protection/>
    </xf>
    <xf numFmtId="3" fontId="35" fillId="0" borderId="21" xfId="1565" applyNumberFormat="1" applyFont="1" applyBorder="1" applyAlignment="1">
      <alignment horizontal="center" vertical="center" wrapText="1"/>
      <protection/>
    </xf>
    <xf numFmtId="10" fontId="35" fillId="0" borderId="21" xfId="1565" applyNumberFormat="1" applyFont="1" applyBorder="1" applyAlignment="1">
      <alignment horizontal="center" vertical="center" wrapText="1"/>
      <protection/>
    </xf>
    <xf numFmtId="0" fontId="6" fillId="0" borderId="124" xfId="1565" applyFont="1" applyBorder="1">
      <alignment/>
      <protection/>
    </xf>
    <xf numFmtId="0" fontId="6" fillId="0" borderId="127" xfId="1565" applyFont="1" applyBorder="1">
      <alignment/>
      <protection/>
    </xf>
    <xf numFmtId="0" fontId="6" fillId="0" borderId="128" xfId="1565" applyFont="1" applyBorder="1">
      <alignment/>
      <protection/>
    </xf>
    <xf numFmtId="0" fontId="6" fillId="0" borderId="127" xfId="1565" applyFont="1" applyBorder="1" applyAlignment="1">
      <alignment horizontal="center"/>
      <protection/>
    </xf>
    <xf numFmtId="0" fontId="6" fillId="0" borderId="128" xfId="1565" applyFont="1" applyBorder="1" applyAlignment="1">
      <alignment horizontal="center"/>
      <protection/>
    </xf>
    <xf numFmtId="3" fontId="34" fillId="0" borderId="21" xfId="1565" applyNumberFormat="1" applyFont="1" applyBorder="1" applyAlignment="1">
      <alignment horizontal="center" vertical="center" wrapText="1"/>
      <protection/>
    </xf>
    <xf numFmtId="0" fontId="34" fillId="0" borderId="125" xfId="1565" applyFont="1" applyBorder="1" applyAlignment="1">
      <alignment horizontal="center" vertical="center" wrapText="1"/>
      <protection/>
    </xf>
    <xf numFmtId="171" fontId="34" fillId="0" borderId="126" xfId="1565" applyNumberFormat="1" applyFont="1" applyBorder="1" applyAlignment="1">
      <alignment horizontal="center" vertical="center" wrapText="1"/>
      <protection/>
    </xf>
    <xf numFmtId="170" fontId="34" fillId="0" borderId="21" xfId="1565" applyNumberFormat="1" applyFont="1" applyBorder="1" applyAlignment="1">
      <alignment horizontal="center" vertical="center" wrapText="1"/>
      <protection/>
    </xf>
    <xf numFmtId="3" fontId="49" fillId="0" borderId="126" xfId="1565" applyNumberFormat="1" applyFont="1" applyBorder="1" applyAlignment="1">
      <alignment horizontal="center" vertical="center" wrapText="1"/>
      <protection/>
    </xf>
    <xf numFmtId="0" fontId="49" fillId="0" borderId="125" xfId="1565" applyFont="1" applyBorder="1" applyAlignment="1">
      <alignment horizontal="center" vertical="center" wrapText="1"/>
      <protection/>
    </xf>
    <xf numFmtId="49" fontId="35" fillId="0" borderId="125" xfId="1565" applyNumberFormat="1" applyFont="1" applyBorder="1" applyAlignment="1">
      <alignment horizontal="center" vertical="center" wrapText="1"/>
      <protection/>
    </xf>
    <xf numFmtId="171" fontId="35" fillId="0" borderId="126" xfId="1565" applyNumberFormat="1" applyFont="1" applyBorder="1" applyAlignment="1">
      <alignment horizontal="center" vertical="center" wrapText="1"/>
      <protection/>
    </xf>
    <xf numFmtId="170" fontId="35" fillId="0" borderId="21" xfId="1565" applyNumberFormat="1" applyFont="1" applyBorder="1" applyAlignment="1">
      <alignment horizontal="center" vertical="center" wrapText="1"/>
      <protection/>
    </xf>
    <xf numFmtId="0" fontId="35" fillId="0" borderId="126" xfId="1565" applyFont="1" applyFill="1" applyBorder="1" applyAlignment="1">
      <alignment horizontal="center" vertical="center" wrapText="1"/>
      <protection/>
    </xf>
    <xf numFmtId="0" fontId="35" fillId="0" borderId="21" xfId="1565" applyFont="1" applyFill="1" applyBorder="1" applyAlignment="1">
      <alignment horizontal="center" vertical="center" wrapText="1"/>
      <protection/>
    </xf>
    <xf numFmtId="0" fontId="35" fillId="0" borderId="125" xfId="1565" applyFont="1" applyFill="1" applyBorder="1" applyAlignment="1">
      <alignment horizontal="center" vertical="center" wrapText="1"/>
      <protection/>
    </xf>
    <xf numFmtId="0" fontId="35" fillId="0" borderId="0" xfId="1731" applyFont="1">
      <alignment/>
      <protection/>
    </xf>
    <xf numFmtId="0" fontId="6" fillId="0" borderId="0" xfId="1579" applyFont="1">
      <alignment/>
      <protection/>
    </xf>
    <xf numFmtId="10" fontId="6" fillId="0" borderId="0" xfId="1984" applyNumberFormat="1" applyFont="1" applyBorder="1" applyAlignment="1">
      <alignment/>
    </xf>
    <xf numFmtId="0" fontId="36" fillId="0" borderId="0" xfId="1731" applyFont="1" applyBorder="1" applyAlignment="1">
      <alignment vertical="top" wrapText="1"/>
      <protection/>
    </xf>
    <xf numFmtId="0" fontId="55" fillId="0" borderId="0" xfId="1731" applyFont="1" applyBorder="1" applyAlignment="1">
      <alignment vertical="top" wrapText="1"/>
      <protection/>
    </xf>
    <xf numFmtId="0" fontId="6" fillId="0" borderId="0" xfId="1579" applyFont="1" applyAlignment="1">
      <alignment horizontal="left"/>
      <protection/>
    </xf>
    <xf numFmtId="3" fontId="35" fillId="0" borderId="126" xfId="1565" applyNumberFormat="1" applyFont="1" applyFill="1" applyBorder="1" applyAlignment="1">
      <alignment horizontal="center" vertical="center" wrapText="1"/>
      <protection/>
    </xf>
    <xf numFmtId="3" fontId="35" fillId="0" borderId="21" xfId="1565" applyNumberFormat="1" applyFont="1" applyFill="1" applyBorder="1" applyAlignment="1">
      <alignment horizontal="center" vertical="center" wrapText="1"/>
      <protection/>
    </xf>
    <xf numFmtId="3" fontId="49" fillId="0" borderId="125" xfId="1565" applyNumberFormat="1" applyFont="1" applyFill="1" applyBorder="1" applyAlignment="1">
      <alignment horizontal="center" vertical="center" wrapText="1"/>
      <protection/>
    </xf>
    <xf numFmtId="9" fontId="49" fillId="0" borderId="21" xfId="1954" applyFont="1" applyFill="1" applyBorder="1" applyAlignment="1">
      <alignment horizontal="center" vertical="center" wrapText="1"/>
    </xf>
    <xf numFmtId="3" fontId="35" fillId="0" borderId="125" xfId="1565" applyNumberFormat="1" applyFont="1" applyFill="1" applyBorder="1" applyAlignment="1">
      <alignment horizontal="center" vertical="center" wrapText="1"/>
      <protection/>
    </xf>
    <xf numFmtId="9" fontId="35" fillId="0" borderId="21" xfId="1954" applyFont="1" applyFill="1" applyBorder="1" applyAlignment="1">
      <alignment horizontal="center" vertical="center" wrapText="1"/>
    </xf>
    <xf numFmtId="3" fontId="35" fillId="0" borderId="129" xfId="1565" applyNumberFormat="1" applyFont="1" applyFill="1" applyBorder="1" applyAlignment="1">
      <alignment horizontal="center" vertical="center" wrapText="1"/>
      <protection/>
    </xf>
    <xf numFmtId="3" fontId="35" fillId="0" borderId="130" xfId="1565" applyNumberFormat="1" applyFont="1" applyFill="1" applyBorder="1" applyAlignment="1">
      <alignment horizontal="center" vertical="center" wrapText="1"/>
      <protection/>
    </xf>
    <xf numFmtId="3" fontId="35" fillId="0" borderId="131" xfId="1565" applyNumberFormat="1" applyFont="1" applyFill="1" applyBorder="1" applyAlignment="1">
      <alignment horizontal="center" vertical="center" wrapText="1"/>
      <protection/>
    </xf>
    <xf numFmtId="3" fontId="49" fillId="0" borderId="21" xfId="1565" applyNumberFormat="1" applyFont="1" applyFill="1" applyBorder="1" applyAlignment="1">
      <alignment horizontal="center" vertical="center" wrapText="1"/>
      <protection/>
    </xf>
    <xf numFmtId="14" fontId="6" fillId="0" borderId="21" xfId="1565" applyNumberFormat="1" applyFont="1" applyBorder="1" applyAlignment="1">
      <alignment horizontal="center"/>
      <protection/>
    </xf>
    <xf numFmtId="14" fontId="34" fillId="0" borderId="21" xfId="1565" applyNumberFormat="1" applyFont="1" applyBorder="1" applyAlignment="1">
      <alignment horizontal="center"/>
      <protection/>
    </xf>
    <xf numFmtId="1" fontId="6" fillId="28" borderId="21" xfId="1565" applyNumberFormat="1" applyFont="1" applyFill="1" applyBorder="1" applyAlignment="1">
      <alignment horizontal="center"/>
      <protection/>
    </xf>
    <xf numFmtId="0" fontId="5" fillId="0" borderId="0" xfId="0" applyFont="1" applyFill="1" applyBorder="1" applyAlignment="1" applyProtection="1">
      <alignment horizontal="center" vertical="center" wrapText="1"/>
      <protection/>
    </xf>
    <xf numFmtId="0" fontId="5" fillId="3" borderId="21" xfId="0" applyFont="1" applyFill="1" applyBorder="1" applyAlignment="1" applyProtection="1">
      <alignment horizontal="center" vertical="center" wrapText="1"/>
      <protection/>
    </xf>
    <xf numFmtId="49" fontId="8" fillId="0" borderId="21" xfId="1555" applyNumberFormat="1" applyFont="1" applyFill="1" applyBorder="1" applyAlignment="1">
      <alignment horizontal="center"/>
      <protection/>
    </xf>
    <xf numFmtId="17" fontId="6" fillId="0" borderId="21" xfId="1565" applyNumberFormat="1" applyFont="1" applyFill="1" applyBorder="1" applyAlignment="1">
      <alignment horizontal="left"/>
      <protection/>
    </xf>
    <xf numFmtId="0" fontId="29" fillId="0" borderId="0" xfId="1565" applyFont="1" applyFill="1" applyBorder="1" applyAlignment="1">
      <alignment horizontal="left" vertical="center"/>
      <protection/>
    </xf>
    <xf numFmtId="0" fontId="5" fillId="3" borderId="21" xfId="0" applyFont="1" applyFill="1" applyBorder="1" applyAlignment="1" applyProtection="1">
      <alignment horizontal="left" vertical="center" wrapText="1"/>
      <protection/>
    </xf>
    <xf numFmtId="17" fontId="6" fillId="0" borderId="21" xfId="1565" applyNumberFormat="1" applyFont="1" applyBorder="1" applyAlignment="1">
      <alignment horizontal="left"/>
      <protection/>
    </xf>
    <xf numFmtId="0" fontId="29" fillId="105" borderId="132" xfId="0" applyFont="1" applyFill="1" applyBorder="1" applyAlignment="1" applyProtection="1">
      <alignment horizontal="center" vertical="center"/>
      <protection/>
    </xf>
    <xf numFmtId="0" fontId="29" fillId="105" borderId="133" xfId="0" applyFont="1" applyFill="1" applyBorder="1" applyAlignment="1" applyProtection="1">
      <alignment horizontal="center" vertical="center"/>
      <protection/>
    </xf>
    <xf numFmtId="0" fontId="0" fillId="0" borderId="0" xfId="1565" applyAlignment="1">
      <alignment vertical="center"/>
      <protection/>
    </xf>
    <xf numFmtId="0" fontId="0" fillId="0" borderId="0" xfId="1565" applyFill="1">
      <alignment/>
      <protection/>
    </xf>
    <xf numFmtId="0" fontId="0" fillId="0" borderId="0" xfId="1565" applyFill="1" applyAlignment="1">
      <alignment vertical="center"/>
      <protection/>
    </xf>
    <xf numFmtId="0" fontId="52" fillId="0" borderId="0" xfId="1565" applyFont="1" applyFill="1" applyBorder="1" applyAlignment="1">
      <alignment horizontal="left" vertical="center"/>
      <protection/>
    </xf>
    <xf numFmtId="49" fontId="2" fillId="0" borderId="134" xfId="1186" applyNumberFormat="1" applyFont="1" applyFill="1" applyBorder="1" applyAlignment="1">
      <alignment horizontal="left"/>
    </xf>
    <xf numFmtId="1" fontId="6" fillId="0" borderId="0" xfId="1565" applyNumberFormat="1" applyFont="1" applyFill="1">
      <alignment/>
      <protection/>
    </xf>
    <xf numFmtId="0" fontId="2" fillId="0" borderId="134" xfId="1565" applyFont="1" applyFill="1" applyBorder="1" applyAlignment="1" applyProtection="1">
      <alignment horizontal="left" vertical="center"/>
      <protection/>
    </xf>
    <xf numFmtId="176" fontId="2" fillId="0" borderId="134" xfId="1186" applyNumberFormat="1" applyFont="1" applyFill="1" applyBorder="1" applyAlignment="1">
      <alignment horizontal="left"/>
    </xf>
    <xf numFmtId="0" fontId="6" fillId="0" borderId="0" xfId="1565" applyFont="1" applyAlignment="1">
      <alignment horizontal="center" vertical="center"/>
      <protection/>
    </xf>
    <xf numFmtId="10" fontId="6" fillId="0" borderId="135" xfId="1986" applyNumberFormat="1" applyFont="1" applyBorder="1" applyAlignment="1">
      <alignment/>
    </xf>
    <xf numFmtId="10" fontId="6" fillId="0" borderId="0" xfId="1986" applyNumberFormat="1" applyFont="1" applyBorder="1" applyAlignment="1">
      <alignment/>
    </xf>
    <xf numFmtId="10" fontId="6" fillId="0" borderId="136" xfId="1986" applyNumberFormat="1" applyFont="1" applyBorder="1" applyAlignment="1">
      <alignment horizontal="center" vertical="center" wrapText="1"/>
    </xf>
    <xf numFmtId="43" fontId="6" fillId="28" borderId="137" xfId="1117" applyNumberFormat="1" applyFont="1" applyFill="1" applyBorder="1" applyAlignment="1">
      <alignment horizontal="center" vertical="center"/>
    </xf>
    <xf numFmtId="43" fontId="6" fillId="28" borderId="138" xfId="1117" applyNumberFormat="1" applyFont="1" applyFill="1" applyBorder="1" applyAlignment="1">
      <alignment horizontal="center" vertical="center"/>
    </xf>
    <xf numFmtId="180" fontId="35" fillId="0" borderId="0" xfId="1731" applyNumberFormat="1" applyFont="1">
      <alignment/>
      <protection/>
    </xf>
    <xf numFmtId="181" fontId="35" fillId="0" borderId="0" xfId="1098" applyNumberFormat="1" applyFont="1" applyAlignment="1">
      <alignment/>
    </xf>
    <xf numFmtId="182" fontId="35" fillId="0" borderId="0" xfId="1731" applyNumberFormat="1" applyFont="1">
      <alignment/>
      <protection/>
    </xf>
    <xf numFmtId="0" fontId="8" fillId="0" borderId="21" xfId="1565" applyFont="1" applyBorder="1">
      <alignment/>
      <protection/>
    </xf>
    <xf numFmtId="0" fontId="8" fillId="3" borderId="51" xfId="0" applyFont="1" applyFill="1" applyBorder="1" applyAlignment="1" applyProtection="1">
      <alignment horizontal="center" wrapText="1"/>
      <protection locked="0"/>
    </xf>
    <xf numFmtId="0" fontId="8" fillId="3" borderId="139" xfId="0" applyFont="1" applyFill="1" applyBorder="1" applyAlignment="1" applyProtection="1">
      <alignment horizontal="center" wrapText="1"/>
      <protection locked="0"/>
    </xf>
    <xf numFmtId="0" fontId="8" fillId="3" borderId="140" xfId="0" applyFont="1" applyFill="1" applyBorder="1" applyAlignment="1" applyProtection="1">
      <alignment horizontal="center" wrapText="1"/>
      <protection locked="0"/>
    </xf>
    <xf numFmtId="0" fontId="8" fillId="3" borderId="141" xfId="0" applyFont="1" applyFill="1" applyBorder="1" applyAlignment="1" applyProtection="1">
      <alignment horizontal="center"/>
      <protection locked="0"/>
    </xf>
    <xf numFmtId="0" fontId="29" fillId="105" borderId="142" xfId="0" applyFont="1" applyFill="1" applyBorder="1" applyAlignment="1" applyProtection="1">
      <alignment horizontal="center" vertical="center"/>
      <protection/>
    </xf>
    <xf numFmtId="0" fontId="29" fillId="105" borderId="143" xfId="0" applyFont="1" applyFill="1" applyBorder="1" applyAlignment="1" applyProtection="1">
      <alignment horizontal="center" vertical="center"/>
      <protection/>
    </xf>
    <xf numFmtId="0" fontId="5" fillId="3" borderId="144" xfId="0" applyFont="1" applyFill="1" applyBorder="1" applyAlignment="1" applyProtection="1">
      <alignment horizontal="center" vertical="center" wrapText="1"/>
      <protection/>
    </xf>
    <xf numFmtId="0" fontId="5" fillId="3" borderId="145" xfId="0" applyFont="1" applyFill="1" applyBorder="1" applyAlignment="1" applyProtection="1">
      <alignment horizontal="center" vertical="center" wrapText="1"/>
      <protection/>
    </xf>
    <xf numFmtId="0" fontId="8" fillId="3" borderId="141" xfId="0" applyFont="1" applyFill="1" applyBorder="1" applyAlignment="1" applyProtection="1">
      <alignment horizontal="center" wrapText="1"/>
      <protection locked="0"/>
    </xf>
    <xf numFmtId="0" fontId="29" fillId="0" borderId="0" xfId="0" applyFont="1" applyFill="1" applyBorder="1" applyAlignment="1" applyProtection="1">
      <alignment horizontal="center" vertical="center" wrapText="1"/>
      <protection locked="0"/>
    </xf>
    <xf numFmtId="0" fontId="55" fillId="0" borderId="0" xfId="1731" applyFont="1" applyAlignment="1">
      <alignment horizontal="left" vertical="center"/>
      <protection/>
    </xf>
    <xf numFmtId="0" fontId="35" fillId="0" borderId="0" xfId="1733" applyFont="1">
      <alignment/>
      <protection/>
    </xf>
    <xf numFmtId="0" fontId="28" fillId="0" borderId="0" xfId="0" applyFont="1" applyFill="1" applyBorder="1" applyAlignment="1" applyProtection="1">
      <alignment horizontal="center" vertical="center" wrapText="1"/>
      <protection locked="0"/>
    </xf>
    <xf numFmtId="0" fontId="36" fillId="3" borderId="38" xfId="1733" applyFont="1" applyFill="1" applyBorder="1" applyAlignment="1">
      <alignment horizontal="right"/>
      <protection/>
    </xf>
    <xf numFmtId="0" fontId="36" fillId="3" borderId="0" xfId="1733" applyFont="1" applyFill="1" applyBorder="1" applyAlignment="1">
      <alignment horizontal="right"/>
      <protection/>
    </xf>
    <xf numFmtId="0" fontId="36" fillId="3" borderId="136" xfId="1733" applyFont="1" applyFill="1" applyBorder="1" applyAlignment="1">
      <alignment horizontal="right"/>
      <protection/>
    </xf>
    <xf numFmtId="0" fontId="36" fillId="28" borderId="38" xfId="1733" applyFont="1" applyFill="1" applyBorder="1" applyAlignment="1">
      <alignment horizontal="right"/>
      <protection/>
    </xf>
    <xf numFmtId="0" fontId="36" fillId="28" borderId="0" xfId="1733" applyFont="1" applyFill="1" applyBorder="1" applyAlignment="1">
      <alignment horizontal="right"/>
      <protection/>
    </xf>
    <xf numFmtId="0" fontId="36" fillId="28" borderId="136" xfId="1733" applyFont="1" applyFill="1" applyBorder="1" applyAlignment="1">
      <alignment horizontal="right"/>
      <protection/>
    </xf>
    <xf numFmtId="0" fontId="35" fillId="0" borderId="38" xfId="1733" applyFont="1" applyBorder="1">
      <alignment/>
      <protection/>
    </xf>
    <xf numFmtId="10" fontId="6" fillId="0" borderId="0" xfId="1954" applyNumberFormat="1" applyFont="1" applyBorder="1" applyAlignment="1">
      <alignment/>
    </xf>
    <xf numFmtId="10" fontId="6" fillId="0" borderId="146" xfId="1986" applyNumberFormat="1" applyFont="1" applyBorder="1" applyAlignment="1">
      <alignment/>
    </xf>
    <xf numFmtId="10" fontId="6" fillId="0" borderId="136" xfId="1986" applyNumberFormat="1" applyFont="1" applyBorder="1" applyAlignment="1">
      <alignment/>
    </xf>
    <xf numFmtId="0" fontId="36" fillId="3" borderId="38" xfId="1733" applyFont="1" applyFill="1" applyBorder="1" applyAlignment="1">
      <alignment horizontal="center" vertical="top"/>
      <protection/>
    </xf>
    <xf numFmtId="0" fontId="36" fillId="3" borderId="0" xfId="1733" applyFont="1" applyFill="1" applyBorder="1" applyAlignment="1">
      <alignment horizontal="center" vertical="top"/>
      <protection/>
    </xf>
    <xf numFmtId="0" fontId="36" fillId="3" borderId="136" xfId="1733" applyFont="1" applyFill="1" applyBorder="1" applyAlignment="1">
      <alignment horizontal="center" vertical="top"/>
      <protection/>
    </xf>
    <xf numFmtId="0" fontId="35" fillId="0" borderId="0" xfId="1733" applyFont="1" applyBorder="1">
      <alignment/>
      <protection/>
    </xf>
    <xf numFmtId="0" fontId="35" fillId="0" borderId="147" xfId="1733" applyFont="1" applyBorder="1">
      <alignment/>
      <protection/>
    </xf>
    <xf numFmtId="0" fontId="35" fillId="0" borderId="148" xfId="1733" applyFont="1" applyBorder="1">
      <alignment/>
      <protection/>
    </xf>
    <xf numFmtId="10" fontId="6" fillId="0" borderId="149" xfId="1986" applyNumberFormat="1" applyFont="1" applyBorder="1" applyAlignment="1">
      <alignment/>
    </xf>
    <xf numFmtId="10" fontId="6" fillId="0" borderId="150" xfId="1986" applyNumberFormat="1" applyFont="1" applyBorder="1" applyAlignment="1">
      <alignment/>
    </xf>
    <xf numFmtId="0" fontId="36" fillId="0" borderId="38" xfId="1733" applyFont="1" applyBorder="1">
      <alignment/>
      <protection/>
    </xf>
    <xf numFmtId="10" fontId="36" fillId="0" borderId="0" xfId="1733" applyNumberFormat="1" applyFont="1" applyBorder="1">
      <alignment/>
      <protection/>
    </xf>
    <xf numFmtId="10" fontId="36" fillId="0" borderId="146" xfId="1733" applyNumberFormat="1" applyFont="1" applyBorder="1">
      <alignment/>
      <protection/>
    </xf>
    <xf numFmtId="10" fontId="36" fillId="0" borderId="136" xfId="1733" applyNumberFormat="1" applyFont="1" applyBorder="1">
      <alignment/>
      <protection/>
    </xf>
    <xf numFmtId="0" fontId="36" fillId="0" borderId="151" xfId="1733" applyFont="1" applyBorder="1">
      <alignment/>
      <protection/>
    </xf>
    <xf numFmtId="10" fontId="36" fillId="0" borderId="152" xfId="1733" applyNumberFormat="1" applyFont="1" applyBorder="1">
      <alignment/>
      <protection/>
    </xf>
    <xf numFmtId="10" fontId="36" fillId="0" borderId="153" xfId="1733" applyNumberFormat="1" applyFont="1" applyBorder="1">
      <alignment/>
      <protection/>
    </xf>
    <xf numFmtId="10" fontId="36" fillId="0" borderId="154" xfId="1733" applyNumberFormat="1" applyFont="1" applyBorder="1">
      <alignment/>
      <protection/>
    </xf>
    <xf numFmtId="0" fontId="36" fillId="0" borderId="155" xfId="1733" applyFont="1" applyBorder="1">
      <alignment/>
      <protection/>
    </xf>
    <xf numFmtId="43" fontId="36" fillId="0" borderId="156" xfId="1117" applyNumberFormat="1" applyFont="1" applyBorder="1" applyAlignment="1">
      <alignment/>
    </xf>
    <xf numFmtId="43" fontId="36" fillId="0" borderId="157" xfId="1117" applyNumberFormat="1" applyFont="1" applyBorder="1" applyAlignment="1">
      <alignment/>
    </xf>
    <xf numFmtId="43" fontId="36" fillId="0" borderId="135" xfId="1117" applyNumberFormat="1" applyFont="1" applyBorder="1" applyAlignment="1">
      <alignment/>
    </xf>
    <xf numFmtId="0" fontId="36" fillId="0" borderId="0" xfId="1733" applyFont="1" applyBorder="1">
      <alignment/>
      <protection/>
    </xf>
    <xf numFmtId="43" fontId="36" fillId="0" borderId="0" xfId="1117" applyNumberFormat="1" applyFont="1" applyBorder="1" applyAlignment="1">
      <alignment/>
    </xf>
    <xf numFmtId="0" fontId="36" fillId="0" borderId="158" xfId="1733" applyFont="1" applyBorder="1" applyAlignment="1">
      <alignment vertical="top" wrapText="1"/>
      <protection/>
    </xf>
    <xf numFmtId="0" fontId="36" fillId="0" borderId="159" xfId="1733" applyFont="1" applyFill="1" applyBorder="1" applyAlignment="1">
      <alignment horizontal="center" vertical="center" wrapText="1"/>
      <protection/>
    </xf>
    <xf numFmtId="0" fontId="35" fillId="0" borderId="160" xfId="1733" applyFont="1" applyBorder="1">
      <alignment/>
      <protection/>
    </xf>
    <xf numFmtId="0" fontId="36" fillId="0" borderId="38" xfId="1733" applyFont="1" applyBorder="1" applyAlignment="1">
      <alignment horizontal="left" vertical="center" wrapText="1"/>
      <protection/>
    </xf>
    <xf numFmtId="0" fontId="57" fillId="0" borderId="155" xfId="1733" applyFont="1" applyBorder="1" applyAlignment="1">
      <alignment horizontal="left" vertical="top" wrapText="1"/>
      <protection/>
    </xf>
    <xf numFmtId="0" fontId="55" fillId="0" borderId="156" xfId="1733" applyFont="1" applyBorder="1" applyAlignment="1">
      <alignment vertical="top" wrapText="1"/>
      <protection/>
    </xf>
    <xf numFmtId="0" fontId="57" fillId="0" borderId="0" xfId="1733" applyFont="1" applyBorder="1" applyAlignment="1">
      <alignment horizontal="left" vertical="top" wrapText="1"/>
      <protection/>
    </xf>
    <xf numFmtId="0" fontId="55" fillId="0" borderId="0" xfId="1733" applyFont="1" applyBorder="1" applyAlignment="1">
      <alignment vertical="top" wrapText="1"/>
      <protection/>
    </xf>
    <xf numFmtId="0" fontId="35" fillId="0" borderId="161" xfId="1733" applyFont="1" applyBorder="1" applyAlignment="1">
      <alignment wrapText="1"/>
      <protection/>
    </xf>
    <xf numFmtId="0" fontId="35" fillId="28" borderId="162" xfId="1733" applyFont="1" applyFill="1" applyBorder="1" applyAlignment="1">
      <alignment wrapText="1"/>
      <protection/>
    </xf>
    <xf numFmtId="43" fontId="35" fillId="28" borderId="137" xfId="1733" applyNumberFormat="1" applyFont="1" applyFill="1" applyBorder="1" applyAlignment="1">
      <alignment horizontal="center" vertical="center"/>
      <protection/>
    </xf>
    <xf numFmtId="43" fontId="35" fillId="28" borderId="138" xfId="1733" applyNumberFormat="1" applyFont="1" applyFill="1" applyBorder="1" applyAlignment="1">
      <alignment horizontal="center" vertical="center"/>
      <protection/>
    </xf>
    <xf numFmtId="0" fontId="35" fillId="0" borderId="163" xfId="1733" applyFont="1" applyBorder="1" applyAlignment="1">
      <alignment wrapText="1"/>
      <protection/>
    </xf>
    <xf numFmtId="0" fontId="35" fillId="28" borderId="147" xfId="1733" applyFont="1" applyFill="1" applyBorder="1" applyAlignment="1">
      <alignment wrapText="1"/>
      <protection/>
    </xf>
    <xf numFmtId="43" fontId="35" fillId="28" borderId="0" xfId="1733" applyNumberFormat="1" applyFont="1" applyFill="1" applyBorder="1" applyAlignment="1">
      <alignment horizontal="center" vertical="center"/>
      <protection/>
    </xf>
    <xf numFmtId="43" fontId="18" fillId="61" borderId="164" xfId="1117" applyNumberFormat="1" applyFont="1" applyFill="1" applyBorder="1" applyAlignment="1">
      <alignment horizontal="center" vertical="center"/>
    </xf>
    <xf numFmtId="10" fontId="6" fillId="0" borderId="21" xfId="1954" applyNumberFormat="1" applyFont="1" applyFill="1" applyBorder="1" applyAlignment="1">
      <alignment horizontal="center"/>
    </xf>
    <xf numFmtId="0" fontId="8" fillId="0" borderId="0" xfId="0" applyFont="1" applyFill="1" applyBorder="1" applyAlignment="1" applyProtection="1">
      <alignment horizontal="center" wrapText="1"/>
      <protection locked="0"/>
    </xf>
    <xf numFmtId="0" fontId="6" fillId="0" borderId="0" xfId="1565" applyFont="1" applyBorder="1" applyAlignment="1">
      <alignment wrapText="1"/>
      <protection/>
    </xf>
    <xf numFmtId="0" fontId="8" fillId="3" borderId="21" xfId="0" applyFont="1" applyFill="1" applyBorder="1" applyAlignment="1" applyProtection="1">
      <alignment horizontal="center"/>
      <protection locked="0"/>
    </xf>
    <xf numFmtId="0" fontId="29" fillId="105" borderId="132" xfId="0" applyFont="1" applyFill="1" applyBorder="1" applyAlignment="1" applyProtection="1">
      <alignment horizontal="left" vertical="center"/>
      <protection/>
    </xf>
    <xf numFmtId="0" fontId="29" fillId="105" borderId="62" xfId="0" applyFont="1" applyFill="1" applyBorder="1" applyAlignment="1" applyProtection="1">
      <alignment horizontal="left" vertical="center"/>
      <protection/>
    </xf>
    <xf numFmtId="0" fontId="6" fillId="0" borderId="165" xfId="1565" applyFont="1" applyFill="1" applyBorder="1" applyAlignment="1">
      <alignment horizontal="center"/>
      <protection/>
    </xf>
    <xf numFmtId="0" fontId="6" fillId="0" borderId="166" xfId="1565" applyFont="1" applyFill="1" applyBorder="1" applyAlignment="1">
      <alignment horizontal="center"/>
      <protection/>
    </xf>
    <xf numFmtId="0" fontId="6" fillId="0" borderId="165" xfId="1565" applyFont="1" applyFill="1" applyBorder="1" applyAlignment="1">
      <alignment horizontal="left"/>
      <protection/>
    </xf>
    <xf numFmtId="2" fontId="49" fillId="0" borderId="165" xfId="1565" applyNumberFormat="1" applyFont="1" applyFill="1" applyBorder="1" applyAlignment="1">
      <alignment horizontal="center"/>
      <protection/>
    </xf>
    <xf numFmtId="0" fontId="5" fillId="3" borderId="167" xfId="0" applyFont="1" applyFill="1" applyBorder="1" applyAlignment="1" applyProtection="1">
      <alignment horizontal="center" vertical="center" wrapText="1"/>
      <protection/>
    </xf>
    <xf numFmtId="1" fontId="49" fillId="28" borderId="21" xfId="1565" applyNumberFormat="1" applyFont="1" applyFill="1" applyBorder="1" applyAlignment="1">
      <alignment horizontal="center"/>
      <protection/>
    </xf>
    <xf numFmtId="0" fontId="6" fillId="0" borderId="0" xfId="1565" applyFont="1" applyFill="1" applyAlignment="1">
      <alignment horizontal="center"/>
      <protection/>
    </xf>
    <xf numFmtId="177" fontId="6" fillId="0" borderId="21" xfId="1098" applyNumberFormat="1" applyFont="1" applyFill="1" applyBorder="1" applyAlignment="1">
      <alignment horizontal="right"/>
    </xf>
    <xf numFmtId="177" fontId="49" fillId="0" borderId="21" xfId="1098" applyNumberFormat="1" applyFont="1" applyFill="1" applyBorder="1" applyAlignment="1">
      <alignment horizontal="right"/>
    </xf>
    <xf numFmtId="177" fontId="8" fillId="0" borderId="21" xfId="1098" applyNumberFormat="1" applyFont="1" applyFill="1" applyBorder="1" applyAlignment="1">
      <alignment horizontal="right"/>
    </xf>
    <xf numFmtId="0" fontId="6" fillId="0" borderId="21" xfId="0" applyFont="1" applyBorder="1" applyAlignment="1">
      <alignment horizontal="center"/>
    </xf>
    <xf numFmtId="43" fontId="6" fillId="0" borderId="21" xfId="1098" applyFont="1" applyBorder="1" applyAlignment="1">
      <alignment horizontal="center"/>
    </xf>
    <xf numFmtId="10" fontId="6" fillId="0" borderId="21" xfId="1954" applyNumberFormat="1" applyFont="1" applyBorder="1" applyAlignment="1">
      <alignment horizontal="center"/>
    </xf>
    <xf numFmtId="0" fontId="38" fillId="0" borderId="0" xfId="0" applyFont="1" applyAlignment="1">
      <alignment horizontal="center"/>
    </xf>
    <xf numFmtId="0" fontId="38" fillId="0" borderId="0" xfId="0" applyFont="1" applyAlignment="1" quotePrefix="1">
      <alignment horizontal="center"/>
    </xf>
    <xf numFmtId="10" fontId="8" fillId="0" borderId="0" xfId="0" applyNumberFormat="1" applyFont="1" applyAlignment="1">
      <alignment horizontal="center"/>
    </xf>
    <xf numFmtId="0" fontId="39" fillId="0" borderId="0" xfId="0" applyFont="1" applyAlignment="1">
      <alignment horizontal="left" indent="1"/>
    </xf>
    <xf numFmtId="0" fontId="6" fillId="0" borderId="21" xfId="0" applyFont="1" applyBorder="1" applyAlignment="1">
      <alignment/>
    </xf>
    <xf numFmtId="0" fontId="34" fillId="0" borderId="0" xfId="0" applyFont="1" applyAlignment="1">
      <alignment horizontal="right"/>
    </xf>
    <xf numFmtId="0" fontId="8" fillId="3" borderId="168" xfId="0" applyFont="1" applyFill="1" applyBorder="1" applyAlignment="1" applyProtection="1">
      <alignment horizontal="center"/>
      <protection locked="0"/>
    </xf>
    <xf numFmtId="9" fontId="35" fillId="0" borderId="126" xfId="1954" applyFont="1" applyFill="1" applyBorder="1" applyAlignment="1">
      <alignment horizontal="center" vertical="center" wrapText="1"/>
    </xf>
    <xf numFmtId="9" fontId="49" fillId="0" borderId="126" xfId="1954" applyFont="1" applyFill="1" applyBorder="1" applyAlignment="1">
      <alignment horizontal="center" vertical="center" wrapText="1"/>
    </xf>
    <xf numFmtId="177" fontId="6" fillId="0" borderId="21" xfId="0" applyNumberFormat="1" applyFont="1" applyBorder="1" applyAlignment="1">
      <alignment/>
    </xf>
    <xf numFmtId="0" fontId="6" fillId="0" borderId="21" xfId="1565" applyNumberFormat="1" applyFont="1" applyBorder="1">
      <alignment/>
      <protection/>
    </xf>
    <xf numFmtId="10" fontId="6" fillId="0" borderId="21" xfId="1565" applyNumberFormat="1" applyFont="1" applyBorder="1">
      <alignment/>
      <protection/>
    </xf>
    <xf numFmtId="175" fontId="49" fillId="0" borderId="21" xfId="1087" applyNumberFormat="1" applyFont="1" applyFill="1" applyBorder="1" applyAlignment="1">
      <alignment horizontal="right"/>
    </xf>
    <xf numFmtId="175" fontId="6" fillId="0" borderId="21" xfId="1087" applyNumberFormat="1" applyFont="1" applyBorder="1" applyAlignment="1">
      <alignment horizontal="right"/>
    </xf>
    <xf numFmtId="3" fontId="6" fillId="0" borderId="21" xfId="1098" applyNumberFormat="1" applyFont="1" applyBorder="1" applyAlignment="1">
      <alignment horizontal="center"/>
    </xf>
    <xf numFmtId="10" fontId="6" fillId="0" borderId="21" xfId="1891" applyNumberFormat="1" applyFont="1" applyBorder="1" applyAlignment="1">
      <alignment horizontal="center"/>
    </xf>
    <xf numFmtId="0" fontId="6" fillId="0" borderId="0" xfId="1565" applyFont="1" applyFill="1" applyAlignment="1">
      <alignment horizontal="left"/>
      <protection/>
    </xf>
    <xf numFmtId="0" fontId="6" fillId="0" borderId="0" xfId="1565" applyFont="1" applyFill="1" applyAlignment="1">
      <alignment horizontal="center" vertical="center"/>
      <protection/>
    </xf>
    <xf numFmtId="0" fontId="35" fillId="0" borderId="129" xfId="1087" applyNumberFormat="1" applyFont="1" applyFill="1" applyBorder="1" applyAlignment="1">
      <alignment horizontal="center" vertical="center" wrapText="1"/>
    </xf>
    <xf numFmtId="0" fontId="35" fillId="0" borderId="125" xfId="1087" applyNumberFormat="1" applyFont="1" applyFill="1" applyBorder="1" applyAlignment="1">
      <alignment horizontal="center" vertical="center" wrapText="1"/>
    </xf>
    <xf numFmtId="0" fontId="49" fillId="0" borderId="125" xfId="1087" applyNumberFormat="1" applyFont="1" applyFill="1" applyBorder="1" applyAlignment="1">
      <alignment horizontal="center" vertical="center" wrapText="1"/>
    </xf>
    <xf numFmtId="3" fontId="49" fillId="0" borderId="127" xfId="1565" applyNumberFormat="1" applyFont="1" applyBorder="1" applyAlignment="1">
      <alignment horizontal="center" vertical="center" wrapText="1"/>
      <protection/>
    </xf>
    <xf numFmtId="3" fontId="49" fillId="0" borderId="21" xfId="1565" applyNumberFormat="1" applyFont="1" applyBorder="1" applyAlignment="1">
      <alignment horizontal="center" vertical="center" wrapText="1"/>
      <protection/>
    </xf>
    <xf numFmtId="0" fontId="6" fillId="0" borderId="21" xfId="1565" applyNumberFormat="1" applyFont="1" applyFill="1" applyBorder="1" applyAlignment="1">
      <alignment horizontal="center"/>
      <protection/>
    </xf>
    <xf numFmtId="0" fontId="6" fillId="0" borderId="21" xfId="1565" applyNumberFormat="1" applyFont="1" applyBorder="1" applyAlignment="1">
      <alignment horizontal="center"/>
      <protection/>
    </xf>
    <xf numFmtId="1" fontId="6" fillId="32" borderId="21" xfId="1565" applyNumberFormat="1" applyFont="1" applyFill="1" applyBorder="1" applyAlignment="1">
      <alignment horizontal="center"/>
      <protection/>
    </xf>
    <xf numFmtId="49" fontId="9" fillId="0" borderId="125" xfId="1565" applyNumberFormat="1" applyFont="1" applyBorder="1" applyAlignment="1">
      <alignment horizontal="center" vertical="center" wrapText="1"/>
      <protection/>
    </xf>
    <xf numFmtId="3" fontId="9" fillId="0" borderId="21" xfId="1565" applyNumberFormat="1" applyFont="1" applyBorder="1" applyAlignment="1">
      <alignment horizontal="center" vertical="center" wrapText="1"/>
      <protection/>
    </xf>
    <xf numFmtId="171" fontId="9" fillId="0" borderId="126" xfId="1565" applyNumberFormat="1" applyFont="1" applyBorder="1" applyAlignment="1">
      <alignment horizontal="center" vertical="center" wrapText="1"/>
      <protection/>
    </xf>
    <xf numFmtId="3" fontId="9" fillId="0" borderId="126" xfId="1565" applyNumberFormat="1" applyFont="1" applyBorder="1" applyAlignment="1">
      <alignment horizontal="center" vertical="center" wrapText="1"/>
      <protection/>
    </xf>
    <xf numFmtId="170" fontId="9" fillId="0" borderId="21" xfId="1565" applyNumberFormat="1" applyFont="1" applyBorder="1" applyAlignment="1">
      <alignment horizontal="center" vertical="center" wrapText="1"/>
      <protection/>
    </xf>
    <xf numFmtId="3" fontId="9" fillId="0" borderId="128" xfId="1565" applyNumberFormat="1" applyFont="1" applyFill="1" applyBorder="1" applyAlignment="1">
      <alignment horizontal="center" vertical="center" wrapText="1"/>
      <protection/>
    </xf>
    <xf numFmtId="9" fontId="9" fillId="0" borderId="127" xfId="1954" applyFont="1" applyFill="1" applyBorder="1" applyAlignment="1">
      <alignment horizontal="center" vertical="center" wrapText="1"/>
    </xf>
    <xf numFmtId="9" fontId="9" fillId="0" borderId="124" xfId="1954" applyFont="1" applyFill="1" applyBorder="1" applyAlignment="1">
      <alignment horizontal="center" vertical="center" wrapText="1"/>
    </xf>
    <xf numFmtId="0" fontId="8" fillId="3" borderId="128" xfId="1087" applyNumberFormat="1" applyFont="1" applyFill="1" applyBorder="1" applyAlignment="1" applyProtection="1">
      <alignment horizontal="center"/>
      <protection locked="0"/>
    </xf>
    <xf numFmtId="0" fontId="8" fillId="3" borderId="169" xfId="1087" applyNumberFormat="1" applyFont="1" applyFill="1" applyBorder="1" applyAlignment="1" applyProtection="1">
      <alignment horizontal="center"/>
      <protection locked="0"/>
    </xf>
    <xf numFmtId="0" fontId="8" fillId="3" borderId="170" xfId="0" applyFont="1" applyFill="1" applyBorder="1" applyAlignment="1" applyProtection="1">
      <alignment horizontal="center"/>
      <protection locked="0"/>
    </xf>
    <xf numFmtId="0" fontId="8" fillId="3" borderId="127" xfId="0" applyFont="1" applyFill="1" applyBorder="1" applyAlignment="1" applyProtection="1">
      <alignment horizontal="center"/>
      <protection locked="0"/>
    </xf>
    <xf numFmtId="0" fontId="8" fillId="3" borderId="124" xfId="0" applyFont="1" applyFill="1" applyBorder="1" applyAlignment="1" applyProtection="1">
      <alignment horizontal="center"/>
      <protection locked="0"/>
    </xf>
    <xf numFmtId="0" fontId="8" fillId="3" borderId="126" xfId="0" applyFont="1" applyFill="1" applyBorder="1" applyAlignment="1" applyProtection="1">
      <alignment horizontal="center" wrapText="1"/>
      <protection locked="0"/>
    </xf>
    <xf numFmtId="0" fontId="8" fillId="3" borderId="125" xfId="0" applyFont="1" applyFill="1" applyBorder="1" applyAlignment="1" applyProtection="1">
      <alignment horizontal="center" wrapText="1"/>
      <protection locked="0"/>
    </xf>
    <xf numFmtId="0" fontId="8" fillId="3" borderId="145" xfId="0" applyFont="1" applyFill="1" applyBorder="1" applyAlignment="1" applyProtection="1">
      <alignment horizontal="center" wrapText="1"/>
      <protection locked="0"/>
    </xf>
    <xf numFmtId="3" fontId="35" fillId="0" borderId="145" xfId="1565" applyNumberFormat="1" applyFont="1" applyFill="1" applyBorder="1" applyAlignment="1">
      <alignment horizontal="center" vertical="center" wrapText="1"/>
      <protection/>
    </xf>
    <xf numFmtId="0" fontId="8" fillId="3" borderId="171" xfId="0" applyFont="1" applyFill="1" applyBorder="1" applyAlignment="1" applyProtection="1">
      <alignment horizontal="center"/>
      <protection locked="0"/>
    </xf>
    <xf numFmtId="0" fontId="8" fillId="3" borderId="172" xfId="0" applyFont="1" applyFill="1" applyBorder="1" applyAlignment="1" applyProtection="1">
      <alignment horizontal="center" wrapText="1"/>
      <protection locked="0"/>
    </xf>
    <xf numFmtId="3" fontId="35" fillId="0" borderId="172" xfId="1565" applyNumberFormat="1" applyFont="1" applyFill="1" applyBorder="1" applyAlignment="1">
      <alignment horizontal="center" vertical="center" wrapText="1"/>
      <protection/>
    </xf>
    <xf numFmtId="0" fontId="8" fillId="3" borderId="137" xfId="0" applyFont="1" applyFill="1" applyBorder="1" applyAlignment="1" applyProtection="1">
      <alignment horizontal="center"/>
      <protection locked="0"/>
    </xf>
    <xf numFmtId="0" fontId="8" fillId="3" borderId="137" xfId="0" applyFont="1" applyFill="1" applyBorder="1" applyAlignment="1" applyProtection="1">
      <alignment horizontal="center" wrapText="1"/>
      <protection locked="0"/>
    </xf>
    <xf numFmtId="3" fontId="35" fillId="0" borderId="137" xfId="1565" applyNumberFormat="1" applyFont="1" applyFill="1" applyBorder="1" applyAlignment="1">
      <alignment horizontal="center" vertical="center" wrapText="1"/>
      <protection/>
    </xf>
    <xf numFmtId="0" fontId="8" fillId="3" borderId="172" xfId="1087" applyNumberFormat="1" applyFont="1" applyFill="1" applyBorder="1" applyAlignment="1" applyProtection="1">
      <alignment horizontal="center"/>
      <protection locked="0"/>
    </xf>
    <xf numFmtId="0" fontId="35" fillId="0" borderId="172" xfId="1087" applyNumberFormat="1" applyFont="1" applyFill="1" applyBorder="1" applyAlignment="1">
      <alignment horizontal="center" vertical="center" wrapText="1"/>
    </xf>
    <xf numFmtId="0" fontId="49" fillId="0" borderId="172" xfId="1087" applyNumberFormat="1" applyFont="1" applyFill="1" applyBorder="1" applyAlignment="1">
      <alignment horizontal="center" vertical="center" wrapText="1"/>
    </xf>
    <xf numFmtId="0" fontId="36" fillId="12" borderId="21" xfId="1733" applyFont="1" applyFill="1" applyBorder="1" applyAlignment="1">
      <alignment horizontal="center" vertical="center" wrapText="1"/>
      <protection/>
    </xf>
    <xf numFmtId="0" fontId="6" fillId="12" borderId="144" xfId="1565" applyFont="1" applyFill="1" applyBorder="1" applyAlignment="1">
      <alignment horizontal="left" wrapText="1"/>
      <protection/>
    </xf>
    <xf numFmtId="0" fontId="6" fillId="12" borderId="145" xfId="1565" applyFont="1" applyFill="1" applyBorder="1" applyAlignment="1">
      <alignment horizontal="left" wrapText="1"/>
      <protection/>
    </xf>
    <xf numFmtId="49" fontId="6" fillId="12" borderId="144" xfId="1565" applyNumberFormat="1" applyFont="1" applyFill="1" applyBorder="1" applyAlignment="1">
      <alignment horizontal="left" wrapText="1"/>
      <protection/>
    </xf>
    <xf numFmtId="49" fontId="6" fillId="12" borderId="145" xfId="1565" applyNumberFormat="1" applyFont="1" applyFill="1" applyBorder="1" applyAlignment="1">
      <alignment horizontal="left" wrapText="1"/>
      <protection/>
    </xf>
    <xf numFmtId="1" fontId="6" fillId="12" borderId="21" xfId="1565" applyNumberFormat="1" applyFont="1" applyFill="1" applyBorder="1" applyAlignment="1">
      <alignment horizontal="center"/>
      <protection/>
    </xf>
    <xf numFmtId="1" fontId="6" fillId="12" borderId="21" xfId="1098" applyNumberFormat="1" applyFont="1" applyFill="1" applyBorder="1" applyAlignment="1">
      <alignment horizontal="center"/>
    </xf>
    <xf numFmtId="1" fontId="6" fillId="12" borderId="21" xfId="1164" applyNumberFormat="1" applyFont="1" applyFill="1" applyBorder="1" applyAlignment="1">
      <alignment horizontal="center"/>
    </xf>
    <xf numFmtId="0" fontId="5" fillId="3" borderId="173" xfId="0" applyFont="1" applyFill="1" applyBorder="1" applyAlignment="1" applyProtection="1">
      <alignment horizontal="center" vertical="center" wrapText="1"/>
      <protection/>
    </xf>
    <xf numFmtId="0" fontId="6" fillId="0" borderId="21" xfId="1565" applyFont="1" applyFill="1" applyBorder="1" applyAlignment="1">
      <alignment horizontal="left"/>
      <protection/>
    </xf>
    <xf numFmtId="2" fontId="49" fillId="0" borderId="21" xfId="1565" applyNumberFormat="1" applyFont="1" applyFill="1" applyBorder="1" applyAlignment="1">
      <alignment horizontal="center"/>
      <protection/>
    </xf>
    <xf numFmtId="4" fontId="6" fillId="12" borderId="72" xfId="1798" applyNumberFormat="1" applyFont="1" applyFill="1" applyBorder="1" applyAlignment="1" applyProtection="1">
      <alignment horizontal="right"/>
      <protection locked="0"/>
    </xf>
    <xf numFmtId="4" fontId="6" fillId="12" borderId="54" xfId="0" applyNumberFormat="1" applyFont="1" applyFill="1" applyBorder="1" applyAlignment="1" applyProtection="1">
      <alignment/>
      <protection locked="0"/>
    </xf>
    <xf numFmtId="4" fontId="6" fillId="12" borderId="78" xfId="1798" applyNumberFormat="1" applyFont="1" applyFill="1" applyBorder="1" applyAlignment="1" applyProtection="1">
      <alignment horizontal="right"/>
      <protection locked="0"/>
    </xf>
    <xf numFmtId="4" fontId="6" fillId="12" borderId="119" xfId="0" applyNumberFormat="1" applyFont="1" applyFill="1" applyBorder="1" applyAlignment="1" applyProtection="1">
      <alignment/>
      <protection locked="0"/>
    </xf>
    <xf numFmtId="4" fontId="6" fillId="12" borderId="54" xfId="0" applyNumberFormat="1" applyFont="1" applyFill="1" applyBorder="1" applyAlignment="1" applyProtection="1" quotePrefix="1">
      <alignment/>
      <protection locked="0"/>
    </xf>
    <xf numFmtId="4" fontId="6" fillId="12" borderId="174" xfId="0" applyNumberFormat="1" applyFont="1" applyFill="1" applyBorder="1" applyAlignment="1" applyProtection="1">
      <alignment/>
      <protection locked="0"/>
    </xf>
    <xf numFmtId="167" fontId="6" fillId="12" borderId="21" xfId="1087" applyFont="1" applyFill="1" applyBorder="1" applyAlignment="1">
      <alignment horizontal="center" vertical="center"/>
    </xf>
    <xf numFmtId="2" fontId="6" fillId="12" borderId="21" xfId="1565" applyNumberFormat="1" applyFont="1" applyFill="1" applyBorder="1" applyAlignment="1">
      <alignment horizontal="center" vertical="center"/>
      <protection/>
    </xf>
    <xf numFmtId="2" fontId="6" fillId="12" borderId="21" xfId="1098" applyNumberFormat="1" applyFont="1" applyFill="1" applyBorder="1" applyAlignment="1">
      <alignment horizontal="center"/>
    </xf>
    <xf numFmtId="0" fontId="40" fillId="12" borderId="0" xfId="1565" applyFont="1" applyFill="1" applyAlignment="1">
      <alignment horizontal="left"/>
      <protection/>
    </xf>
    <xf numFmtId="0" fontId="6" fillId="12" borderId="0" xfId="1565" applyFont="1" applyFill="1" applyAlignment="1">
      <alignment horizontal="center"/>
      <protection/>
    </xf>
    <xf numFmtId="0" fontId="6" fillId="12" borderId="0" xfId="1565" applyFont="1" applyFill="1" applyAlignment="1">
      <alignment horizontal="center" vertical="center"/>
      <protection/>
    </xf>
    <xf numFmtId="0" fontId="6" fillId="12" borderId="0" xfId="1565" applyFont="1" applyFill="1" applyBorder="1" applyAlignment="1">
      <alignment horizontal="center"/>
      <protection/>
    </xf>
    <xf numFmtId="0" fontId="6" fillId="12" borderId="0" xfId="1565" applyFont="1" applyFill="1" applyAlignment="1">
      <alignment horizontal="left"/>
      <protection/>
    </xf>
    <xf numFmtId="1" fontId="6" fillId="12" borderId="145" xfId="1565" applyNumberFormat="1" applyFont="1" applyFill="1" applyBorder="1" applyAlignment="1">
      <alignment horizontal="center"/>
      <protection/>
    </xf>
    <xf numFmtId="0" fontId="5" fillId="3" borderId="175" xfId="0" applyFont="1" applyFill="1" applyBorder="1" applyAlignment="1" applyProtection="1">
      <alignment horizontal="center" vertical="center" wrapText="1"/>
      <protection/>
    </xf>
    <xf numFmtId="3" fontId="166" fillId="0" borderId="21" xfId="1565" applyNumberFormat="1" applyFont="1" applyBorder="1" applyAlignment="1">
      <alignment horizontal="center" vertical="center" wrapText="1"/>
      <protection/>
    </xf>
    <xf numFmtId="171" fontId="166" fillId="0" borderId="126" xfId="1565" applyNumberFormat="1" applyFont="1" applyBorder="1" applyAlignment="1">
      <alignment horizontal="center" vertical="center" wrapText="1"/>
      <protection/>
    </xf>
    <xf numFmtId="170" fontId="166" fillId="0" borderId="21" xfId="1565" applyNumberFormat="1" applyFont="1" applyBorder="1" applyAlignment="1">
      <alignment horizontal="center" vertical="center" wrapText="1"/>
      <protection/>
    </xf>
    <xf numFmtId="3" fontId="166" fillId="0" borderId="126" xfId="1565" applyNumberFormat="1" applyFont="1" applyBorder="1" applyAlignment="1">
      <alignment horizontal="center" vertical="center" wrapText="1"/>
      <protection/>
    </xf>
    <xf numFmtId="10" fontId="166" fillId="0" borderId="21" xfId="1565" applyNumberFormat="1" applyFont="1" applyBorder="1" applyAlignment="1">
      <alignment horizontal="center" vertical="center" wrapText="1"/>
      <protection/>
    </xf>
    <xf numFmtId="0" fontId="166" fillId="0" borderId="21" xfId="1565" applyFont="1" applyBorder="1" applyAlignment="1">
      <alignment horizontal="center" vertical="center" wrapText="1"/>
      <protection/>
    </xf>
    <xf numFmtId="0" fontId="167" fillId="0" borderId="21" xfId="1565" applyFont="1" applyBorder="1" applyAlignment="1">
      <alignment horizontal="right" vertical="center" wrapText="1"/>
      <protection/>
    </xf>
    <xf numFmtId="49" fontId="166" fillId="0" borderId="125" xfId="1565" applyNumberFormat="1" applyFont="1" applyBorder="1" applyAlignment="1">
      <alignment horizontal="center" vertical="center" wrapText="1"/>
      <protection/>
    </xf>
    <xf numFmtId="0" fontId="166" fillId="0" borderId="125" xfId="1565" applyNumberFormat="1" applyFont="1" applyBorder="1" applyAlignment="1">
      <alignment horizontal="center" vertical="center" wrapText="1"/>
      <protection/>
    </xf>
    <xf numFmtId="0" fontId="35" fillId="0" borderId="158" xfId="1733" applyFont="1" applyBorder="1">
      <alignment/>
      <protection/>
    </xf>
    <xf numFmtId="0" fontId="35" fillId="0" borderId="176" xfId="1733" applyFont="1" applyBorder="1">
      <alignment/>
      <protection/>
    </xf>
    <xf numFmtId="0" fontId="35" fillId="0" borderId="38" xfId="1733" applyFont="1" applyBorder="1" applyAlignment="1">
      <alignment wrapText="1"/>
      <protection/>
    </xf>
    <xf numFmtId="0" fontId="35" fillId="0" borderId="176" xfId="1733" applyFont="1" applyBorder="1" applyAlignment="1">
      <alignment wrapText="1"/>
      <protection/>
    </xf>
    <xf numFmtId="0" fontId="36" fillId="3" borderId="21" xfId="1733" applyFont="1" applyFill="1" applyBorder="1" applyAlignment="1">
      <alignment horizontal="center"/>
      <protection/>
    </xf>
    <xf numFmtId="0" fontId="36" fillId="3" borderId="21" xfId="1733" applyFont="1" applyFill="1" applyBorder="1" applyAlignment="1">
      <alignment horizontal="center" vertical="center"/>
      <protection/>
    </xf>
    <xf numFmtId="0" fontId="36" fillId="3" borderId="21" xfId="1733" applyFont="1" applyFill="1" applyBorder="1" applyAlignment="1">
      <alignment horizontal="center" vertical="top"/>
      <protection/>
    </xf>
    <xf numFmtId="43" fontId="35" fillId="0" borderId="21" xfId="1733" applyNumberFormat="1" applyFont="1" applyBorder="1" applyAlignment="1">
      <alignment horizontal="center" vertical="center"/>
      <protection/>
    </xf>
    <xf numFmtId="43" fontId="6" fillId="12" borderId="21" xfId="1142" applyFont="1" applyFill="1" applyBorder="1" applyAlignment="1">
      <alignment horizontal="center" vertical="center"/>
    </xf>
    <xf numFmtId="43" fontId="35" fillId="28" borderId="150" xfId="1733" applyNumberFormat="1" applyFont="1" applyFill="1" applyBorder="1" applyAlignment="1">
      <alignment horizontal="center" vertical="center"/>
      <protection/>
    </xf>
    <xf numFmtId="43" fontId="6" fillId="0" borderId="21" xfId="1117" applyNumberFormat="1" applyFont="1" applyBorder="1" applyAlignment="1">
      <alignment horizontal="center" vertical="center"/>
    </xf>
    <xf numFmtId="177" fontId="6" fillId="12" borderId="0" xfId="1117" applyNumberFormat="1" applyFont="1" applyFill="1" applyBorder="1" applyAlignment="1">
      <alignment/>
    </xf>
    <xf numFmtId="177" fontId="6" fillId="12" borderId="177" xfId="1117" applyNumberFormat="1" applyFont="1" applyFill="1" applyBorder="1" applyAlignment="1">
      <alignment/>
    </xf>
    <xf numFmtId="177" fontId="6" fillId="0" borderId="0" xfId="1117" applyNumberFormat="1" applyFont="1" applyBorder="1" applyAlignment="1">
      <alignment/>
    </xf>
    <xf numFmtId="177" fontId="6" fillId="12" borderId="178" xfId="1117" applyNumberFormat="1" applyFont="1" applyFill="1" applyBorder="1" applyAlignment="1">
      <alignment/>
    </xf>
    <xf numFmtId="177" fontId="6" fillId="12" borderId="179" xfId="1117" applyNumberFormat="1" applyFont="1" applyFill="1" applyBorder="1" applyAlignment="1">
      <alignment/>
    </xf>
    <xf numFmtId="177" fontId="6" fillId="0" borderId="148" xfId="1117" applyNumberFormat="1" applyFont="1" applyBorder="1" applyAlignment="1">
      <alignment/>
    </xf>
    <xf numFmtId="177" fontId="6" fillId="0" borderId="180" xfId="1117" applyNumberFormat="1" applyFont="1" applyBorder="1" applyAlignment="1">
      <alignment/>
    </xf>
    <xf numFmtId="1" fontId="6" fillId="0" borderId="136" xfId="1986" applyNumberFormat="1" applyFont="1" applyBorder="1" applyAlignment="1">
      <alignment/>
    </xf>
    <xf numFmtId="1" fontId="6" fillId="0" borderId="150" xfId="1986" applyNumberFormat="1" applyFont="1" applyBorder="1" applyAlignment="1">
      <alignment/>
    </xf>
    <xf numFmtId="0" fontId="36" fillId="3" borderId="21" xfId="1733" applyFont="1" applyFill="1" applyBorder="1" applyAlignment="1">
      <alignment horizontal="center" vertical="center"/>
      <protection/>
    </xf>
    <xf numFmtId="0" fontId="136" fillId="0" borderId="38" xfId="1734" applyFont="1" applyBorder="1" applyProtection="1">
      <alignment/>
      <protection locked="0"/>
    </xf>
    <xf numFmtId="10" fontId="127" fillId="0" borderId="0" xfId="1985" applyNumberFormat="1" applyFont="1" applyBorder="1" applyAlignment="1" applyProtection="1">
      <alignment/>
      <protection locked="0"/>
    </xf>
    <xf numFmtId="10" fontId="127" fillId="0" borderId="146" xfId="1985" applyNumberFormat="1" applyFont="1" applyBorder="1" applyAlignment="1" applyProtection="1">
      <alignment/>
      <protection locked="0"/>
    </xf>
    <xf numFmtId="10" fontId="127" fillId="0" borderId="136" xfId="1985" applyNumberFormat="1" applyFont="1" applyBorder="1" applyAlignment="1" applyProtection="1">
      <alignment/>
      <protection locked="0"/>
    </xf>
    <xf numFmtId="0" fontId="136" fillId="107" borderId="0" xfId="1734" applyFont="1" applyFill="1" applyBorder="1" applyProtection="1">
      <alignment/>
      <protection locked="0"/>
    </xf>
    <xf numFmtId="10" fontId="127" fillId="107" borderId="0" xfId="1985" applyNumberFormat="1" applyFont="1" applyFill="1" applyBorder="1" applyAlignment="1" applyProtection="1">
      <alignment/>
      <protection locked="0"/>
    </xf>
    <xf numFmtId="0" fontId="136" fillId="0" borderId="147" xfId="1734" applyFont="1" applyBorder="1" applyProtection="1">
      <alignment/>
      <protection locked="0"/>
    </xf>
    <xf numFmtId="0" fontId="136" fillId="107" borderId="148" xfId="1734" applyFont="1" applyFill="1" applyBorder="1" applyProtection="1">
      <alignment/>
      <protection locked="0"/>
    </xf>
    <xf numFmtId="10" fontId="127" fillId="0" borderId="150" xfId="1985" applyNumberFormat="1" applyFont="1" applyBorder="1" applyAlignment="1" applyProtection="1">
      <alignment/>
      <protection locked="0"/>
    </xf>
    <xf numFmtId="43" fontId="127" fillId="108" borderId="0" xfId="1116" applyNumberFormat="1" applyFont="1" applyFill="1" applyBorder="1" applyAlignment="1" applyProtection="1">
      <alignment/>
      <protection locked="0"/>
    </xf>
    <xf numFmtId="43" fontId="127" fillId="107" borderId="0" xfId="1116" applyNumberFormat="1" applyFont="1" applyFill="1" applyBorder="1" applyAlignment="1" applyProtection="1">
      <alignment/>
      <protection locked="0"/>
    </xf>
    <xf numFmtId="43" fontId="127" fillId="107" borderId="148" xfId="1116" applyNumberFormat="1" applyFont="1" applyFill="1" applyBorder="1" applyAlignment="1" applyProtection="1">
      <alignment/>
      <protection locked="0"/>
    </xf>
    <xf numFmtId="0" fontId="29" fillId="105" borderId="181" xfId="0" applyFont="1" applyFill="1" applyBorder="1" applyAlignment="1" applyProtection="1">
      <alignment vertical="center"/>
      <protection locked="0"/>
    </xf>
    <xf numFmtId="0" fontId="29" fillId="105" borderId="0" xfId="0" applyFont="1" applyFill="1" applyBorder="1" applyAlignment="1" applyProtection="1">
      <alignment vertical="center"/>
      <protection locked="0"/>
    </xf>
    <xf numFmtId="1" fontId="8" fillId="3" borderId="21" xfId="0" applyNumberFormat="1" applyFont="1" applyFill="1" applyBorder="1" applyAlignment="1" applyProtection="1">
      <alignment horizontal="center"/>
      <protection locked="0"/>
    </xf>
    <xf numFmtId="0" fontId="35" fillId="0" borderId="159" xfId="1731" applyFont="1" applyBorder="1">
      <alignment/>
      <protection/>
    </xf>
    <xf numFmtId="0" fontId="35" fillId="0" borderId="160" xfId="1731" applyFont="1" applyBorder="1">
      <alignment/>
      <protection/>
    </xf>
    <xf numFmtId="0" fontId="35" fillId="0" borderId="136" xfId="1731" applyFont="1" applyBorder="1">
      <alignment/>
      <protection/>
    </xf>
    <xf numFmtId="2" fontId="16" fillId="0" borderId="66" xfId="0" applyNumberFormat="1" applyFont="1" applyFill="1" applyBorder="1" applyAlignment="1" applyProtection="1">
      <alignment/>
      <protection locked="0"/>
    </xf>
    <xf numFmtId="3" fontId="6" fillId="0" borderId="21" xfId="1565" applyNumberFormat="1" applyFont="1" applyBorder="1" applyAlignment="1">
      <alignment horizontal="center" vertical="center" wrapText="1"/>
      <protection/>
    </xf>
    <xf numFmtId="3" fontId="6" fillId="0" borderId="126" xfId="1565" applyNumberFormat="1" applyFont="1" applyBorder="1" applyAlignment="1">
      <alignment horizontal="center" vertical="center" wrapText="1"/>
      <protection/>
    </xf>
    <xf numFmtId="43" fontId="6" fillId="0" borderId="136" xfId="1119" applyNumberFormat="1" applyFont="1" applyBorder="1" applyAlignment="1">
      <alignment/>
    </xf>
    <xf numFmtId="43" fontId="36" fillId="0" borderId="156" xfId="1119" applyNumberFormat="1" applyFont="1" applyBorder="1" applyAlignment="1">
      <alignment/>
    </xf>
    <xf numFmtId="43" fontId="36" fillId="0" borderId="157" xfId="1119" applyNumberFormat="1" applyFont="1" applyBorder="1" applyAlignment="1">
      <alignment/>
    </xf>
    <xf numFmtId="43" fontId="36" fillId="0" borderId="135" xfId="1119" applyNumberFormat="1" applyFont="1" applyBorder="1" applyAlignment="1">
      <alignment/>
    </xf>
    <xf numFmtId="0" fontId="8" fillId="3" borderId="21" xfId="1087" applyNumberFormat="1" applyFont="1" applyFill="1" applyBorder="1" applyAlignment="1" applyProtection="1">
      <alignment horizontal="center"/>
      <protection locked="0"/>
    </xf>
    <xf numFmtId="0" fontId="35" fillId="0" borderId="21" xfId="1087" applyNumberFormat="1" applyFont="1" applyFill="1" applyBorder="1" applyAlignment="1">
      <alignment horizontal="center" vertical="center" wrapText="1"/>
    </xf>
    <xf numFmtId="9" fontId="6" fillId="0" borderId="21" xfId="1954" applyFont="1" applyFill="1" applyBorder="1" applyAlignment="1">
      <alignment horizontal="center" vertical="center" wrapText="1"/>
    </xf>
    <xf numFmtId="3" fontId="6" fillId="0" borderId="21" xfId="1565" applyNumberFormat="1" applyFont="1" applyFill="1" applyBorder="1" applyAlignment="1">
      <alignment horizontal="center" vertical="center" wrapText="1"/>
      <protection/>
    </xf>
    <xf numFmtId="0" fontId="6" fillId="0" borderId="21" xfId="1087" applyNumberFormat="1" applyFont="1" applyFill="1" applyBorder="1" applyAlignment="1">
      <alignment horizontal="center" vertical="center" wrapText="1"/>
    </xf>
    <xf numFmtId="3" fontId="22" fillId="0" borderId="21" xfId="0" applyNumberFormat="1" applyFont="1" applyBorder="1" applyAlignment="1">
      <alignment horizontal="center" vertical="center"/>
    </xf>
    <xf numFmtId="0" fontId="2" fillId="0" borderId="21" xfId="1565" applyFont="1" applyBorder="1">
      <alignment/>
      <protection/>
    </xf>
    <xf numFmtId="9" fontId="2" fillId="109" borderId="21" xfId="0" applyNumberFormat="1" applyFont="1" applyFill="1" applyBorder="1" applyAlignment="1">
      <alignment horizontal="center" vertical="center"/>
    </xf>
    <xf numFmtId="0" fontId="2" fillId="109" borderId="21" xfId="0" applyFont="1" applyFill="1" applyBorder="1" applyAlignment="1">
      <alignment vertical="center"/>
    </xf>
    <xf numFmtId="0" fontId="2" fillId="109" borderId="21" xfId="0" applyFont="1" applyFill="1" applyBorder="1" applyAlignment="1">
      <alignment horizontal="center" vertical="center"/>
    </xf>
    <xf numFmtId="3" fontId="2" fillId="0" borderId="21" xfId="0" applyNumberFormat="1" applyFont="1" applyBorder="1" applyAlignment="1">
      <alignment horizontal="center" vertical="center"/>
    </xf>
    <xf numFmtId="0" fontId="2" fillId="0" borderId="21" xfId="0" applyFont="1" applyBorder="1" applyAlignment="1">
      <alignment vertical="center" wrapText="1"/>
    </xf>
    <xf numFmtId="0" fontId="2" fillId="0" borderId="21" xfId="0" applyFont="1" applyBorder="1" applyAlignment="1">
      <alignment vertical="center"/>
    </xf>
    <xf numFmtId="216" fontId="2" fillId="0" borderId="21" xfId="0" applyNumberFormat="1" applyFont="1" applyBorder="1" applyAlignment="1">
      <alignment horizontal="center" vertical="center"/>
    </xf>
    <xf numFmtId="8"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0" fontId="22" fillId="0" borderId="21" xfId="0" applyFont="1" applyBorder="1" applyAlignment="1">
      <alignment horizontal="center" vertical="center" wrapText="1"/>
    </xf>
    <xf numFmtId="0" fontId="22" fillId="0" borderId="21" xfId="0" applyFont="1" applyBorder="1" applyAlignment="1">
      <alignment horizontal="center" vertical="center"/>
    </xf>
    <xf numFmtId="0" fontId="22" fillId="0" borderId="21" xfId="0" applyFont="1" applyBorder="1" applyAlignment="1">
      <alignment vertical="center"/>
    </xf>
    <xf numFmtId="173" fontId="137" fillId="0" borderId="182" xfId="0" applyNumberFormat="1" applyFont="1" applyBorder="1" applyAlignment="1">
      <alignment/>
    </xf>
    <xf numFmtId="3" fontId="137" fillId="0" borderId="0" xfId="0" applyNumberFormat="1" applyFont="1" applyAlignment="1">
      <alignment/>
    </xf>
    <xf numFmtId="0" fontId="6" fillId="0" borderId="0" xfId="0" applyFont="1" applyAlignment="1">
      <alignment horizontal="center"/>
    </xf>
    <xf numFmtId="0" fontId="6" fillId="0" borderId="0" xfId="0" applyFont="1" applyAlignment="1">
      <alignment horizontal="center" wrapText="1"/>
    </xf>
    <xf numFmtId="3" fontId="6" fillId="0" borderId="0" xfId="0" applyNumberFormat="1" applyFont="1" applyBorder="1" applyAlignment="1">
      <alignment/>
    </xf>
    <xf numFmtId="3" fontId="6" fillId="0" borderId="0" xfId="0" applyNumberFormat="1" applyFont="1" applyAlignment="1">
      <alignment horizontal="center"/>
    </xf>
    <xf numFmtId="168" fontId="6" fillId="0" borderId="0" xfId="0" applyNumberFormat="1" applyFont="1" applyAlignment="1">
      <alignment horizontal="center"/>
    </xf>
    <xf numFmtId="173" fontId="6" fillId="0" borderId="182" xfId="0" applyNumberFormat="1" applyFont="1" applyBorder="1" applyAlignment="1">
      <alignment/>
    </xf>
    <xf numFmtId="173" fontId="6" fillId="0" borderId="182" xfId="0" applyNumberFormat="1" applyFont="1" applyBorder="1" applyAlignment="1">
      <alignment horizontal="center"/>
    </xf>
    <xf numFmtId="224" fontId="2" fillId="109" borderId="21" xfId="0" applyNumberFormat="1" applyFont="1" applyFill="1" applyBorder="1" applyAlignment="1">
      <alignment horizontal="center" vertical="center"/>
    </xf>
    <xf numFmtId="49" fontId="166" fillId="0" borderId="128" xfId="1565" applyNumberFormat="1" applyFont="1" applyBorder="1" applyAlignment="1">
      <alignment horizontal="center" vertical="center" wrapText="1"/>
      <protection/>
    </xf>
    <xf numFmtId="3" fontId="166" fillId="0" borderId="127" xfId="1565" applyNumberFormat="1" applyFont="1" applyFill="1" applyBorder="1" applyAlignment="1">
      <alignment horizontal="center" vertical="center" wrapText="1"/>
      <protection/>
    </xf>
    <xf numFmtId="3" fontId="166" fillId="0" borderId="127" xfId="1565" applyNumberFormat="1" applyFont="1" applyBorder="1" applyAlignment="1">
      <alignment horizontal="center" vertical="center" wrapText="1"/>
      <protection/>
    </xf>
    <xf numFmtId="49" fontId="6" fillId="0" borderId="21" xfId="1087" applyNumberFormat="1" applyFont="1" applyFill="1" applyBorder="1" applyAlignment="1">
      <alignment horizontal="center" vertical="center" wrapText="1"/>
    </xf>
    <xf numFmtId="0" fontId="22" fillId="110" borderId="21" xfId="0" applyFont="1" applyFill="1" applyBorder="1" applyAlignment="1">
      <alignment horizontal="center" vertical="center"/>
    </xf>
    <xf numFmtId="0" fontId="22" fillId="0" borderId="21" xfId="0" applyFont="1" applyFill="1" applyBorder="1" applyAlignment="1">
      <alignment horizontal="center" vertical="center"/>
    </xf>
    <xf numFmtId="8" fontId="2" fillId="0" borderId="21" xfId="0" applyNumberFormat="1" applyFont="1" applyFill="1" applyBorder="1" applyAlignment="1">
      <alignment horizontal="center" vertical="center"/>
    </xf>
    <xf numFmtId="0" fontId="2" fillId="0" borderId="21" xfId="0" applyFont="1" applyFill="1" applyBorder="1" applyAlignment="1">
      <alignment vertical="center"/>
    </xf>
    <xf numFmtId="1" fontId="2" fillId="0" borderId="21" xfId="0" applyNumberFormat="1" applyFont="1" applyFill="1" applyBorder="1" applyAlignment="1">
      <alignment horizontal="center" vertical="center"/>
    </xf>
    <xf numFmtId="220" fontId="2" fillId="0" borderId="21" xfId="0" applyNumberFormat="1" applyFont="1" applyFill="1" applyBorder="1" applyAlignment="1">
      <alignment horizontal="center" vertical="center"/>
    </xf>
    <xf numFmtId="224" fontId="2" fillId="0" borderId="21" xfId="0" applyNumberFormat="1" applyFont="1" applyFill="1" applyBorder="1" applyAlignment="1">
      <alignment horizontal="center" vertical="center"/>
    </xf>
    <xf numFmtId="9" fontId="2" fillId="0" borderId="21" xfId="0" applyNumberFormat="1" applyFont="1" applyFill="1" applyBorder="1" applyAlignment="1">
      <alignment horizontal="center" vertical="center"/>
    </xf>
    <xf numFmtId="224" fontId="22" fillId="109" borderId="21" xfId="0" applyNumberFormat="1" applyFont="1" applyFill="1" applyBorder="1" applyAlignment="1">
      <alignment horizontal="center" vertical="center"/>
    </xf>
    <xf numFmtId="224" fontId="22" fillId="0" borderId="21" xfId="0" applyNumberFormat="1" applyFont="1" applyFill="1" applyBorder="1" applyAlignment="1">
      <alignment horizontal="center" vertical="center"/>
    </xf>
    <xf numFmtId="0" fontId="35" fillId="0" borderId="21" xfId="1565" applyFont="1" applyBorder="1" applyAlignment="1">
      <alignment horizontal="center" vertical="center" wrapText="1"/>
      <protection/>
    </xf>
    <xf numFmtId="0" fontId="59" fillId="0" borderId="21" xfId="1565" applyFont="1" applyBorder="1" applyAlignment="1">
      <alignment horizontal="center" vertical="center" wrapText="1"/>
      <protection/>
    </xf>
    <xf numFmtId="0" fontId="35" fillId="0" borderId="21" xfId="1565" applyFont="1" applyBorder="1" applyAlignment="1">
      <alignment horizontal="left" vertical="center" wrapText="1"/>
      <protection/>
    </xf>
    <xf numFmtId="0" fontId="59" fillId="0" borderId="21" xfId="1565" applyFont="1" applyBorder="1" applyAlignment="1">
      <alignment horizontal="center" vertical="center"/>
      <protection/>
    </xf>
    <xf numFmtId="0" fontId="6" fillId="0" borderId="125" xfId="1565" applyFont="1" applyBorder="1" applyAlignment="1">
      <alignment horizontal="center"/>
      <protection/>
    </xf>
    <xf numFmtId="0" fontId="6" fillId="0" borderId="126" xfId="1565" applyFont="1" applyBorder="1" applyAlignment="1">
      <alignment horizontal="center"/>
      <protection/>
    </xf>
    <xf numFmtId="0" fontId="35" fillId="0" borderId="125" xfId="1565" applyFont="1" applyBorder="1" applyAlignment="1">
      <alignment horizontal="center" vertical="center" wrapText="1"/>
      <protection/>
    </xf>
    <xf numFmtId="0" fontId="49" fillId="0" borderId="183" xfId="1087" applyNumberFormat="1" applyFont="1" applyFill="1" applyBorder="1" applyAlignment="1">
      <alignment horizontal="center" vertical="center" wrapText="1"/>
    </xf>
    <xf numFmtId="3" fontId="35" fillId="0" borderId="184" xfId="1565" applyNumberFormat="1" applyFont="1" applyFill="1" applyBorder="1" applyAlignment="1">
      <alignment horizontal="center" vertical="center" wrapText="1"/>
      <protection/>
    </xf>
    <xf numFmtId="3" fontId="35" fillId="0" borderId="183" xfId="1565" applyNumberFormat="1" applyFont="1" applyFill="1" applyBorder="1" applyAlignment="1">
      <alignment horizontal="center" vertical="center" wrapText="1"/>
      <protection/>
    </xf>
    <xf numFmtId="3" fontId="35" fillId="0" borderId="128" xfId="1565" applyNumberFormat="1" applyFont="1" applyFill="1" applyBorder="1" applyAlignment="1">
      <alignment horizontal="center" vertical="center" wrapText="1"/>
      <protection/>
    </xf>
    <xf numFmtId="3" fontId="35" fillId="0" borderId="124" xfId="1565" applyNumberFormat="1" applyFont="1" applyFill="1" applyBorder="1" applyAlignment="1">
      <alignment horizontal="center" vertical="center" wrapText="1"/>
      <protection/>
    </xf>
    <xf numFmtId="3" fontId="35" fillId="0" borderId="185" xfId="1565" applyNumberFormat="1" applyFont="1" applyFill="1" applyBorder="1" applyAlignment="1">
      <alignment horizontal="center" vertical="center" wrapText="1"/>
      <protection/>
    </xf>
    <xf numFmtId="1" fontId="0" fillId="0" borderId="0" xfId="1565" applyNumberFormat="1">
      <alignment/>
      <protection/>
    </xf>
    <xf numFmtId="43" fontId="35" fillId="108" borderId="21" xfId="1733" applyNumberFormat="1" applyFont="1" applyFill="1" applyBorder="1" applyAlignment="1">
      <alignment horizontal="center" vertical="center"/>
      <protection/>
    </xf>
    <xf numFmtId="43" fontId="127" fillId="108" borderId="177" xfId="1116" applyNumberFormat="1" applyFont="1" applyFill="1" applyBorder="1" applyAlignment="1" applyProtection="1">
      <alignment/>
      <protection locked="0"/>
    </xf>
    <xf numFmtId="43" fontId="127" fillId="108" borderId="134" xfId="1116" applyNumberFormat="1" applyFont="1" applyFill="1" applyBorder="1" applyAlignment="1" applyProtection="1">
      <alignment/>
      <protection locked="0"/>
    </xf>
    <xf numFmtId="43" fontId="127" fillId="108" borderId="180" xfId="1116" applyNumberFormat="1" applyFont="1" applyFill="1" applyBorder="1" applyAlignment="1" applyProtection="1">
      <alignment/>
      <protection locked="0"/>
    </xf>
    <xf numFmtId="0" fontId="8" fillId="0" borderId="21" xfId="1565" applyFont="1" applyBorder="1" applyAlignment="1">
      <alignment horizontal="center" vertical="center"/>
      <protection/>
    </xf>
    <xf numFmtId="0" fontId="91" fillId="0" borderId="21" xfId="0" applyFont="1" applyFill="1" applyBorder="1" applyAlignment="1" applyProtection="1">
      <alignment horizontal="center" vertical="center" wrapText="1"/>
      <protection locked="0"/>
    </xf>
    <xf numFmtId="0" fontId="8" fillId="3" borderId="141" xfId="0" applyFont="1" applyFill="1" applyBorder="1" applyAlignment="1" applyProtection="1">
      <alignment horizontal="center" vertical="center"/>
      <protection locked="0"/>
    </xf>
    <xf numFmtId="0" fontId="6" fillId="0" borderId="0" xfId="1565" applyFont="1" applyAlignment="1">
      <alignment vertical="center"/>
      <protection/>
    </xf>
    <xf numFmtId="0" fontId="8" fillId="0" borderId="21" xfId="1565" applyFont="1" applyBorder="1" applyAlignment="1">
      <alignment horizontal="center" vertical="center" wrapText="1"/>
      <protection/>
    </xf>
    <xf numFmtId="0" fontId="8" fillId="3" borderId="186" xfId="0" applyFont="1" applyFill="1" applyBorder="1" applyAlignment="1" applyProtection="1">
      <alignment horizontal="center" vertical="center" wrapText="1"/>
      <protection locked="0"/>
    </xf>
    <xf numFmtId="0" fontId="8" fillId="3" borderId="141" xfId="0" applyFont="1" applyFill="1" applyBorder="1" applyAlignment="1" applyProtection="1">
      <alignment horizontal="center" vertical="center" wrapText="1"/>
      <protection locked="0"/>
    </xf>
    <xf numFmtId="0" fontId="6" fillId="0" borderId="21" xfId="1565" applyFont="1" applyBorder="1" applyAlignment="1">
      <alignment horizontal="center" vertical="center"/>
      <protection/>
    </xf>
    <xf numFmtId="0" fontId="6" fillId="0" borderId="145" xfId="1565" applyFont="1" applyBorder="1">
      <alignment/>
      <protection/>
    </xf>
    <xf numFmtId="175" fontId="6" fillId="111" borderId="21" xfId="1087" applyNumberFormat="1" applyFont="1" applyFill="1" applyBorder="1" applyAlignment="1">
      <alignment horizontal="center" vertical="center"/>
    </xf>
    <xf numFmtId="175" fontId="6" fillId="0" borderId="21" xfId="1565" applyNumberFormat="1" applyFont="1" applyBorder="1" applyAlignment="1">
      <alignment horizontal="center" vertical="center"/>
      <protection/>
    </xf>
    <xf numFmtId="10" fontId="6" fillId="0" borderId="145" xfId="1954" applyNumberFormat="1" applyFont="1" applyFill="1" applyBorder="1" applyAlignment="1">
      <alignment horizontal="center"/>
    </xf>
    <xf numFmtId="175" fontId="6" fillId="0" borderId="21" xfId="1087" applyNumberFormat="1" applyFont="1" applyBorder="1" applyAlignment="1">
      <alignment horizontal="center" vertical="center"/>
    </xf>
    <xf numFmtId="10" fontId="6" fillId="0" borderId="145" xfId="1565" applyNumberFormat="1" applyFont="1" applyBorder="1">
      <alignment/>
      <protection/>
    </xf>
    <xf numFmtId="43" fontId="18" fillId="61" borderId="164" xfId="1119" applyNumberFormat="1" applyFont="1" applyFill="1" applyBorder="1" applyAlignment="1">
      <alignment horizontal="center" vertical="center"/>
    </xf>
    <xf numFmtId="175" fontId="6" fillId="112" borderId="21" xfId="1087" applyNumberFormat="1" applyFont="1" applyFill="1" applyBorder="1" applyAlignment="1">
      <alignment horizontal="center" vertical="center"/>
    </xf>
    <xf numFmtId="175" fontId="49" fillId="0" borderId="21" xfId="1087" applyNumberFormat="1" applyFont="1" applyFill="1" applyBorder="1" applyAlignment="1">
      <alignment horizontal="right"/>
    </xf>
    <xf numFmtId="175" fontId="6" fillId="0" borderId="21" xfId="1087" applyNumberFormat="1" applyFont="1" applyFill="1" applyBorder="1" applyAlignment="1">
      <alignment horizontal="center" vertical="center"/>
    </xf>
    <xf numFmtId="0" fontId="6" fillId="0" borderId="21" xfId="1565" applyFont="1" applyFill="1" applyBorder="1" applyAlignment="1">
      <alignment horizontal="center" vertical="center"/>
      <protection/>
    </xf>
    <xf numFmtId="175" fontId="6" fillId="0" borderId="168" xfId="1087" applyNumberFormat="1" applyFont="1" applyBorder="1" applyAlignment="1">
      <alignment horizontal="center" vertical="center"/>
    </xf>
    <xf numFmtId="175" fontId="6" fillId="0" borderId="0" xfId="1087" applyNumberFormat="1" applyFont="1" applyFill="1" applyBorder="1" applyAlignment="1">
      <alignment horizontal="center" vertical="center"/>
    </xf>
    <xf numFmtId="0" fontId="6" fillId="0" borderId="0" xfId="1565" applyFont="1" applyFill="1" applyBorder="1" applyAlignment="1">
      <alignment horizontal="center" vertical="center"/>
      <protection/>
    </xf>
    <xf numFmtId="0" fontId="6" fillId="0" borderId="168" xfId="1565" applyFont="1" applyBorder="1" applyAlignment="1">
      <alignment horizontal="center" vertical="center"/>
      <protection/>
    </xf>
    <xf numFmtId="0" fontId="6" fillId="0" borderId="168" xfId="1565" applyFont="1" applyBorder="1">
      <alignment/>
      <protection/>
    </xf>
    <xf numFmtId="175" fontId="49" fillId="0" borderId="168" xfId="1087" applyNumberFormat="1" applyFont="1" applyFill="1" applyBorder="1" applyAlignment="1">
      <alignment horizontal="right"/>
    </xf>
    <xf numFmtId="43" fontId="18" fillId="61" borderId="21" xfId="1119" applyNumberFormat="1" applyFont="1" applyFill="1" applyBorder="1" applyAlignment="1">
      <alignment horizontal="center" vertical="center"/>
    </xf>
    <xf numFmtId="0" fontId="6" fillId="0" borderId="21" xfId="1565" applyFont="1" applyFill="1" applyBorder="1">
      <alignment/>
      <protection/>
    </xf>
    <xf numFmtId="0" fontId="6" fillId="113" borderId="21" xfId="1565" applyFont="1" applyFill="1" applyBorder="1" applyAlignment="1">
      <alignment horizontal="center" vertical="center"/>
      <protection/>
    </xf>
    <xf numFmtId="175" fontId="6" fillId="113" borderId="21" xfId="1087" applyNumberFormat="1" applyFont="1" applyFill="1" applyBorder="1" applyAlignment="1">
      <alignment horizontal="center" vertical="center"/>
    </xf>
    <xf numFmtId="175" fontId="6" fillId="113" borderId="21" xfId="1565" applyNumberFormat="1" applyFont="1" applyFill="1" applyBorder="1" applyAlignment="1">
      <alignment horizontal="center" vertical="center"/>
      <protection/>
    </xf>
    <xf numFmtId="10" fontId="6" fillId="113" borderId="145" xfId="1565" applyNumberFormat="1" applyFont="1" applyFill="1" applyBorder="1">
      <alignment/>
      <protection/>
    </xf>
    <xf numFmtId="0" fontId="6" fillId="113" borderId="21" xfId="1565" applyNumberFormat="1" applyFont="1" applyFill="1" applyBorder="1">
      <alignment/>
      <protection/>
    </xf>
    <xf numFmtId="0" fontId="6" fillId="113" borderId="21" xfId="1565" applyFont="1" applyFill="1" applyBorder="1">
      <alignment/>
      <protection/>
    </xf>
    <xf numFmtId="10" fontId="6" fillId="113" borderId="145" xfId="1954" applyNumberFormat="1" applyFont="1" applyFill="1" applyBorder="1" applyAlignment="1">
      <alignment horizontal="center"/>
    </xf>
    <xf numFmtId="177" fontId="6" fillId="113" borderId="21" xfId="0" applyNumberFormat="1" applyFont="1" applyFill="1" applyBorder="1" applyAlignment="1">
      <alignment/>
    </xf>
    <xf numFmtId="0" fontId="8" fillId="0" borderId="144" xfId="1565" applyFont="1" applyBorder="1" applyAlignment="1">
      <alignment horizontal="center" vertical="center"/>
      <protection/>
    </xf>
    <xf numFmtId="10" fontId="6" fillId="0" borderId="21" xfId="1087" applyNumberFormat="1" applyFont="1" applyBorder="1" applyAlignment="1">
      <alignment horizontal="center" vertical="center"/>
    </xf>
    <xf numFmtId="10" fontId="6" fillId="0" borderId="145" xfId="1565" applyNumberFormat="1" applyFont="1" applyBorder="1" applyAlignment="1">
      <alignment horizontal="center"/>
      <protection/>
    </xf>
    <xf numFmtId="10" fontId="6" fillId="0" borderId="177" xfId="1565" applyNumberFormat="1" applyFont="1" applyBorder="1" applyAlignment="1">
      <alignment horizontal="center"/>
      <protection/>
    </xf>
    <xf numFmtId="10" fontId="6" fillId="0" borderId="21" xfId="1565" applyNumberFormat="1" applyFont="1" applyBorder="1" applyAlignment="1">
      <alignment horizontal="center"/>
      <protection/>
    </xf>
    <xf numFmtId="2" fontId="6" fillId="102" borderId="21" xfId="1565" applyNumberFormat="1" applyFont="1" applyFill="1" applyBorder="1" applyAlignment="1">
      <alignment horizontal="center" vertical="center"/>
      <protection/>
    </xf>
    <xf numFmtId="2" fontId="6" fillId="102" borderId="21" xfId="1098" applyNumberFormat="1" applyFont="1" applyFill="1" applyBorder="1" applyAlignment="1">
      <alignment horizontal="center"/>
    </xf>
    <xf numFmtId="1" fontId="6" fillId="0" borderId="21" xfId="1565" applyNumberFormat="1" applyFont="1" applyBorder="1">
      <alignment/>
      <protection/>
    </xf>
    <xf numFmtId="49" fontId="8" fillId="0" borderId="21" xfId="1565" applyNumberFormat="1" applyFont="1" applyBorder="1">
      <alignment/>
      <protection/>
    </xf>
    <xf numFmtId="3" fontId="6" fillId="0" borderId="21" xfId="1565" applyNumberFormat="1" applyFont="1" applyBorder="1">
      <alignment/>
      <protection/>
    </xf>
    <xf numFmtId="4" fontId="6" fillId="102" borderId="54" xfId="0" applyNumberFormat="1" applyFont="1" applyFill="1" applyBorder="1" applyAlignment="1" applyProtection="1">
      <alignment/>
      <protection locked="0"/>
    </xf>
    <xf numFmtId="4" fontId="6" fillId="102" borderId="66" xfId="1798" applyNumberFormat="1" applyFont="1" applyFill="1" applyBorder="1" applyAlignment="1" applyProtection="1">
      <alignment horizontal="right"/>
      <protection locked="0"/>
    </xf>
    <xf numFmtId="4" fontId="6" fillId="102" borderId="119" xfId="0" applyNumberFormat="1" applyFont="1" applyFill="1" applyBorder="1" applyAlignment="1" applyProtection="1">
      <alignment/>
      <protection locked="0"/>
    </xf>
    <xf numFmtId="4" fontId="6" fillId="102" borderId="72" xfId="1798" applyNumberFormat="1" applyFont="1" applyFill="1" applyBorder="1" applyAlignment="1" applyProtection="1">
      <alignment horizontal="right"/>
      <protection locked="0"/>
    </xf>
    <xf numFmtId="0" fontId="8" fillId="3" borderId="21" xfId="0" applyFont="1" applyFill="1" applyBorder="1" applyAlignment="1" applyProtection="1">
      <alignment horizontal="center" wrapText="1"/>
      <protection locked="0"/>
    </xf>
    <xf numFmtId="0" fontId="9" fillId="0" borderId="21" xfId="1565" applyFont="1" applyBorder="1" applyAlignment="1">
      <alignment horizontal="center" vertical="center" wrapText="1"/>
      <protection/>
    </xf>
    <xf numFmtId="10" fontId="9" fillId="0" borderId="21" xfId="1565" applyNumberFormat="1" applyFont="1" applyBorder="1" applyAlignment="1">
      <alignment horizontal="center" vertical="center" wrapText="1"/>
      <protection/>
    </xf>
    <xf numFmtId="49" fontId="6" fillId="0" borderId="125" xfId="1565" applyNumberFormat="1" applyFont="1" applyBorder="1" applyAlignment="1">
      <alignment horizontal="center" vertical="center" wrapText="1"/>
      <protection/>
    </xf>
    <xf numFmtId="0" fontId="58" fillId="3" borderId="125" xfId="1565" applyFont="1" applyFill="1" applyBorder="1" applyAlignment="1">
      <alignment horizontal="left" vertical="center"/>
      <protection/>
    </xf>
    <xf numFmtId="0" fontId="58" fillId="3" borderId="21" xfId="1565" applyFont="1" applyFill="1" applyBorder="1" applyAlignment="1">
      <alignment vertical="center"/>
      <protection/>
    </xf>
    <xf numFmtId="3" fontId="166" fillId="0" borderId="21" xfId="1565" applyNumberFormat="1" applyFont="1" applyFill="1" applyBorder="1" applyAlignment="1">
      <alignment horizontal="center" vertical="center" wrapText="1"/>
      <protection/>
    </xf>
    <xf numFmtId="0" fontId="58" fillId="3" borderId="125" xfId="1565" applyFont="1" applyFill="1" applyBorder="1" applyAlignment="1">
      <alignment vertical="center"/>
      <protection/>
    </xf>
    <xf numFmtId="0" fontId="58" fillId="3" borderId="126" xfId="1565" applyFont="1" applyFill="1" applyBorder="1" applyAlignment="1">
      <alignment vertical="center"/>
      <protection/>
    </xf>
    <xf numFmtId="0" fontId="58" fillId="3" borderId="21" xfId="1565" applyFont="1" applyFill="1" applyBorder="1" applyAlignment="1">
      <alignment horizontal="center" vertical="center"/>
      <protection/>
    </xf>
    <xf numFmtId="0" fontId="58" fillId="3" borderId="126" xfId="1565" applyFont="1" applyFill="1" applyBorder="1" applyAlignment="1">
      <alignment horizontal="center" vertical="center"/>
      <protection/>
    </xf>
    <xf numFmtId="0" fontId="6" fillId="0" borderId="0" xfId="1566" applyFont="1">
      <alignment/>
      <protection/>
    </xf>
    <xf numFmtId="0" fontId="8" fillId="0" borderId="21" xfId="1555" applyFont="1" applyBorder="1" applyAlignment="1">
      <alignment horizontal="center"/>
      <protection/>
    </xf>
    <xf numFmtId="17" fontId="6" fillId="0" borderId="21" xfId="1566" applyNumberFormat="1" applyFont="1" applyBorder="1" applyAlignment="1">
      <alignment horizontal="left"/>
      <protection/>
    </xf>
    <xf numFmtId="175" fontId="6" fillId="12" borderId="21" xfId="1148" applyNumberFormat="1" applyFont="1" applyFill="1" applyBorder="1" applyAlignment="1">
      <alignment horizontal="center"/>
    </xf>
    <xf numFmtId="1" fontId="6" fillId="12" borderId="21" xfId="1148" applyNumberFormat="1" applyFont="1" applyFill="1" applyBorder="1" applyAlignment="1">
      <alignment horizontal="center"/>
    </xf>
    <xf numFmtId="0" fontId="6" fillId="0" borderId="21" xfId="1566" applyFont="1" applyBorder="1" applyAlignment="1">
      <alignment horizontal="right"/>
      <protection/>
    </xf>
    <xf numFmtId="0" fontId="6" fillId="0" borderId="21" xfId="1566" applyFont="1" applyBorder="1" applyAlignment="1">
      <alignment horizontal="center"/>
      <protection/>
    </xf>
    <xf numFmtId="1" fontId="6" fillId="0" borderId="21" xfId="1566" applyNumberFormat="1" applyFont="1" applyBorder="1" applyAlignment="1">
      <alignment horizontal="center"/>
      <protection/>
    </xf>
    <xf numFmtId="0" fontId="6" fillId="0" borderId="21" xfId="1566" applyFont="1" applyBorder="1">
      <alignment/>
      <protection/>
    </xf>
    <xf numFmtId="0" fontId="6" fillId="0" borderId="0" xfId="1566" applyFont="1" applyAlignment="1">
      <alignment horizontal="center"/>
      <protection/>
    </xf>
    <xf numFmtId="1" fontId="6" fillId="0" borderId="0" xfId="1566" applyNumberFormat="1" applyFont="1" applyAlignment="1">
      <alignment horizontal="center"/>
      <protection/>
    </xf>
    <xf numFmtId="0" fontId="8" fillId="0" borderId="21" xfId="1566" applyFont="1" applyBorder="1" applyAlignment="1">
      <alignment horizontal="left" vertical="center" wrapText="1"/>
      <protection/>
    </xf>
    <xf numFmtId="0" fontId="6" fillId="0" borderId="0" xfId="1566" applyFont="1" applyAlignment="1">
      <alignment vertical="center"/>
      <protection/>
    </xf>
    <xf numFmtId="175" fontId="6" fillId="0" borderId="21" xfId="1148" applyNumberFormat="1" applyFont="1" applyFill="1" applyBorder="1" applyAlignment="1">
      <alignment horizontal="center"/>
    </xf>
    <xf numFmtId="1" fontId="6" fillId="0" borderId="21" xfId="1148" applyNumberFormat="1" applyFont="1" applyFill="1" applyBorder="1" applyAlignment="1">
      <alignment horizontal="center"/>
    </xf>
    <xf numFmtId="0" fontId="6" fillId="0" borderId="21" xfId="1566" applyFont="1" applyBorder="1" applyAlignment="1">
      <alignment horizontal="left" vertical="center"/>
      <protection/>
    </xf>
    <xf numFmtId="175" fontId="6" fillId="12" borderId="21" xfId="1148" applyNumberFormat="1" applyFont="1" applyFill="1" applyBorder="1" applyAlignment="1">
      <alignment horizontal="right"/>
    </xf>
    <xf numFmtId="1" fontId="6" fillId="12" borderId="21" xfId="1148" applyNumberFormat="1" applyFont="1" applyFill="1" applyBorder="1" applyAlignment="1">
      <alignment horizontal="right"/>
    </xf>
    <xf numFmtId="175" fontId="6" fillId="0" borderId="21" xfId="1148" applyNumberFormat="1" applyFont="1" applyFill="1" applyBorder="1" applyAlignment="1">
      <alignment horizontal="right"/>
    </xf>
    <xf numFmtId="1" fontId="6" fillId="0" borderId="21" xfId="1148" applyNumberFormat="1" applyFont="1" applyFill="1" applyBorder="1" applyAlignment="1">
      <alignment horizontal="right"/>
    </xf>
    <xf numFmtId="0" fontId="6" fillId="0" borderId="21" xfId="1566" applyFont="1" applyBorder="1" applyAlignment="1">
      <alignment horizontal="left"/>
      <protection/>
    </xf>
    <xf numFmtId="49" fontId="8" fillId="0" borderId="21" xfId="1566" applyNumberFormat="1" applyFont="1" applyBorder="1" applyAlignment="1">
      <alignment horizontal="left" vertical="center" wrapText="1"/>
      <protection/>
    </xf>
    <xf numFmtId="175" fontId="8" fillId="12" borderId="21" xfId="1148" applyNumberFormat="1" applyFont="1" applyFill="1" applyBorder="1" applyAlignment="1">
      <alignment horizontal="right"/>
    </xf>
    <xf numFmtId="0" fontId="56" fillId="0" borderId="125" xfId="1565" applyFont="1" applyBorder="1" applyAlignment="1" applyProtection="1">
      <alignment vertical="center"/>
      <protection/>
    </xf>
    <xf numFmtId="0" fontId="22" fillId="12" borderId="126" xfId="1565" applyFont="1" applyFill="1" applyBorder="1" applyAlignment="1" applyProtection="1">
      <alignment horizontal="left" vertical="center"/>
      <protection/>
    </xf>
    <xf numFmtId="0" fontId="22" fillId="12" borderId="126" xfId="1186" applyNumberFormat="1" applyFont="1" applyFill="1" applyBorder="1" applyAlignment="1">
      <alignment horizontal="left"/>
    </xf>
    <xf numFmtId="0" fontId="56" fillId="0" borderId="125" xfId="1565" applyFont="1" applyBorder="1" applyAlignment="1" applyProtection="1">
      <alignment horizontal="left" vertical="center"/>
      <protection/>
    </xf>
    <xf numFmtId="0" fontId="56" fillId="0" borderId="128" xfId="1565" applyFont="1" applyBorder="1" applyAlignment="1" applyProtection="1">
      <alignment horizontal="left" vertical="center"/>
      <protection/>
    </xf>
    <xf numFmtId="0" fontId="22" fillId="12" borderId="124" xfId="1186" applyNumberFormat="1" applyFont="1" applyFill="1" applyBorder="1" applyAlignment="1">
      <alignment horizontal="left"/>
    </xf>
    <xf numFmtId="175" fontId="6" fillId="114" borderId="21" xfId="1148" applyNumberFormat="1" applyFont="1" applyFill="1" applyBorder="1" applyAlignment="1">
      <alignment horizontal="center"/>
    </xf>
    <xf numFmtId="175" fontId="6" fillId="114" borderId="21" xfId="1148" applyNumberFormat="1" applyFont="1" applyFill="1" applyBorder="1" applyAlignment="1">
      <alignment horizontal="right"/>
    </xf>
    <xf numFmtId="175" fontId="168" fillId="12" borderId="21" xfId="1148" applyNumberFormat="1" applyFont="1" applyFill="1" applyBorder="1" applyAlignment="1">
      <alignment horizontal="right"/>
    </xf>
    <xf numFmtId="1" fontId="168" fillId="12" borderId="21" xfId="1148" applyNumberFormat="1" applyFont="1" applyFill="1" applyBorder="1" applyAlignment="1">
      <alignment horizontal="right"/>
    </xf>
    <xf numFmtId="175" fontId="8" fillId="114" borderId="21" xfId="1148" applyNumberFormat="1" applyFont="1" applyFill="1" applyBorder="1" applyAlignment="1">
      <alignment horizontal="right"/>
    </xf>
    <xf numFmtId="2" fontId="16" fillId="0" borderId="119" xfId="0" applyNumberFormat="1" applyFont="1" applyFill="1" applyBorder="1" applyAlignment="1" applyProtection="1">
      <alignment/>
      <protection locked="0"/>
    </xf>
    <xf numFmtId="0" fontId="0" fillId="0" borderId="0" xfId="0" applyAlignment="1">
      <alignment horizontal="center"/>
    </xf>
    <xf numFmtId="1" fontId="169" fillId="0" borderId="144" xfId="1565" applyNumberFormat="1" applyFont="1" applyFill="1" applyBorder="1" applyAlignment="1">
      <alignment horizontal="center"/>
      <protection/>
    </xf>
    <xf numFmtId="0" fontId="8" fillId="0" borderId="21" xfId="1565" applyNumberFormat="1" applyFont="1" applyBorder="1" applyAlignment="1">
      <alignment horizontal="center"/>
      <protection/>
    </xf>
    <xf numFmtId="0" fontId="170" fillId="105" borderId="142" xfId="0" applyFont="1" applyFill="1" applyBorder="1" applyAlignment="1">
      <alignment horizontal="center" vertical="center"/>
    </xf>
    <xf numFmtId="175" fontId="8" fillId="0" borderId="21" xfId="1148" applyNumberFormat="1" applyFont="1" applyBorder="1" applyAlignment="1">
      <alignment horizontal="center"/>
    </xf>
    <xf numFmtId="1" fontId="8" fillId="0" borderId="21" xfId="1148" applyNumberFormat="1" applyFont="1" applyBorder="1" applyAlignment="1">
      <alignment horizontal="center"/>
    </xf>
    <xf numFmtId="3" fontId="6" fillId="12" borderId="21" xfId="1565" applyNumberFormat="1" applyFont="1" applyFill="1" applyBorder="1" applyAlignment="1">
      <alignment horizontal="center"/>
      <protection/>
    </xf>
    <xf numFmtId="3" fontId="6" fillId="12" borderId="21" xfId="1098" applyNumberFormat="1" applyFont="1" applyFill="1" applyBorder="1" applyAlignment="1">
      <alignment horizontal="center"/>
    </xf>
    <xf numFmtId="3" fontId="6" fillId="12" borderId="21" xfId="1164" applyNumberFormat="1" applyFont="1" applyFill="1" applyBorder="1" applyAlignment="1">
      <alignment horizontal="center"/>
    </xf>
    <xf numFmtId="0" fontId="6" fillId="0" borderId="0" xfId="1566" applyFont="1" applyBorder="1" applyAlignment="1">
      <alignment horizontal="right"/>
      <protection/>
    </xf>
    <xf numFmtId="0" fontId="6" fillId="0" borderId="0" xfId="1566" applyFont="1" applyBorder="1" applyAlignment="1">
      <alignment horizontal="center"/>
      <protection/>
    </xf>
    <xf numFmtId="1" fontId="6" fillId="0" borderId="0" xfId="1566" applyNumberFormat="1" applyFont="1" applyBorder="1" applyAlignment="1">
      <alignment horizontal="center"/>
      <protection/>
    </xf>
    <xf numFmtId="0" fontId="6" fillId="0" borderId="0" xfId="1566" applyFont="1" applyBorder="1">
      <alignment/>
      <protection/>
    </xf>
    <xf numFmtId="0" fontId="8" fillId="0" borderId="21" xfId="1555" applyFont="1" applyBorder="1" applyAlignment="1">
      <alignment horizontal="center" vertical="center"/>
      <protection/>
    </xf>
    <xf numFmtId="3" fontId="34" fillId="102" borderId="21" xfId="0" applyNumberFormat="1" applyFont="1" applyFill="1" applyBorder="1" applyAlignment="1">
      <alignment/>
    </xf>
    <xf numFmtId="3" fontId="114" fillId="102" borderId="21" xfId="0" applyNumberFormat="1" applyFont="1" applyFill="1" applyBorder="1" applyAlignment="1">
      <alignment/>
    </xf>
    <xf numFmtId="3" fontId="114" fillId="102" borderId="21" xfId="0" applyNumberFormat="1" applyFont="1" applyFill="1" applyBorder="1" applyAlignment="1">
      <alignment horizontal="center"/>
    </xf>
    <xf numFmtId="3" fontId="34" fillId="102" borderId="21" xfId="0" applyNumberFormat="1" applyFont="1" applyFill="1" applyBorder="1" applyAlignment="1">
      <alignment horizontal="center"/>
    </xf>
    <xf numFmtId="3" fontId="171" fillId="102" borderId="21" xfId="0" applyNumberFormat="1" applyFont="1" applyFill="1" applyBorder="1" applyAlignment="1">
      <alignment/>
    </xf>
    <xf numFmtId="3" fontId="171" fillId="102" borderId="21" xfId="0" applyNumberFormat="1" applyFont="1" applyFill="1" applyBorder="1" applyAlignment="1">
      <alignment horizontal="center"/>
    </xf>
    <xf numFmtId="3" fontId="167" fillId="0" borderId="21" xfId="0" applyNumberFormat="1" applyFont="1" applyBorder="1" applyAlignment="1">
      <alignment/>
    </xf>
    <xf numFmtId="0" fontId="8" fillId="0" borderId="21" xfId="1566" applyFont="1" applyBorder="1" applyAlignment="1">
      <alignment horizontal="left" vertical="center" wrapText="1" indent="2"/>
      <protection/>
    </xf>
    <xf numFmtId="3" fontId="6" fillId="102" borderId="21" xfId="1565" applyNumberFormat="1" applyFont="1" applyFill="1" applyBorder="1" applyAlignment="1">
      <alignment horizontal="center" vertical="center"/>
      <protection/>
    </xf>
    <xf numFmtId="3" fontId="6" fillId="102" borderId="21" xfId="0" applyNumberFormat="1" applyFont="1" applyFill="1" applyBorder="1" applyAlignment="1">
      <alignment horizontal="center" vertical="center"/>
    </xf>
    <xf numFmtId="3" fontId="8" fillId="0" borderId="21" xfId="1565" applyNumberFormat="1" applyFont="1" applyBorder="1" applyAlignment="1">
      <alignment horizontal="center" vertical="center"/>
      <protection/>
    </xf>
    <xf numFmtId="3" fontId="6" fillId="0" borderId="0" xfId="1565" applyNumberFormat="1" applyFont="1" applyAlignment="1">
      <alignment horizontal="center" vertical="center"/>
      <protection/>
    </xf>
    <xf numFmtId="3" fontId="6" fillId="0" borderId="21" xfId="1565" applyNumberFormat="1" applyFont="1" applyBorder="1" applyAlignment="1">
      <alignment horizontal="center" vertical="center"/>
      <protection/>
    </xf>
    <xf numFmtId="1" fontId="6" fillId="0" borderId="21" xfId="1565" applyNumberFormat="1" applyFont="1" applyBorder="1" applyAlignment="1">
      <alignment horizontal="center" vertical="center"/>
      <protection/>
    </xf>
    <xf numFmtId="0" fontId="168" fillId="0" borderId="0" xfId="1565" applyFont="1">
      <alignment/>
      <protection/>
    </xf>
    <xf numFmtId="10" fontId="6" fillId="0" borderId="21" xfId="1565" applyNumberFormat="1" applyFont="1" applyBorder="1" applyAlignment="1">
      <alignment horizontal="center" vertical="center" wrapText="1"/>
      <protection/>
    </xf>
    <xf numFmtId="171" fontId="6" fillId="0" borderId="126" xfId="1565" applyNumberFormat="1" applyFont="1" applyBorder="1" applyAlignment="1">
      <alignment horizontal="center" vertical="center" wrapText="1"/>
      <protection/>
    </xf>
    <xf numFmtId="3" fontId="166" fillId="0" borderId="0" xfId="1565" applyNumberFormat="1" applyFont="1" applyAlignment="1">
      <alignment horizontal="center" vertical="center"/>
      <protection/>
    </xf>
    <xf numFmtId="2" fontId="6" fillId="0" borderId="54" xfId="0" applyNumberFormat="1" applyFont="1" applyFill="1" applyBorder="1" applyAlignment="1" applyProtection="1">
      <alignment/>
      <protection locked="0"/>
    </xf>
    <xf numFmtId="3" fontId="0" fillId="0" borderId="0" xfId="1565" applyNumberFormat="1">
      <alignment/>
      <protection/>
    </xf>
    <xf numFmtId="3" fontId="6" fillId="0" borderId="0" xfId="1566" applyNumberFormat="1" applyFont="1">
      <alignment/>
      <protection/>
    </xf>
    <xf numFmtId="49" fontId="6" fillId="0" borderId="125" xfId="1565" applyNumberFormat="1" applyFont="1" applyFill="1" applyBorder="1" applyAlignment="1">
      <alignment horizontal="center" vertical="center" wrapText="1"/>
      <protection/>
    </xf>
    <xf numFmtId="1" fontId="6" fillId="0" borderId="0" xfId="0" applyNumberFormat="1" applyFont="1" applyAlignment="1">
      <alignment horizontal="center"/>
    </xf>
    <xf numFmtId="1" fontId="6" fillId="0" borderId="0" xfId="1087" applyNumberFormat="1" applyFont="1" applyBorder="1" applyAlignment="1">
      <alignment horizontal="center"/>
    </xf>
    <xf numFmtId="1" fontId="8" fillId="0" borderId="21" xfId="1555" applyNumberFormat="1" applyFont="1" applyBorder="1" applyAlignment="1">
      <alignment horizontal="center" vertical="center"/>
      <protection/>
    </xf>
    <xf numFmtId="17" fontId="6" fillId="0" borderId="144" xfId="1566" applyNumberFormat="1" applyFont="1" applyBorder="1" applyAlignment="1">
      <alignment horizontal="left"/>
      <protection/>
    </xf>
    <xf numFmtId="1" fontId="8" fillId="0" borderId="21" xfId="1087" applyNumberFormat="1" applyFont="1" applyBorder="1" applyAlignment="1">
      <alignment horizontal="center"/>
    </xf>
    <xf numFmtId="17" fontId="6" fillId="0" borderId="187" xfId="1566" applyNumberFormat="1" applyFont="1" applyBorder="1" applyAlignment="1">
      <alignment horizontal="left"/>
      <protection/>
    </xf>
    <xf numFmtId="3" fontId="34" fillId="115" borderId="21" xfId="0" applyNumberFormat="1" applyFont="1" applyFill="1" applyBorder="1" applyAlignment="1">
      <alignment horizontal="center"/>
    </xf>
    <xf numFmtId="3" fontId="114" fillId="115" borderId="21" xfId="0" applyNumberFormat="1" applyFont="1" applyFill="1" applyBorder="1" applyAlignment="1">
      <alignment horizontal="center"/>
    </xf>
    <xf numFmtId="3" fontId="171" fillId="115" borderId="21" xfId="0" applyNumberFormat="1" applyFont="1" applyFill="1" applyBorder="1" applyAlignment="1">
      <alignment horizontal="center"/>
    </xf>
    <xf numFmtId="3" fontId="6" fillId="115" borderId="21" xfId="1087" applyNumberFormat="1" applyFont="1" applyFill="1" applyBorder="1" applyAlignment="1">
      <alignment horizontal="center"/>
    </xf>
    <xf numFmtId="3" fontId="8" fillId="115" borderId="21" xfId="1087" applyNumberFormat="1" applyFont="1" applyFill="1" applyBorder="1" applyAlignment="1">
      <alignment horizontal="center"/>
    </xf>
    <xf numFmtId="3" fontId="172" fillId="102" borderId="21" xfId="1565" applyNumberFormat="1" applyFont="1" applyFill="1" applyBorder="1" applyAlignment="1">
      <alignment horizontal="center" vertical="center"/>
      <protection/>
    </xf>
    <xf numFmtId="3" fontId="173" fillId="0" borderId="21" xfId="0" applyNumberFormat="1" applyFont="1" applyBorder="1" applyAlignment="1">
      <alignment horizontal="center"/>
    </xf>
    <xf numFmtId="0" fontId="6" fillId="0" borderId="0" xfId="0" applyFont="1" applyAlignment="1">
      <alignment horizontal="left"/>
    </xf>
    <xf numFmtId="0" fontId="170" fillId="105" borderId="142" xfId="0" applyFont="1" applyFill="1" applyBorder="1" applyAlignment="1">
      <alignment horizontal="left" vertical="center"/>
    </xf>
    <xf numFmtId="0" fontId="0" fillId="0" borderId="0" xfId="0" applyAlignment="1">
      <alignment horizontal="left"/>
    </xf>
    <xf numFmtId="0" fontId="6" fillId="0" borderId="21" xfId="0" applyFont="1" applyBorder="1" applyAlignment="1">
      <alignment horizontal="left"/>
    </xf>
    <xf numFmtId="0" fontId="0" fillId="0" borderId="0" xfId="1565" applyAlignment="1">
      <alignment horizontal="left"/>
      <protection/>
    </xf>
    <xf numFmtId="0" fontId="8" fillId="0" borderId="21" xfId="1565" applyFont="1" applyBorder="1" applyAlignment="1">
      <alignment horizontal="left"/>
      <protection/>
    </xf>
    <xf numFmtId="0" fontId="8" fillId="0" borderId="21" xfId="0" applyFont="1" applyBorder="1" applyAlignment="1">
      <alignment/>
    </xf>
    <xf numFmtId="3" fontId="6" fillId="0" borderId="21" xfId="0" applyNumberFormat="1" applyFont="1" applyBorder="1" applyAlignment="1">
      <alignment horizontal="center"/>
    </xf>
    <xf numFmtId="0" fontId="6" fillId="0" borderId="0" xfId="0" applyFont="1" applyAlignment="1">
      <alignment horizontal="center" vertical="center"/>
    </xf>
    <xf numFmtId="1" fontId="6" fillId="0" borderId="0" xfId="0" applyNumberFormat="1" applyFont="1" applyAlignment="1">
      <alignment horizontal="center" vertical="center"/>
    </xf>
    <xf numFmtId="1" fontId="166" fillId="0" borderId="0" xfId="0" applyNumberFormat="1" applyFont="1" applyAlignment="1">
      <alignment horizontal="center" vertical="center"/>
    </xf>
    <xf numFmtId="1" fontId="8" fillId="0" borderId="0" xfId="0" applyNumberFormat="1" applyFont="1" applyAlignment="1">
      <alignment horizontal="center" vertical="center"/>
    </xf>
    <xf numFmtId="175" fontId="6" fillId="0" borderId="0" xfId="0" applyNumberFormat="1" applyFont="1" applyAlignment="1">
      <alignment/>
    </xf>
    <xf numFmtId="1" fontId="6" fillId="102" borderId="21" xfId="1565" applyNumberFormat="1" applyFont="1" applyFill="1" applyBorder="1" applyAlignment="1">
      <alignment horizontal="center"/>
      <protection/>
    </xf>
    <xf numFmtId="1" fontId="6" fillId="102" borderId="21" xfId="1098" applyNumberFormat="1" applyFont="1" applyFill="1" applyBorder="1" applyAlignment="1">
      <alignment horizontal="center"/>
    </xf>
    <xf numFmtId="10" fontId="6" fillId="0" borderId="21" xfId="1954" applyNumberFormat="1" applyFont="1" applyFill="1" applyBorder="1" applyAlignment="1">
      <alignment horizontal="center" vertical="center" wrapText="1"/>
    </xf>
    <xf numFmtId="10" fontId="35" fillId="0" borderId="21" xfId="1954" applyNumberFormat="1" applyFont="1" applyFill="1" applyBorder="1" applyAlignment="1">
      <alignment horizontal="center" vertical="center" wrapText="1"/>
    </xf>
    <xf numFmtId="10" fontId="49" fillId="0" borderId="21" xfId="1954" applyNumberFormat="1" applyFont="1" applyFill="1" applyBorder="1" applyAlignment="1">
      <alignment horizontal="center" vertical="center" wrapText="1"/>
    </xf>
    <xf numFmtId="10" fontId="35" fillId="0" borderId="126" xfId="1954" applyNumberFormat="1" applyFont="1" applyFill="1" applyBorder="1" applyAlignment="1">
      <alignment horizontal="center" vertical="center" wrapText="1"/>
    </xf>
    <xf numFmtId="10" fontId="49" fillId="0" borderId="126" xfId="1954" applyNumberFormat="1" applyFont="1" applyFill="1" applyBorder="1" applyAlignment="1">
      <alignment horizontal="center" vertical="center" wrapText="1"/>
    </xf>
    <xf numFmtId="4" fontId="6" fillId="111" borderId="72" xfId="1798" applyNumberFormat="1" applyFont="1" applyFill="1" applyBorder="1" applyAlignment="1" applyProtection="1">
      <alignment horizontal="right"/>
      <protection locked="0"/>
    </xf>
    <xf numFmtId="3" fontId="6" fillId="111" borderId="21" xfId="1087" applyNumberFormat="1" applyFont="1" applyFill="1" applyBorder="1" applyAlignment="1">
      <alignment horizontal="center"/>
    </xf>
    <xf numFmtId="2" fontId="19" fillId="3" borderId="54" xfId="0" applyNumberFormat="1" applyFont="1" applyFill="1" applyBorder="1" applyAlignment="1" applyProtection="1">
      <alignment/>
      <protection locked="0"/>
    </xf>
    <xf numFmtId="2" fontId="14" fillId="43" borderId="54" xfId="0" applyNumberFormat="1" applyFont="1" applyFill="1" applyBorder="1" applyAlignment="1" applyProtection="1">
      <alignment/>
      <protection locked="0"/>
    </xf>
    <xf numFmtId="2" fontId="19" fillId="110" borderId="54" xfId="0" applyNumberFormat="1" applyFont="1" applyFill="1" applyBorder="1" applyAlignment="1" applyProtection="1">
      <alignment/>
      <protection locked="0"/>
    </xf>
    <xf numFmtId="0" fontId="29" fillId="105" borderId="188" xfId="0" applyFont="1" applyFill="1" applyBorder="1" applyAlignment="1" applyProtection="1">
      <alignment horizontal="left" vertical="center" wrapText="1"/>
      <protection locked="0"/>
    </xf>
    <xf numFmtId="0" fontId="29" fillId="105" borderId="189" xfId="0" applyFont="1" applyFill="1" applyBorder="1" applyAlignment="1" applyProtection="1">
      <alignment horizontal="left" vertical="center" wrapText="1"/>
      <protection locked="0"/>
    </xf>
    <xf numFmtId="0" fontId="29" fillId="105" borderId="132" xfId="0" applyFont="1" applyFill="1" applyBorder="1" applyAlignment="1" applyProtection="1">
      <alignment horizontal="center" vertical="center"/>
      <protection/>
    </xf>
    <xf numFmtId="0" fontId="29" fillId="105" borderId="133" xfId="0" applyFont="1" applyFill="1" applyBorder="1" applyAlignment="1" applyProtection="1">
      <alignment horizontal="center" vertical="center"/>
      <protection/>
    </xf>
    <xf numFmtId="0" fontId="29" fillId="105" borderId="142" xfId="0" applyFont="1" applyFill="1" applyBorder="1" applyAlignment="1" applyProtection="1">
      <alignment horizontal="left" vertical="center"/>
      <protection/>
    </xf>
    <xf numFmtId="0" fontId="29" fillId="105" borderId="143" xfId="0" applyFont="1" applyFill="1" applyBorder="1" applyAlignment="1" applyProtection="1">
      <alignment horizontal="left" vertical="center"/>
      <protection/>
    </xf>
    <xf numFmtId="0" fontId="29" fillId="105" borderId="190" xfId="0" applyFont="1" applyFill="1" applyBorder="1" applyAlignment="1" applyProtection="1">
      <alignment horizontal="left" vertical="center"/>
      <protection/>
    </xf>
    <xf numFmtId="0" fontId="29" fillId="105" borderId="191" xfId="0" applyFont="1" applyFill="1" applyBorder="1" applyAlignment="1" applyProtection="1">
      <alignment horizontal="left" vertical="center"/>
      <protection/>
    </xf>
    <xf numFmtId="49" fontId="6" fillId="12" borderId="144" xfId="1565" applyNumberFormat="1" applyFont="1" applyFill="1" applyBorder="1" applyAlignment="1">
      <alignment horizontal="left" wrapText="1"/>
      <protection/>
    </xf>
    <xf numFmtId="49" fontId="6" fillId="12" borderId="145" xfId="1565" applyNumberFormat="1" applyFont="1" applyFill="1" applyBorder="1" applyAlignment="1">
      <alignment horizontal="left" wrapText="1"/>
      <protection/>
    </xf>
    <xf numFmtId="0" fontId="5" fillId="3" borderId="192" xfId="0" applyFont="1" applyFill="1" applyBorder="1" applyAlignment="1" applyProtection="1">
      <alignment horizontal="center" vertical="center" wrapText="1"/>
      <protection/>
    </xf>
    <xf numFmtId="0" fontId="5" fillId="3" borderId="193" xfId="0" applyFont="1" applyFill="1" applyBorder="1" applyAlignment="1" applyProtection="1">
      <alignment horizontal="center" vertical="center" wrapText="1"/>
      <protection/>
    </xf>
    <xf numFmtId="0" fontId="5" fillId="3" borderId="194" xfId="0" applyFont="1" applyFill="1" applyBorder="1" applyAlignment="1" applyProtection="1">
      <alignment horizontal="center" vertical="center" wrapText="1"/>
      <protection/>
    </xf>
    <xf numFmtId="0" fontId="5" fillId="3" borderId="195" xfId="0" applyFont="1" applyFill="1" applyBorder="1" applyAlignment="1" applyProtection="1">
      <alignment horizontal="center" vertical="center" wrapText="1"/>
      <protection/>
    </xf>
    <xf numFmtId="0" fontId="5" fillId="3" borderId="196" xfId="0" applyFont="1" applyFill="1" applyBorder="1" applyAlignment="1" applyProtection="1">
      <alignment horizontal="center" vertical="center" wrapText="1"/>
      <protection/>
    </xf>
    <xf numFmtId="0" fontId="5" fillId="3" borderId="197" xfId="0" applyFont="1" applyFill="1" applyBorder="1" applyAlignment="1" applyProtection="1">
      <alignment horizontal="center" vertical="center" wrapText="1"/>
      <protection/>
    </xf>
    <xf numFmtId="49" fontId="5" fillId="3" borderId="193" xfId="0" applyNumberFormat="1" applyFont="1" applyFill="1" applyBorder="1" applyAlignment="1" applyProtection="1">
      <alignment horizontal="center" vertical="center" wrapText="1"/>
      <protection/>
    </xf>
    <xf numFmtId="0" fontId="29" fillId="105" borderId="188" xfId="0" applyFont="1" applyFill="1" applyBorder="1" applyAlignment="1" applyProtection="1">
      <alignment horizontal="center" vertical="center" wrapText="1"/>
      <protection locked="0"/>
    </xf>
    <xf numFmtId="0" fontId="29" fillId="105" borderId="189" xfId="0" applyFont="1" applyFill="1" applyBorder="1" applyAlignment="1" applyProtection="1">
      <alignment horizontal="center" vertical="center" wrapText="1"/>
      <protection locked="0"/>
    </xf>
    <xf numFmtId="0" fontId="29" fillId="105" borderId="198" xfId="0" applyFont="1" applyFill="1" applyBorder="1" applyAlignment="1" applyProtection="1">
      <alignment horizontal="center" vertical="center" wrapText="1"/>
      <protection locked="0"/>
    </xf>
    <xf numFmtId="0" fontId="28" fillId="105" borderId="199" xfId="0" applyFont="1" applyFill="1" applyBorder="1" applyAlignment="1" applyProtection="1">
      <alignment horizontal="center" vertical="center" wrapText="1"/>
      <protection locked="0"/>
    </xf>
    <xf numFmtId="0" fontId="28" fillId="105" borderId="200" xfId="0" applyFont="1" applyFill="1" applyBorder="1" applyAlignment="1" applyProtection="1">
      <alignment horizontal="center" vertical="center" wrapText="1"/>
      <protection locked="0"/>
    </xf>
    <xf numFmtId="0" fontId="30" fillId="105" borderId="201" xfId="0" applyFont="1" applyFill="1" applyBorder="1" applyAlignment="1" applyProtection="1">
      <alignment horizontal="center" vertical="center" textRotation="90" wrapText="1"/>
      <protection/>
    </xf>
    <xf numFmtId="0" fontId="30" fillId="105" borderId="181" xfId="0" applyFont="1" applyFill="1" applyBorder="1" applyAlignment="1" applyProtection="1">
      <alignment horizontal="center" vertical="center" textRotation="90" wrapText="1"/>
      <protection/>
    </xf>
    <xf numFmtId="0" fontId="30" fillId="105" borderId="202" xfId="0" applyFont="1" applyFill="1" applyBorder="1" applyAlignment="1" applyProtection="1">
      <alignment horizontal="center" vertical="center" textRotation="90" wrapText="1"/>
      <protection/>
    </xf>
    <xf numFmtId="0" fontId="5" fillId="3" borderId="88" xfId="0" applyFont="1" applyFill="1" applyBorder="1" applyAlignment="1" applyProtection="1">
      <alignment horizontal="center" wrapText="1"/>
      <protection/>
    </xf>
    <xf numFmtId="0" fontId="5" fillId="3" borderId="92" xfId="0" applyFont="1" applyFill="1" applyBorder="1" applyAlignment="1" applyProtection="1">
      <alignment horizontal="center" wrapText="1"/>
      <protection/>
    </xf>
    <xf numFmtId="0" fontId="29" fillId="105" borderId="132" xfId="0" applyFont="1" applyFill="1" applyBorder="1" applyAlignment="1" applyProtection="1">
      <alignment horizontal="left" vertical="center" indent="3"/>
      <protection/>
    </xf>
    <xf numFmtId="0" fontId="29" fillId="105" borderId="133" xfId="0" applyFont="1" applyFill="1" applyBorder="1" applyAlignment="1" applyProtection="1">
      <alignment horizontal="left" vertical="center" indent="3"/>
      <protection/>
    </xf>
    <xf numFmtId="0" fontId="5" fillId="3" borderId="86" xfId="0" applyFont="1" applyFill="1" applyBorder="1" applyAlignment="1" applyProtection="1">
      <alignment horizontal="center" wrapText="1"/>
      <protection/>
    </xf>
    <xf numFmtId="0" fontId="5" fillId="3" borderId="90" xfId="0" applyFont="1" applyFill="1" applyBorder="1" applyAlignment="1" applyProtection="1">
      <alignment horizontal="center" wrapText="1"/>
      <protection/>
    </xf>
    <xf numFmtId="0" fontId="29" fillId="105" borderId="58" xfId="0" applyFont="1" applyFill="1" applyBorder="1" applyAlignment="1" applyProtection="1">
      <alignment horizontal="center" vertical="center"/>
      <protection/>
    </xf>
    <xf numFmtId="0" fontId="29" fillId="105" borderId="68" xfId="0" applyFont="1" applyFill="1" applyBorder="1" applyAlignment="1" applyProtection="1">
      <alignment horizontal="center" vertical="center"/>
      <protection/>
    </xf>
    <xf numFmtId="0" fontId="29" fillId="105" borderId="69" xfId="0" applyFont="1" applyFill="1" applyBorder="1" applyAlignment="1" applyProtection="1">
      <alignment horizontal="center" vertical="center"/>
      <protection/>
    </xf>
    <xf numFmtId="0" fontId="29" fillId="105" borderId="203" xfId="0" applyFont="1" applyFill="1" applyBorder="1" applyAlignment="1" applyProtection="1">
      <alignment horizontal="center" vertical="center"/>
      <protection/>
    </xf>
    <xf numFmtId="0" fontId="10" fillId="0" borderId="204" xfId="0" applyFont="1" applyFill="1" applyBorder="1" applyAlignment="1" applyProtection="1">
      <alignment horizontal="left" wrapText="1"/>
      <protection/>
    </xf>
    <xf numFmtId="0" fontId="10" fillId="0" borderId="62" xfId="0" applyFont="1" applyFill="1" applyBorder="1" applyAlignment="1" applyProtection="1">
      <alignment horizontal="left" wrapText="1"/>
      <protection/>
    </xf>
    <xf numFmtId="0" fontId="10" fillId="0" borderId="181"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0" fontId="29" fillId="105" borderId="205" xfId="0" applyFont="1" applyFill="1" applyBorder="1" applyAlignment="1" applyProtection="1">
      <alignment horizontal="center" vertical="center"/>
      <protection/>
    </xf>
    <xf numFmtId="0" fontId="29" fillId="105" borderId="206" xfId="0" applyFont="1" applyFill="1" applyBorder="1" applyAlignment="1" applyProtection="1">
      <alignment horizontal="center" vertical="center"/>
      <protection/>
    </xf>
    <xf numFmtId="0" fontId="29" fillId="105" borderId="207" xfId="0" applyFont="1" applyFill="1" applyBorder="1" applyAlignment="1" applyProtection="1">
      <alignment horizontal="center" vertical="center"/>
      <protection/>
    </xf>
    <xf numFmtId="0" fontId="10" fillId="3" borderId="208" xfId="0" applyFont="1" applyFill="1" applyBorder="1" applyAlignment="1" applyProtection="1">
      <alignment horizontal="center" vertical="center" wrapText="1"/>
      <protection/>
    </xf>
    <xf numFmtId="0" fontId="10" fillId="3" borderId="209" xfId="0" applyFont="1" applyFill="1" applyBorder="1" applyAlignment="1" applyProtection="1">
      <alignment horizontal="center" vertical="center" wrapText="1"/>
      <protection/>
    </xf>
    <xf numFmtId="0" fontId="8" fillId="3" borderId="210" xfId="0" applyFont="1" applyFill="1" applyBorder="1" applyAlignment="1" applyProtection="1">
      <alignment horizontal="center" vertical="center"/>
      <protection/>
    </xf>
    <xf numFmtId="0" fontId="8" fillId="3" borderId="100" xfId="0" applyFont="1" applyFill="1" applyBorder="1" applyAlignment="1" applyProtection="1">
      <alignment horizontal="center" vertical="center"/>
      <protection/>
    </xf>
    <xf numFmtId="0" fontId="8" fillId="3" borderId="211" xfId="0" applyFont="1" applyFill="1" applyBorder="1" applyAlignment="1" applyProtection="1">
      <alignment horizontal="center" vertical="center"/>
      <protection/>
    </xf>
    <xf numFmtId="0" fontId="8" fillId="3" borderId="212" xfId="0" applyFont="1" applyFill="1" applyBorder="1" applyAlignment="1" applyProtection="1">
      <alignment horizontal="center" vertical="center"/>
      <protection/>
    </xf>
    <xf numFmtId="0" fontId="29" fillId="105" borderId="213" xfId="0" applyFont="1" applyFill="1" applyBorder="1" applyAlignment="1" applyProtection="1">
      <alignment horizontal="left" vertical="center"/>
      <protection/>
    </xf>
    <xf numFmtId="0" fontId="29" fillId="105" borderId="214" xfId="0" applyFont="1" applyFill="1" applyBorder="1" applyAlignment="1" applyProtection="1">
      <alignment horizontal="left" vertical="center"/>
      <protection/>
    </xf>
    <xf numFmtId="0" fontId="29" fillId="105" borderId="129" xfId="0" applyFont="1" applyFill="1" applyBorder="1" applyAlignment="1" applyProtection="1">
      <alignment horizontal="center" vertical="center" wrapText="1"/>
      <protection locked="0"/>
    </xf>
    <xf numFmtId="0" fontId="29" fillId="105" borderId="130" xfId="0" applyFont="1" applyFill="1" applyBorder="1" applyAlignment="1" applyProtection="1">
      <alignment horizontal="center" vertical="center" wrapText="1"/>
      <protection locked="0"/>
    </xf>
    <xf numFmtId="0" fontId="29" fillId="105" borderId="131" xfId="0" applyFont="1" applyFill="1" applyBorder="1" applyAlignment="1" applyProtection="1">
      <alignment horizontal="center" vertical="center" wrapText="1"/>
      <protection locked="0"/>
    </xf>
    <xf numFmtId="0" fontId="29" fillId="105" borderId="190" xfId="0" applyFont="1" applyFill="1" applyBorder="1" applyAlignment="1" applyProtection="1">
      <alignment horizontal="center" vertical="center" wrapText="1"/>
      <protection locked="0"/>
    </xf>
    <xf numFmtId="0" fontId="29" fillId="105" borderId="215" xfId="0" applyFont="1" applyFill="1" applyBorder="1" applyAlignment="1" applyProtection="1">
      <alignment horizontal="center" vertical="center" wrapText="1"/>
      <protection locked="0"/>
    </xf>
    <xf numFmtId="0" fontId="29" fillId="105" borderId="191" xfId="0" applyFont="1" applyFill="1" applyBorder="1" applyAlignment="1" applyProtection="1">
      <alignment horizontal="center" vertical="center" wrapText="1"/>
      <protection locked="0"/>
    </xf>
    <xf numFmtId="0" fontId="110" fillId="0" borderId="21" xfId="1565" applyFont="1" applyBorder="1" applyAlignment="1">
      <alignment horizontal="center" vertical="center" wrapText="1"/>
      <protection/>
    </xf>
    <xf numFmtId="0" fontId="58" fillId="3" borderId="125" xfId="1565" applyFont="1" applyFill="1" applyBorder="1" applyAlignment="1">
      <alignment horizontal="left" vertical="center"/>
      <protection/>
    </xf>
    <xf numFmtId="0" fontId="58" fillId="3" borderId="21" xfId="1565" applyFont="1" applyFill="1" applyBorder="1" applyAlignment="1">
      <alignment horizontal="left" vertical="center"/>
      <protection/>
    </xf>
    <xf numFmtId="0" fontId="58" fillId="3" borderId="126" xfId="1565" applyFont="1" applyFill="1" applyBorder="1" applyAlignment="1">
      <alignment horizontal="left" vertical="center"/>
      <protection/>
    </xf>
    <xf numFmtId="49" fontId="29" fillId="105" borderId="190" xfId="0" applyNumberFormat="1" applyFont="1" applyFill="1" applyBorder="1" applyAlignment="1" applyProtection="1">
      <alignment horizontal="center" vertical="center" wrapText="1"/>
      <protection locked="0"/>
    </xf>
    <xf numFmtId="49" fontId="29" fillId="105" borderId="215" xfId="0" applyNumberFormat="1" applyFont="1" applyFill="1" applyBorder="1" applyAlignment="1" applyProtection="1">
      <alignment horizontal="center" vertical="center" wrapText="1"/>
      <protection locked="0"/>
    </xf>
    <xf numFmtId="49" fontId="29" fillId="105" borderId="191" xfId="0" applyNumberFormat="1" applyFont="1" applyFill="1" applyBorder="1" applyAlignment="1" applyProtection="1">
      <alignment horizontal="center" vertical="center" wrapText="1"/>
      <protection locked="0"/>
    </xf>
    <xf numFmtId="0" fontId="36" fillId="28" borderId="158" xfId="1733" applyFont="1" applyFill="1" applyBorder="1" applyAlignment="1">
      <alignment horizontal="center" vertical="top"/>
      <protection/>
    </xf>
    <xf numFmtId="0" fontId="36" fillId="28" borderId="159" xfId="1733" applyFont="1" applyFill="1" applyBorder="1" applyAlignment="1">
      <alignment horizontal="center" vertical="top"/>
      <protection/>
    </xf>
    <xf numFmtId="0" fontId="36" fillId="28" borderId="160" xfId="1733" applyFont="1" applyFill="1" applyBorder="1" applyAlignment="1">
      <alignment horizontal="center" vertical="top"/>
      <protection/>
    </xf>
    <xf numFmtId="0" fontId="36" fillId="3" borderId="162" xfId="1733" applyFont="1" applyFill="1" applyBorder="1" applyAlignment="1">
      <alignment horizontal="center" vertical="center"/>
      <protection/>
    </xf>
    <xf numFmtId="0" fontId="36" fillId="3" borderId="137" xfId="1733" applyFont="1" applyFill="1" applyBorder="1" applyAlignment="1">
      <alignment horizontal="center" vertical="center"/>
      <protection/>
    </xf>
    <xf numFmtId="0" fontId="36" fillId="3" borderId="138" xfId="1733" applyFont="1" applyFill="1" applyBorder="1" applyAlignment="1">
      <alignment horizontal="center" vertical="center"/>
      <protection/>
    </xf>
    <xf numFmtId="0" fontId="29" fillId="105" borderId="38" xfId="0" applyFont="1" applyFill="1" applyBorder="1" applyAlignment="1" applyProtection="1">
      <alignment horizontal="center" vertical="center" wrapText="1"/>
      <protection locked="0"/>
    </xf>
    <xf numFmtId="0" fontId="29" fillId="105" borderId="0" xfId="0" applyFont="1" applyFill="1" applyBorder="1" applyAlignment="1" applyProtection="1">
      <alignment horizontal="center" vertical="center" wrapText="1"/>
      <protection locked="0"/>
    </xf>
    <xf numFmtId="0" fontId="29" fillId="105" borderId="134" xfId="0" applyFont="1" applyFill="1" applyBorder="1" applyAlignment="1" applyProtection="1">
      <alignment horizontal="center" vertical="center" wrapText="1"/>
      <protection locked="0"/>
    </xf>
    <xf numFmtId="0" fontId="36" fillId="3" borderId="158" xfId="1733" applyFont="1" applyFill="1" applyBorder="1" applyAlignment="1">
      <alignment horizontal="center"/>
      <protection/>
    </xf>
    <xf numFmtId="0" fontId="36" fillId="3" borderId="159" xfId="1733" applyFont="1" applyFill="1" applyBorder="1" applyAlignment="1">
      <alignment horizontal="center"/>
      <protection/>
    </xf>
    <xf numFmtId="0" fontId="36" fillId="3" borderId="160" xfId="1733" applyFont="1" applyFill="1" applyBorder="1" applyAlignment="1">
      <alignment horizontal="center"/>
      <protection/>
    </xf>
    <xf numFmtId="178" fontId="6" fillId="12" borderId="38" xfId="1117" applyNumberFormat="1" applyFont="1" applyFill="1" applyBorder="1" applyAlignment="1">
      <alignment horizontal="center"/>
    </xf>
    <xf numFmtId="178" fontId="6" fillId="12" borderId="0" xfId="1117" applyNumberFormat="1" applyFont="1" applyFill="1" applyBorder="1" applyAlignment="1">
      <alignment horizontal="center"/>
    </xf>
    <xf numFmtId="178" fontId="6" fillId="12" borderId="136" xfId="1117" applyNumberFormat="1" applyFont="1" applyFill="1" applyBorder="1" applyAlignment="1">
      <alignment horizontal="center"/>
    </xf>
    <xf numFmtId="0" fontId="29" fillId="105" borderId="216" xfId="0" applyFont="1" applyFill="1" applyBorder="1" applyAlignment="1" applyProtection="1">
      <alignment horizontal="center" vertical="center" wrapText="1"/>
      <protection locked="0"/>
    </xf>
    <xf numFmtId="0" fontId="29" fillId="105" borderId="217" xfId="0" applyFont="1" applyFill="1" applyBorder="1" applyAlignment="1" applyProtection="1">
      <alignment horizontal="center" vertical="center" wrapText="1"/>
      <protection locked="0"/>
    </xf>
    <xf numFmtId="0" fontId="36" fillId="0" borderId="216" xfId="1733" applyFont="1" applyBorder="1" applyAlignment="1">
      <alignment horizontal="left" vertical="top" wrapText="1"/>
      <protection/>
    </xf>
    <xf numFmtId="0" fontId="36" fillId="0" borderId="217" xfId="1733" applyFont="1" applyBorder="1" applyAlignment="1">
      <alignment horizontal="left" vertical="top" wrapText="1"/>
      <protection/>
    </xf>
    <xf numFmtId="178" fontId="6" fillId="12" borderId="38" xfId="1117" applyNumberFormat="1" applyFont="1" applyFill="1" applyBorder="1" applyAlignment="1">
      <alignment horizontal="center" vertical="top"/>
    </xf>
    <xf numFmtId="178" fontId="6" fillId="12" borderId="0" xfId="1117" applyNumberFormat="1" applyFont="1" applyFill="1" applyBorder="1" applyAlignment="1">
      <alignment horizontal="center" vertical="top"/>
    </xf>
    <xf numFmtId="178" fontId="6" fillId="12" borderId="136" xfId="1117" applyNumberFormat="1" applyFont="1" applyFill="1" applyBorder="1" applyAlignment="1">
      <alignment horizontal="center" vertical="top"/>
    </xf>
    <xf numFmtId="0" fontId="29" fillId="105" borderId="155" xfId="0" applyFont="1" applyFill="1" applyBorder="1" applyAlignment="1" applyProtection="1">
      <alignment horizontal="center" vertical="center" wrapText="1"/>
      <protection locked="0"/>
    </xf>
    <xf numFmtId="0" fontId="29" fillId="105" borderId="156" xfId="0" applyFont="1" applyFill="1" applyBorder="1" applyAlignment="1" applyProtection="1">
      <alignment horizontal="center" vertical="center" wrapText="1"/>
      <protection locked="0"/>
    </xf>
    <xf numFmtId="0" fontId="29" fillId="105" borderId="181" xfId="0" applyFont="1" applyFill="1" applyBorder="1" applyAlignment="1" applyProtection="1">
      <alignment horizontal="center" vertical="center" wrapText="1"/>
      <protection locked="0"/>
    </xf>
    <xf numFmtId="0" fontId="8" fillId="111" borderId="21" xfId="1565" applyFont="1" applyFill="1" applyBorder="1" applyAlignment="1">
      <alignment horizontal="center" vertical="center"/>
      <protection/>
    </xf>
    <xf numFmtId="0" fontId="91" fillId="0" borderId="21" xfId="0" applyFont="1" applyFill="1" applyBorder="1" applyAlignment="1" applyProtection="1">
      <alignment horizontal="center" vertical="center" wrapText="1"/>
      <protection locked="0"/>
    </xf>
    <xf numFmtId="0" fontId="8" fillId="111" borderId="21" xfId="1565" applyFont="1" applyFill="1" applyBorder="1" applyAlignment="1">
      <alignment horizontal="center"/>
      <protection/>
    </xf>
    <xf numFmtId="0" fontId="29" fillId="105" borderId="181" xfId="0" applyFont="1" applyFill="1" applyBorder="1" applyAlignment="1" applyProtection="1">
      <alignment horizontal="center" vertical="center"/>
      <protection locked="0"/>
    </xf>
    <xf numFmtId="0" fontId="29" fillId="105" borderId="0" xfId="0" applyFont="1" applyFill="1" applyBorder="1" applyAlignment="1" applyProtection="1">
      <alignment horizontal="center" vertical="center"/>
      <protection locked="0"/>
    </xf>
    <xf numFmtId="0" fontId="29" fillId="105" borderId="218" xfId="0" applyFont="1" applyFill="1" applyBorder="1" applyAlignment="1" applyProtection="1">
      <alignment horizontal="center" vertical="center" wrapText="1"/>
      <protection locked="0"/>
    </xf>
    <xf numFmtId="0" fontId="8" fillId="3" borderId="129" xfId="0" applyFont="1" applyFill="1" applyBorder="1" applyAlignment="1" applyProtection="1">
      <alignment horizontal="center"/>
      <protection locked="0"/>
    </xf>
    <xf numFmtId="0" fontId="8" fillId="3" borderId="131" xfId="0" applyFont="1" applyFill="1" applyBorder="1" applyAlignment="1" applyProtection="1">
      <alignment horizontal="center"/>
      <protection locked="0"/>
    </xf>
    <xf numFmtId="0" fontId="8" fillId="3" borderId="145" xfId="0" applyFont="1" applyFill="1" applyBorder="1" applyAlignment="1" applyProtection="1">
      <alignment horizontal="center"/>
      <protection locked="0"/>
    </xf>
    <xf numFmtId="0" fontId="8" fillId="3" borderId="126" xfId="0" applyFont="1" applyFill="1" applyBorder="1" applyAlignment="1" applyProtection="1">
      <alignment horizontal="center"/>
      <protection locked="0"/>
    </xf>
    <xf numFmtId="0" fontId="29" fillId="105" borderId="158" xfId="0" applyFont="1" applyFill="1" applyBorder="1" applyAlignment="1" applyProtection="1">
      <alignment horizontal="center" vertical="center" wrapText="1"/>
      <protection locked="0"/>
    </xf>
    <xf numFmtId="0" fontId="29" fillId="105" borderId="159" xfId="0" applyFont="1" applyFill="1" applyBorder="1" applyAlignment="1" applyProtection="1">
      <alignment horizontal="center" vertical="center" wrapText="1"/>
      <protection locked="0"/>
    </xf>
    <xf numFmtId="0" fontId="29" fillId="105" borderId="160" xfId="0" applyFont="1" applyFill="1" applyBorder="1" applyAlignment="1" applyProtection="1">
      <alignment horizontal="center" vertical="center" wrapText="1"/>
      <protection locked="0"/>
    </xf>
    <xf numFmtId="0" fontId="60" fillId="0" borderId="0" xfId="1565" applyFont="1" applyBorder="1" applyAlignment="1">
      <alignment horizontal="left" vertical="center"/>
      <protection/>
    </xf>
    <xf numFmtId="0" fontId="29" fillId="105" borderId="21" xfId="0" applyFont="1" applyFill="1" applyBorder="1" applyAlignment="1" applyProtection="1">
      <alignment horizontal="center" vertical="center" wrapText="1"/>
      <protection locked="0"/>
    </xf>
    <xf numFmtId="0" fontId="53" fillId="0" borderId="0" xfId="1565" applyFont="1" applyBorder="1" applyAlignment="1">
      <alignment horizontal="center" vertical="center"/>
      <protection/>
    </xf>
  </cellXfs>
  <cellStyles count="2153">
    <cellStyle name="Normal" xfId="0"/>
    <cellStyle name="$" xfId="15"/>
    <cellStyle name="$ 2" xfId="16"/>
    <cellStyle name="$ 2 2" xfId="17"/>
    <cellStyle name="$ 3" xfId="18"/>
    <cellStyle name="$.00" xfId="19"/>
    <cellStyle name="$.00 2" xfId="20"/>
    <cellStyle name="$.00 2 2" xfId="21"/>
    <cellStyle name="$.00 3" xfId="22"/>
    <cellStyle name="$_9. Rev2Cost_GDPIPI" xfId="23"/>
    <cellStyle name="$_9. Rev2Cost_GDPIPI 2" xfId="24"/>
    <cellStyle name="$_9. Rev2Cost_GDPIPI 2 2" xfId="25"/>
    <cellStyle name="$_9. Rev2Cost_GDPIPI 3" xfId="26"/>
    <cellStyle name="$_lists" xfId="27"/>
    <cellStyle name="$_lists 2" xfId="28"/>
    <cellStyle name="$_lists 2 2" xfId="29"/>
    <cellStyle name="$_lists 3" xfId="30"/>
    <cellStyle name="$_lists_4. Current Monthly Fixed Charge" xfId="31"/>
    <cellStyle name="$_lists_4. Current Monthly Fixed Charge 2" xfId="32"/>
    <cellStyle name="$_lists_4. Current Monthly Fixed Charge 2 2" xfId="33"/>
    <cellStyle name="$_lists_4. Current Monthly Fixed Charge 3" xfId="34"/>
    <cellStyle name="$_Sheet4" xfId="35"/>
    <cellStyle name="$_Sheet4 2" xfId="36"/>
    <cellStyle name="$_Sheet4 2 2" xfId="37"/>
    <cellStyle name="$_Sheet4 3" xfId="38"/>
    <cellStyle name="$M" xfId="39"/>
    <cellStyle name="$M 2" xfId="40"/>
    <cellStyle name="$M 2 2" xfId="41"/>
    <cellStyle name="$M 2 3" xfId="42"/>
    <cellStyle name="$M 3" xfId="43"/>
    <cellStyle name="$M 3 2" xfId="44"/>
    <cellStyle name="$M.00" xfId="45"/>
    <cellStyle name="$M.00 2" xfId="46"/>
    <cellStyle name="$M.00 2 2" xfId="47"/>
    <cellStyle name="$M.00 3" xfId="48"/>
    <cellStyle name="$M_9. Rev2Cost_GDPIPI" xfId="49"/>
    <cellStyle name="20% - Accent1" xfId="50"/>
    <cellStyle name="20% - Accent1 10" xfId="51"/>
    <cellStyle name="20% - Accent1 11" xfId="52"/>
    <cellStyle name="20% - Accent1 12" xfId="53"/>
    <cellStyle name="20% - Accent1 13" xfId="54"/>
    <cellStyle name="20% - Accent1 14" xfId="55"/>
    <cellStyle name="20% - Accent1 15" xfId="56"/>
    <cellStyle name="20% - Accent1 2" xfId="57"/>
    <cellStyle name="20% - Accent1 2 10" xfId="58"/>
    <cellStyle name="20% - Accent1 2 11" xfId="59"/>
    <cellStyle name="20% - Accent1 2 2" xfId="60"/>
    <cellStyle name="20% - Accent1 2 2 2" xfId="61"/>
    <cellStyle name="20% - Accent1 2 3" xfId="62"/>
    <cellStyle name="20% - Accent1 2 3 2" xfId="63"/>
    <cellStyle name="20% - Accent1 2 3 2 2" xfId="64"/>
    <cellStyle name="20% - Accent1 2 3 2 2 2" xfId="65"/>
    <cellStyle name="20% - Accent1 2 3 2 2 3" xfId="66"/>
    <cellStyle name="20% - Accent1 2 3 2 3" xfId="67"/>
    <cellStyle name="20% - Accent1 2 3 2 4" xfId="68"/>
    <cellStyle name="20% - Accent1 2 3 3" xfId="69"/>
    <cellStyle name="20% - Accent1 2 3 3 2" xfId="70"/>
    <cellStyle name="20% - Accent1 2 3 3 3" xfId="71"/>
    <cellStyle name="20% - Accent1 2 3 4" xfId="72"/>
    <cellStyle name="20% - Accent1 2 3 5" xfId="73"/>
    <cellStyle name="20% - Accent1 2 4" xfId="74"/>
    <cellStyle name="20% - Accent1 2 4 2" xfId="75"/>
    <cellStyle name="20% - Accent1 2 4 2 2" xfId="76"/>
    <cellStyle name="20% - Accent1 2 4 2 3" xfId="77"/>
    <cellStyle name="20% - Accent1 2 4 3" xfId="78"/>
    <cellStyle name="20% - Accent1 2 4 3 2" xfId="79"/>
    <cellStyle name="20% - Accent1 2 4 3 3" xfId="80"/>
    <cellStyle name="20% - Accent1 2 4 4" xfId="81"/>
    <cellStyle name="20% - Accent1 2 4 5" xfId="82"/>
    <cellStyle name="20% - Accent1 2 5" xfId="83"/>
    <cellStyle name="20% - Accent1 2 5 2" xfId="84"/>
    <cellStyle name="20% - Accent1 2 5 2 2" xfId="85"/>
    <cellStyle name="20% - Accent1 2 5 2 3" xfId="86"/>
    <cellStyle name="20% - Accent1 2 5 3" xfId="87"/>
    <cellStyle name="20% - Accent1 2 5 4" xfId="88"/>
    <cellStyle name="20% - Accent1 2 6" xfId="89"/>
    <cellStyle name="20% - Accent1 2 6 2" xfId="90"/>
    <cellStyle name="20% - Accent1 2 6 3" xfId="91"/>
    <cellStyle name="20% - Accent1 2 7" xfId="92"/>
    <cellStyle name="20% - Accent1 2 8" xfId="93"/>
    <cellStyle name="20% - Accent1 2 9" xfId="94"/>
    <cellStyle name="20% - Accent1 3" xfId="95"/>
    <cellStyle name="20% - Accent1 3 2" xfId="96"/>
    <cellStyle name="20% - Accent1 3 3" xfId="97"/>
    <cellStyle name="20% - Accent1 4" xfId="98"/>
    <cellStyle name="20% - Accent1 4 2" xfId="99"/>
    <cellStyle name="20% - Accent1 5" xfId="100"/>
    <cellStyle name="20% - Accent1 6" xfId="101"/>
    <cellStyle name="20% - Accent1 7" xfId="102"/>
    <cellStyle name="20% - Accent1 8" xfId="103"/>
    <cellStyle name="20% - Accent1 9" xfId="104"/>
    <cellStyle name="20% - Accent2" xfId="105"/>
    <cellStyle name="20% - Accent2 10" xfId="106"/>
    <cellStyle name="20% - Accent2 11" xfId="107"/>
    <cellStyle name="20% - Accent2 12" xfId="108"/>
    <cellStyle name="20% - Accent2 13" xfId="109"/>
    <cellStyle name="20% - Accent2 14" xfId="110"/>
    <cellStyle name="20% - Accent2 15" xfId="111"/>
    <cellStyle name="20% - Accent2 2" xfId="112"/>
    <cellStyle name="20% - Accent2 2 10" xfId="113"/>
    <cellStyle name="20% - Accent2 2 2" xfId="114"/>
    <cellStyle name="20% - Accent2 2 2 2" xfId="115"/>
    <cellStyle name="20% - Accent2 2 3" xfId="116"/>
    <cellStyle name="20% - Accent2 2 3 2" xfId="117"/>
    <cellStyle name="20% - Accent2 2 3 2 2" xfId="118"/>
    <cellStyle name="20% - Accent2 2 3 2 2 2" xfId="119"/>
    <cellStyle name="20% - Accent2 2 3 2 2 3" xfId="120"/>
    <cellStyle name="20% - Accent2 2 3 2 3" xfId="121"/>
    <cellStyle name="20% - Accent2 2 3 2 4" xfId="122"/>
    <cellStyle name="20% - Accent2 2 3 3" xfId="123"/>
    <cellStyle name="20% - Accent2 2 3 3 2" xfId="124"/>
    <cellStyle name="20% - Accent2 2 3 3 3" xfId="125"/>
    <cellStyle name="20% - Accent2 2 3 4" xfId="126"/>
    <cellStyle name="20% - Accent2 2 3 5" xfId="127"/>
    <cellStyle name="20% - Accent2 2 4" xfId="128"/>
    <cellStyle name="20% - Accent2 2 4 2" xfId="129"/>
    <cellStyle name="20% - Accent2 2 4 2 2" xfId="130"/>
    <cellStyle name="20% - Accent2 2 4 2 3" xfId="131"/>
    <cellStyle name="20% - Accent2 2 4 3" xfId="132"/>
    <cellStyle name="20% - Accent2 2 4 3 2" xfId="133"/>
    <cellStyle name="20% - Accent2 2 4 3 3" xfId="134"/>
    <cellStyle name="20% - Accent2 2 4 4" xfId="135"/>
    <cellStyle name="20% - Accent2 2 4 5" xfId="136"/>
    <cellStyle name="20% - Accent2 2 5" xfId="137"/>
    <cellStyle name="20% - Accent2 2 5 2" xfId="138"/>
    <cellStyle name="20% - Accent2 2 5 2 2" xfId="139"/>
    <cellStyle name="20% - Accent2 2 5 2 3" xfId="140"/>
    <cellStyle name="20% - Accent2 2 5 3" xfId="141"/>
    <cellStyle name="20% - Accent2 2 5 4" xfId="142"/>
    <cellStyle name="20% - Accent2 2 6" xfId="143"/>
    <cellStyle name="20% - Accent2 2 6 2" xfId="144"/>
    <cellStyle name="20% - Accent2 2 6 3" xfId="145"/>
    <cellStyle name="20% - Accent2 2 7" xfId="146"/>
    <cellStyle name="20% - Accent2 2 8" xfId="147"/>
    <cellStyle name="20% - Accent2 2 9" xfId="148"/>
    <cellStyle name="20% - Accent2 3" xfId="149"/>
    <cellStyle name="20% - Accent2 3 2" xfId="150"/>
    <cellStyle name="20% - Accent2 3 3" xfId="151"/>
    <cellStyle name="20% - Accent2 4" xfId="152"/>
    <cellStyle name="20% - Accent2 4 2" xfId="153"/>
    <cellStyle name="20% - Accent2 5" xfId="154"/>
    <cellStyle name="20% - Accent2 6" xfId="155"/>
    <cellStyle name="20% - Accent2 7" xfId="156"/>
    <cellStyle name="20% - Accent2 8" xfId="157"/>
    <cellStyle name="20% - Accent2 9" xfId="158"/>
    <cellStyle name="20% - Accent3" xfId="159"/>
    <cellStyle name="20% - Accent3 10" xfId="160"/>
    <cellStyle name="20% - Accent3 11" xfId="161"/>
    <cellStyle name="20% - Accent3 12" xfId="162"/>
    <cellStyle name="20% - Accent3 13" xfId="163"/>
    <cellStyle name="20% - Accent3 14" xfId="164"/>
    <cellStyle name="20% - Accent3 15" xfId="165"/>
    <cellStyle name="20% - Accent3 2" xfId="166"/>
    <cellStyle name="20% - Accent3 2 10" xfId="167"/>
    <cellStyle name="20% - Accent3 2 11" xfId="168"/>
    <cellStyle name="20% - Accent3 2 2" xfId="169"/>
    <cellStyle name="20% - Accent3 2 2 2" xfId="170"/>
    <cellStyle name="20% - Accent3 2 3" xfId="171"/>
    <cellStyle name="20% - Accent3 2 3 2" xfId="172"/>
    <cellStyle name="20% - Accent3 2 3 2 2" xfId="173"/>
    <cellStyle name="20% - Accent3 2 3 2 2 2" xfId="174"/>
    <cellStyle name="20% - Accent3 2 3 2 2 3" xfId="175"/>
    <cellStyle name="20% - Accent3 2 3 2 3" xfId="176"/>
    <cellStyle name="20% - Accent3 2 3 2 4" xfId="177"/>
    <cellStyle name="20% - Accent3 2 3 3" xfId="178"/>
    <cellStyle name="20% - Accent3 2 3 3 2" xfId="179"/>
    <cellStyle name="20% - Accent3 2 3 3 3" xfId="180"/>
    <cellStyle name="20% - Accent3 2 3 4" xfId="181"/>
    <cellStyle name="20% - Accent3 2 3 5" xfId="182"/>
    <cellStyle name="20% - Accent3 2 4" xfId="183"/>
    <cellStyle name="20% - Accent3 2 4 2" xfId="184"/>
    <cellStyle name="20% - Accent3 2 4 2 2" xfId="185"/>
    <cellStyle name="20% - Accent3 2 4 2 3" xfId="186"/>
    <cellStyle name="20% - Accent3 2 4 3" xfId="187"/>
    <cellStyle name="20% - Accent3 2 4 3 2" xfId="188"/>
    <cellStyle name="20% - Accent3 2 4 3 3" xfId="189"/>
    <cellStyle name="20% - Accent3 2 4 4" xfId="190"/>
    <cellStyle name="20% - Accent3 2 4 5" xfId="191"/>
    <cellStyle name="20% - Accent3 2 5" xfId="192"/>
    <cellStyle name="20% - Accent3 2 5 2" xfId="193"/>
    <cellStyle name="20% - Accent3 2 5 2 2" xfId="194"/>
    <cellStyle name="20% - Accent3 2 5 2 3" xfId="195"/>
    <cellStyle name="20% - Accent3 2 5 3" xfId="196"/>
    <cellStyle name="20% - Accent3 2 5 4" xfId="197"/>
    <cellStyle name="20% - Accent3 2 6" xfId="198"/>
    <cellStyle name="20% - Accent3 2 6 2" xfId="199"/>
    <cellStyle name="20% - Accent3 2 6 3" xfId="200"/>
    <cellStyle name="20% - Accent3 2 7" xfId="201"/>
    <cellStyle name="20% - Accent3 2 8" xfId="202"/>
    <cellStyle name="20% - Accent3 2 9" xfId="203"/>
    <cellStyle name="20% - Accent3 3" xfId="204"/>
    <cellStyle name="20% - Accent3 3 2" xfId="205"/>
    <cellStyle name="20% - Accent3 3 3" xfId="206"/>
    <cellStyle name="20% - Accent3 4" xfId="207"/>
    <cellStyle name="20% - Accent3 4 2" xfId="208"/>
    <cellStyle name="20% - Accent3 5" xfId="209"/>
    <cellStyle name="20% - Accent3 6" xfId="210"/>
    <cellStyle name="20% - Accent3 7" xfId="211"/>
    <cellStyle name="20% - Accent3 8" xfId="212"/>
    <cellStyle name="20% - Accent3 9" xfId="213"/>
    <cellStyle name="20% - Accent4" xfId="214"/>
    <cellStyle name="20% - Accent4 10" xfId="215"/>
    <cellStyle name="20% - Accent4 11" xfId="216"/>
    <cellStyle name="20% - Accent4 12" xfId="217"/>
    <cellStyle name="20% - Accent4 13" xfId="218"/>
    <cellStyle name="20% - Accent4 14" xfId="219"/>
    <cellStyle name="20% - Accent4 15" xfId="220"/>
    <cellStyle name="20% - Accent4 2" xfId="221"/>
    <cellStyle name="20% - Accent4 2 10" xfId="222"/>
    <cellStyle name="20% - Accent4 2 11" xfId="223"/>
    <cellStyle name="20% - Accent4 2 2" xfId="224"/>
    <cellStyle name="20% - Accent4 2 2 2" xfId="225"/>
    <cellStyle name="20% - Accent4 2 3" xfId="226"/>
    <cellStyle name="20% - Accent4 2 3 2" xfId="227"/>
    <cellStyle name="20% - Accent4 2 3 2 2" xfId="228"/>
    <cellStyle name="20% - Accent4 2 3 2 2 2" xfId="229"/>
    <cellStyle name="20% - Accent4 2 3 2 2 3" xfId="230"/>
    <cellStyle name="20% - Accent4 2 3 2 3" xfId="231"/>
    <cellStyle name="20% - Accent4 2 3 2 4" xfId="232"/>
    <cellStyle name="20% - Accent4 2 3 3" xfId="233"/>
    <cellStyle name="20% - Accent4 2 3 3 2" xfId="234"/>
    <cellStyle name="20% - Accent4 2 3 3 3" xfId="235"/>
    <cellStyle name="20% - Accent4 2 3 4" xfId="236"/>
    <cellStyle name="20% - Accent4 2 3 5" xfId="237"/>
    <cellStyle name="20% - Accent4 2 4" xfId="238"/>
    <cellStyle name="20% - Accent4 2 4 2" xfId="239"/>
    <cellStyle name="20% - Accent4 2 4 2 2" xfId="240"/>
    <cellStyle name="20% - Accent4 2 4 2 3" xfId="241"/>
    <cellStyle name="20% - Accent4 2 4 3" xfId="242"/>
    <cellStyle name="20% - Accent4 2 4 3 2" xfId="243"/>
    <cellStyle name="20% - Accent4 2 4 3 3" xfId="244"/>
    <cellStyle name="20% - Accent4 2 4 4" xfId="245"/>
    <cellStyle name="20% - Accent4 2 4 5" xfId="246"/>
    <cellStyle name="20% - Accent4 2 5" xfId="247"/>
    <cellStyle name="20% - Accent4 2 5 2" xfId="248"/>
    <cellStyle name="20% - Accent4 2 5 2 2" xfId="249"/>
    <cellStyle name="20% - Accent4 2 5 2 3" xfId="250"/>
    <cellStyle name="20% - Accent4 2 5 3" xfId="251"/>
    <cellStyle name="20% - Accent4 2 5 4" xfId="252"/>
    <cellStyle name="20% - Accent4 2 6" xfId="253"/>
    <cellStyle name="20% - Accent4 2 6 2" xfId="254"/>
    <cellStyle name="20% - Accent4 2 6 3" xfId="255"/>
    <cellStyle name="20% - Accent4 2 7" xfId="256"/>
    <cellStyle name="20% - Accent4 2 8" xfId="257"/>
    <cellStyle name="20% - Accent4 2 9" xfId="258"/>
    <cellStyle name="20% - Accent4 3" xfId="259"/>
    <cellStyle name="20% - Accent4 3 2" xfId="260"/>
    <cellStyle name="20% - Accent4 3 3" xfId="261"/>
    <cellStyle name="20% - Accent4 4" xfId="262"/>
    <cellStyle name="20% - Accent4 4 2" xfId="263"/>
    <cellStyle name="20% - Accent4 5" xfId="264"/>
    <cellStyle name="20% - Accent4 6" xfId="265"/>
    <cellStyle name="20% - Accent4 7" xfId="266"/>
    <cellStyle name="20% - Accent4 8" xfId="267"/>
    <cellStyle name="20% - Accent4 9" xfId="268"/>
    <cellStyle name="20% - Accent5" xfId="269"/>
    <cellStyle name="20% - Accent5 10" xfId="270"/>
    <cellStyle name="20% - Accent5 11" xfId="271"/>
    <cellStyle name="20% - Accent5 12" xfId="272"/>
    <cellStyle name="20% - Accent5 13" xfId="273"/>
    <cellStyle name="20% - Accent5 14" xfId="274"/>
    <cellStyle name="20% - Accent5 15" xfId="275"/>
    <cellStyle name="20% - Accent5 2" xfId="276"/>
    <cellStyle name="20% - Accent5 2 10" xfId="277"/>
    <cellStyle name="20% - Accent5 2 11" xfId="278"/>
    <cellStyle name="20% - Accent5 2 2" xfId="279"/>
    <cellStyle name="20% - Accent5 2 2 2" xfId="280"/>
    <cellStyle name="20% - Accent5 2 3" xfId="281"/>
    <cellStyle name="20% - Accent5 2 3 2" xfId="282"/>
    <cellStyle name="20% - Accent5 2 3 2 2" xfId="283"/>
    <cellStyle name="20% - Accent5 2 3 2 2 2" xfId="284"/>
    <cellStyle name="20% - Accent5 2 3 2 2 3" xfId="285"/>
    <cellStyle name="20% - Accent5 2 3 2 3" xfId="286"/>
    <cellStyle name="20% - Accent5 2 3 2 4" xfId="287"/>
    <cellStyle name="20% - Accent5 2 3 3" xfId="288"/>
    <cellStyle name="20% - Accent5 2 3 3 2" xfId="289"/>
    <cellStyle name="20% - Accent5 2 3 3 3" xfId="290"/>
    <cellStyle name="20% - Accent5 2 3 4" xfId="291"/>
    <cellStyle name="20% - Accent5 2 3 5" xfId="292"/>
    <cellStyle name="20% - Accent5 2 4" xfId="293"/>
    <cellStyle name="20% - Accent5 2 4 2" xfId="294"/>
    <cellStyle name="20% - Accent5 2 4 2 2" xfId="295"/>
    <cellStyle name="20% - Accent5 2 4 2 3" xfId="296"/>
    <cellStyle name="20% - Accent5 2 4 3" xfId="297"/>
    <cellStyle name="20% - Accent5 2 4 3 2" xfId="298"/>
    <cellStyle name="20% - Accent5 2 4 3 3" xfId="299"/>
    <cellStyle name="20% - Accent5 2 4 4" xfId="300"/>
    <cellStyle name="20% - Accent5 2 4 5" xfId="301"/>
    <cellStyle name="20% - Accent5 2 5" xfId="302"/>
    <cellStyle name="20% - Accent5 2 5 2" xfId="303"/>
    <cellStyle name="20% - Accent5 2 5 2 2" xfId="304"/>
    <cellStyle name="20% - Accent5 2 5 2 3" xfId="305"/>
    <cellStyle name="20% - Accent5 2 5 3" xfId="306"/>
    <cellStyle name="20% - Accent5 2 5 4" xfId="307"/>
    <cellStyle name="20% - Accent5 2 6" xfId="308"/>
    <cellStyle name="20% - Accent5 2 6 2" xfId="309"/>
    <cellStyle name="20% - Accent5 2 6 3" xfId="310"/>
    <cellStyle name="20% - Accent5 2 7" xfId="311"/>
    <cellStyle name="20% - Accent5 2 8" xfId="312"/>
    <cellStyle name="20% - Accent5 2 9" xfId="313"/>
    <cellStyle name="20% - Accent5 3" xfId="314"/>
    <cellStyle name="20% - Accent5 3 2" xfId="315"/>
    <cellStyle name="20% - Accent5 3 3" xfId="316"/>
    <cellStyle name="20% - Accent5 4" xfId="317"/>
    <cellStyle name="20% - Accent5 4 2" xfId="318"/>
    <cellStyle name="20% - Accent5 5" xfId="319"/>
    <cellStyle name="20% - Accent5 6" xfId="320"/>
    <cellStyle name="20% - Accent5 7" xfId="321"/>
    <cellStyle name="20% - Accent5 8" xfId="322"/>
    <cellStyle name="20% - Accent5 9" xfId="323"/>
    <cellStyle name="20% - Accent6" xfId="324"/>
    <cellStyle name="20% - Accent6 10" xfId="325"/>
    <cellStyle name="20% - Accent6 11" xfId="326"/>
    <cellStyle name="20% - Accent6 12" xfId="327"/>
    <cellStyle name="20% - Accent6 13" xfId="328"/>
    <cellStyle name="20% - Accent6 14" xfId="329"/>
    <cellStyle name="20% - Accent6 15" xfId="330"/>
    <cellStyle name="20% - Accent6 2" xfId="331"/>
    <cellStyle name="20% - Accent6 2 10" xfId="332"/>
    <cellStyle name="20% - Accent6 2 11" xfId="333"/>
    <cellStyle name="20% - Accent6 2 2" xfId="334"/>
    <cellStyle name="20% - Accent6 2 2 2" xfId="335"/>
    <cellStyle name="20% - Accent6 2 3" xfId="336"/>
    <cellStyle name="20% - Accent6 2 3 2" xfId="337"/>
    <cellStyle name="20% - Accent6 2 3 2 2" xfId="338"/>
    <cellStyle name="20% - Accent6 2 3 2 2 2" xfId="339"/>
    <cellStyle name="20% - Accent6 2 3 2 2 3" xfId="340"/>
    <cellStyle name="20% - Accent6 2 3 2 3" xfId="341"/>
    <cellStyle name="20% - Accent6 2 3 2 4" xfId="342"/>
    <cellStyle name="20% - Accent6 2 3 3" xfId="343"/>
    <cellStyle name="20% - Accent6 2 3 3 2" xfId="344"/>
    <cellStyle name="20% - Accent6 2 3 3 3" xfId="345"/>
    <cellStyle name="20% - Accent6 2 3 4" xfId="346"/>
    <cellStyle name="20% - Accent6 2 3 5" xfId="347"/>
    <cellStyle name="20% - Accent6 2 4" xfId="348"/>
    <cellStyle name="20% - Accent6 2 4 2" xfId="349"/>
    <cellStyle name="20% - Accent6 2 4 2 2" xfId="350"/>
    <cellStyle name="20% - Accent6 2 4 2 3" xfId="351"/>
    <cellStyle name="20% - Accent6 2 4 3" xfId="352"/>
    <cellStyle name="20% - Accent6 2 4 3 2" xfId="353"/>
    <cellStyle name="20% - Accent6 2 4 3 3" xfId="354"/>
    <cellStyle name="20% - Accent6 2 4 4" xfId="355"/>
    <cellStyle name="20% - Accent6 2 4 5" xfId="356"/>
    <cellStyle name="20% - Accent6 2 5" xfId="357"/>
    <cellStyle name="20% - Accent6 2 5 2" xfId="358"/>
    <cellStyle name="20% - Accent6 2 5 2 2" xfId="359"/>
    <cellStyle name="20% - Accent6 2 5 2 3" xfId="360"/>
    <cellStyle name="20% - Accent6 2 5 3" xfId="361"/>
    <cellStyle name="20% - Accent6 2 5 4" xfId="362"/>
    <cellStyle name="20% - Accent6 2 6" xfId="363"/>
    <cellStyle name="20% - Accent6 2 6 2" xfId="364"/>
    <cellStyle name="20% - Accent6 2 6 3" xfId="365"/>
    <cellStyle name="20% - Accent6 2 7" xfId="366"/>
    <cellStyle name="20% - Accent6 2 8" xfId="367"/>
    <cellStyle name="20% - Accent6 2 9" xfId="368"/>
    <cellStyle name="20% - Accent6 3" xfId="369"/>
    <cellStyle name="20% - Accent6 3 2" xfId="370"/>
    <cellStyle name="20% - Accent6 3 3" xfId="371"/>
    <cellStyle name="20% - Accent6 4" xfId="372"/>
    <cellStyle name="20% - Accent6 4 2" xfId="373"/>
    <cellStyle name="20% - Accent6 5" xfId="374"/>
    <cellStyle name="20% - Accent6 6" xfId="375"/>
    <cellStyle name="20% - Accent6 7" xfId="376"/>
    <cellStyle name="20% - Accent6 8" xfId="377"/>
    <cellStyle name="20% - Accent6 9" xfId="378"/>
    <cellStyle name="40% - Accent1" xfId="379"/>
    <cellStyle name="40% - Accent1 10" xfId="380"/>
    <cellStyle name="40% - Accent1 11" xfId="381"/>
    <cellStyle name="40% - Accent1 12" xfId="382"/>
    <cellStyle name="40% - Accent1 13" xfId="383"/>
    <cellStyle name="40% - Accent1 14" xfId="384"/>
    <cellStyle name="40% - Accent1 15" xfId="385"/>
    <cellStyle name="40% - Accent1 2" xfId="386"/>
    <cellStyle name="40% - Accent1 2 10" xfId="387"/>
    <cellStyle name="40% - Accent1 2 2" xfId="388"/>
    <cellStyle name="40% - Accent1 2 2 2" xfId="389"/>
    <cellStyle name="40% - Accent1 2 3" xfId="390"/>
    <cellStyle name="40% - Accent1 2 3 2" xfId="391"/>
    <cellStyle name="40% - Accent1 2 3 2 2" xfId="392"/>
    <cellStyle name="40% - Accent1 2 3 2 2 2" xfId="393"/>
    <cellStyle name="40% - Accent1 2 3 2 2 3" xfId="394"/>
    <cellStyle name="40% - Accent1 2 3 2 3" xfId="395"/>
    <cellStyle name="40% - Accent1 2 3 2 4" xfId="396"/>
    <cellStyle name="40% - Accent1 2 3 3" xfId="397"/>
    <cellStyle name="40% - Accent1 2 3 3 2" xfId="398"/>
    <cellStyle name="40% - Accent1 2 3 3 3" xfId="399"/>
    <cellStyle name="40% - Accent1 2 3 4" xfId="400"/>
    <cellStyle name="40% - Accent1 2 3 5" xfId="401"/>
    <cellStyle name="40% - Accent1 2 4" xfId="402"/>
    <cellStyle name="40% - Accent1 2 4 2" xfId="403"/>
    <cellStyle name="40% - Accent1 2 4 2 2" xfId="404"/>
    <cellStyle name="40% - Accent1 2 4 2 3" xfId="405"/>
    <cellStyle name="40% - Accent1 2 4 3" xfId="406"/>
    <cellStyle name="40% - Accent1 2 4 3 2" xfId="407"/>
    <cellStyle name="40% - Accent1 2 4 3 3" xfId="408"/>
    <cellStyle name="40% - Accent1 2 4 4" xfId="409"/>
    <cellStyle name="40% - Accent1 2 4 5" xfId="410"/>
    <cellStyle name="40% - Accent1 2 5" xfId="411"/>
    <cellStyle name="40% - Accent1 2 5 2" xfId="412"/>
    <cellStyle name="40% - Accent1 2 5 2 2" xfId="413"/>
    <cellStyle name="40% - Accent1 2 5 2 3" xfId="414"/>
    <cellStyle name="40% - Accent1 2 5 3" xfId="415"/>
    <cellStyle name="40% - Accent1 2 5 4" xfId="416"/>
    <cellStyle name="40% - Accent1 2 6" xfId="417"/>
    <cellStyle name="40% - Accent1 2 6 2" xfId="418"/>
    <cellStyle name="40% - Accent1 2 6 3" xfId="419"/>
    <cellStyle name="40% - Accent1 2 7" xfId="420"/>
    <cellStyle name="40% - Accent1 2 8" xfId="421"/>
    <cellStyle name="40% - Accent1 2 9" xfId="422"/>
    <cellStyle name="40% - Accent1 3" xfId="423"/>
    <cellStyle name="40% - Accent1 3 2" xfId="424"/>
    <cellStyle name="40% - Accent1 3 3" xfId="425"/>
    <cellStyle name="40% - Accent1 4" xfId="426"/>
    <cellStyle name="40% - Accent1 4 2" xfId="427"/>
    <cellStyle name="40% - Accent1 5" xfId="428"/>
    <cellStyle name="40% - Accent1 6" xfId="429"/>
    <cellStyle name="40% - Accent1 7" xfId="430"/>
    <cellStyle name="40% - Accent1 8" xfId="431"/>
    <cellStyle name="40% - Accent1 9" xfId="432"/>
    <cellStyle name="40% - Accent2" xfId="433"/>
    <cellStyle name="40% - Accent2 10" xfId="434"/>
    <cellStyle name="40% - Accent2 11" xfId="435"/>
    <cellStyle name="40% - Accent2 12" xfId="436"/>
    <cellStyle name="40% - Accent2 13" xfId="437"/>
    <cellStyle name="40% - Accent2 14" xfId="438"/>
    <cellStyle name="40% - Accent2 15" xfId="439"/>
    <cellStyle name="40% - Accent2 2" xfId="440"/>
    <cellStyle name="40% - Accent2 2 10" xfId="441"/>
    <cellStyle name="40% - Accent2 2 2" xfId="442"/>
    <cellStyle name="40% - Accent2 2 2 2" xfId="443"/>
    <cellStyle name="40% - Accent2 2 3" xfId="444"/>
    <cellStyle name="40% - Accent2 2 3 2" xfId="445"/>
    <cellStyle name="40% - Accent2 2 3 2 2" xfId="446"/>
    <cellStyle name="40% - Accent2 2 3 2 2 2" xfId="447"/>
    <cellStyle name="40% - Accent2 2 3 2 2 3" xfId="448"/>
    <cellStyle name="40% - Accent2 2 3 2 3" xfId="449"/>
    <cellStyle name="40% - Accent2 2 3 2 4" xfId="450"/>
    <cellStyle name="40% - Accent2 2 3 3" xfId="451"/>
    <cellStyle name="40% - Accent2 2 3 3 2" xfId="452"/>
    <cellStyle name="40% - Accent2 2 3 3 3" xfId="453"/>
    <cellStyle name="40% - Accent2 2 3 4" xfId="454"/>
    <cellStyle name="40% - Accent2 2 3 5" xfId="455"/>
    <cellStyle name="40% - Accent2 2 4" xfId="456"/>
    <cellStyle name="40% - Accent2 2 4 2" xfId="457"/>
    <cellStyle name="40% - Accent2 2 4 2 2" xfId="458"/>
    <cellStyle name="40% - Accent2 2 4 2 3" xfId="459"/>
    <cellStyle name="40% - Accent2 2 4 3" xfId="460"/>
    <cellStyle name="40% - Accent2 2 4 3 2" xfId="461"/>
    <cellStyle name="40% - Accent2 2 4 3 3" xfId="462"/>
    <cellStyle name="40% - Accent2 2 4 4" xfId="463"/>
    <cellStyle name="40% - Accent2 2 4 5" xfId="464"/>
    <cellStyle name="40% - Accent2 2 5" xfId="465"/>
    <cellStyle name="40% - Accent2 2 5 2" xfId="466"/>
    <cellStyle name="40% - Accent2 2 5 2 2" xfId="467"/>
    <cellStyle name="40% - Accent2 2 5 2 3" xfId="468"/>
    <cellStyle name="40% - Accent2 2 5 3" xfId="469"/>
    <cellStyle name="40% - Accent2 2 5 4" xfId="470"/>
    <cellStyle name="40% - Accent2 2 6" xfId="471"/>
    <cellStyle name="40% - Accent2 2 6 2" xfId="472"/>
    <cellStyle name="40% - Accent2 2 6 3" xfId="473"/>
    <cellStyle name="40% - Accent2 2 7" xfId="474"/>
    <cellStyle name="40% - Accent2 2 8" xfId="475"/>
    <cellStyle name="40% - Accent2 2 9" xfId="476"/>
    <cellStyle name="40% - Accent2 3" xfId="477"/>
    <cellStyle name="40% - Accent2 3 2" xfId="478"/>
    <cellStyle name="40% - Accent2 3 3" xfId="479"/>
    <cellStyle name="40% - Accent2 4" xfId="480"/>
    <cellStyle name="40% - Accent2 4 2" xfId="481"/>
    <cellStyle name="40% - Accent2 5" xfId="482"/>
    <cellStyle name="40% - Accent2 6" xfId="483"/>
    <cellStyle name="40% - Accent2 7" xfId="484"/>
    <cellStyle name="40% - Accent2 8" xfId="485"/>
    <cellStyle name="40% - Accent2 9" xfId="486"/>
    <cellStyle name="40% - Accent3" xfId="487"/>
    <cellStyle name="40% - Accent3 10" xfId="488"/>
    <cellStyle name="40% - Accent3 11" xfId="489"/>
    <cellStyle name="40% - Accent3 12" xfId="490"/>
    <cellStyle name="40% - Accent3 13" xfId="491"/>
    <cellStyle name="40% - Accent3 14" xfId="492"/>
    <cellStyle name="40% - Accent3 15" xfId="493"/>
    <cellStyle name="40% - Accent3 2" xfId="494"/>
    <cellStyle name="40% - Accent3 2 10" xfId="495"/>
    <cellStyle name="40% - Accent3 2 11" xfId="496"/>
    <cellStyle name="40% - Accent3 2 2" xfId="497"/>
    <cellStyle name="40% - Accent3 2 2 2" xfId="498"/>
    <cellStyle name="40% - Accent3 2 3" xfId="499"/>
    <cellStyle name="40% - Accent3 2 3 2" xfId="500"/>
    <cellStyle name="40% - Accent3 2 3 2 2" xfId="501"/>
    <cellStyle name="40% - Accent3 2 3 2 2 2" xfId="502"/>
    <cellStyle name="40% - Accent3 2 3 2 2 3" xfId="503"/>
    <cellStyle name="40% - Accent3 2 3 2 3" xfId="504"/>
    <cellStyle name="40% - Accent3 2 3 2 4" xfId="505"/>
    <cellStyle name="40% - Accent3 2 3 3" xfId="506"/>
    <cellStyle name="40% - Accent3 2 3 3 2" xfId="507"/>
    <cellStyle name="40% - Accent3 2 3 3 3" xfId="508"/>
    <cellStyle name="40% - Accent3 2 3 4" xfId="509"/>
    <cellStyle name="40% - Accent3 2 3 5" xfId="510"/>
    <cellStyle name="40% - Accent3 2 4" xfId="511"/>
    <cellStyle name="40% - Accent3 2 4 2" xfId="512"/>
    <cellStyle name="40% - Accent3 2 4 2 2" xfId="513"/>
    <cellStyle name="40% - Accent3 2 4 2 3" xfId="514"/>
    <cellStyle name="40% - Accent3 2 4 3" xfId="515"/>
    <cellStyle name="40% - Accent3 2 4 3 2" xfId="516"/>
    <cellStyle name="40% - Accent3 2 4 3 3" xfId="517"/>
    <cellStyle name="40% - Accent3 2 4 4" xfId="518"/>
    <cellStyle name="40% - Accent3 2 4 5" xfId="519"/>
    <cellStyle name="40% - Accent3 2 5" xfId="520"/>
    <cellStyle name="40% - Accent3 2 5 2" xfId="521"/>
    <cellStyle name="40% - Accent3 2 5 2 2" xfId="522"/>
    <cellStyle name="40% - Accent3 2 5 2 3" xfId="523"/>
    <cellStyle name="40% - Accent3 2 5 3" xfId="524"/>
    <cellStyle name="40% - Accent3 2 5 4" xfId="525"/>
    <cellStyle name="40% - Accent3 2 6" xfId="526"/>
    <cellStyle name="40% - Accent3 2 6 2" xfId="527"/>
    <cellStyle name="40% - Accent3 2 6 3" xfId="528"/>
    <cellStyle name="40% - Accent3 2 7" xfId="529"/>
    <cellStyle name="40% - Accent3 2 8" xfId="530"/>
    <cellStyle name="40% - Accent3 2 9" xfId="531"/>
    <cellStyle name="40% - Accent3 3" xfId="532"/>
    <cellStyle name="40% - Accent3 3 2" xfId="533"/>
    <cellStyle name="40% - Accent3 3 3" xfId="534"/>
    <cellStyle name="40% - Accent3 4" xfId="535"/>
    <cellStyle name="40% - Accent3 4 2" xfId="536"/>
    <cellStyle name="40% - Accent3 5" xfId="537"/>
    <cellStyle name="40% - Accent3 6" xfId="538"/>
    <cellStyle name="40% - Accent3 7" xfId="539"/>
    <cellStyle name="40% - Accent3 8" xfId="540"/>
    <cellStyle name="40% - Accent3 9" xfId="541"/>
    <cellStyle name="40% - Accent4" xfId="542"/>
    <cellStyle name="40% - Accent4 10" xfId="543"/>
    <cellStyle name="40% - Accent4 11" xfId="544"/>
    <cellStyle name="40% - Accent4 12" xfId="545"/>
    <cellStyle name="40% - Accent4 13" xfId="546"/>
    <cellStyle name="40% - Accent4 14" xfId="547"/>
    <cellStyle name="40% - Accent4 15" xfId="548"/>
    <cellStyle name="40% - Accent4 2" xfId="549"/>
    <cellStyle name="40% - Accent4 2 10" xfId="550"/>
    <cellStyle name="40% - Accent4 2 2" xfId="551"/>
    <cellStyle name="40% - Accent4 2 2 2" xfId="552"/>
    <cellStyle name="40% - Accent4 2 3" xfId="553"/>
    <cellStyle name="40% - Accent4 2 3 2" xfId="554"/>
    <cellStyle name="40% - Accent4 2 3 2 2" xfId="555"/>
    <cellStyle name="40% - Accent4 2 3 2 2 2" xfId="556"/>
    <cellStyle name="40% - Accent4 2 3 2 2 3" xfId="557"/>
    <cellStyle name="40% - Accent4 2 3 2 3" xfId="558"/>
    <cellStyle name="40% - Accent4 2 3 2 4" xfId="559"/>
    <cellStyle name="40% - Accent4 2 3 3" xfId="560"/>
    <cellStyle name="40% - Accent4 2 3 3 2" xfId="561"/>
    <cellStyle name="40% - Accent4 2 3 3 3" xfId="562"/>
    <cellStyle name="40% - Accent4 2 3 4" xfId="563"/>
    <cellStyle name="40% - Accent4 2 3 5" xfId="564"/>
    <cellStyle name="40% - Accent4 2 4" xfId="565"/>
    <cellStyle name="40% - Accent4 2 4 2" xfId="566"/>
    <cellStyle name="40% - Accent4 2 4 2 2" xfId="567"/>
    <cellStyle name="40% - Accent4 2 4 2 3" xfId="568"/>
    <cellStyle name="40% - Accent4 2 4 3" xfId="569"/>
    <cellStyle name="40% - Accent4 2 4 3 2" xfId="570"/>
    <cellStyle name="40% - Accent4 2 4 3 3" xfId="571"/>
    <cellStyle name="40% - Accent4 2 4 4" xfId="572"/>
    <cellStyle name="40% - Accent4 2 4 5" xfId="573"/>
    <cellStyle name="40% - Accent4 2 5" xfId="574"/>
    <cellStyle name="40% - Accent4 2 5 2" xfId="575"/>
    <cellStyle name="40% - Accent4 2 5 2 2" xfId="576"/>
    <cellStyle name="40% - Accent4 2 5 2 3" xfId="577"/>
    <cellStyle name="40% - Accent4 2 5 3" xfId="578"/>
    <cellStyle name="40% - Accent4 2 5 4" xfId="579"/>
    <cellStyle name="40% - Accent4 2 6" xfId="580"/>
    <cellStyle name="40% - Accent4 2 6 2" xfId="581"/>
    <cellStyle name="40% - Accent4 2 6 3" xfId="582"/>
    <cellStyle name="40% - Accent4 2 7" xfId="583"/>
    <cellStyle name="40% - Accent4 2 8" xfId="584"/>
    <cellStyle name="40% - Accent4 2 9" xfId="585"/>
    <cellStyle name="40% - Accent4 3" xfId="586"/>
    <cellStyle name="40% - Accent4 3 2" xfId="587"/>
    <cellStyle name="40% - Accent4 3 3" xfId="588"/>
    <cellStyle name="40% - Accent4 4" xfId="589"/>
    <cellStyle name="40% - Accent4 4 2" xfId="590"/>
    <cellStyle name="40% - Accent4 5" xfId="591"/>
    <cellStyle name="40% - Accent4 6" xfId="592"/>
    <cellStyle name="40% - Accent4 7" xfId="593"/>
    <cellStyle name="40% - Accent4 8" xfId="594"/>
    <cellStyle name="40% - Accent4 9" xfId="595"/>
    <cellStyle name="40% - Accent5" xfId="596"/>
    <cellStyle name="40% - Accent5 10" xfId="597"/>
    <cellStyle name="40% - Accent5 11" xfId="598"/>
    <cellStyle name="40% - Accent5 12" xfId="599"/>
    <cellStyle name="40% - Accent5 13" xfId="600"/>
    <cellStyle name="40% - Accent5 14" xfId="601"/>
    <cellStyle name="40% - Accent5 15" xfId="602"/>
    <cellStyle name="40% - Accent5 2" xfId="603"/>
    <cellStyle name="40% - Accent5 2 10" xfId="604"/>
    <cellStyle name="40% - Accent5 2 2" xfId="605"/>
    <cellStyle name="40% - Accent5 2 2 2" xfId="606"/>
    <cellStyle name="40% - Accent5 2 3" xfId="607"/>
    <cellStyle name="40% - Accent5 2 3 2" xfId="608"/>
    <cellStyle name="40% - Accent5 2 3 2 2" xfId="609"/>
    <cellStyle name="40% - Accent5 2 3 2 2 2" xfId="610"/>
    <cellStyle name="40% - Accent5 2 3 2 2 3" xfId="611"/>
    <cellStyle name="40% - Accent5 2 3 2 3" xfId="612"/>
    <cellStyle name="40% - Accent5 2 3 2 4" xfId="613"/>
    <cellStyle name="40% - Accent5 2 3 3" xfId="614"/>
    <cellStyle name="40% - Accent5 2 3 3 2" xfId="615"/>
    <cellStyle name="40% - Accent5 2 3 3 3" xfId="616"/>
    <cellStyle name="40% - Accent5 2 3 4" xfId="617"/>
    <cellStyle name="40% - Accent5 2 3 5" xfId="618"/>
    <cellStyle name="40% - Accent5 2 4" xfId="619"/>
    <cellStyle name="40% - Accent5 2 4 2" xfId="620"/>
    <cellStyle name="40% - Accent5 2 4 2 2" xfId="621"/>
    <cellStyle name="40% - Accent5 2 4 2 3" xfId="622"/>
    <cellStyle name="40% - Accent5 2 4 3" xfId="623"/>
    <cellStyle name="40% - Accent5 2 4 3 2" xfId="624"/>
    <cellStyle name="40% - Accent5 2 4 3 3" xfId="625"/>
    <cellStyle name="40% - Accent5 2 4 4" xfId="626"/>
    <cellStyle name="40% - Accent5 2 4 5" xfId="627"/>
    <cellStyle name="40% - Accent5 2 5" xfId="628"/>
    <cellStyle name="40% - Accent5 2 5 2" xfId="629"/>
    <cellStyle name="40% - Accent5 2 5 2 2" xfId="630"/>
    <cellStyle name="40% - Accent5 2 5 2 3" xfId="631"/>
    <cellStyle name="40% - Accent5 2 5 3" xfId="632"/>
    <cellStyle name="40% - Accent5 2 5 4" xfId="633"/>
    <cellStyle name="40% - Accent5 2 6" xfId="634"/>
    <cellStyle name="40% - Accent5 2 6 2" xfId="635"/>
    <cellStyle name="40% - Accent5 2 6 3" xfId="636"/>
    <cellStyle name="40% - Accent5 2 7" xfId="637"/>
    <cellStyle name="40% - Accent5 2 8" xfId="638"/>
    <cellStyle name="40% - Accent5 2 9" xfId="639"/>
    <cellStyle name="40% - Accent5 3" xfId="640"/>
    <cellStyle name="40% - Accent5 3 2" xfId="641"/>
    <cellStyle name="40% - Accent5 3 3" xfId="642"/>
    <cellStyle name="40% - Accent5 4" xfId="643"/>
    <cellStyle name="40% - Accent5 4 2" xfId="644"/>
    <cellStyle name="40% - Accent5 5" xfId="645"/>
    <cellStyle name="40% - Accent5 6" xfId="646"/>
    <cellStyle name="40% - Accent5 7" xfId="647"/>
    <cellStyle name="40% - Accent5 8" xfId="648"/>
    <cellStyle name="40% - Accent5 9" xfId="649"/>
    <cellStyle name="40% - Accent6" xfId="650"/>
    <cellStyle name="40% - Accent6 10" xfId="651"/>
    <cellStyle name="40% - Accent6 11" xfId="652"/>
    <cellStyle name="40% - Accent6 12" xfId="653"/>
    <cellStyle name="40% - Accent6 13" xfId="654"/>
    <cellStyle name="40% - Accent6 14" xfId="655"/>
    <cellStyle name="40% - Accent6 15" xfId="656"/>
    <cellStyle name="40% - Accent6 2" xfId="657"/>
    <cellStyle name="40% - Accent6 2 10" xfId="658"/>
    <cellStyle name="40% - Accent6 2 11" xfId="659"/>
    <cellStyle name="40% - Accent6 2 2" xfId="660"/>
    <cellStyle name="40% - Accent6 2 2 2" xfId="661"/>
    <cellStyle name="40% - Accent6 2 3" xfId="662"/>
    <cellStyle name="40% - Accent6 2 3 2" xfId="663"/>
    <cellStyle name="40% - Accent6 2 3 2 2" xfId="664"/>
    <cellStyle name="40% - Accent6 2 3 2 2 2" xfId="665"/>
    <cellStyle name="40% - Accent6 2 3 2 2 3" xfId="666"/>
    <cellStyle name="40% - Accent6 2 3 2 3" xfId="667"/>
    <cellStyle name="40% - Accent6 2 3 2 4" xfId="668"/>
    <cellStyle name="40% - Accent6 2 3 3" xfId="669"/>
    <cellStyle name="40% - Accent6 2 3 3 2" xfId="670"/>
    <cellStyle name="40% - Accent6 2 3 3 3" xfId="671"/>
    <cellStyle name="40% - Accent6 2 3 4" xfId="672"/>
    <cellStyle name="40% - Accent6 2 3 5" xfId="673"/>
    <cellStyle name="40% - Accent6 2 4" xfId="674"/>
    <cellStyle name="40% - Accent6 2 4 2" xfId="675"/>
    <cellStyle name="40% - Accent6 2 4 2 2" xfId="676"/>
    <cellStyle name="40% - Accent6 2 4 2 3" xfId="677"/>
    <cellStyle name="40% - Accent6 2 4 3" xfId="678"/>
    <cellStyle name="40% - Accent6 2 4 3 2" xfId="679"/>
    <cellStyle name="40% - Accent6 2 4 3 3" xfId="680"/>
    <cellStyle name="40% - Accent6 2 4 4" xfId="681"/>
    <cellStyle name="40% - Accent6 2 4 5" xfId="682"/>
    <cellStyle name="40% - Accent6 2 5" xfId="683"/>
    <cellStyle name="40% - Accent6 2 5 2" xfId="684"/>
    <cellStyle name="40% - Accent6 2 5 2 2" xfId="685"/>
    <cellStyle name="40% - Accent6 2 5 2 3" xfId="686"/>
    <cellStyle name="40% - Accent6 2 5 3" xfId="687"/>
    <cellStyle name="40% - Accent6 2 5 4" xfId="688"/>
    <cellStyle name="40% - Accent6 2 6" xfId="689"/>
    <cellStyle name="40% - Accent6 2 6 2" xfId="690"/>
    <cellStyle name="40% - Accent6 2 6 3" xfId="691"/>
    <cellStyle name="40% - Accent6 2 7" xfId="692"/>
    <cellStyle name="40% - Accent6 2 8" xfId="693"/>
    <cellStyle name="40% - Accent6 2 9" xfId="694"/>
    <cellStyle name="40% - Accent6 3" xfId="695"/>
    <cellStyle name="40% - Accent6 3 2" xfId="696"/>
    <cellStyle name="40% - Accent6 3 3" xfId="697"/>
    <cellStyle name="40% - Accent6 4" xfId="698"/>
    <cellStyle name="40% - Accent6 4 2" xfId="699"/>
    <cellStyle name="40% - Accent6 5" xfId="700"/>
    <cellStyle name="40% - Accent6 6" xfId="701"/>
    <cellStyle name="40% - Accent6 7" xfId="702"/>
    <cellStyle name="40% - Accent6 8" xfId="703"/>
    <cellStyle name="40% - Accent6 9" xfId="704"/>
    <cellStyle name="60% - Accent1" xfId="705"/>
    <cellStyle name="60% - Accent1 10" xfId="706"/>
    <cellStyle name="60% - Accent1 11" xfId="707"/>
    <cellStyle name="60% - Accent1 12" xfId="708"/>
    <cellStyle name="60% - Accent1 13" xfId="709"/>
    <cellStyle name="60% - Accent1 14" xfId="710"/>
    <cellStyle name="60% - Accent1 15" xfId="711"/>
    <cellStyle name="60% - Accent1 2" xfId="712"/>
    <cellStyle name="60% - Accent1 2 2" xfId="713"/>
    <cellStyle name="60% - Accent1 2 2 2" xfId="714"/>
    <cellStyle name="60% - Accent1 2 3" xfId="715"/>
    <cellStyle name="60% - Accent1 2 3 2" xfId="716"/>
    <cellStyle name="60% - Accent1 2 4" xfId="717"/>
    <cellStyle name="60% - Accent1 2 5" xfId="718"/>
    <cellStyle name="60% - Accent1 2 6" xfId="719"/>
    <cellStyle name="60% - Accent1 3" xfId="720"/>
    <cellStyle name="60% - Accent1 3 2" xfId="721"/>
    <cellStyle name="60% - Accent1 3 3" xfId="722"/>
    <cellStyle name="60% - Accent1 4" xfId="723"/>
    <cellStyle name="60% - Accent1 4 2" xfId="724"/>
    <cellStyle name="60% - Accent1 5" xfId="725"/>
    <cellStyle name="60% - Accent1 6" xfId="726"/>
    <cellStyle name="60% - Accent1 7" xfId="727"/>
    <cellStyle name="60% - Accent1 8" xfId="728"/>
    <cellStyle name="60% - Accent1 9" xfId="729"/>
    <cellStyle name="60% - Accent2" xfId="730"/>
    <cellStyle name="60% - Accent2 10" xfId="731"/>
    <cellStyle name="60% - Accent2 11" xfId="732"/>
    <cellStyle name="60% - Accent2 12" xfId="733"/>
    <cellStyle name="60% - Accent2 13" xfId="734"/>
    <cellStyle name="60% - Accent2 14" xfId="735"/>
    <cellStyle name="60% - Accent2 15" xfId="736"/>
    <cellStyle name="60% - Accent2 2" xfId="737"/>
    <cellStyle name="60% - Accent2 2 2" xfId="738"/>
    <cellStyle name="60% - Accent2 2 2 2" xfId="739"/>
    <cellStyle name="60% - Accent2 2 3" xfId="740"/>
    <cellStyle name="60% - Accent2 2 3 2" xfId="741"/>
    <cellStyle name="60% - Accent2 2 4" xfId="742"/>
    <cellStyle name="60% - Accent2 2 5" xfId="743"/>
    <cellStyle name="60% - Accent2 2 6" xfId="744"/>
    <cellStyle name="60% - Accent2 3" xfId="745"/>
    <cellStyle name="60% - Accent2 3 2" xfId="746"/>
    <cellStyle name="60% - Accent2 3 3" xfId="747"/>
    <cellStyle name="60% - Accent2 4" xfId="748"/>
    <cellStyle name="60% - Accent2 4 2" xfId="749"/>
    <cellStyle name="60% - Accent2 5" xfId="750"/>
    <cellStyle name="60% - Accent2 6" xfId="751"/>
    <cellStyle name="60% - Accent2 7" xfId="752"/>
    <cellStyle name="60% - Accent2 8" xfId="753"/>
    <cellStyle name="60% - Accent2 9" xfId="754"/>
    <cellStyle name="60% - Accent3" xfId="755"/>
    <cellStyle name="60% - Accent3 10" xfId="756"/>
    <cellStyle name="60% - Accent3 11" xfId="757"/>
    <cellStyle name="60% - Accent3 12" xfId="758"/>
    <cellStyle name="60% - Accent3 13" xfId="759"/>
    <cellStyle name="60% - Accent3 14" xfId="760"/>
    <cellStyle name="60% - Accent3 15" xfId="761"/>
    <cellStyle name="60% - Accent3 2" xfId="762"/>
    <cellStyle name="60% - Accent3 2 2" xfId="763"/>
    <cellStyle name="60% - Accent3 2 2 2" xfId="764"/>
    <cellStyle name="60% - Accent3 2 3" xfId="765"/>
    <cellStyle name="60% - Accent3 2 3 2" xfId="766"/>
    <cellStyle name="60% - Accent3 2 4" xfId="767"/>
    <cellStyle name="60% - Accent3 2 5" xfId="768"/>
    <cellStyle name="60% - Accent3 2 6" xfId="769"/>
    <cellStyle name="60% - Accent3 2 7" xfId="770"/>
    <cellStyle name="60% - Accent3 3" xfId="771"/>
    <cellStyle name="60% - Accent3 3 2" xfId="772"/>
    <cellStyle name="60% - Accent3 3 3" xfId="773"/>
    <cellStyle name="60% - Accent3 4" xfId="774"/>
    <cellStyle name="60% - Accent3 4 2" xfId="775"/>
    <cellStyle name="60% - Accent3 5" xfId="776"/>
    <cellStyle name="60% - Accent3 6" xfId="777"/>
    <cellStyle name="60% - Accent3 7" xfId="778"/>
    <cellStyle name="60% - Accent3 8" xfId="779"/>
    <cellStyle name="60% - Accent3 9" xfId="780"/>
    <cellStyle name="60% - Accent4" xfId="781"/>
    <cellStyle name="60% - Accent4 10" xfId="782"/>
    <cellStyle name="60% - Accent4 11" xfId="783"/>
    <cellStyle name="60% - Accent4 12" xfId="784"/>
    <cellStyle name="60% - Accent4 13" xfId="785"/>
    <cellStyle name="60% - Accent4 14" xfId="786"/>
    <cellStyle name="60% - Accent4 15" xfId="787"/>
    <cellStyle name="60% - Accent4 2" xfId="788"/>
    <cellStyle name="60% - Accent4 2 2" xfId="789"/>
    <cellStyle name="60% - Accent4 2 2 2" xfId="790"/>
    <cellStyle name="60% - Accent4 2 3" xfId="791"/>
    <cellStyle name="60% - Accent4 2 3 2" xfId="792"/>
    <cellStyle name="60% - Accent4 2 4" xfId="793"/>
    <cellStyle name="60% - Accent4 2 5" xfId="794"/>
    <cellStyle name="60% - Accent4 2 6" xfId="795"/>
    <cellStyle name="60% - Accent4 2 7" xfId="796"/>
    <cellStyle name="60% - Accent4 3" xfId="797"/>
    <cellStyle name="60% - Accent4 3 2" xfId="798"/>
    <cellStyle name="60% - Accent4 3 3" xfId="799"/>
    <cellStyle name="60% - Accent4 4" xfId="800"/>
    <cellStyle name="60% - Accent4 4 2" xfId="801"/>
    <cellStyle name="60% - Accent4 5" xfId="802"/>
    <cellStyle name="60% - Accent4 6" xfId="803"/>
    <cellStyle name="60% - Accent4 7" xfId="804"/>
    <cellStyle name="60% - Accent4 8" xfId="805"/>
    <cellStyle name="60% - Accent4 9" xfId="806"/>
    <cellStyle name="60% - Accent5" xfId="807"/>
    <cellStyle name="60% - Accent5 10" xfId="808"/>
    <cellStyle name="60% - Accent5 11" xfId="809"/>
    <cellStyle name="60% - Accent5 12" xfId="810"/>
    <cellStyle name="60% - Accent5 13" xfId="811"/>
    <cellStyle name="60% - Accent5 14" xfId="812"/>
    <cellStyle name="60% - Accent5 15" xfId="813"/>
    <cellStyle name="60% - Accent5 2" xfId="814"/>
    <cellStyle name="60% - Accent5 2 2" xfId="815"/>
    <cellStyle name="60% - Accent5 2 2 2" xfId="816"/>
    <cellStyle name="60% - Accent5 2 3" xfId="817"/>
    <cellStyle name="60% - Accent5 2 3 2" xfId="818"/>
    <cellStyle name="60% - Accent5 2 4" xfId="819"/>
    <cellStyle name="60% - Accent5 2 5" xfId="820"/>
    <cellStyle name="60% - Accent5 2 6" xfId="821"/>
    <cellStyle name="60% - Accent5 3" xfId="822"/>
    <cellStyle name="60% - Accent5 3 2" xfId="823"/>
    <cellStyle name="60% - Accent5 3 3" xfId="824"/>
    <cellStyle name="60% - Accent5 4" xfId="825"/>
    <cellStyle name="60% - Accent5 4 2" xfId="826"/>
    <cellStyle name="60% - Accent5 5" xfId="827"/>
    <cellStyle name="60% - Accent5 6" xfId="828"/>
    <cellStyle name="60% - Accent5 7" xfId="829"/>
    <cellStyle name="60% - Accent5 8" xfId="830"/>
    <cellStyle name="60% - Accent5 9" xfId="831"/>
    <cellStyle name="60% - Accent6" xfId="832"/>
    <cellStyle name="60% - Accent6 10" xfId="833"/>
    <cellStyle name="60% - Accent6 11" xfId="834"/>
    <cellStyle name="60% - Accent6 12" xfId="835"/>
    <cellStyle name="60% - Accent6 13" xfId="836"/>
    <cellStyle name="60% - Accent6 14" xfId="837"/>
    <cellStyle name="60% - Accent6 15" xfId="838"/>
    <cellStyle name="60% - Accent6 2" xfId="839"/>
    <cellStyle name="60% - Accent6 2 2" xfId="840"/>
    <cellStyle name="60% - Accent6 2 2 2" xfId="841"/>
    <cellStyle name="60% - Accent6 2 3" xfId="842"/>
    <cellStyle name="60% - Accent6 2 3 2" xfId="843"/>
    <cellStyle name="60% - Accent6 2 4" xfId="844"/>
    <cellStyle name="60% - Accent6 2 5" xfId="845"/>
    <cellStyle name="60% - Accent6 2 6" xfId="846"/>
    <cellStyle name="60% - Accent6 3" xfId="847"/>
    <cellStyle name="60% - Accent6 3 2" xfId="848"/>
    <cellStyle name="60% - Accent6 3 3" xfId="849"/>
    <cellStyle name="60% - Accent6 4" xfId="850"/>
    <cellStyle name="60% - Accent6 4 2" xfId="851"/>
    <cellStyle name="60% - Accent6 5" xfId="852"/>
    <cellStyle name="60% - Accent6 6" xfId="853"/>
    <cellStyle name="60% - Accent6 7" xfId="854"/>
    <cellStyle name="60% - Accent6 8" xfId="855"/>
    <cellStyle name="60% - Accent6 9" xfId="856"/>
    <cellStyle name="Accent1" xfId="857"/>
    <cellStyle name="Accent1 10" xfId="858"/>
    <cellStyle name="Accent1 11" xfId="859"/>
    <cellStyle name="Accent1 12" xfId="860"/>
    <cellStyle name="Accent1 13" xfId="861"/>
    <cellStyle name="Accent1 14" xfId="862"/>
    <cellStyle name="Accent1 15" xfId="863"/>
    <cellStyle name="Accent1 2" xfId="864"/>
    <cellStyle name="Accent1 2 2" xfId="865"/>
    <cellStyle name="Accent1 2 2 2" xfId="866"/>
    <cellStyle name="Accent1 2 3" xfId="867"/>
    <cellStyle name="Accent1 2 3 2" xfId="868"/>
    <cellStyle name="Accent1 2 4" xfId="869"/>
    <cellStyle name="Accent1 2 5" xfId="870"/>
    <cellStyle name="Accent1 2 6" xfId="871"/>
    <cellStyle name="Accent1 2 7" xfId="872"/>
    <cellStyle name="Accent1 3" xfId="873"/>
    <cellStyle name="Accent1 3 2" xfId="874"/>
    <cellStyle name="Accent1 3 3" xfId="875"/>
    <cellStyle name="Accent1 4" xfId="876"/>
    <cellStyle name="Accent1 4 2" xfId="877"/>
    <cellStyle name="Accent1 5" xfId="878"/>
    <cellStyle name="Accent1 6" xfId="879"/>
    <cellStyle name="Accent1 7" xfId="880"/>
    <cellStyle name="Accent1 8" xfId="881"/>
    <cellStyle name="Accent1 9" xfId="882"/>
    <cellStyle name="Accent2" xfId="883"/>
    <cellStyle name="Accent2 10" xfId="884"/>
    <cellStyle name="Accent2 11" xfId="885"/>
    <cellStyle name="Accent2 12" xfId="886"/>
    <cellStyle name="Accent2 13" xfId="887"/>
    <cellStyle name="Accent2 14" xfId="888"/>
    <cellStyle name="Accent2 15" xfId="889"/>
    <cellStyle name="Accent2 2" xfId="890"/>
    <cellStyle name="Accent2 2 2" xfId="891"/>
    <cellStyle name="Accent2 2 2 2" xfId="892"/>
    <cellStyle name="Accent2 2 3" xfId="893"/>
    <cellStyle name="Accent2 2 3 2" xfId="894"/>
    <cellStyle name="Accent2 2 4" xfId="895"/>
    <cellStyle name="Accent2 2 5" xfId="896"/>
    <cellStyle name="Accent2 2 6" xfId="897"/>
    <cellStyle name="Accent2 2 7" xfId="898"/>
    <cellStyle name="Accent2 3" xfId="899"/>
    <cellStyle name="Accent2 3 2" xfId="900"/>
    <cellStyle name="Accent2 3 3" xfId="901"/>
    <cellStyle name="Accent2 4" xfId="902"/>
    <cellStyle name="Accent2 4 2" xfId="903"/>
    <cellStyle name="Accent2 5" xfId="904"/>
    <cellStyle name="Accent2 6" xfId="905"/>
    <cellStyle name="Accent2 7" xfId="906"/>
    <cellStyle name="Accent2 8" xfId="907"/>
    <cellStyle name="Accent2 9" xfId="908"/>
    <cellStyle name="Accent3" xfId="909"/>
    <cellStyle name="Accent3 10" xfId="910"/>
    <cellStyle name="Accent3 11" xfId="911"/>
    <cellStyle name="Accent3 12" xfId="912"/>
    <cellStyle name="Accent3 13" xfId="913"/>
    <cellStyle name="Accent3 14" xfId="914"/>
    <cellStyle name="Accent3 15" xfId="915"/>
    <cellStyle name="Accent3 2" xfId="916"/>
    <cellStyle name="Accent3 2 2" xfId="917"/>
    <cellStyle name="Accent3 2 2 2" xfId="918"/>
    <cellStyle name="Accent3 2 3" xfId="919"/>
    <cellStyle name="Accent3 2 3 2" xfId="920"/>
    <cellStyle name="Accent3 2 4" xfId="921"/>
    <cellStyle name="Accent3 2 5" xfId="922"/>
    <cellStyle name="Accent3 2 6" xfId="923"/>
    <cellStyle name="Accent3 2 7" xfId="924"/>
    <cellStyle name="Accent3 3" xfId="925"/>
    <cellStyle name="Accent3 3 2" xfId="926"/>
    <cellStyle name="Accent3 3 3" xfId="927"/>
    <cellStyle name="Accent3 4" xfId="928"/>
    <cellStyle name="Accent3 4 2" xfId="929"/>
    <cellStyle name="Accent3 5" xfId="930"/>
    <cellStyle name="Accent3 6" xfId="931"/>
    <cellStyle name="Accent3 7" xfId="932"/>
    <cellStyle name="Accent3 8" xfId="933"/>
    <cellStyle name="Accent3 9" xfId="934"/>
    <cellStyle name="Accent4" xfId="935"/>
    <cellStyle name="Accent4 10" xfId="936"/>
    <cellStyle name="Accent4 11" xfId="937"/>
    <cellStyle name="Accent4 12" xfId="938"/>
    <cellStyle name="Accent4 13" xfId="939"/>
    <cellStyle name="Accent4 14" xfId="940"/>
    <cellStyle name="Accent4 15" xfId="941"/>
    <cellStyle name="Accent4 2" xfId="942"/>
    <cellStyle name="Accent4 2 2" xfId="943"/>
    <cellStyle name="Accent4 2 2 2" xfId="944"/>
    <cellStyle name="Accent4 2 3" xfId="945"/>
    <cellStyle name="Accent4 2 3 2" xfId="946"/>
    <cellStyle name="Accent4 2 4" xfId="947"/>
    <cellStyle name="Accent4 2 5" xfId="948"/>
    <cellStyle name="Accent4 2 6" xfId="949"/>
    <cellStyle name="Accent4 2 7" xfId="950"/>
    <cellStyle name="Accent4 3" xfId="951"/>
    <cellStyle name="Accent4 3 2" xfId="952"/>
    <cellStyle name="Accent4 3 3" xfId="953"/>
    <cellStyle name="Accent4 4" xfId="954"/>
    <cellStyle name="Accent4 4 2" xfId="955"/>
    <cellStyle name="Accent4 5" xfId="956"/>
    <cellStyle name="Accent4 6" xfId="957"/>
    <cellStyle name="Accent4 7" xfId="958"/>
    <cellStyle name="Accent4 8" xfId="959"/>
    <cellStyle name="Accent4 9" xfId="960"/>
    <cellStyle name="Accent5" xfId="961"/>
    <cellStyle name="Accent5 10" xfId="962"/>
    <cellStyle name="Accent5 11" xfId="963"/>
    <cellStyle name="Accent5 12" xfId="964"/>
    <cellStyle name="Accent5 13" xfId="965"/>
    <cellStyle name="Accent5 14" xfId="966"/>
    <cellStyle name="Accent5 15" xfId="967"/>
    <cellStyle name="Accent5 2" xfId="968"/>
    <cellStyle name="Accent5 2 2" xfId="969"/>
    <cellStyle name="Accent5 2 2 2" xfId="970"/>
    <cellStyle name="Accent5 2 3" xfId="971"/>
    <cellStyle name="Accent5 2 3 2" xfId="972"/>
    <cellStyle name="Accent5 2 4" xfId="973"/>
    <cellStyle name="Accent5 2 5" xfId="974"/>
    <cellStyle name="Accent5 2 6" xfId="975"/>
    <cellStyle name="Accent5 3" xfId="976"/>
    <cellStyle name="Accent5 3 2" xfId="977"/>
    <cellStyle name="Accent5 3 3" xfId="978"/>
    <cellStyle name="Accent5 4" xfId="979"/>
    <cellStyle name="Accent5 4 2" xfId="980"/>
    <cellStyle name="Accent5 5" xfId="981"/>
    <cellStyle name="Accent5 6" xfId="982"/>
    <cellStyle name="Accent5 7" xfId="983"/>
    <cellStyle name="Accent5 8" xfId="984"/>
    <cellStyle name="Accent5 9" xfId="985"/>
    <cellStyle name="Accent6" xfId="986"/>
    <cellStyle name="Accent6 10" xfId="987"/>
    <cellStyle name="Accent6 11" xfId="988"/>
    <cellStyle name="Accent6 12" xfId="989"/>
    <cellStyle name="Accent6 13" xfId="990"/>
    <cellStyle name="Accent6 14" xfId="991"/>
    <cellStyle name="Accent6 15" xfId="992"/>
    <cellStyle name="Accent6 2" xfId="993"/>
    <cellStyle name="Accent6 2 2" xfId="994"/>
    <cellStyle name="Accent6 2 2 2" xfId="995"/>
    <cellStyle name="Accent6 2 3" xfId="996"/>
    <cellStyle name="Accent6 2 3 2" xfId="997"/>
    <cellStyle name="Accent6 2 4" xfId="998"/>
    <cellStyle name="Accent6 2 5" xfId="999"/>
    <cellStyle name="Accent6 2 6" xfId="1000"/>
    <cellStyle name="Accent6 2 7" xfId="1001"/>
    <cellStyle name="Accent6 3" xfId="1002"/>
    <cellStyle name="Accent6 3 2" xfId="1003"/>
    <cellStyle name="Accent6 3 3" xfId="1004"/>
    <cellStyle name="Accent6 4" xfId="1005"/>
    <cellStyle name="Accent6 4 2" xfId="1006"/>
    <cellStyle name="Accent6 5" xfId="1007"/>
    <cellStyle name="Accent6 6" xfId="1008"/>
    <cellStyle name="Accent6 7" xfId="1009"/>
    <cellStyle name="Accent6 8" xfId="1010"/>
    <cellStyle name="Accent6 9" xfId="1011"/>
    <cellStyle name="Bad" xfId="1012"/>
    <cellStyle name="Bad 10" xfId="1013"/>
    <cellStyle name="Bad 11" xfId="1014"/>
    <cellStyle name="Bad 12" xfId="1015"/>
    <cellStyle name="Bad 13" xfId="1016"/>
    <cellStyle name="Bad 14" xfId="1017"/>
    <cellStyle name="Bad 15" xfId="1018"/>
    <cellStyle name="Bad 2" xfId="1019"/>
    <cellStyle name="Bad 2 2" xfId="1020"/>
    <cellStyle name="Bad 2 2 2" xfId="1021"/>
    <cellStyle name="Bad 2 3" xfId="1022"/>
    <cellStyle name="Bad 2 3 2" xfId="1023"/>
    <cellStyle name="Bad 2 4" xfId="1024"/>
    <cellStyle name="Bad 2 5" xfId="1025"/>
    <cellStyle name="Bad 2 6" xfId="1026"/>
    <cellStyle name="Bad 3" xfId="1027"/>
    <cellStyle name="Bad 3 2" xfId="1028"/>
    <cellStyle name="Bad 3 3" xfId="1029"/>
    <cellStyle name="Bad 4" xfId="1030"/>
    <cellStyle name="Bad 4 2" xfId="1031"/>
    <cellStyle name="Bad 5" xfId="1032"/>
    <cellStyle name="Bad 6" xfId="1033"/>
    <cellStyle name="Bad 7" xfId="1034"/>
    <cellStyle name="Bad 8" xfId="1035"/>
    <cellStyle name="Bad 9" xfId="1036"/>
    <cellStyle name="Calculation" xfId="1037"/>
    <cellStyle name="Calculation 10" xfId="1038"/>
    <cellStyle name="Calculation 11" xfId="1039"/>
    <cellStyle name="Calculation 12" xfId="1040"/>
    <cellStyle name="Calculation 13" xfId="1041"/>
    <cellStyle name="Calculation 14" xfId="1042"/>
    <cellStyle name="Calculation 15" xfId="1043"/>
    <cellStyle name="Calculation 2" xfId="1044"/>
    <cellStyle name="Calculation 2 2" xfId="1045"/>
    <cellStyle name="Calculation 2 2 2" xfId="1046"/>
    <cellStyle name="Calculation 2 3" xfId="1047"/>
    <cellStyle name="Calculation 2 3 2" xfId="1048"/>
    <cellStyle name="Calculation 2 4" xfId="1049"/>
    <cellStyle name="Calculation 2 5" xfId="1050"/>
    <cellStyle name="Calculation 2 6" xfId="1051"/>
    <cellStyle name="Calculation 3" xfId="1052"/>
    <cellStyle name="Calculation 3 2" xfId="1053"/>
    <cellStyle name="Calculation 3 3" xfId="1054"/>
    <cellStyle name="Calculation 4" xfId="1055"/>
    <cellStyle name="Calculation 4 2" xfId="1056"/>
    <cellStyle name="Calculation 5" xfId="1057"/>
    <cellStyle name="Calculation 6" xfId="1058"/>
    <cellStyle name="Calculation 7" xfId="1059"/>
    <cellStyle name="Calculation 8" xfId="1060"/>
    <cellStyle name="Calculation 9" xfId="1061"/>
    <cellStyle name="Check Cell" xfId="1062"/>
    <cellStyle name="Check Cell 10" xfId="1063"/>
    <cellStyle name="Check Cell 11" xfId="1064"/>
    <cellStyle name="Check Cell 12" xfId="1065"/>
    <cellStyle name="Check Cell 13" xfId="1066"/>
    <cellStyle name="Check Cell 14" xfId="1067"/>
    <cellStyle name="Check Cell 15" xfId="1068"/>
    <cellStyle name="Check Cell 2" xfId="1069"/>
    <cellStyle name="Check Cell 2 2" xfId="1070"/>
    <cellStyle name="Check Cell 2 2 2" xfId="1071"/>
    <cellStyle name="Check Cell 2 3" xfId="1072"/>
    <cellStyle name="Check Cell 2 3 2" xfId="1073"/>
    <cellStyle name="Check Cell 2 4" xfId="1074"/>
    <cellStyle name="Check Cell 2 5" xfId="1075"/>
    <cellStyle name="Check Cell 2 6" xfId="1076"/>
    <cellStyle name="Check Cell 3" xfId="1077"/>
    <cellStyle name="Check Cell 3 2" xfId="1078"/>
    <cellStyle name="Check Cell 3 3" xfId="1079"/>
    <cellStyle name="Check Cell 4" xfId="1080"/>
    <cellStyle name="Check Cell 4 2" xfId="1081"/>
    <cellStyle name="Check Cell 5" xfId="1082"/>
    <cellStyle name="Check Cell 6" xfId="1083"/>
    <cellStyle name="Check Cell 7" xfId="1084"/>
    <cellStyle name="Check Cell 8" xfId="1085"/>
    <cellStyle name="Check Cell 9" xfId="1086"/>
    <cellStyle name="Comma" xfId="1087"/>
    <cellStyle name="Comma [0]" xfId="1088"/>
    <cellStyle name="Comma 10" xfId="1089"/>
    <cellStyle name="Comma 11" xfId="1090"/>
    <cellStyle name="Comma 12" xfId="1091"/>
    <cellStyle name="Comma 13" xfId="1092"/>
    <cellStyle name="Comma 14" xfId="1093"/>
    <cellStyle name="Comma 15" xfId="1094"/>
    <cellStyle name="Comma 16" xfId="1095"/>
    <cellStyle name="Comma 17" xfId="1096"/>
    <cellStyle name="Comma 18" xfId="1097"/>
    <cellStyle name="Comma 2" xfId="1098"/>
    <cellStyle name="Comma 2 10" xfId="1099"/>
    <cellStyle name="Comma 2 2" xfId="1100"/>
    <cellStyle name="Comma 2 2 2" xfId="1101"/>
    <cellStyle name="Comma 2 2 3" xfId="1102"/>
    <cellStyle name="Comma 2 3" xfId="1103"/>
    <cellStyle name="Comma 2 3 2" xfId="1104"/>
    <cellStyle name="Comma 2 3 3" xfId="1105"/>
    <cellStyle name="Comma 2 4" xfId="1106"/>
    <cellStyle name="Comma 2 4 2" xfId="1107"/>
    <cellStyle name="Comma 2 5" xfId="1108"/>
    <cellStyle name="Comma 2 5 2" xfId="1109"/>
    <cellStyle name="Comma 2 6" xfId="1110"/>
    <cellStyle name="Comma 2 6 2" xfId="1111"/>
    <cellStyle name="Comma 2 7" xfId="1112"/>
    <cellStyle name="Comma 2 8" xfId="1113"/>
    <cellStyle name="Comma 2 9" xfId="1114"/>
    <cellStyle name="Comma 3" xfId="1115"/>
    <cellStyle name="Comma 3 2" xfId="1116"/>
    <cellStyle name="Comma 3 2 2" xfId="1117"/>
    <cellStyle name="Comma 3 2 2 2" xfId="1118"/>
    <cellStyle name="Comma 3 2 2 3" xfId="1119"/>
    <cellStyle name="Comma 3 2 3" xfId="1120"/>
    <cellStyle name="Comma 3 3" xfId="1121"/>
    <cellStyle name="Comma 3 3 2" xfId="1122"/>
    <cellStyle name="Comma 3 3 3" xfId="1123"/>
    <cellStyle name="Comma 3 4" xfId="1124"/>
    <cellStyle name="Comma 3 4 2" xfId="1125"/>
    <cellStyle name="Comma 3 5" xfId="1126"/>
    <cellStyle name="Comma 3 6" xfId="1127"/>
    <cellStyle name="Comma 3 7" xfId="1128"/>
    <cellStyle name="Comma 4" xfId="1129"/>
    <cellStyle name="Comma 4 2" xfId="1130"/>
    <cellStyle name="Comma 4 2 2" xfId="1131"/>
    <cellStyle name="Comma 4 3" xfId="1132"/>
    <cellStyle name="Comma 4 3 2" xfId="1133"/>
    <cellStyle name="Comma 4 4" xfId="1134"/>
    <cellStyle name="Comma 4 5" xfId="1135"/>
    <cellStyle name="Comma 4 6" xfId="1136"/>
    <cellStyle name="Comma 5" xfId="1137"/>
    <cellStyle name="Comma 5 2" xfId="1138"/>
    <cellStyle name="Comma 5 3" xfId="1139"/>
    <cellStyle name="Comma 6" xfId="1140"/>
    <cellStyle name="Comma 6 2" xfId="1141"/>
    <cellStyle name="Comma 7" xfId="1142"/>
    <cellStyle name="Comma 7 2" xfId="1143"/>
    <cellStyle name="Comma 7 2 2" xfId="1144"/>
    <cellStyle name="Comma 7 2 3" xfId="1145"/>
    <cellStyle name="Comma 7 3" xfId="1146"/>
    <cellStyle name="Comma 7 3 2" xfId="1147"/>
    <cellStyle name="Comma 7 4" xfId="1148"/>
    <cellStyle name="Comma 7 5" xfId="1149"/>
    <cellStyle name="Comma 7 6" xfId="1150"/>
    <cellStyle name="Comma 8" xfId="1151"/>
    <cellStyle name="Comma 8 2" xfId="1152"/>
    <cellStyle name="Comma 9" xfId="1153"/>
    <cellStyle name="Comma0" xfId="1154"/>
    <cellStyle name="Comma0 2" xfId="1155"/>
    <cellStyle name="Comma0 2 2" xfId="1156"/>
    <cellStyle name="Comma0 3" xfId="1157"/>
    <cellStyle name="Comma0 3 2" xfId="1158"/>
    <cellStyle name="Comma0 4" xfId="1159"/>
    <cellStyle name="Currency" xfId="1160"/>
    <cellStyle name="Currency [0]" xfId="1161"/>
    <cellStyle name="Currency 10" xfId="1162"/>
    <cellStyle name="Currency 11" xfId="1163"/>
    <cellStyle name="Currency 2" xfId="1164"/>
    <cellStyle name="Currency 2 2" xfId="1165"/>
    <cellStyle name="Currency 2 2 2" xfId="1166"/>
    <cellStyle name="Currency 2 2 3" xfId="1167"/>
    <cellStyle name="Currency 2 3" xfId="1168"/>
    <cellStyle name="Currency 2 3 2" xfId="1169"/>
    <cellStyle name="Currency 2 3 3" xfId="1170"/>
    <cellStyle name="Currency 2 4" xfId="1171"/>
    <cellStyle name="Currency 2 4 2" xfId="1172"/>
    <cellStyle name="Currency 2 5" xfId="1173"/>
    <cellStyle name="Currency 2 5 2" xfId="1174"/>
    <cellStyle name="Currency 2 6" xfId="1175"/>
    <cellStyle name="Currency 2 6 2" xfId="1176"/>
    <cellStyle name="Currency 2 7" xfId="1177"/>
    <cellStyle name="Currency 2 8" xfId="1178"/>
    <cellStyle name="Currency 2 9" xfId="1179"/>
    <cellStyle name="Currency 3" xfId="1180"/>
    <cellStyle name="Currency 3 2" xfId="1181"/>
    <cellStyle name="Currency 3 2 2" xfId="1182"/>
    <cellStyle name="Currency 3 3" xfId="1183"/>
    <cellStyle name="Currency 4" xfId="1184"/>
    <cellStyle name="Currency 4 2" xfId="1185"/>
    <cellStyle name="Currency 5" xfId="1186"/>
    <cellStyle name="Currency 5 2" xfId="1187"/>
    <cellStyle name="Currency 5 2 2" xfId="1188"/>
    <cellStyle name="Currency 5 3" xfId="1189"/>
    <cellStyle name="Currency 5 4" xfId="1190"/>
    <cellStyle name="Currency 5 5" xfId="1191"/>
    <cellStyle name="Currency 5 6" xfId="1192"/>
    <cellStyle name="Currency 6" xfId="1193"/>
    <cellStyle name="Currency 6 2" xfId="1194"/>
    <cellStyle name="Currency 7" xfId="1195"/>
    <cellStyle name="Currency 8" xfId="1196"/>
    <cellStyle name="Currency 9" xfId="1197"/>
    <cellStyle name="Currency0" xfId="1198"/>
    <cellStyle name="Currency0 2" xfId="1199"/>
    <cellStyle name="Currency0 2 2" xfId="1200"/>
    <cellStyle name="Currency0 3" xfId="1201"/>
    <cellStyle name="Currency0 3 2" xfId="1202"/>
    <cellStyle name="Currency0 4" xfId="1203"/>
    <cellStyle name="Date" xfId="1204"/>
    <cellStyle name="Date 2" xfId="1205"/>
    <cellStyle name="Date 2 2" xfId="1206"/>
    <cellStyle name="Date 3" xfId="1207"/>
    <cellStyle name="Date 3 2" xfId="1208"/>
    <cellStyle name="Date 4" xfId="1209"/>
    <cellStyle name="Excel Built-in Good" xfId="1210"/>
    <cellStyle name="Excel Built-in Good 2" xfId="1211"/>
    <cellStyle name="Excel Built-in Normal" xfId="1212"/>
    <cellStyle name="Explanatory Text" xfId="1213"/>
    <cellStyle name="Explanatory Text 10" xfId="1214"/>
    <cellStyle name="Explanatory Text 11" xfId="1215"/>
    <cellStyle name="Explanatory Text 12" xfId="1216"/>
    <cellStyle name="Explanatory Text 13" xfId="1217"/>
    <cellStyle name="Explanatory Text 14" xfId="1218"/>
    <cellStyle name="Explanatory Text 15" xfId="1219"/>
    <cellStyle name="Explanatory Text 2" xfId="1220"/>
    <cellStyle name="Explanatory Text 2 2" xfId="1221"/>
    <cellStyle name="Explanatory Text 2 2 2" xfId="1222"/>
    <cellStyle name="Explanatory Text 2 3" xfId="1223"/>
    <cellStyle name="Explanatory Text 2 3 2" xfId="1224"/>
    <cellStyle name="Explanatory Text 2 4" xfId="1225"/>
    <cellStyle name="Explanatory Text 2 5" xfId="1226"/>
    <cellStyle name="Explanatory Text 2 6" xfId="1227"/>
    <cellStyle name="Explanatory Text 3" xfId="1228"/>
    <cellStyle name="Explanatory Text 3 2" xfId="1229"/>
    <cellStyle name="Explanatory Text 3 3" xfId="1230"/>
    <cellStyle name="Explanatory Text 4" xfId="1231"/>
    <cellStyle name="Explanatory Text 4 2" xfId="1232"/>
    <cellStyle name="Explanatory Text 5" xfId="1233"/>
    <cellStyle name="Explanatory Text 6" xfId="1234"/>
    <cellStyle name="Explanatory Text 7" xfId="1235"/>
    <cellStyle name="Explanatory Text 8" xfId="1236"/>
    <cellStyle name="Explanatory Text 9" xfId="1237"/>
    <cellStyle name="fitness_general" xfId="1238"/>
    <cellStyle name="Fitness-header" xfId="1239"/>
    <cellStyle name="Fixed" xfId="1240"/>
    <cellStyle name="Fixed 2" xfId="1241"/>
    <cellStyle name="Fixed 2 2" xfId="1242"/>
    <cellStyle name="Fixed 3" xfId="1243"/>
    <cellStyle name="Fixed 3 2" xfId="1244"/>
    <cellStyle name="Fixed 4" xfId="1245"/>
    <cellStyle name="Followed Hyperlink" xfId="1246"/>
    <cellStyle name="Good" xfId="1247"/>
    <cellStyle name="Good 10" xfId="1248"/>
    <cellStyle name="Good 11" xfId="1249"/>
    <cellStyle name="Good 12" xfId="1250"/>
    <cellStyle name="Good 13" xfId="1251"/>
    <cellStyle name="Good 14" xfId="1252"/>
    <cellStyle name="Good 15" xfId="1253"/>
    <cellStyle name="Good 2" xfId="1254"/>
    <cellStyle name="Good 2 2" xfId="1255"/>
    <cellStyle name="Good 2 2 2" xfId="1256"/>
    <cellStyle name="Good 2 3" xfId="1257"/>
    <cellStyle name="Good 2 3 2" xfId="1258"/>
    <cellStyle name="Good 2 4" xfId="1259"/>
    <cellStyle name="Good 2 5" xfId="1260"/>
    <cellStyle name="Good 2 6" xfId="1261"/>
    <cellStyle name="Good 3" xfId="1262"/>
    <cellStyle name="Good 3 2" xfId="1263"/>
    <cellStyle name="Good 3 3" xfId="1264"/>
    <cellStyle name="Good 4" xfId="1265"/>
    <cellStyle name="Good 4 2" xfId="1266"/>
    <cellStyle name="Good 5" xfId="1267"/>
    <cellStyle name="Good 6" xfId="1268"/>
    <cellStyle name="Good 7" xfId="1269"/>
    <cellStyle name="Good 8" xfId="1270"/>
    <cellStyle name="Good 9" xfId="1271"/>
    <cellStyle name="Grey" xfId="1272"/>
    <cellStyle name="Grey 2" xfId="1273"/>
    <cellStyle name="Grey 2 2" xfId="1274"/>
    <cellStyle name="Grey 3" xfId="1275"/>
    <cellStyle name="Grey 4" xfId="1276"/>
    <cellStyle name="Heading 1" xfId="1277"/>
    <cellStyle name="Heading 1 10" xfId="1278"/>
    <cellStyle name="Heading 1 11" xfId="1279"/>
    <cellStyle name="Heading 1 12" xfId="1280"/>
    <cellStyle name="Heading 1 13" xfId="1281"/>
    <cellStyle name="Heading 1 14" xfId="1282"/>
    <cellStyle name="Heading 1 15" xfId="1283"/>
    <cellStyle name="Heading 1 2" xfId="1284"/>
    <cellStyle name="Heading 1 2 2" xfId="1285"/>
    <cellStyle name="Heading 1 2 2 2" xfId="1286"/>
    <cellStyle name="Heading 1 2 3" xfId="1287"/>
    <cellStyle name="Heading 1 2 3 2" xfId="1288"/>
    <cellStyle name="Heading 1 2 4" xfId="1289"/>
    <cellStyle name="Heading 1 2 5" xfId="1290"/>
    <cellStyle name="Heading 1 3" xfId="1291"/>
    <cellStyle name="Heading 1 3 2" xfId="1292"/>
    <cellStyle name="Heading 1 4" xfId="1293"/>
    <cellStyle name="Heading 1 4 2" xfId="1294"/>
    <cellStyle name="Heading 1 4 3" xfId="1295"/>
    <cellStyle name="Heading 1 5" xfId="1296"/>
    <cellStyle name="Heading 1 6" xfId="1297"/>
    <cellStyle name="Heading 1 7" xfId="1298"/>
    <cellStyle name="Heading 1 8" xfId="1299"/>
    <cellStyle name="Heading 1 9" xfId="1300"/>
    <cellStyle name="Heading 2" xfId="1301"/>
    <cellStyle name="Heading 2 10" xfId="1302"/>
    <cellStyle name="Heading 2 11" xfId="1303"/>
    <cellStyle name="Heading 2 12" xfId="1304"/>
    <cellStyle name="Heading 2 13" xfId="1305"/>
    <cellStyle name="Heading 2 14" xfId="1306"/>
    <cellStyle name="Heading 2 15" xfId="1307"/>
    <cellStyle name="Heading 2 2" xfId="1308"/>
    <cellStyle name="Heading 2 2 2" xfId="1309"/>
    <cellStyle name="Heading 2 2 2 2" xfId="1310"/>
    <cellStyle name="Heading 2 2 3" xfId="1311"/>
    <cellStyle name="Heading 2 2 3 2" xfId="1312"/>
    <cellStyle name="Heading 2 2 4" xfId="1313"/>
    <cellStyle name="Heading 2 2 5" xfId="1314"/>
    <cellStyle name="Heading 2 3" xfId="1315"/>
    <cellStyle name="Heading 2 3 2" xfId="1316"/>
    <cellStyle name="Heading 2 4" xfId="1317"/>
    <cellStyle name="Heading 2 4 2" xfId="1318"/>
    <cellStyle name="Heading 2 4 3" xfId="1319"/>
    <cellStyle name="Heading 2 5" xfId="1320"/>
    <cellStyle name="Heading 2 6" xfId="1321"/>
    <cellStyle name="Heading 2 7" xfId="1322"/>
    <cellStyle name="Heading 2 8" xfId="1323"/>
    <cellStyle name="Heading 2 9" xfId="1324"/>
    <cellStyle name="Heading 3" xfId="1325"/>
    <cellStyle name="Heading 3 10" xfId="1326"/>
    <cellStyle name="Heading 3 11" xfId="1327"/>
    <cellStyle name="Heading 3 12" xfId="1328"/>
    <cellStyle name="Heading 3 13" xfId="1329"/>
    <cellStyle name="Heading 3 14" xfId="1330"/>
    <cellStyle name="Heading 3 15" xfId="1331"/>
    <cellStyle name="Heading 3 2" xfId="1332"/>
    <cellStyle name="Heading 3 2 2" xfId="1333"/>
    <cellStyle name="Heading 3 2 2 2" xfId="1334"/>
    <cellStyle name="Heading 3 2 3" xfId="1335"/>
    <cellStyle name="Heading 3 2 3 2" xfId="1336"/>
    <cellStyle name="Heading 3 2 4" xfId="1337"/>
    <cellStyle name="Heading 3 2 5" xfId="1338"/>
    <cellStyle name="Heading 3 3" xfId="1339"/>
    <cellStyle name="Heading 3 3 2" xfId="1340"/>
    <cellStyle name="Heading 3 3 3" xfId="1341"/>
    <cellStyle name="Heading 3 4" xfId="1342"/>
    <cellStyle name="Heading 3 4 2" xfId="1343"/>
    <cellStyle name="Heading 3 5" xfId="1344"/>
    <cellStyle name="Heading 3 6" xfId="1345"/>
    <cellStyle name="Heading 3 7" xfId="1346"/>
    <cellStyle name="Heading 3 8" xfId="1347"/>
    <cellStyle name="Heading 3 9" xfId="1348"/>
    <cellStyle name="Heading 4" xfId="1349"/>
    <cellStyle name="Heading 4 10" xfId="1350"/>
    <cellStyle name="Heading 4 11" xfId="1351"/>
    <cellStyle name="Heading 4 12" xfId="1352"/>
    <cellStyle name="Heading 4 13" xfId="1353"/>
    <cellStyle name="Heading 4 14" xfId="1354"/>
    <cellStyle name="Heading 4 15" xfId="1355"/>
    <cellStyle name="Heading 4 2" xfId="1356"/>
    <cellStyle name="Heading 4 2 2" xfId="1357"/>
    <cellStyle name="Heading 4 2 2 2" xfId="1358"/>
    <cellStyle name="Heading 4 2 3" xfId="1359"/>
    <cellStyle name="Heading 4 2 3 2" xfId="1360"/>
    <cellStyle name="Heading 4 2 4" xfId="1361"/>
    <cellStyle name="Heading 4 2 5" xfId="1362"/>
    <cellStyle name="Heading 4 3" xfId="1363"/>
    <cellStyle name="Heading 4 3 2" xfId="1364"/>
    <cellStyle name="Heading 4 3 3" xfId="1365"/>
    <cellStyle name="Heading 4 4" xfId="1366"/>
    <cellStyle name="Heading 4 4 2" xfId="1367"/>
    <cellStyle name="Heading 4 5" xfId="1368"/>
    <cellStyle name="Heading 4 6" xfId="1369"/>
    <cellStyle name="Heading 4 7" xfId="1370"/>
    <cellStyle name="Heading 4 8" xfId="1371"/>
    <cellStyle name="Heading 4 9" xfId="1372"/>
    <cellStyle name="Hyperlink" xfId="1373"/>
    <cellStyle name="Hyperlink 2" xfId="1374"/>
    <cellStyle name="Hyperlink 2 2" xfId="1375"/>
    <cellStyle name="Hyperlink 3" xfId="1376"/>
    <cellStyle name="Hyperlink 3 2" xfId="1377"/>
    <cellStyle name="Hyperlink 4" xfId="1378"/>
    <cellStyle name="Hyperlink 5" xfId="1379"/>
    <cellStyle name="Hyperlink 6" xfId="1380"/>
    <cellStyle name="Input" xfId="1381"/>
    <cellStyle name="Input [yellow]" xfId="1382"/>
    <cellStyle name="Input [yellow] 2" xfId="1383"/>
    <cellStyle name="Input [yellow] 2 2" xfId="1384"/>
    <cellStyle name="Input [yellow] 3" xfId="1385"/>
    <cellStyle name="Input 10" xfId="1386"/>
    <cellStyle name="Input 10 2" xfId="1387"/>
    <cellStyle name="Input 11" xfId="1388"/>
    <cellStyle name="Input 11 2" xfId="1389"/>
    <cellStyle name="Input 12" xfId="1390"/>
    <cellStyle name="Input 12 2" xfId="1391"/>
    <cellStyle name="Input 13" xfId="1392"/>
    <cellStyle name="Input 13 2" xfId="1393"/>
    <cellStyle name="Input 14" xfId="1394"/>
    <cellStyle name="Input 14 2" xfId="1395"/>
    <cellStyle name="Input 15" xfId="1396"/>
    <cellStyle name="Input 15 2" xfId="1397"/>
    <cellStyle name="Input 16" xfId="1398"/>
    <cellStyle name="Input 16 2" xfId="1399"/>
    <cellStyle name="Input 17" xfId="1400"/>
    <cellStyle name="Input 17 2" xfId="1401"/>
    <cellStyle name="Input 18" xfId="1402"/>
    <cellStyle name="Input 18 2" xfId="1403"/>
    <cellStyle name="Input 19" xfId="1404"/>
    <cellStyle name="Input 19 2" xfId="1405"/>
    <cellStyle name="Input 2" xfId="1406"/>
    <cellStyle name="Input 2 2" xfId="1407"/>
    <cellStyle name="Input 2 2 2" xfId="1408"/>
    <cellStyle name="Input 2 3" xfId="1409"/>
    <cellStyle name="Input 2 3 2" xfId="1410"/>
    <cellStyle name="Input 2 4" xfId="1411"/>
    <cellStyle name="Input 2 5" xfId="1412"/>
    <cellStyle name="Input 2 6" xfId="1413"/>
    <cellStyle name="Input 20" xfId="1414"/>
    <cellStyle name="Input 20 2" xfId="1415"/>
    <cellStyle name="Input 21" xfId="1416"/>
    <cellStyle name="Input 21 2" xfId="1417"/>
    <cellStyle name="Input 22" xfId="1418"/>
    <cellStyle name="Input 22 2" xfId="1419"/>
    <cellStyle name="Input 23" xfId="1420"/>
    <cellStyle name="Input 23 2" xfId="1421"/>
    <cellStyle name="Input 24" xfId="1422"/>
    <cellStyle name="Input 24 2" xfId="1423"/>
    <cellStyle name="Input 25" xfId="1424"/>
    <cellStyle name="Input 25 2" xfId="1425"/>
    <cellStyle name="Input 26" xfId="1426"/>
    <cellStyle name="Input 26 2" xfId="1427"/>
    <cellStyle name="Input 27" xfId="1428"/>
    <cellStyle name="Input 27 2" xfId="1429"/>
    <cellStyle name="Input 28" xfId="1430"/>
    <cellStyle name="Input 28 2" xfId="1431"/>
    <cellStyle name="Input 29" xfId="1432"/>
    <cellStyle name="Input 29 2" xfId="1433"/>
    <cellStyle name="Input 3" xfId="1434"/>
    <cellStyle name="Input 3 2" xfId="1435"/>
    <cellStyle name="Input 3 3" xfId="1436"/>
    <cellStyle name="Input 30" xfId="1437"/>
    <cellStyle name="Input 31" xfId="1438"/>
    <cellStyle name="Input 32" xfId="1439"/>
    <cellStyle name="Input 33" xfId="1440"/>
    <cellStyle name="Input 34" xfId="1441"/>
    <cellStyle name="Input 35" xfId="1442"/>
    <cellStyle name="Input 36" xfId="1443"/>
    <cellStyle name="Input 37" xfId="1444"/>
    <cellStyle name="Input 38" xfId="1445"/>
    <cellStyle name="Input 39" xfId="1446"/>
    <cellStyle name="Input 4" xfId="1447"/>
    <cellStyle name="Input 4 2" xfId="1448"/>
    <cellStyle name="Input 4 3" xfId="1449"/>
    <cellStyle name="Input 5" xfId="1450"/>
    <cellStyle name="Input 5 2" xfId="1451"/>
    <cellStyle name="Input 5 3" xfId="1452"/>
    <cellStyle name="Input 6" xfId="1453"/>
    <cellStyle name="Input 6 2" xfId="1454"/>
    <cellStyle name="Input 7" xfId="1455"/>
    <cellStyle name="Input 7 2" xfId="1456"/>
    <cellStyle name="Input 8" xfId="1457"/>
    <cellStyle name="Input 8 2" xfId="1458"/>
    <cellStyle name="Input 9" xfId="1459"/>
    <cellStyle name="Input 9 2" xfId="1460"/>
    <cellStyle name="Linked Cell" xfId="1461"/>
    <cellStyle name="Linked Cell 10" xfId="1462"/>
    <cellStyle name="Linked Cell 11" xfId="1463"/>
    <cellStyle name="Linked Cell 12" xfId="1464"/>
    <cellStyle name="Linked Cell 13" xfId="1465"/>
    <cellStyle name="Linked Cell 14" xfId="1466"/>
    <cellStyle name="Linked Cell 15" xfId="1467"/>
    <cellStyle name="Linked Cell 2" xfId="1468"/>
    <cellStyle name="Linked Cell 2 2" xfId="1469"/>
    <cellStyle name="Linked Cell 2 2 2" xfId="1470"/>
    <cellStyle name="Linked Cell 2 3" xfId="1471"/>
    <cellStyle name="Linked Cell 2 3 2" xfId="1472"/>
    <cellStyle name="Linked Cell 2 4" xfId="1473"/>
    <cellStyle name="Linked Cell 2 5" xfId="1474"/>
    <cellStyle name="Linked Cell 2 6" xfId="1475"/>
    <cellStyle name="Linked Cell 3" xfId="1476"/>
    <cellStyle name="Linked Cell 3 2" xfId="1477"/>
    <cellStyle name="Linked Cell 3 3" xfId="1478"/>
    <cellStyle name="Linked Cell 4" xfId="1479"/>
    <cellStyle name="Linked Cell 4 2" xfId="1480"/>
    <cellStyle name="Linked Cell 5" xfId="1481"/>
    <cellStyle name="Linked Cell 6" xfId="1482"/>
    <cellStyle name="Linked Cell 7" xfId="1483"/>
    <cellStyle name="Linked Cell 8" xfId="1484"/>
    <cellStyle name="Linked Cell 9" xfId="1485"/>
    <cellStyle name="M" xfId="1486"/>
    <cellStyle name="M 2" xfId="1487"/>
    <cellStyle name="M 2 2" xfId="1488"/>
    <cellStyle name="M 3" xfId="1489"/>
    <cellStyle name="M.00" xfId="1490"/>
    <cellStyle name="M.00 2" xfId="1491"/>
    <cellStyle name="M.00 2 2" xfId="1492"/>
    <cellStyle name="M.00 3" xfId="1493"/>
    <cellStyle name="M_9. Rev2Cost_GDPIPI" xfId="1494"/>
    <cellStyle name="M_9. Rev2Cost_GDPIPI 2" xfId="1495"/>
    <cellStyle name="M_9. Rev2Cost_GDPIPI 2 2" xfId="1496"/>
    <cellStyle name="M_9. Rev2Cost_GDPIPI 3" xfId="1497"/>
    <cellStyle name="M_lists" xfId="1498"/>
    <cellStyle name="M_lists 2" xfId="1499"/>
    <cellStyle name="M_lists 2 2" xfId="1500"/>
    <cellStyle name="M_lists 3" xfId="1501"/>
    <cellStyle name="M_lists_4. Current Monthly Fixed Charge" xfId="1502"/>
    <cellStyle name="M_lists_4. Current Monthly Fixed Charge 2" xfId="1503"/>
    <cellStyle name="M_lists_4. Current Monthly Fixed Charge 2 2" xfId="1504"/>
    <cellStyle name="M_lists_4. Current Monthly Fixed Charge 3" xfId="1505"/>
    <cellStyle name="M_Sheet4" xfId="1506"/>
    <cellStyle name="M_Sheet4 2" xfId="1507"/>
    <cellStyle name="M_Sheet4 2 2" xfId="1508"/>
    <cellStyle name="M_Sheet4 3" xfId="1509"/>
    <cellStyle name="Neutral" xfId="1510"/>
    <cellStyle name="Neutral 10" xfId="1511"/>
    <cellStyle name="Neutral 11" xfId="1512"/>
    <cellStyle name="Neutral 12" xfId="1513"/>
    <cellStyle name="Neutral 13" xfId="1514"/>
    <cellStyle name="Neutral 14" xfId="1515"/>
    <cellStyle name="Neutral 15" xfId="1516"/>
    <cellStyle name="Neutral 2" xfId="1517"/>
    <cellStyle name="Neutral 2 2" xfId="1518"/>
    <cellStyle name="Neutral 2 2 2" xfId="1519"/>
    <cellStyle name="Neutral 2 3" xfId="1520"/>
    <cellStyle name="Neutral 2 3 2" xfId="1521"/>
    <cellStyle name="Neutral 2 4" xfId="1522"/>
    <cellStyle name="Neutral 2 5" xfId="1523"/>
    <cellStyle name="Neutral 2 6" xfId="1524"/>
    <cellStyle name="Neutral 3" xfId="1525"/>
    <cellStyle name="Neutral 3 2" xfId="1526"/>
    <cellStyle name="Neutral 3 3" xfId="1527"/>
    <cellStyle name="Neutral 4" xfId="1528"/>
    <cellStyle name="Neutral 4 2" xfId="1529"/>
    <cellStyle name="Neutral 5" xfId="1530"/>
    <cellStyle name="Neutral 6" xfId="1531"/>
    <cellStyle name="Neutral 7" xfId="1532"/>
    <cellStyle name="Neutral 8" xfId="1533"/>
    <cellStyle name="Neutral 9" xfId="1534"/>
    <cellStyle name="Normal - Style1" xfId="1535"/>
    <cellStyle name="Normal - Style1 2" xfId="1536"/>
    <cellStyle name="Normal - Style1 2 2" xfId="1537"/>
    <cellStyle name="Normal - Style1 3" xfId="1538"/>
    <cellStyle name="Normal 10" xfId="1539"/>
    <cellStyle name="Normal 10 2" xfId="1540"/>
    <cellStyle name="Normal 10 2 2" xfId="1541"/>
    <cellStyle name="Normal 10 3" xfId="1542"/>
    <cellStyle name="Normal 11" xfId="1543"/>
    <cellStyle name="Normal 11 2" xfId="1544"/>
    <cellStyle name="Normal 11 3" xfId="1545"/>
    <cellStyle name="Normal 12" xfId="1546"/>
    <cellStyle name="Normal 12 2" xfId="1547"/>
    <cellStyle name="Normal 13" xfId="1548"/>
    <cellStyle name="Normal 13 2" xfId="1549"/>
    <cellStyle name="Normal 13 3" xfId="1550"/>
    <cellStyle name="Normal 14" xfId="1551"/>
    <cellStyle name="Normal 14 2" xfId="1552"/>
    <cellStyle name="Normal 15" xfId="1553"/>
    <cellStyle name="Normal 15 2" xfId="1554"/>
    <cellStyle name="Normal 16" xfId="1555"/>
    <cellStyle name="Normal 16 2" xfId="1556"/>
    <cellStyle name="Normal 17" xfId="1557"/>
    <cellStyle name="Normal 17 2" xfId="1558"/>
    <cellStyle name="Normal 18" xfId="1559"/>
    <cellStyle name="Normal 18 2" xfId="1560"/>
    <cellStyle name="Normal 19" xfId="1561"/>
    <cellStyle name="Normal 19 2" xfId="1562"/>
    <cellStyle name="Normal 19 3" xfId="1563"/>
    <cellStyle name="Normal 19 4" xfId="1564"/>
    <cellStyle name="Normal 2" xfId="1565"/>
    <cellStyle name="Normal 2 2" xfId="1566"/>
    <cellStyle name="Normal 2 2 2" xfId="1567"/>
    <cellStyle name="Normal 2 2 2 2" xfId="1568"/>
    <cellStyle name="Normal 2 2 3" xfId="1569"/>
    <cellStyle name="Normal 2 3" xfId="1570"/>
    <cellStyle name="Normal 2 3 2" xfId="1571"/>
    <cellStyle name="Normal 2 3 3" xfId="1572"/>
    <cellStyle name="Normal 2 4" xfId="1573"/>
    <cellStyle name="Normal 2 4 2" xfId="1574"/>
    <cellStyle name="Normal 2 4 3" xfId="1575"/>
    <cellStyle name="Normal 2 5" xfId="1576"/>
    <cellStyle name="Normal 2 6" xfId="1577"/>
    <cellStyle name="Normal 2 7" xfId="1578"/>
    <cellStyle name="Normal 20" xfId="1579"/>
    <cellStyle name="Normal 20 2" xfId="1580"/>
    <cellStyle name="Normal 20 3" xfId="1581"/>
    <cellStyle name="Normal 21" xfId="1582"/>
    <cellStyle name="Normal 21 2" xfId="1583"/>
    <cellStyle name="Normal 21 3" xfId="1584"/>
    <cellStyle name="Normal 22" xfId="1585"/>
    <cellStyle name="Normal 22 2" xfId="1586"/>
    <cellStyle name="Normal 23" xfId="1587"/>
    <cellStyle name="Normal 23 2" xfId="1588"/>
    <cellStyle name="Normal 24" xfId="1589"/>
    <cellStyle name="Normal 24 2" xfId="1590"/>
    <cellStyle name="Normal 25" xfId="1591"/>
    <cellStyle name="Normal 25 2" xfId="1592"/>
    <cellStyle name="Normal 26" xfId="1593"/>
    <cellStyle name="Normal 26 2" xfId="1594"/>
    <cellStyle name="Normal 27" xfId="1595"/>
    <cellStyle name="Normal 28" xfId="1596"/>
    <cellStyle name="Normal 29" xfId="1597"/>
    <cellStyle name="Normal 3" xfId="1598"/>
    <cellStyle name="Normal 3 10" xfId="1599"/>
    <cellStyle name="Normal 3 11" xfId="1600"/>
    <cellStyle name="Normal 3 12" xfId="1601"/>
    <cellStyle name="Normal 3 2" xfId="1602"/>
    <cellStyle name="Normal 3 2 2" xfId="1603"/>
    <cellStyle name="Normal 3 3" xfId="1604"/>
    <cellStyle name="Normal 3 3 2" xfId="1605"/>
    <cellStyle name="Normal 3 4" xfId="1606"/>
    <cellStyle name="Normal 3 4 2" xfId="1607"/>
    <cellStyle name="Normal 3 4 2 2" xfId="1608"/>
    <cellStyle name="Normal 3 4 2 2 2" xfId="1609"/>
    <cellStyle name="Normal 3 4 2 2 3" xfId="1610"/>
    <cellStyle name="Normal 3 4 2 3" xfId="1611"/>
    <cellStyle name="Normal 3 4 2 4" xfId="1612"/>
    <cellStyle name="Normal 3 4 3" xfId="1613"/>
    <cellStyle name="Normal 3 4 3 2" xfId="1614"/>
    <cellStyle name="Normal 3 4 3 3" xfId="1615"/>
    <cellStyle name="Normal 3 4 4" xfId="1616"/>
    <cellStyle name="Normal 3 4 5" xfId="1617"/>
    <cellStyle name="Normal 3 5" xfId="1618"/>
    <cellStyle name="Normal 3 5 2" xfId="1619"/>
    <cellStyle name="Normal 3 5 2 2" xfId="1620"/>
    <cellStyle name="Normal 3 5 2 3" xfId="1621"/>
    <cellStyle name="Normal 3 5 3" xfId="1622"/>
    <cellStyle name="Normal 3 5 3 2" xfId="1623"/>
    <cellStyle name="Normal 3 5 3 3" xfId="1624"/>
    <cellStyle name="Normal 3 5 4" xfId="1625"/>
    <cellStyle name="Normal 3 5 5" xfId="1626"/>
    <cellStyle name="Normal 3 6" xfId="1627"/>
    <cellStyle name="Normal 3 6 2" xfId="1628"/>
    <cellStyle name="Normal 3 6 2 2" xfId="1629"/>
    <cellStyle name="Normal 3 6 2 3" xfId="1630"/>
    <cellStyle name="Normal 3 6 3" xfId="1631"/>
    <cellStyle name="Normal 3 6 4" xfId="1632"/>
    <cellStyle name="Normal 3 7" xfId="1633"/>
    <cellStyle name="Normal 3 7 2" xfId="1634"/>
    <cellStyle name="Normal 3 7 3" xfId="1635"/>
    <cellStyle name="Normal 3 8" xfId="1636"/>
    <cellStyle name="Normal 3 9" xfId="1637"/>
    <cellStyle name="Normal 30" xfId="1638"/>
    <cellStyle name="Normal 30 2" xfId="1639"/>
    <cellStyle name="Normal 31" xfId="1640"/>
    <cellStyle name="Normal 32" xfId="1641"/>
    <cellStyle name="Normal 33" xfId="1642"/>
    <cellStyle name="Normal 34" xfId="1643"/>
    <cellStyle name="Normal 35" xfId="1644"/>
    <cellStyle name="Normal 36" xfId="1645"/>
    <cellStyle name="Normal 37" xfId="1646"/>
    <cellStyle name="Normal 38" xfId="1647"/>
    <cellStyle name="Normal 39" xfId="1648"/>
    <cellStyle name="Normal 4" xfId="1649"/>
    <cellStyle name="Normal 4 10" xfId="1650"/>
    <cellStyle name="Normal 4 11" xfId="1651"/>
    <cellStyle name="Normal 4 12" xfId="1652"/>
    <cellStyle name="Normal 4 2" xfId="1653"/>
    <cellStyle name="Normal 4 2 2" xfId="1654"/>
    <cellStyle name="Normal 4 3" xfId="1655"/>
    <cellStyle name="Normal 4 3 2" xfId="1656"/>
    <cellStyle name="Normal 4 3 2 2" xfId="1657"/>
    <cellStyle name="Normal 4 3 2 2 2" xfId="1658"/>
    <cellStyle name="Normal 4 3 2 2 2 2" xfId="1659"/>
    <cellStyle name="Normal 4 3 2 2 2 3" xfId="1660"/>
    <cellStyle name="Normal 4 3 2 2 3" xfId="1661"/>
    <cellStyle name="Normal 4 3 2 2 4" xfId="1662"/>
    <cellStyle name="Normal 4 3 2 3" xfId="1663"/>
    <cellStyle name="Normal 4 3 2 3 2" xfId="1664"/>
    <cellStyle name="Normal 4 3 2 3 3" xfId="1665"/>
    <cellStyle name="Normal 4 3 2 4" xfId="1666"/>
    <cellStyle name="Normal 4 3 2 5" xfId="1667"/>
    <cellStyle name="Normal 4 3 3" xfId="1668"/>
    <cellStyle name="Normal 4 3 3 2" xfId="1669"/>
    <cellStyle name="Normal 4 3 3 2 2" xfId="1670"/>
    <cellStyle name="Normal 4 3 3 2 3" xfId="1671"/>
    <cellStyle name="Normal 4 3 3 3" xfId="1672"/>
    <cellStyle name="Normal 4 3 3 3 2" xfId="1673"/>
    <cellStyle name="Normal 4 3 3 3 3" xfId="1674"/>
    <cellStyle name="Normal 4 3 3 4" xfId="1675"/>
    <cellStyle name="Normal 4 3 3 5" xfId="1676"/>
    <cellStyle name="Normal 4 3 4" xfId="1677"/>
    <cellStyle name="Normal 4 3 4 2" xfId="1678"/>
    <cellStyle name="Normal 4 3 4 2 2" xfId="1679"/>
    <cellStyle name="Normal 4 3 4 2 3" xfId="1680"/>
    <cellStyle name="Normal 4 3 4 3" xfId="1681"/>
    <cellStyle name="Normal 4 3 4 4" xfId="1682"/>
    <cellStyle name="Normal 4 3 5" xfId="1683"/>
    <cellStyle name="Normal 4 3 5 2" xfId="1684"/>
    <cellStyle name="Normal 4 3 5 3" xfId="1685"/>
    <cellStyle name="Normal 4 3 6" xfId="1686"/>
    <cellStyle name="Normal 4 3 7" xfId="1687"/>
    <cellStyle name="Normal 4 3 8" xfId="1688"/>
    <cellStyle name="Normal 4 4" xfId="1689"/>
    <cellStyle name="Normal 4 4 2" xfId="1690"/>
    <cellStyle name="Normal 4 4 2 2" xfId="1691"/>
    <cellStyle name="Normal 4 4 2 2 2" xfId="1692"/>
    <cellStyle name="Normal 4 4 2 2 3" xfId="1693"/>
    <cellStyle name="Normal 4 4 2 3" xfId="1694"/>
    <cellStyle name="Normal 4 4 2 4" xfId="1695"/>
    <cellStyle name="Normal 4 4 3" xfId="1696"/>
    <cellStyle name="Normal 4 4 3 2" xfId="1697"/>
    <cellStyle name="Normal 4 4 3 3" xfId="1698"/>
    <cellStyle name="Normal 4 4 4" xfId="1699"/>
    <cellStyle name="Normal 4 4 5" xfId="1700"/>
    <cellStyle name="Normal 4 5" xfId="1701"/>
    <cellStyle name="Normal 4 5 2" xfId="1702"/>
    <cellStyle name="Normal 4 5 2 2" xfId="1703"/>
    <cellStyle name="Normal 4 5 2 3" xfId="1704"/>
    <cellStyle name="Normal 4 5 3" xfId="1705"/>
    <cellStyle name="Normal 4 5 3 2" xfId="1706"/>
    <cellStyle name="Normal 4 5 3 3" xfId="1707"/>
    <cellStyle name="Normal 4 5 4" xfId="1708"/>
    <cellStyle name="Normal 4 5 5" xfId="1709"/>
    <cellStyle name="Normal 4 6" xfId="1710"/>
    <cellStyle name="Normal 4 6 2" xfId="1711"/>
    <cellStyle name="Normal 4 6 2 2" xfId="1712"/>
    <cellStyle name="Normal 4 6 2 3" xfId="1713"/>
    <cellStyle name="Normal 4 6 3" xfId="1714"/>
    <cellStyle name="Normal 4 6 4" xfId="1715"/>
    <cellStyle name="Normal 4 7" xfId="1716"/>
    <cellStyle name="Normal 4 7 2" xfId="1717"/>
    <cellStyle name="Normal 4 7 3" xfId="1718"/>
    <cellStyle name="Normal 4 8" xfId="1719"/>
    <cellStyle name="Normal 4 9" xfId="1720"/>
    <cellStyle name="Normal 40" xfId="1721"/>
    <cellStyle name="Normal 41" xfId="1722"/>
    <cellStyle name="Normal 42" xfId="1723"/>
    <cellStyle name="Normal 43" xfId="1724"/>
    <cellStyle name="Normal 44" xfId="1725"/>
    <cellStyle name="Normal 45" xfId="1726"/>
    <cellStyle name="Normal 46" xfId="1727"/>
    <cellStyle name="Normal 47" xfId="1728"/>
    <cellStyle name="Normal 48" xfId="1729"/>
    <cellStyle name="Normal 49" xfId="1730"/>
    <cellStyle name="Normal 5" xfId="1731"/>
    <cellStyle name="Normal 5 10" xfId="1732"/>
    <cellStyle name="Normal 5 2" xfId="1733"/>
    <cellStyle name="Normal 5 2 2" xfId="1734"/>
    <cellStyle name="Normal 5 2 3" xfId="1735"/>
    <cellStyle name="Normal 5 3" xfId="1736"/>
    <cellStyle name="Normal 5 3 2" xfId="1737"/>
    <cellStyle name="Normal 5 4" xfId="1738"/>
    <cellStyle name="Normal 5 4 2" xfId="1739"/>
    <cellStyle name="Normal 5 5" xfId="1740"/>
    <cellStyle name="Normal 5 5 2" xfId="1741"/>
    <cellStyle name="Normal 5 6" xfId="1742"/>
    <cellStyle name="Normal 5 6 2" xfId="1743"/>
    <cellStyle name="Normal 5 7" xfId="1744"/>
    <cellStyle name="Normal 5 8" xfId="1745"/>
    <cellStyle name="Normal 5 9" xfId="1746"/>
    <cellStyle name="Normal 50" xfId="1747"/>
    <cellStyle name="Normal 51" xfId="1748"/>
    <cellStyle name="Normal 52" xfId="1749"/>
    <cellStyle name="Normal 53" xfId="1750"/>
    <cellStyle name="Normal 54" xfId="1751"/>
    <cellStyle name="Normal 55" xfId="1752"/>
    <cellStyle name="Normal 56" xfId="1753"/>
    <cellStyle name="Normal 57" xfId="1754"/>
    <cellStyle name="Normal 58" xfId="1755"/>
    <cellStyle name="Normal 59" xfId="1756"/>
    <cellStyle name="Normal 6" xfId="1757"/>
    <cellStyle name="Normal 6 2" xfId="1758"/>
    <cellStyle name="Normal 6 2 2" xfId="1759"/>
    <cellStyle name="Normal 6 3" xfId="1760"/>
    <cellStyle name="Normal 6 3 2" xfId="1761"/>
    <cellStyle name="Normal 6 4" xfId="1762"/>
    <cellStyle name="Normal 6 5" xfId="1763"/>
    <cellStyle name="Normal 60" xfId="1764"/>
    <cellStyle name="Normal 61" xfId="1765"/>
    <cellStyle name="Normal 62" xfId="1766"/>
    <cellStyle name="Normal 63" xfId="1767"/>
    <cellStyle name="Normal 64" xfId="1768"/>
    <cellStyle name="Normal 65" xfId="1769"/>
    <cellStyle name="Normal 66" xfId="1770"/>
    <cellStyle name="Normal 67" xfId="1771"/>
    <cellStyle name="Normal 68" xfId="1772"/>
    <cellStyle name="Normal 69" xfId="1773"/>
    <cellStyle name="Normal 7" xfId="1774"/>
    <cellStyle name="Normal 7 2" xfId="1775"/>
    <cellStyle name="Normal 7 2 2" xfId="1776"/>
    <cellStyle name="Normal 7 3" xfId="1777"/>
    <cellStyle name="Normal 7 4" xfId="1778"/>
    <cellStyle name="Normal 70" xfId="1779"/>
    <cellStyle name="Normal 71" xfId="1780"/>
    <cellStyle name="Normal 72" xfId="1781"/>
    <cellStyle name="Normal 73" xfId="1782"/>
    <cellStyle name="Normal 74" xfId="1783"/>
    <cellStyle name="Normal 75" xfId="1784"/>
    <cellStyle name="Normal 76" xfId="1785"/>
    <cellStyle name="Normal 77" xfId="1786"/>
    <cellStyle name="Normal 8" xfId="1787"/>
    <cellStyle name="Normal 8 2" xfId="1788"/>
    <cellStyle name="Normal 8 2 2" xfId="1789"/>
    <cellStyle name="Normal 8 2 3" xfId="1790"/>
    <cellStyle name="Normal 8 3" xfId="1791"/>
    <cellStyle name="Normal 8 4" xfId="1792"/>
    <cellStyle name="Normal 8 5" xfId="1793"/>
    <cellStyle name="Normal 9" xfId="1794"/>
    <cellStyle name="Normal 9 2" xfId="1795"/>
    <cellStyle name="Normal 9 2 2" xfId="1796"/>
    <cellStyle name="Normal 9 3" xfId="1797"/>
    <cellStyle name="Normal_DBASE.XLS" xfId="1798"/>
    <cellStyle name="Note" xfId="1799"/>
    <cellStyle name="Note 10" xfId="1800"/>
    <cellStyle name="Note 10 2" xfId="1801"/>
    <cellStyle name="Note 11" xfId="1802"/>
    <cellStyle name="Note 11 2" xfId="1803"/>
    <cellStyle name="Note 12" xfId="1804"/>
    <cellStyle name="Note 12 2" xfId="1805"/>
    <cellStyle name="Note 13" xfId="1806"/>
    <cellStyle name="Note 13 2" xfId="1807"/>
    <cellStyle name="Note 14" xfId="1808"/>
    <cellStyle name="Note 14 2" xfId="1809"/>
    <cellStyle name="Note 15" xfId="1810"/>
    <cellStyle name="Note 15 2" xfId="1811"/>
    <cellStyle name="Note 2" xfId="1812"/>
    <cellStyle name="Note 2 10" xfId="1813"/>
    <cellStyle name="Note 2 11" xfId="1814"/>
    <cellStyle name="Note 2 2" xfId="1815"/>
    <cellStyle name="Note 2 2 2" xfId="1816"/>
    <cellStyle name="Note 2 3" xfId="1817"/>
    <cellStyle name="Note 2 3 2" xfId="1818"/>
    <cellStyle name="Note 2 3 2 2" xfId="1819"/>
    <cellStyle name="Note 2 3 2 2 2" xfId="1820"/>
    <cellStyle name="Note 2 3 2 2 3" xfId="1821"/>
    <cellStyle name="Note 2 3 2 3" xfId="1822"/>
    <cellStyle name="Note 2 3 2 4" xfId="1823"/>
    <cellStyle name="Note 2 3 3" xfId="1824"/>
    <cellStyle name="Note 2 3 3 2" xfId="1825"/>
    <cellStyle name="Note 2 3 3 3" xfId="1826"/>
    <cellStyle name="Note 2 3 4" xfId="1827"/>
    <cellStyle name="Note 2 3 5" xfId="1828"/>
    <cellStyle name="Note 2 4" xfId="1829"/>
    <cellStyle name="Note 2 4 2" xfId="1830"/>
    <cellStyle name="Note 2 4 2 2" xfId="1831"/>
    <cellStyle name="Note 2 4 2 3" xfId="1832"/>
    <cellStyle name="Note 2 4 3" xfId="1833"/>
    <cellStyle name="Note 2 4 3 2" xfId="1834"/>
    <cellStyle name="Note 2 4 3 3" xfId="1835"/>
    <cellStyle name="Note 2 4 4" xfId="1836"/>
    <cellStyle name="Note 2 4 5" xfId="1837"/>
    <cellStyle name="Note 2 5" xfId="1838"/>
    <cellStyle name="Note 2 5 2" xfId="1839"/>
    <cellStyle name="Note 2 5 2 2" xfId="1840"/>
    <cellStyle name="Note 2 5 2 3" xfId="1841"/>
    <cellStyle name="Note 2 5 3" xfId="1842"/>
    <cellStyle name="Note 2 5 4" xfId="1843"/>
    <cellStyle name="Note 2 6" xfId="1844"/>
    <cellStyle name="Note 2 6 2" xfId="1845"/>
    <cellStyle name="Note 2 6 3" xfId="1846"/>
    <cellStyle name="Note 2 7" xfId="1847"/>
    <cellStyle name="Note 2 8" xfId="1848"/>
    <cellStyle name="Note 2 9" xfId="1849"/>
    <cellStyle name="Note 3" xfId="1850"/>
    <cellStyle name="Note 3 2" xfId="1851"/>
    <cellStyle name="Note 3 3" xfId="1852"/>
    <cellStyle name="Note 3 4" xfId="1853"/>
    <cellStyle name="Note 4" xfId="1854"/>
    <cellStyle name="Note 4 2" xfId="1855"/>
    <cellStyle name="Note 5" xfId="1856"/>
    <cellStyle name="Note 5 2" xfId="1857"/>
    <cellStyle name="Note 6" xfId="1858"/>
    <cellStyle name="Note 6 2" xfId="1859"/>
    <cellStyle name="Note 7" xfId="1860"/>
    <cellStyle name="Note 7 2" xfId="1861"/>
    <cellStyle name="Note 8" xfId="1862"/>
    <cellStyle name="Note 8 2" xfId="1863"/>
    <cellStyle name="Note 9" xfId="1864"/>
    <cellStyle name="Note 9 2" xfId="1865"/>
    <cellStyle name="Output" xfId="1866"/>
    <cellStyle name="Output 10" xfId="1867"/>
    <cellStyle name="Output 11" xfId="1868"/>
    <cellStyle name="Output 12" xfId="1869"/>
    <cellStyle name="Output 13" xfId="1870"/>
    <cellStyle name="Output 14" xfId="1871"/>
    <cellStyle name="Output 15" xfId="1872"/>
    <cellStyle name="Output 2" xfId="1873"/>
    <cellStyle name="Output 2 2" xfId="1874"/>
    <cellStyle name="Output 2 2 2" xfId="1875"/>
    <cellStyle name="Output 2 3" xfId="1876"/>
    <cellStyle name="Output 2 3 2" xfId="1877"/>
    <cellStyle name="Output 2 4" xfId="1878"/>
    <cellStyle name="Output 2 5" xfId="1879"/>
    <cellStyle name="Output 2 6" xfId="1880"/>
    <cellStyle name="Output 3" xfId="1881"/>
    <cellStyle name="Output 3 2" xfId="1882"/>
    <cellStyle name="Output 3 3" xfId="1883"/>
    <cellStyle name="Output 4" xfId="1884"/>
    <cellStyle name="Output 4 2" xfId="1885"/>
    <cellStyle name="Output 5" xfId="1886"/>
    <cellStyle name="Output 6" xfId="1887"/>
    <cellStyle name="Output 7" xfId="1888"/>
    <cellStyle name="Output 8" xfId="1889"/>
    <cellStyle name="Output 9" xfId="1890"/>
    <cellStyle name="Percent" xfId="1891"/>
    <cellStyle name="Percent [2]" xfId="1892"/>
    <cellStyle name="Percent [2] 2" xfId="1893"/>
    <cellStyle name="Percent [2] 2 2" xfId="1894"/>
    <cellStyle name="Percent [2] 3" xfId="1895"/>
    <cellStyle name="Percent 10" xfId="1896"/>
    <cellStyle name="Percent 10 2" xfId="1897"/>
    <cellStyle name="Percent 10 3" xfId="1898"/>
    <cellStyle name="Percent 100" xfId="1899"/>
    <cellStyle name="Percent 101" xfId="1900"/>
    <cellStyle name="Percent 102" xfId="1901"/>
    <cellStyle name="Percent 103" xfId="1902"/>
    <cellStyle name="Percent 104" xfId="1903"/>
    <cellStyle name="Percent 105" xfId="1904"/>
    <cellStyle name="Percent 106" xfId="1905"/>
    <cellStyle name="Percent 107" xfId="1906"/>
    <cellStyle name="Percent 108" xfId="1907"/>
    <cellStyle name="Percent 109" xfId="1908"/>
    <cellStyle name="Percent 11" xfId="1909"/>
    <cellStyle name="Percent 11 2" xfId="1910"/>
    <cellStyle name="Percent 11 3" xfId="1911"/>
    <cellStyle name="Percent 110" xfId="1912"/>
    <cellStyle name="Percent 111" xfId="1913"/>
    <cellStyle name="Percent 112" xfId="1914"/>
    <cellStyle name="Percent 113" xfId="1915"/>
    <cellStyle name="Percent 114" xfId="1916"/>
    <cellStyle name="Percent 115" xfId="1917"/>
    <cellStyle name="Percent 116" xfId="1918"/>
    <cellStyle name="Percent 117" xfId="1919"/>
    <cellStyle name="Percent 118" xfId="1920"/>
    <cellStyle name="Percent 119" xfId="1921"/>
    <cellStyle name="Percent 12" xfId="1922"/>
    <cellStyle name="Percent 12 2" xfId="1923"/>
    <cellStyle name="Percent 12 3" xfId="1924"/>
    <cellStyle name="Percent 120" xfId="1925"/>
    <cellStyle name="Percent 121" xfId="1926"/>
    <cellStyle name="Percent 122" xfId="1927"/>
    <cellStyle name="Percent 123" xfId="1928"/>
    <cellStyle name="Percent 124" xfId="1929"/>
    <cellStyle name="Percent 125" xfId="1930"/>
    <cellStyle name="Percent 126" xfId="1931"/>
    <cellStyle name="Percent 127" xfId="1932"/>
    <cellStyle name="Percent 13" xfId="1933"/>
    <cellStyle name="Percent 13 2" xfId="1934"/>
    <cellStyle name="Percent 13 3" xfId="1935"/>
    <cellStyle name="Percent 14" xfId="1936"/>
    <cellStyle name="Percent 14 2" xfId="1937"/>
    <cellStyle name="Percent 14 3" xfId="1938"/>
    <cellStyle name="Percent 15" xfId="1939"/>
    <cellStyle name="Percent 15 2" xfId="1940"/>
    <cellStyle name="Percent 15 3" xfId="1941"/>
    <cellStyle name="Percent 16" xfId="1942"/>
    <cellStyle name="Percent 16 2" xfId="1943"/>
    <cellStyle name="Percent 16 3" xfId="1944"/>
    <cellStyle name="Percent 17" xfId="1945"/>
    <cellStyle name="Percent 17 2" xfId="1946"/>
    <cellStyle name="Percent 17 3" xfId="1947"/>
    <cellStyle name="Percent 18" xfId="1948"/>
    <cellStyle name="Percent 18 2" xfId="1949"/>
    <cellStyle name="Percent 18 3" xfId="1950"/>
    <cellStyle name="Percent 19" xfId="1951"/>
    <cellStyle name="Percent 19 2" xfId="1952"/>
    <cellStyle name="Percent 19 3" xfId="1953"/>
    <cellStyle name="Percent 2" xfId="1954"/>
    <cellStyle name="Percent 2 2" xfId="1955"/>
    <cellStyle name="Percent 2 2 2" xfId="1956"/>
    <cellStyle name="Percent 2 2 3" xfId="1957"/>
    <cellStyle name="Percent 2 3" xfId="1958"/>
    <cellStyle name="Percent 2 3 2" xfId="1959"/>
    <cellStyle name="Percent 2 4" xfId="1960"/>
    <cellStyle name="Percent 2 5" xfId="1961"/>
    <cellStyle name="Percent 2 6" xfId="1962"/>
    <cellStyle name="Percent 20" xfId="1963"/>
    <cellStyle name="Percent 20 2" xfId="1964"/>
    <cellStyle name="Percent 20 3" xfId="1965"/>
    <cellStyle name="Percent 21" xfId="1966"/>
    <cellStyle name="Percent 21 2" xfId="1967"/>
    <cellStyle name="Percent 22" xfId="1968"/>
    <cellStyle name="Percent 22 2" xfId="1969"/>
    <cellStyle name="Percent 23" xfId="1970"/>
    <cellStyle name="Percent 23 2" xfId="1971"/>
    <cellStyle name="Percent 24" xfId="1972"/>
    <cellStyle name="Percent 24 2" xfId="1973"/>
    <cellStyle name="Percent 25" xfId="1974"/>
    <cellStyle name="Percent 25 2" xfId="1975"/>
    <cellStyle name="Percent 26" xfId="1976"/>
    <cellStyle name="Percent 26 2" xfId="1977"/>
    <cellStyle name="Percent 27" xfId="1978"/>
    <cellStyle name="Percent 27 2" xfId="1979"/>
    <cellStyle name="Percent 28" xfId="1980"/>
    <cellStyle name="Percent 28 2" xfId="1981"/>
    <cellStyle name="Percent 29" xfId="1982"/>
    <cellStyle name="Percent 29 2" xfId="1983"/>
    <cellStyle name="Percent 3" xfId="1984"/>
    <cellStyle name="Percent 3 2" xfId="1985"/>
    <cellStyle name="Percent 3 2 2" xfId="1986"/>
    <cellStyle name="Percent 3 2 3" xfId="1987"/>
    <cellStyle name="Percent 3 3" xfId="1988"/>
    <cellStyle name="Percent 3 3 2" xfId="1989"/>
    <cellStyle name="Percent 3 4" xfId="1990"/>
    <cellStyle name="Percent 3 4 2" xfId="1991"/>
    <cellStyle name="Percent 3 5" xfId="1992"/>
    <cellStyle name="Percent 3 6" xfId="1993"/>
    <cellStyle name="Percent 3 7" xfId="1994"/>
    <cellStyle name="Percent 30" xfId="1995"/>
    <cellStyle name="Percent 30 2" xfId="1996"/>
    <cellStyle name="Percent 31" xfId="1997"/>
    <cellStyle name="Percent 31 2" xfId="1998"/>
    <cellStyle name="Percent 32" xfId="1999"/>
    <cellStyle name="Percent 32 2" xfId="2000"/>
    <cellStyle name="Percent 33" xfId="2001"/>
    <cellStyle name="Percent 33 2" xfId="2002"/>
    <cellStyle name="Percent 34" xfId="2003"/>
    <cellStyle name="Percent 35" xfId="2004"/>
    <cellStyle name="Percent 35 2" xfId="2005"/>
    <cellStyle name="Percent 36" xfId="2006"/>
    <cellStyle name="Percent 37" xfId="2007"/>
    <cellStyle name="Percent 38" xfId="2008"/>
    <cellStyle name="Percent 39" xfId="2009"/>
    <cellStyle name="Percent 4" xfId="2010"/>
    <cellStyle name="Percent 4 2" xfId="2011"/>
    <cellStyle name="Percent 4 2 2" xfId="2012"/>
    <cellStyle name="Percent 4 3" xfId="2013"/>
    <cellStyle name="Percent 4 3 2" xfId="2014"/>
    <cellStyle name="Percent 4 3 3" xfId="2015"/>
    <cellStyle name="Percent 4 4" xfId="2016"/>
    <cellStyle name="Percent 4 4 2" xfId="2017"/>
    <cellStyle name="Percent 4 5" xfId="2018"/>
    <cellStyle name="Percent 4 6" xfId="2019"/>
    <cellStyle name="Percent 40" xfId="2020"/>
    <cellStyle name="Percent 41" xfId="2021"/>
    <cellStyle name="Percent 42" xfId="2022"/>
    <cellStyle name="Percent 43" xfId="2023"/>
    <cellStyle name="Percent 44" xfId="2024"/>
    <cellStyle name="Percent 45" xfId="2025"/>
    <cellStyle name="Percent 46" xfId="2026"/>
    <cellStyle name="Percent 47" xfId="2027"/>
    <cellStyle name="Percent 48" xfId="2028"/>
    <cellStyle name="Percent 49" xfId="2029"/>
    <cellStyle name="Percent 5" xfId="2030"/>
    <cellStyle name="Percent 5 2" xfId="2031"/>
    <cellStyle name="Percent 5 2 2" xfId="2032"/>
    <cellStyle name="Percent 50" xfId="2033"/>
    <cellStyle name="Percent 51" xfId="2034"/>
    <cellStyle name="Percent 52" xfId="2035"/>
    <cellStyle name="Percent 53" xfId="2036"/>
    <cellStyle name="Percent 54" xfId="2037"/>
    <cellStyle name="Percent 55" xfId="2038"/>
    <cellStyle name="Percent 56" xfId="2039"/>
    <cellStyle name="Percent 57" xfId="2040"/>
    <cellStyle name="Percent 58" xfId="2041"/>
    <cellStyle name="Percent 59" xfId="2042"/>
    <cellStyle name="Percent 6" xfId="2043"/>
    <cellStyle name="Percent 6 2" xfId="2044"/>
    <cellStyle name="Percent 6 2 2" xfId="2045"/>
    <cellStyle name="Percent 6 3" xfId="2046"/>
    <cellStyle name="Percent 6 3 2" xfId="2047"/>
    <cellStyle name="Percent 6 4" xfId="2048"/>
    <cellStyle name="Percent 6 4 2" xfId="2049"/>
    <cellStyle name="Percent 6 5" xfId="2050"/>
    <cellStyle name="Percent 60" xfId="2051"/>
    <cellStyle name="Percent 61" xfId="2052"/>
    <cellStyle name="Percent 62" xfId="2053"/>
    <cellStyle name="Percent 63" xfId="2054"/>
    <cellStyle name="Percent 64" xfId="2055"/>
    <cellStyle name="Percent 65" xfId="2056"/>
    <cellStyle name="Percent 66" xfId="2057"/>
    <cellStyle name="Percent 67" xfId="2058"/>
    <cellStyle name="Percent 68" xfId="2059"/>
    <cellStyle name="Percent 69" xfId="2060"/>
    <cellStyle name="Percent 7" xfId="2061"/>
    <cellStyle name="Percent 7 2" xfId="2062"/>
    <cellStyle name="Percent 7 3" xfId="2063"/>
    <cellStyle name="Percent 70" xfId="2064"/>
    <cellStyle name="Percent 71" xfId="2065"/>
    <cellStyle name="Percent 72" xfId="2066"/>
    <cellStyle name="Percent 73" xfId="2067"/>
    <cellStyle name="Percent 74" xfId="2068"/>
    <cellStyle name="Percent 75" xfId="2069"/>
    <cellStyle name="Percent 76" xfId="2070"/>
    <cellStyle name="Percent 77" xfId="2071"/>
    <cellStyle name="Percent 78" xfId="2072"/>
    <cellStyle name="Percent 79" xfId="2073"/>
    <cellStyle name="Percent 8" xfId="2074"/>
    <cellStyle name="Percent 8 2" xfId="2075"/>
    <cellStyle name="Percent 8 3" xfId="2076"/>
    <cellStyle name="Percent 80" xfId="2077"/>
    <cellStyle name="Percent 81" xfId="2078"/>
    <cellStyle name="Percent 82" xfId="2079"/>
    <cellStyle name="Percent 83" xfId="2080"/>
    <cellStyle name="Percent 84" xfId="2081"/>
    <cellStyle name="Percent 85" xfId="2082"/>
    <cellStyle name="Percent 86" xfId="2083"/>
    <cellStyle name="Percent 87" xfId="2084"/>
    <cellStyle name="Percent 88" xfId="2085"/>
    <cellStyle name="Percent 89" xfId="2086"/>
    <cellStyle name="Percent 9" xfId="2087"/>
    <cellStyle name="Percent 9 2" xfId="2088"/>
    <cellStyle name="Percent 9 3" xfId="2089"/>
    <cellStyle name="Percent 90" xfId="2090"/>
    <cellStyle name="Percent 91" xfId="2091"/>
    <cellStyle name="Percent 92" xfId="2092"/>
    <cellStyle name="Percent 93" xfId="2093"/>
    <cellStyle name="Percent 94" xfId="2094"/>
    <cellStyle name="Percent 95" xfId="2095"/>
    <cellStyle name="Percent 96" xfId="2096"/>
    <cellStyle name="Percent 97" xfId="2097"/>
    <cellStyle name="Percent 98" xfId="2098"/>
    <cellStyle name="Percent 99" xfId="2099"/>
    <cellStyle name="PSChar" xfId="2100"/>
    <cellStyle name="PSChar 2" xfId="2101"/>
    <cellStyle name="STYLE1" xfId="2102"/>
    <cellStyle name="STYLE2" xfId="2103"/>
    <cellStyle name="STYLE3" xfId="2104"/>
    <cellStyle name="Title" xfId="2105"/>
    <cellStyle name="Title 2" xfId="2106"/>
    <cellStyle name="Title 2 2" xfId="2107"/>
    <cellStyle name="Title 2 2 2" xfId="2108"/>
    <cellStyle name="Title 2 3" xfId="2109"/>
    <cellStyle name="Title 2 3 2" xfId="2110"/>
    <cellStyle name="Title 2 4" xfId="2111"/>
    <cellStyle name="Title 2 5" xfId="2112"/>
    <cellStyle name="Title 3" xfId="2113"/>
    <cellStyle name="Title 3 2" xfId="2114"/>
    <cellStyle name="Title 4" xfId="2115"/>
    <cellStyle name="Title 5" xfId="2116"/>
    <cellStyle name="Total" xfId="2117"/>
    <cellStyle name="Total 10" xfId="2118"/>
    <cellStyle name="Total 11" xfId="2119"/>
    <cellStyle name="Total 12" xfId="2120"/>
    <cellStyle name="Total 13" xfId="2121"/>
    <cellStyle name="Total 14" xfId="2122"/>
    <cellStyle name="Total 15" xfId="2123"/>
    <cellStyle name="Total 2" xfId="2124"/>
    <cellStyle name="Total 2 2" xfId="2125"/>
    <cellStyle name="Total 2 2 2" xfId="2126"/>
    <cellStyle name="Total 2 3" xfId="2127"/>
    <cellStyle name="Total 2 3 2" xfId="2128"/>
    <cellStyle name="Total 2 4" xfId="2129"/>
    <cellStyle name="Total 2 4 2" xfId="2130"/>
    <cellStyle name="Total 2 5" xfId="2131"/>
    <cellStyle name="Total 2 6" xfId="2132"/>
    <cellStyle name="Total 3" xfId="2133"/>
    <cellStyle name="Total 3 2" xfId="2134"/>
    <cellStyle name="Total 4" xfId="2135"/>
    <cellStyle name="Total 4 2" xfId="2136"/>
    <cellStyle name="Total 4 3" xfId="2137"/>
    <cellStyle name="Total 5" xfId="2138"/>
    <cellStyle name="Total 6" xfId="2139"/>
    <cellStyle name="Total 7" xfId="2140"/>
    <cellStyle name="Total 8" xfId="2141"/>
    <cellStyle name="Total 9" xfId="2142"/>
    <cellStyle name="Warning Text" xfId="2143"/>
    <cellStyle name="Warning Text 10" xfId="2144"/>
    <cellStyle name="Warning Text 11" xfId="2145"/>
    <cellStyle name="Warning Text 12" xfId="2146"/>
    <cellStyle name="Warning Text 13" xfId="2147"/>
    <cellStyle name="Warning Text 14" xfId="2148"/>
    <cellStyle name="Warning Text 15" xfId="2149"/>
    <cellStyle name="Warning Text 2" xfId="2150"/>
    <cellStyle name="Warning Text 2 2" xfId="2151"/>
    <cellStyle name="Warning Text 2 2 2" xfId="2152"/>
    <cellStyle name="Warning Text 2 3" xfId="2153"/>
    <cellStyle name="Warning Text 2 3 2" xfId="2154"/>
    <cellStyle name="Warning Text 2 4" xfId="2155"/>
    <cellStyle name="Warning Text 2 5" xfId="2156"/>
    <cellStyle name="Warning Text 3" xfId="2157"/>
    <cellStyle name="Warning Text 3 2" xfId="2158"/>
    <cellStyle name="Warning Text 3 3" xfId="2159"/>
    <cellStyle name="Warning Text 4" xfId="2160"/>
    <cellStyle name="Warning Text 4 2" xfId="2161"/>
    <cellStyle name="Warning Text 5" xfId="2162"/>
    <cellStyle name="Warning Text 6" xfId="2163"/>
    <cellStyle name="Warning Text 7" xfId="2164"/>
    <cellStyle name="Warning Text 8" xfId="2165"/>
    <cellStyle name="Warning Text 9" xfId="2166"/>
  </cellStyles>
  <dxfs count="8">
    <dxf>
      <font>
        <b/>
        <i val="0"/>
        <color indexed="16"/>
      </font>
    </dxf>
    <dxf>
      <font>
        <b/>
        <i val="0"/>
        <color indexed="16"/>
      </font>
    </dxf>
    <dxf>
      <font>
        <b/>
        <i val="0"/>
        <color indexed="17"/>
      </font>
    </dxf>
    <dxf>
      <font>
        <b/>
        <i val="0"/>
        <color indexed="16"/>
      </font>
    </dxf>
    <dxf>
      <font>
        <b/>
        <i val="0"/>
        <color indexed="16"/>
      </font>
    </dxf>
    <dxf>
      <fill>
        <patternFill>
          <bgColor indexed="16"/>
        </patternFill>
      </fill>
    </dxf>
    <dxf>
      <font>
        <b/>
        <i val="0"/>
        <color rgb="FF800000"/>
      </font>
      <border/>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FFFFCC"/>
                </a:solidFill>
              </a:ln>
            </c:spPr>
          </c:marker>
          <c:dPt>
            <c:idx val="4"/>
            <c:spPr>
              <a:ln w="3175">
                <a:noFill/>
              </a:ln>
            </c:spPr>
            <c:marker>
              <c:size val="9"/>
              <c:spPr>
                <a:solidFill>
                  <a:srgbClr val="000080"/>
                </a:solidFill>
                <a:ln>
                  <a:solidFill>
                    <a:srgbClr val="FFFFCC"/>
                  </a:solidFill>
                </a:ln>
              </c:spPr>
            </c:marker>
          </c:dPt>
          <c:trendline>
            <c:spPr>
              <a:ln w="38100">
                <a:solidFill>
                  <a:srgbClr val="99CC00"/>
                </a:solidFill>
              </a:ln>
            </c:spPr>
            <c:trendlineType val="linear"/>
            <c:dispEq val="1"/>
            <c:dispRSqr val="1"/>
            <c:trendlineLbl>
              <c:layout>
                <c:manualLayout>
                  <c:x val="0"/>
                  <c:y val="0"/>
                </c:manualLayout>
              </c:layout>
              <c:txPr>
                <a:bodyPr vert="horz" rot="0" anchor="ctr"/>
                <a:lstStyle/>
                <a:p>
                  <a:pPr algn="ctr">
                    <a:defRPr lang="en-US" cap="none" sz="900" b="1" i="0" u="none" baseline="0">
                      <a:solidFill>
                        <a:srgbClr val="000000"/>
                      </a:solidFill>
                    </a:defRPr>
                  </a:pPr>
                </a:p>
              </c:txPr>
              <c:numFmt formatCode="General"/>
              <c:spPr>
                <a:noFill/>
                <a:ln w="12700">
                  <a:solidFill>
                    <a:srgbClr val="808080"/>
                  </a:solidFill>
                </a:ln>
              </c:spPr>
            </c:trendlineLbl>
          </c:trendline>
          <c:xVal>
            <c:numRef>
              <c:f>Forecast!$B$4:$B$123</c:f>
              <c:numCache>
                <c:ptCount val="120"/>
                <c:pt idx="0">
                  <c:v>45827932</c:v>
                </c:pt>
                <c:pt idx="1">
                  <c:v>41082656</c:v>
                </c:pt>
                <c:pt idx="2">
                  <c:v>42975876</c:v>
                </c:pt>
                <c:pt idx="3">
                  <c:v>36308876</c:v>
                </c:pt>
                <c:pt idx="4">
                  <c:v>34245332</c:v>
                </c:pt>
                <c:pt idx="5">
                  <c:v>33534202</c:v>
                </c:pt>
                <c:pt idx="6">
                  <c:v>34321064</c:v>
                </c:pt>
                <c:pt idx="7">
                  <c:v>34126512</c:v>
                </c:pt>
                <c:pt idx="8">
                  <c:v>32127846</c:v>
                </c:pt>
                <c:pt idx="9">
                  <c:v>35018160</c:v>
                </c:pt>
                <c:pt idx="10">
                  <c:v>39153192</c:v>
                </c:pt>
                <c:pt idx="11">
                  <c:v>46270576</c:v>
                </c:pt>
                <c:pt idx="12">
                  <c:v>48560156</c:v>
                </c:pt>
                <c:pt idx="13">
                  <c:v>43502028</c:v>
                </c:pt>
                <c:pt idx="14">
                  <c:v>44749296</c:v>
                </c:pt>
                <c:pt idx="15">
                  <c:v>36703500</c:v>
                </c:pt>
                <c:pt idx="16">
                  <c:v>33120208</c:v>
                </c:pt>
                <c:pt idx="17">
                  <c:v>31986696</c:v>
                </c:pt>
                <c:pt idx="18">
                  <c:v>33114324</c:v>
                </c:pt>
                <c:pt idx="19">
                  <c:v>32996892</c:v>
                </c:pt>
                <c:pt idx="20">
                  <c:v>31808440</c:v>
                </c:pt>
                <c:pt idx="21">
                  <c:v>34772520</c:v>
                </c:pt>
                <c:pt idx="22">
                  <c:v>39442096</c:v>
                </c:pt>
                <c:pt idx="23">
                  <c:v>42249292</c:v>
                </c:pt>
                <c:pt idx="24">
                  <c:v>48032768</c:v>
                </c:pt>
                <c:pt idx="25">
                  <c:v>47536664</c:v>
                </c:pt>
                <c:pt idx="26">
                  <c:v>43095044</c:v>
                </c:pt>
                <c:pt idx="27">
                  <c:v>34966160</c:v>
                </c:pt>
                <c:pt idx="28">
                  <c:v>32451518</c:v>
                </c:pt>
                <c:pt idx="29">
                  <c:v>31428888</c:v>
                </c:pt>
                <c:pt idx="30">
                  <c:v>34059072</c:v>
                </c:pt>
                <c:pt idx="31">
                  <c:v>34233108</c:v>
                </c:pt>
                <c:pt idx="32">
                  <c:v>33226978</c:v>
                </c:pt>
                <c:pt idx="33">
                  <c:v>38729356</c:v>
                </c:pt>
                <c:pt idx="34">
                  <c:v>35403760</c:v>
                </c:pt>
                <c:pt idx="35">
                  <c:v>42249292</c:v>
                </c:pt>
                <c:pt idx="36">
                  <c:v>44182308</c:v>
                </c:pt>
                <c:pt idx="37">
                  <c:v>40734588</c:v>
                </c:pt>
                <c:pt idx="38">
                  <c:v>39051916</c:v>
                </c:pt>
                <c:pt idx="39">
                  <c:v>35582404</c:v>
                </c:pt>
                <c:pt idx="40">
                  <c:v>32158070</c:v>
                </c:pt>
                <c:pt idx="41">
                  <c:v>32230294</c:v>
                </c:pt>
                <c:pt idx="42">
                  <c:v>36050964</c:v>
                </c:pt>
                <c:pt idx="43">
                  <c:v>38144564</c:v>
                </c:pt>
                <c:pt idx="44">
                  <c:v>32958786</c:v>
                </c:pt>
                <c:pt idx="45">
                  <c:v>33427318</c:v>
                </c:pt>
                <c:pt idx="46">
                  <c:v>34938644</c:v>
                </c:pt>
                <c:pt idx="47">
                  <c:v>41527820</c:v>
                </c:pt>
                <c:pt idx="48">
                  <c:v>41870352</c:v>
                </c:pt>
                <c:pt idx="49">
                  <c:v>36769364</c:v>
                </c:pt>
                <c:pt idx="50">
                  <c:v>40358688</c:v>
                </c:pt>
                <c:pt idx="51">
                  <c:v>32359460</c:v>
                </c:pt>
                <c:pt idx="52">
                  <c:v>32466960</c:v>
                </c:pt>
                <c:pt idx="53">
                  <c:v>31942168</c:v>
                </c:pt>
                <c:pt idx="54">
                  <c:v>34485256</c:v>
                </c:pt>
                <c:pt idx="55">
                  <c:v>33750092</c:v>
                </c:pt>
                <c:pt idx="56">
                  <c:v>32126296</c:v>
                </c:pt>
                <c:pt idx="57">
                  <c:v>32454034</c:v>
                </c:pt>
                <c:pt idx="58">
                  <c:v>37086664</c:v>
                </c:pt>
                <c:pt idx="59">
                  <c:v>42555872</c:v>
                </c:pt>
                <c:pt idx="60">
                  <c:v>45303344</c:v>
                </c:pt>
                <c:pt idx="61">
                  <c:v>38010440</c:v>
                </c:pt>
                <c:pt idx="62">
                  <c:v>40822740</c:v>
                </c:pt>
                <c:pt idx="63">
                  <c:v>37268116</c:v>
                </c:pt>
                <c:pt idx="64">
                  <c:v>33661736</c:v>
                </c:pt>
                <c:pt idx="65">
                  <c:v>33150240</c:v>
                </c:pt>
                <c:pt idx="66">
                  <c:v>36985444</c:v>
                </c:pt>
                <c:pt idx="67">
                  <c:v>37978824</c:v>
                </c:pt>
                <c:pt idx="68">
                  <c:v>33668648</c:v>
                </c:pt>
                <c:pt idx="69">
                  <c:v>32878906</c:v>
                </c:pt>
                <c:pt idx="70">
                  <c:v>39246376</c:v>
                </c:pt>
                <c:pt idx="71">
                  <c:v>41296484</c:v>
                </c:pt>
                <c:pt idx="72">
                  <c:v>46360880</c:v>
                </c:pt>
                <c:pt idx="73">
                  <c:v>40126452</c:v>
                </c:pt>
                <c:pt idx="74">
                  <c:v>41742644</c:v>
                </c:pt>
                <c:pt idx="75">
                  <c:v>36007112</c:v>
                </c:pt>
                <c:pt idx="76">
                  <c:v>33884252</c:v>
                </c:pt>
                <c:pt idx="77">
                  <c:v>32413450</c:v>
                </c:pt>
                <c:pt idx="78">
                  <c:v>37948388</c:v>
                </c:pt>
                <c:pt idx="79">
                  <c:v>35859380</c:v>
                </c:pt>
                <c:pt idx="80">
                  <c:v>32309084</c:v>
                </c:pt>
                <c:pt idx="81">
                  <c:v>34937472</c:v>
                </c:pt>
                <c:pt idx="82">
                  <c:v>40083048</c:v>
                </c:pt>
                <c:pt idx="83">
                  <c:v>42216028</c:v>
                </c:pt>
                <c:pt idx="84">
                  <c:v>43447688</c:v>
                </c:pt>
                <c:pt idx="85">
                  <c:v>41046124</c:v>
                </c:pt>
                <c:pt idx="86">
                  <c:v>39146164</c:v>
                </c:pt>
                <c:pt idx="87">
                  <c:v>33162782</c:v>
                </c:pt>
                <c:pt idx="88">
                  <c:v>33144752</c:v>
                </c:pt>
                <c:pt idx="89">
                  <c:v>34594856</c:v>
                </c:pt>
                <c:pt idx="90">
                  <c:v>40573552</c:v>
                </c:pt>
                <c:pt idx="91">
                  <c:v>38203280</c:v>
                </c:pt>
                <c:pt idx="92">
                  <c:v>32819206</c:v>
                </c:pt>
                <c:pt idx="93">
                  <c:v>35693648</c:v>
                </c:pt>
                <c:pt idx="94">
                  <c:v>36622836</c:v>
                </c:pt>
                <c:pt idx="95">
                  <c:v>42343068</c:v>
                </c:pt>
                <c:pt idx="96">
                  <c:v>43527340</c:v>
                </c:pt>
                <c:pt idx="97">
                  <c:v>41279332</c:v>
                </c:pt>
                <c:pt idx="98">
                  <c:v>40171240</c:v>
                </c:pt>
                <c:pt idx="99">
                  <c:v>34273200</c:v>
                </c:pt>
                <c:pt idx="100">
                  <c:v>33543166</c:v>
                </c:pt>
                <c:pt idx="101">
                  <c:v>37512788</c:v>
                </c:pt>
                <c:pt idx="102">
                  <c:v>38597540</c:v>
                </c:pt>
                <c:pt idx="103">
                  <c:v>40059212</c:v>
                </c:pt>
                <c:pt idx="104">
                  <c:v>34178604</c:v>
                </c:pt>
                <c:pt idx="105">
                  <c:v>34477684</c:v>
                </c:pt>
                <c:pt idx="106">
                  <c:v>38088840</c:v>
                </c:pt>
                <c:pt idx="107">
                  <c:v>41741160</c:v>
                </c:pt>
                <c:pt idx="108">
                  <c:v>47203416</c:v>
                </c:pt>
                <c:pt idx="109">
                  <c:v>41797636</c:v>
                </c:pt>
                <c:pt idx="110">
                  <c:v>42551684</c:v>
                </c:pt>
                <c:pt idx="111">
                  <c:v>36094612</c:v>
                </c:pt>
                <c:pt idx="112">
                  <c:v>34287484</c:v>
                </c:pt>
                <c:pt idx="113">
                  <c:v>34727204</c:v>
                </c:pt>
                <c:pt idx="114">
                  <c:v>36965340</c:v>
                </c:pt>
                <c:pt idx="115">
                  <c:v>38942956</c:v>
                </c:pt>
                <c:pt idx="116">
                  <c:v>34315276</c:v>
                </c:pt>
                <c:pt idx="117">
                  <c:v>34341916</c:v>
                </c:pt>
                <c:pt idx="118">
                  <c:v>37142392</c:v>
                </c:pt>
                <c:pt idx="119">
                  <c:v>42267056</c:v>
                </c:pt>
              </c:numCache>
            </c:numRef>
          </c:xVal>
          <c:yVal>
            <c:numRef>
              <c:f>Forecast!$C$4:$C$123</c:f>
              <c:numCache>
                <c:ptCount val="120"/>
                <c:pt idx="0">
                  <c:v>42817040.28927486</c:v>
                </c:pt>
                <c:pt idx="1">
                  <c:v>40928065.80104564</c:v>
                </c:pt>
                <c:pt idx="2">
                  <c:v>41484734.43491621</c:v>
                </c:pt>
                <c:pt idx="3">
                  <c:v>35933542.94455094</c:v>
                </c:pt>
                <c:pt idx="4">
                  <c:v>32799431.70401876</c:v>
                </c:pt>
                <c:pt idx="5">
                  <c:v>32037699.018910427</c:v>
                </c:pt>
                <c:pt idx="6">
                  <c:v>35611049.93148913</c:v>
                </c:pt>
                <c:pt idx="7">
                  <c:v>34623130.34623572</c:v>
                </c:pt>
                <c:pt idx="8">
                  <c:v>31782292.122924168</c:v>
                </c:pt>
                <c:pt idx="9">
                  <c:v>33795681.92834253</c:v>
                </c:pt>
                <c:pt idx="10">
                  <c:v>38285108.72315058</c:v>
                </c:pt>
                <c:pt idx="11">
                  <c:v>44107339.142082706</c:v>
                </c:pt>
                <c:pt idx="12">
                  <c:v>46762056.11980211</c:v>
                </c:pt>
                <c:pt idx="13">
                  <c:v>43705580.03582039</c:v>
                </c:pt>
                <c:pt idx="14">
                  <c:v>44173561.36671064</c:v>
                </c:pt>
                <c:pt idx="15">
                  <c:v>35979754.041550115</c:v>
                </c:pt>
                <c:pt idx="16">
                  <c:v>32808714.587483022</c:v>
                </c:pt>
                <c:pt idx="17">
                  <c:v>32062262.507798065</c:v>
                </c:pt>
                <c:pt idx="18">
                  <c:v>33783534.140845</c:v>
                </c:pt>
                <c:pt idx="19">
                  <c:v>34305410.37839608</c:v>
                </c:pt>
                <c:pt idx="20">
                  <c:v>31668998.280376304</c:v>
                </c:pt>
                <c:pt idx="21">
                  <c:v>34196117.86579358</c:v>
                </c:pt>
                <c:pt idx="22">
                  <c:v>38426929.64159039</c:v>
                </c:pt>
                <c:pt idx="23">
                  <c:v>41664133.034628965</c:v>
                </c:pt>
                <c:pt idx="24">
                  <c:v>46178427.52961246</c:v>
                </c:pt>
                <c:pt idx="25">
                  <c:v>45395656.811673716</c:v>
                </c:pt>
                <c:pt idx="26">
                  <c:v>42790116.45569715</c:v>
                </c:pt>
                <c:pt idx="27">
                  <c:v>35204289.86767043</c:v>
                </c:pt>
                <c:pt idx="28">
                  <c:v>32912590.622646037</c:v>
                </c:pt>
                <c:pt idx="29">
                  <c:v>31098400.126447234</c:v>
                </c:pt>
                <c:pt idx="30">
                  <c:v>35539545.063341305</c:v>
                </c:pt>
                <c:pt idx="31">
                  <c:v>34558753.72037688</c:v>
                </c:pt>
                <c:pt idx="32">
                  <c:v>33023849.025935624</c:v>
                </c:pt>
                <c:pt idx="33">
                  <c:v>34724281.88733832</c:v>
                </c:pt>
                <c:pt idx="34">
                  <c:v>35878971.8463739</c:v>
                </c:pt>
                <c:pt idx="35">
                  <c:v>39214689.02934333</c:v>
                </c:pt>
                <c:pt idx="36">
                  <c:v>43901560.84506386</c:v>
                </c:pt>
                <c:pt idx="37">
                  <c:v>40317216.78109735</c:v>
                </c:pt>
                <c:pt idx="38">
                  <c:v>40198632.99234948</c:v>
                </c:pt>
                <c:pt idx="39">
                  <c:v>36851841.37886572</c:v>
                </c:pt>
                <c:pt idx="40">
                  <c:v>34130277.47048388</c:v>
                </c:pt>
                <c:pt idx="41">
                  <c:v>33023089.317252573</c:v>
                </c:pt>
                <c:pt idx="42">
                  <c:v>38000210.17005113</c:v>
                </c:pt>
                <c:pt idx="43">
                  <c:v>38744115.97779248</c:v>
                </c:pt>
                <c:pt idx="44">
                  <c:v>32531082.003630992</c:v>
                </c:pt>
                <c:pt idx="45">
                  <c:v>33891722.952423945</c:v>
                </c:pt>
                <c:pt idx="46">
                  <c:v>35830866.99686902</c:v>
                </c:pt>
                <c:pt idx="47">
                  <c:v>42833870.041482896</c:v>
                </c:pt>
                <c:pt idx="48">
                  <c:v>42950015.50438781</c:v>
                </c:pt>
                <c:pt idx="49">
                  <c:v>38951941.427307956</c:v>
                </c:pt>
                <c:pt idx="50">
                  <c:v>42204975.4509487</c:v>
                </c:pt>
                <c:pt idx="51">
                  <c:v>34343221.21957165</c:v>
                </c:pt>
                <c:pt idx="52">
                  <c:v>33480102.7045564</c:v>
                </c:pt>
                <c:pt idx="53">
                  <c:v>30297741.311310235</c:v>
                </c:pt>
                <c:pt idx="54">
                  <c:v>34004022.10814024</c:v>
                </c:pt>
                <c:pt idx="55">
                  <c:v>36022997.847866885</c:v>
                </c:pt>
                <c:pt idx="56">
                  <c:v>33361501.248781133</c:v>
                </c:pt>
                <c:pt idx="57">
                  <c:v>35910216.917612344</c:v>
                </c:pt>
                <c:pt idx="58">
                  <c:v>37763685.57054425</c:v>
                </c:pt>
                <c:pt idx="59">
                  <c:v>45083337.00152284</c:v>
                </c:pt>
                <c:pt idx="60">
                  <c:v>45365140.827194266</c:v>
                </c:pt>
                <c:pt idx="61">
                  <c:v>39939502.9786079</c:v>
                </c:pt>
                <c:pt idx="62">
                  <c:v>41953083.735925496</c:v>
                </c:pt>
                <c:pt idx="63">
                  <c:v>37937339.59097428</c:v>
                </c:pt>
                <c:pt idx="64">
                  <c:v>33369736.01263835</c:v>
                </c:pt>
                <c:pt idx="65">
                  <c:v>32192200.606228877</c:v>
                </c:pt>
                <c:pt idx="66">
                  <c:v>37904133.50350836</c:v>
                </c:pt>
                <c:pt idx="67">
                  <c:v>37729823.01216526</c:v>
                </c:pt>
                <c:pt idx="68">
                  <c:v>33368233.22331934</c:v>
                </c:pt>
                <c:pt idx="69">
                  <c:v>36137932.5741809</c:v>
                </c:pt>
                <c:pt idx="70">
                  <c:v>39085925.01555519</c:v>
                </c:pt>
                <c:pt idx="71">
                  <c:v>42218715.68789494</c:v>
                </c:pt>
                <c:pt idx="72">
                  <c:v>46085884.04180105</c:v>
                </c:pt>
                <c:pt idx="73">
                  <c:v>41329400.76787903</c:v>
                </c:pt>
                <c:pt idx="74">
                  <c:v>42844791.05170491</c:v>
                </c:pt>
                <c:pt idx="75">
                  <c:v>36302117.14035772</c:v>
                </c:pt>
                <c:pt idx="76">
                  <c:v>33799679.5694904</c:v>
                </c:pt>
                <c:pt idx="77">
                  <c:v>31944693.046425562</c:v>
                </c:pt>
                <c:pt idx="78">
                  <c:v>37985337.95391093</c:v>
                </c:pt>
                <c:pt idx="79">
                  <c:v>35527441.32125292</c:v>
                </c:pt>
                <c:pt idx="80">
                  <c:v>31443831.23619834</c:v>
                </c:pt>
                <c:pt idx="81">
                  <c:v>35143301.373514615</c:v>
                </c:pt>
                <c:pt idx="82">
                  <c:v>39586527.07018087</c:v>
                </c:pt>
                <c:pt idx="83">
                  <c:v>42721651.267095864</c:v>
                </c:pt>
                <c:pt idx="84">
                  <c:v>43157989.9689292</c:v>
                </c:pt>
                <c:pt idx="85">
                  <c:v>41277023.14439942</c:v>
                </c:pt>
                <c:pt idx="86">
                  <c:v>40370851.290400825</c:v>
                </c:pt>
                <c:pt idx="87">
                  <c:v>36740453.52571317</c:v>
                </c:pt>
                <c:pt idx="88">
                  <c:v>35408041.21253043</c:v>
                </c:pt>
                <c:pt idx="89">
                  <c:v>34076482.08134761</c:v>
                </c:pt>
                <c:pt idx="90">
                  <c:v>40021449.138530284</c:v>
                </c:pt>
                <c:pt idx="91">
                  <c:v>36566118.942814305</c:v>
                </c:pt>
                <c:pt idx="92">
                  <c:v>32447132.9100166</c:v>
                </c:pt>
                <c:pt idx="93">
                  <c:v>35699754.799757265</c:v>
                </c:pt>
                <c:pt idx="94">
                  <c:v>36277008.56954132</c:v>
                </c:pt>
                <c:pt idx="95">
                  <c:v>42543797.20842117</c:v>
                </c:pt>
                <c:pt idx="96">
                  <c:v>43589654.936404794</c:v>
                </c:pt>
                <c:pt idx="97">
                  <c:v>41186676.69048191</c:v>
                </c:pt>
                <c:pt idx="98">
                  <c:v>40533768.48300183</c:v>
                </c:pt>
                <c:pt idx="99">
                  <c:v>35719501.89216336</c:v>
                </c:pt>
                <c:pt idx="100">
                  <c:v>34836378.08318721</c:v>
                </c:pt>
                <c:pt idx="101">
                  <c:v>34846036.9793019</c:v>
                </c:pt>
                <c:pt idx="102">
                  <c:v>35793014.99066765</c:v>
                </c:pt>
                <c:pt idx="103">
                  <c:v>38729813.70009945</c:v>
                </c:pt>
                <c:pt idx="104">
                  <c:v>31636478.833401073</c:v>
                </c:pt>
                <c:pt idx="105">
                  <c:v>33670542.2583007</c:v>
                </c:pt>
                <c:pt idx="106">
                  <c:v>37955541.27467763</c:v>
                </c:pt>
                <c:pt idx="107">
                  <c:v>40367262.70257552</c:v>
                </c:pt>
                <c:pt idx="108">
                  <c:v>45984791.88002939</c:v>
                </c:pt>
                <c:pt idx="109">
                  <c:v>41042316.64507349</c:v>
                </c:pt>
                <c:pt idx="110">
                  <c:v>41904036.48259111</c:v>
                </c:pt>
                <c:pt idx="111">
                  <c:v>36359187.25425981</c:v>
                </c:pt>
                <c:pt idx="112">
                  <c:v>33980289.22317369</c:v>
                </c:pt>
                <c:pt idx="113">
                  <c:v>32925035.961145375</c:v>
                </c:pt>
                <c:pt idx="114">
                  <c:v>37546070.90324059</c:v>
                </c:pt>
                <c:pt idx="115">
                  <c:v>37509525.65932405</c:v>
                </c:pt>
                <c:pt idx="116">
                  <c:v>32926663.012920845</c:v>
                </c:pt>
                <c:pt idx="117">
                  <c:v>35360437.08849996</c:v>
                </c:pt>
                <c:pt idx="118">
                  <c:v>37477765.71921562</c:v>
                </c:pt>
                <c:pt idx="119">
                  <c:v>42394382.09070809</c:v>
                </c:pt>
              </c:numCache>
            </c:numRef>
          </c:yVal>
          <c:smooth val="0"/>
        </c:ser>
        <c:axId val="24712615"/>
        <c:axId val="21086944"/>
      </c:scatterChart>
      <c:valAx>
        <c:axId val="24712615"/>
        <c:scaling>
          <c:orientation val="minMax"/>
        </c:scaling>
        <c:axPos val="b"/>
        <c:title>
          <c:tx>
            <c:rich>
              <a:bodyPr vert="horz" rot="0" anchor="ctr"/>
              <a:lstStyle/>
              <a:p>
                <a:pPr algn="ctr">
                  <a:defRPr/>
                </a:pPr>
                <a:r>
                  <a:rPr lang="en-US" cap="none" sz="900" b="1" i="0" u="none" baseline="0">
                    <a:solidFill>
                      <a:srgbClr val="333333"/>
                    </a:solidFill>
                  </a:rPr>
                  <a:t>Actual</a:t>
                </a:r>
              </a:p>
            </c:rich>
          </c:tx>
          <c:layout>
            <c:manualLayout>
              <c:xMode val="factor"/>
              <c:yMode val="factor"/>
              <c:x val="0.10575"/>
              <c:y val="0.1125"/>
            </c:manualLayout>
          </c:layout>
          <c:overlay val="0"/>
          <c:spPr>
            <a:noFill/>
            <a:ln>
              <a:noFill/>
            </a:ln>
          </c:spPr>
        </c:title>
        <c:delete val="0"/>
        <c:numFmt formatCode="General" sourceLinked="1"/>
        <c:majorTickMark val="none"/>
        <c:minorTickMark val="none"/>
        <c:tickLblPos val="none"/>
        <c:spPr>
          <a:ln w="3175">
            <a:solidFill>
              <a:srgbClr val="FFFFFF"/>
            </a:solidFill>
          </a:ln>
        </c:spPr>
        <c:crossAx val="21086944"/>
        <c:crosses val="autoZero"/>
        <c:crossBetween val="midCat"/>
        <c:dispUnits/>
      </c:valAx>
      <c:valAx>
        <c:axId val="21086944"/>
        <c:scaling>
          <c:orientation val="minMax"/>
        </c:scaling>
        <c:axPos val="l"/>
        <c:title>
          <c:tx>
            <c:rich>
              <a:bodyPr vert="horz" rot="-5400000" anchor="ctr"/>
              <a:lstStyle/>
              <a:p>
                <a:pPr algn="ctr">
                  <a:defRPr/>
                </a:pPr>
                <a:r>
                  <a:rPr lang="en-US" cap="none" sz="900" b="1" i="0" u="none" baseline="0">
                    <a:solidFill>
                      <a:srgbClr val="333333"/>
                    </a:solidFill>
                  </a:rPr>
                  <a:t>Predicted</a:t>
                </a:r>
              </a:p>
            </c:rich>
          </c:tx>
          <c:layout>
            <c:manualLayout>
              <c:xMode val="factor"/>
              <c:yMode val="factor"/>
              <c:x val="0.0165"/>
              <c:y val="0.036"/>
            </c:manualLayout>
          </c:layout>
          <c:overlay val="0"/>
          <c:spPr>
            <a:noFill/>
            <a:ln>
              <a:noFill/>
            </a:ln>
          </c:spPr>
        </c:title>
        <c:majorGridlines>
          <c:spPr>
            <a:ln w="12700">
              <a:solidFill>
                <a:srgbClr val="969696"/>
              </a:solidFill>
              <a:prstDash val="sysDot"/>
            </a:ln>
          </c:spPr>
        </c:majorGridlines>
        <c:delete val="0"/>
        <c:numFmt formatCode="General" sourceLinked="1"/>
        <c:majorTickMark val="none"/>
        <c:minorTickMark val="none"/>
        <c:tickLblPos val="none"/>
        <c:spPr>
          <a:ln w="3175">
            <a:solidFill>
              <a:srgbClr val="FFFFFF"/>
            </a:solidFill>
          </a:ln>
        </c:spPr>
        <c:crossAx val="24712615"/>
        <c:crosses val="autoZero"/>
        <c:crossBetween val="midCat"/>
        <c:dispUnits/>
      </c:valAx>
      <c:spPr>
        <a:gradFill rotWithShape="1">
          <a:gsLst>
            <a:gs pos="0">
              <a:srgbClr val="FFFFFF"/>
            </a:gs>
            <a:gs pos="100000">
              <a:srgbClr val="C0C0C0"/>
            </a:gs>
          </a:gsLst>
          <a:lin ang="5400000" scaled="1"/>
        </a:gradFill>
        <a:ln w="12700">
          <a:solidFill>
            <a:srgbClr val="808080"/>
          </a:solidFill>
        </a:ln>
      </c:spPr>
    </c:plotArea>
    <c:plotVisOnly val="1"/>
    <c:dispBlanksAs val="gap"/>
    <c:showDLblsOverMax val="0"/>
  </c:chart>
  <c:spPr>
    <a:solidFill>
      <a:srgbClr val="333333"/>
    </a:solidFill>
    <a:ln w="3175">
      <a:noFill/>
    </a:ln>
  </c:spPr>
  <c:txPr>
    <a:bodyPr vert="horz" rot="0"/>
    <a:lstStyle/>
    <a:p>
      <a:pPr>
        <a:defRPr lang="en-US" cap="none" sz="8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475"/>
          <c:y val="0.11975"/>
          <c:w val="0.97275"/>
          <c:h val="0.7255"/>
        </c:manualLayout>
      </c:layout>
      <c:lineChart>
        <c:grouping val="standard"/>
        <c:varyColors val="0"/>
        <c:ser>
          <c:idx val="0"/>
          <c:order val="0"/>
          <c:tx>
            <c:strRef>
              <c:f>'Wholesale to RRR analysis'!$B$2</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analysis'!$B$3:$B$14</c:f>
              <c:numCache/>
            </c:numRef>
          </c:val>
          <c:smooth val="0"/>
        </c:ser>
        <c:ser>
          <c:idx val="1"/>
          <c:order val="1"/>
          <c:tx>
            <c:strRef>
              <c:f>'Wholesale to RRR analysis'!$C$2</c:f>
              <c:strCache>
                <c:ptCount val="1"/>
                <c:pt idx="0">
                  <c:v>2014</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analysis'!$C$3:$C$14</c:f>
              <c:numCache/>
            </c:numRef>
          </c:val>
          <c:smooth val="0"/>
        </c:ser>
        <c:ser>
          <c:idx val="2"/>
          <c:order val="2"/>
          <c:tx>
            <c:strRef>
              <c:f>'Wholesale to RRR analysis'!$D$2</c:f>
              <c:strCache>
                <c:ptCount val="1"/>
                <c:pt idx="0">
                  <c:v>2015</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analysis'!$D$3:$D$14</c:f>
              <c:numCache/>
            </c:numRef>
          </c:val>
          <c:smooth val="0"/>
        </c:ser>
        <c:ser>
          <c:idx val="3"/>
          <c:order val="3"/>
          <c:tx>
            <c:strRef>
              <c:f>'Wholesale to RRR analysis'!$E$2</c:f>
              <c:strCache>
                <c:ptCount val="1"/>
                <c:pt idx="0">
                  <c:v>2016</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analysis'!$E$3:$E$14</c:f>
              <c:numCache/>
            </c:numRef>
          </c:val>
          <c:smooth val="0"/>
        </c:ser>
        <c:ser>
          <c:idx val="4"/>
          <c:order val="4"/>
          <c:tx>
            <c:strRef>
              <c:f>'Wholesale to RRR analysis'!$F$2</c:f>
              <c:strCache>
                <c:ptCount val="1"/>
                <c:pt idx="0">
                  <c:v>2017</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analysis'!$F$3:$F$14</c:f>
              <c:numCache/>
            </c:numRef>
          </c:val>
          <c:smooth val="0"/>
        </c:ser>
        <c:ser>
          <c:idx val="5"/>
          <c:order val="5"/>
          <c:tx>
            <c:strRef>
              <c:f>'Wholesale to RRR analysis'!$G$2</c:f>
              <c:strCache>
                <c:ptCount val="1"/>
                <c:pt idx="0">
                  <c:v>2018</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analysis'!$G$3:$G$14</c:f>
              <c:numCache/>
            </c:numRef>
          </c:val>
          <c:smooth val="0"/>
        </c:ser>
        <c:ser>
          <c:idx val="6"/>
          <c:order val="6"/>
          <c:tx>
            <c:strRef>
              <c:f>'Wholesale to RRR analysis'!$H$2</c:f>
              <c:strCache>
                <c:ptCount val="1"/>
                <c:pt idx="0">
                  <c:v>2019</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analysis'!$H$3:$H$14</c:f>
              <c:numCache/>
            </c:numRef>
          </c:val>
          <c:smooth val="0"/>
        </c:ser>
        <c:ser>
          <c:idx val="7"/>
          <c:order val="7"/>
          <c:tx>
            <c:strRef>
              <c:f>'Wholesale to RRR analysis'!$I$2</c:f>
              <c:strCache>
                <c:ptCount val="1"/>
                <c:pt idx="0">
                  <c:v>2020</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analysis'!$I$3:$I$14</c:f>
              <c:numCache/>
            </c:numRef>
          </c:val>
          <c:smooth val="0"/>
        </c:ser>
        <c:ser>
          <c:idx val="8"/>
          <c:order val="8"/>
          <c:tx>
            <c:strRef>
              <c:f>'Wholesale to RRR analysis'!$J$2</c:f>
              <c:strCache>
                <c:ptCount val="1"/>
                <c:pt idx="0">
                  <c:v>2021</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analysis'!$J$3:$J$14</c:f>
              <c:numCache/>
            </c:numRef>
          </c:val>
          <c:smooth val="0"/>
        </c:ser>
        <c:ser>
          <c:idx val="9"/>
          <c:order val="9"/>
          <c:tx>
            <c:strRef>
              <c:f>'Wholesale to RRR analysis'!$K$2</c:f>
              <c:strCache>
                <c:ptCount val="1"/>
                <c:pt idx="0">
                  <c:v>2022</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'Wholesale to RRR analysis'!$A$3:$A$14</c:f>
              <c:strCache/>
            </c:strRef>
          </c:cat>
          <c:val>
            <c:numRef>
              <c:f>'Wholesale to RRR analysis'!$K$3:$K$14</c:f>
              <c:numCache/>
            </c:numRef>
          </c:val>
          <c:smooth val="0"/>
        </c:ser>
        <c:marker val="1"/>
        <c:axId val="55564769"/>
        <c:axId val="30320874"/>
      </c:lineChart>
      <c:catAx>
        <c:axId val="55564769"/>
        <c:scaling>
          <c:orientation val="minMax"/>
        </c:scaling>
        <c:axPos val="b"/>
        <c:delete val="0"/>
        <c:numFmt formatCode="General" sourceLinked="1"/>
        <c:majorTickMark val="none"/>
        <c:minorTickMark val="none"/>
        <c:tickLblPos val="nextTo"/>
        <c:spPr>
          <a:ln w="3175">
            <a:solidFill>
              <a:srgbClr val="EAEAEA"/>
            </a:solidFill>
          </a:ln>
        </c:spPr>
        <c:txPr>
          <a:bodyPr vert="horz" rot="-2700000"/>
          <a:lstStyle/>
          <a:p>
            <a:pPr>
              <a:defRPr lang="en-US" cap="none" sz="900" b="0" i="0" u="none" baseline="0">
                <a:solidFill>
                  <a:srgbClr val="333333"/>
                </a:solidFill>
              </a:defRPr>
            </a:pPr>
          </a:p>
        </c:txPr>
        <c:crossAx val="30320874"/>
        <c:crosses val="autoZero"/>
        <c:auto val="1"/>
        <c:lblOffset val="100"/>
        <c:tickLblSkip val="1"/>
        <c:noMultiLvlLbl val="0"/>
      </c:catAx>
      <c:valAx>
        <c:axId val="30320874"/>
        <c:scaling>
          <c:orientation val="minMax"/>
        </c:scaling>
        <c:axPos val="l"/>
        <c:majorGridlines>
          <c:spPr>
            <a:ln w="3175">
              <a:solidFill>
                <a:srgbClr val="EAEAEA"/>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5564769"/>
        <c:crossesAt val="1"/>
        <c:crossBetween val="between"/>
        <c:dispUnits/>
      </c:valAx>
      <c:spPr>
        <a:noFill/>
        <a:ln>
          <a:noFill/>
        </a:ln>
      </c:spPr>
    </c:plotArea>
    <c:legend>
      <c:legendPos val="b"/>
      <c:layout>
        <c:manualLayout>
          <c:xMode val="edge"/>
          <c:yMode val="edge"/>
          <c:x val="0.244"/>
          <c:y val="0.83875"/>
          <c:w val="0.5085"/>
          <c:h val="0.1397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EAEAEA"/>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38100</xdr:rowOff>
    </xdr:from>
    <xdr:ext cx="857250" cy="276225"/>
    <xdr:sp macro="[0]!overview">
      <xdr:nvSpPr>
        <xdr:cNvPr id="1" name="AutoShape 14"/>
        <xdr:cNvSpPr>
          <a:spLocks/>
        </xdr:cNvSpPr>
      </xdr:nvSpPr>
      <xdr:spPr>
        <a:xfrm>
          <a:off x="38100" y="38100"/>
          <a:ext cx="857250"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Overview</a:t>
          </a:r>
        </a:p>
      </xdr:txBody>
    </xdr:sp>
    <xdr:clientData fPrintsWithSheet="0"/>
  </xdr:oneCellAnchor>
  <xdr:twoCellAnchor>
    <xdr:from>
      <xdr:col>0</xdr:col>
      <xdr:colOff>742950</xdr:colOff>
      <xdr:row>3</xdr:row>
      <xdr:rowOff>0</xdr:rowOff>
    </xdr:from>
    <xdr:to>
      <xdr:col>0</xdr:col>
      <xdr:colOff>923925</xdr:colOff>
      <xdr:row>3</xdr:row>
      <xdr:rowOff>190500</xdr:rowOff>
    </xdr:to>
    <xdr:grpSp>
      <xdr:nvGrpSpPr>
        <xdr:cNvPr id="2" name="Group 15"/>
        <xdr:cNvGrpSpPr>
          <a:grpSpLocks/>
        </xdr:cNvGrpSpPr>
      </xdr:nvGrpSpPr>
      <xdr:grpSpPr>
        <a:xfrm>
          <a:off x="742950" y="571500"/>
          <a:ext cx="180975" cy="190500"/>
          <a:chOff x="554" y="194"/>
          <a:chExt cx="19" cy="20"/>
        </a:xfrm>
        <a:solidFill>
          <a:srgbClr val="FFFFFF"/>
        </a:solidFill>
      </xdr:grpSpPr>
      <xdr:sp macro="[0]!H_Input">
        <xdr:nvSpPr>
          <xdr:cNvPr id="3" name="Oval 16"/>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Input">
        <xdr:nvSpPr>
          <xdr:cNvPr id="4" name="Rectangle 17"/>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oneCellAnchor>
    <xdr:from>
      <xdr:col>9</xdr:col>
      <xdr:colOff>400050</xdr:colOff>
      <xdr:row>0</xdr:row>
      <xdr:rowOff>38100</xdr:rowOff>
    </xdr:from>
    <xdr:ext cx="1038225" cy="276225"/>
    <xdr:sp macro="[0]!Delete_Input">
      <xdr:nvSpPr>
        <xdr:cNvPr id="5" name="AutoShape 18"/>
        <xdr:cNvSpPr>
          <a:spLocks/>
        </xdr:cNvSpPr>
      </xdr:nvSpPr>
      <xdr:spPr>
        <a:xfrm>
          <a:off x="7353300" y="38100"/>
          <a:ext cx="1038225"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Delete Input</a:t>
          </a:r>
        </a:p>
      </xdr:txBody>
    </xdr:sp>
    <xdr:clientData fPrintsWithSheet="0"/>
  </xdr:oneCellAnchor>
  <xdr:oneCellAnchor>
    <xdr:from>
      <xdr:col>7</xdr:col>
      <xdr:colOff>228600</xdr:colOff>
      <xdr:row>0</xdr:row>
      <xdr:rowOff>38100</xdr:rowOff>
    </xdr:from>
    <xdr:ext cx="1381125" cy="276225"/>
    <xdr:sp macro="[0]!Run_Regression">
      <xdr:nvSpPr>
        <xdr:cNvPr id="6" name="AutoShape 19"/>
        <xdr:cNvSpPr>
          <a:spLocks/>
        </xdr:cNvSpPr>
      </xdr:nvSpPr>
      <xdr:spPr>
        <a:xfrm>
          <a:off x="5715000" y="38100"/>
          <a:ext cx="1381125"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Run Regression</a:t>
          </a:r>
        </a:p>
      </xdr:txBody>
    </xdr:sp>
    <xdr:clientData fPrintsWithSheet="0"/>
  </xdr:oneCellAnchor>
  <xdr:oneCellAnchor>
    <xdr:from>
      <xdr:col>13</xdr:col>
      <xdr:colOff>19050</xdr:colOff>
      <xdr:row>0</xdr:row>
      <xdr:rowOff>47625</xdr:rowOff>
    </xdr:from>
    <xdr:ext cx="1381125" cy="276225"/>
    <xdr:sp macro="[0]!Save_XLSM">
      <xdr:nvSpPr>
        <xdr:cNvPr id="7" name="AutoShape 21"/>
        <xdr:cNvSpPr>
          <a:spLocks/>
        </xdr:cNvSpPr>
      </xdr:nvSpPr>
      <xdr:spPr>
        <a:xfrm>
          <a:off x="9906000" y="47625"/>
          <a:ext cx="1381125"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Save As XLSM</a:t>
          </a:r>
        </a:p>
      </xdr:txBody>
    </xdr:sp>
    <xdr:clientData fPrintsWithSheet="0"/>
  </xdr:oneCellAnchor>
  <xdr:twoCellAnchor>
    <xdr:from>
      <xdr:col>1</xdr:col>
      <xdr:colOff>504825</xdr:colOff>
      <xdr:row>0</xdr:row>
      <xdr:rowOff>76200</xdr:rowOff>
    </xdr:from>
    <xdr:to>
      <xdr:col>1</xdr:col>
      <xdr:colOff>685800</xdr:colOff>
      <xdr:row>1</xdr:row>
      <xdr:rowOff>76200</xdr:rowOff>
    </xdr:to>
    <xdr:grpSp>
      <xdr:nvGrpSpPr>
        <xdr:cNvPr id="8" name="Group 28"/>
        <xdr:cNvGrpSpPr>
          <a:grpSpLocks/>
        </xdr:cNvGrpSpPr>
      </xdr:nvGrpSpPr>
      <xdr:grpSpPr>
        <a:xfrm>
          <a:off x="1438275" y="76200"/>
          <a:ext cx="180975" cy="190500"/>
          <a:chOff x="554" y="194"/>
          <a:chExt cx="19" cy="20"/>
        </a:xfrm>
        <a:solidFill>
          <a:srgbClr val="FFFFFF"/>
        </a:solidFill>
      </xdr:grpSpPr>
      <xdr:sp macro="[0]!H_Feature_selection">
        <xdr:nvSpPr>
          <xdr:cNvPr id="9" name="Oval 29"/>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Feature_selection">
        <xdr:nvSpPr>
          <xdr:cNvPr id="10" name="Rectangle 30"/>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oneCellAnchor>
    <xdr:from>
      <xdr:col>48</xdr:col>
      <xdr:colOff>38100</xdr:colOff>
      <xdr:row>0</xdr:row>
      <xdr:rowOff>38100</xdr:rowOff>
    </xdr:from>
    <xdr:ext cx="638175" cy="276225"/>
    <xdr:sp macro="[0]!Add_Vars">
      <xdr:nvSpPr>
        <xdr:cNvPr id="11" name="AutoShape 40"/>
        <xdr:cNvSpPr>
          <a:spLocks/>
        </xdr:cNvSpPr>
      </xdr:nvSpPr>
      <xdr:spPr>
        <a:xfrm>
          <a:off x="35594925" y="38100"/>
          <a:ext cx="638175" cy="276225"/>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36576" tIns="27432" rIns="36576" bIns="27432" anchor="ctr"/>
        <a:p>
          <a:pPr algn="ctr">
            <a:defRPr/>
          </a:pPr>
          <a:r>
            <a:rPr lang="en-US" cap="none" sz="1200" b="1" i="0" u="none" baseline="0">
              <a:solidFill>
                <a:srgbClr val="333333"/>
              </a:solidFill>
            </a:rPr>
            <a:t>Add</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xdr:row>
      <xdr:rowOff>9525</xdr:rowOff>
    </xdr:from>
    <xdr:to>
      <xdr:col>24</xdr:col>
      <xdr:colOff>219075</xdr:colOff>
      <xdr:row>7</xdr:row>
      <xdr:rowOff>0</xdr:rowOff>
    </xdr:to>
    <xdr:graphicFrame>
      <xdr:nvGraphicFramePr>
        <xdr:cNvPr id="1" name="actpred"/>
        <xdr:cNvGraphicFramePr/>
      </xdr:nvGraphicFramePr>
      <xdr:xfrm>
        <a:off x="11001375" y="104775"/>
        <a:ext cx="5581650" cy="1076325"/>
      </xdr:xfrm>
      <a:graphic>
        <a:graphicData uri="http://schemas.openxmlformats.org/drawingml/2006/chart">
          <c:chart xmlns:c="http://schemas.openxmlformats.org/drawingml/2006/chart" r:id="rId1"/>
        </a:graphicData>
      </a:graphic>
    </xdr:graphicFrame>
    <xdr:clientData/>
  </xdr:twoCellAnchor>
  <xdr:oneCellAnchor>
    <xdr:from>
      <xdr:col>26</xdr:col>
      <xdr:colOff>9525</xdr:colOff>
      <xdr:row>2</xdr:row>
      <xdr:rowOff>47625</xdr:rowOff>
    </xdr:from>
    <xdr:ext cx="990600" cy="247650"/>
    <xdr:sp macro="[0]!Export_Tab">
      <xdr:nvSpPr>
        <xdr:cNvPr id="2" name="AutoShape 25"/>
        <xdr:cNvSpPr>
          <a:spLocks/>
        </xdr:cNvSpPr>
      </xdr:nvSpPr>
      <xdr:spPr>
        <a:xfrm>
          <a:off x="17268825" y="142875"/>
          <a:ext cx="990600" cy="247650"/>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Export Sheet</a:t>
          </a:r>
        </a:p>
      </xdr:txBody>
    </xdr:sp>
    <xdr:clientData fPrintsWithSheet="0"/>
  </xdr:oneCellAnchor>
  <xdr:oneCellAnchor>
    <xdr:from>
      <xdr:col>26</xdr:col>
      <xdr:colOff>38100</xdr:colOff>
      <xdr:row>8</xdr:row>
      <xdr:rowOff>38100</xdr:rowOff>
    </xdr:from>
    <xdr:ext cx="990600" cy="247650"/>
    <xdr:sp macro="[0]!Forecast_Go">
      <xdr:nvSpPr>
        <xdr:cNvPr id="3" name="AutoShape 26"/>
        <xdr:cNvSpPr>
          <a:spLocks/>
        </xdr:cNvSpPr>
      </xdr:nvSpPr>
      <xdr:spPr>
        <a:xfrm>
          <a:off x="17297400" y="1343025"/>
          <a:ext cx="990600" cy="247650"/>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Run Forecast</a:t>
          </a:r>
        </a:p>
      </xdr:txBody>
    </xdr:sp>
    <xdr:clientData fPrintsWithSheet="0"/>
  </xdr:oneCellAnchor>
  <xdr:twoCellAnchor>
    <xdr:from>
      <xdr:col>0</xdr:col>
      <xdr:colOff>38100</xdr:colOff>
      <xdr:row>2</xdr:row>
      <xdr:rowOff>38100</xdr:rowOff>
    </xdr:from>
    <xdr:to>
      <xdr:col>0</xdr:col>
      <xdr:colOff>219075</xdr:colOff>
      <xdr:row>2</xdr:row>
      <xdr:rowOff>228600</xdr:rowOff>
    </xdr:to>
    <xdr:grpSp>
      <xdr:nvGrpSpPr>
        <xdr:cNvPr id="4" name="Group 27"/>
        <xdr:cNvGrpSpPr>
          <a:grpSpLocks/>
        </xdr:cNvGrpSpPr>
      </xdr:nvGrpSpPr>
      <xdr:grpSpPr>
        <a:xfrm>
          <a:off x="38100" y="133350"/>
          <a:ext cx="180975" cy="190500"/>
          <a:chOff x="554" y="194"/>
          <a:chExt cx="19" cy="20"/>
        </a:xfrm>
        <a:solidFill>
          <a:srgbClr val="FFFFFF"/>
        </a:solidFill>
      </xdr:grpSpPr>
      <xdr:sp macro="[0]!H_Parameters">
        <xdr:nvSpPr>
          <xdr:cNvPr id="5" name="Oval 28"/>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Parameters">
        <xdr:nvSpPr>
          <xdr:cNvPr id="6" name="Rectangle 29"/>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0</xdr:col>
      <xdr:colOff>47625</xdr:colOff>
      <xdr:row>8</xdr:row>
      <xdr:rowOff>28575</xdr:rowOff>
    </xdr:from>
    <xdr:to>
      <xdr:col>0</xdr:col>
      <xdr:colOff>228600</xdr:colOff>
      <xdr:row>8</xdr:row>
      <xdr:rowOff>219075</xdr:rowOff>
    </xdr:to>
    <xdr:grpSp>
      <xdr:nvGrpSpPr>
        <xdr:cNvPr id="7" name="Group 30"/>
        <xdr:cNvGrpSpPr>
          <a:grpSpLocks/>
        </xdr:cNvGrpSpPr>
      </xdr:nvGrpSpPr>
      <xdr:grpSpPr>
        <a:xfrm>
          <a:off x="47625" y="1333500"/>
          <a:ext cx="180975" cy="190500"/>
          <a:chOff x="554" y="194"/>
          <a:chExt cx="19" cy="20"/>
        </a:xfrm>
        <a:solidFill>
          <a:srgbClr val="FFFFFF"/>
        </a:solidFill>
      </xdr:grpSpPr>
      <xdr:sp macro="[0]!H_equation">
        <xdr:nvSpPr>
          <xdr:cNvPr id="8" name="Oval 31"/>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equation">
        <xdr:nvSpPr>
          <xdr:cNvPr id="9" name="Rectangle 32"/>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5</xdr:col>
      <xdr:colOff>28575</xdr:colOff>
      <xdr:row>8</xdr:row>
      <xdr:rowOff>19050</xdr:rowOff>
    </xdr:from>
    <xdr:to>
      <xdr:col>5</xdr:col>
      <xdr:colOff>209550</xdr:colOff>
      <xdr:row>8</xdr:row>
      <xdr:rowOff>209550</xdr:rowOff>
    </xdr:to>
    <xdr:grpSp>
      <xdr:nvGrpSpPr>
        <xdr:cNvPr id="10" name="Group 33"/>
        <xdr:cNvGrpSpPr>
          <a:grpSpLocks/>
        </xdr:cNvGrpSpPr>
      </xdr:nvGrpSpPr>
      <xdr:grpSpPr>
        <a:xfrm>
          <a:off x="5486400" y="1323975"/>
          <a:ext cx="180975" cy="190500"/>
          <a:chOff x="554" y="194"/>
          <a:chExt cx="19" cy="20"/>
        </a:xfrm>
        <a:solidFill>
          <a:srgbClr val="FFFFFF"/>
        </a:solidFill>
      </xdr:grpSpPr>
      <xdr:sp macro="[0]!H_independent">
        <xdr:nvSpPr>
          <xdr:cNvPr id="11" name="Oval 34"/>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independent">
        <xdr:nvSpPr>
          <xdr:cNvPr id="12" name="Rectangle 35"/>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6</xdr:col>
      <xdr:colOff>38100</xdr:colOff>
      <xdr:row>2</xdr:row>
      <xdr:rowOff>47625</xdr:rowOff>
    </xdr:from>
    <xdr:to>
      <xdr:col>6</xdr:col>
      <xdr:colOff>219075</xdr:colOff>
      <xdr:row>2</xdr:row>
      <xdr:rowOff>238125</xdr:rowOff>
    </xdr:to>
    <xdr:grpSp>
      <xdr:nvGrpSpPr>
        <xdr:cNvPr id="13" name="Group 36"/>
        <xdr:cNvGrpSpPr>
          <a:grpSpLocks/>
        </xdr:cNvGrpSpPr>
      </xdr:nvGrpSpPr>
      <xdr:grpSpPr>
        <a:xfrm>
          <a:off x="6343650" y="142875"/>
          <a:ext cx="180975" cy="190500"/>
          <a:chOff x="554" y="194"/>
          <a:chExt cx="19" cy="20"/>
        </a:xfrm>
        <a:solidFill>
          <a:srgbClr val="FFFFFF"/>
        </a:solidFill>
      </xdr:grpSpPr>
      <xdr:sp macro="[0]!H_durbinwatson">
        <xdr:nvSpPr>
          <xdr:cNvPr id="14" name="Oval 37"/>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durbinwatson">
        <xdr:nvSpPr>
          <xdr:cNvPr id="15" name="Rectangle 38"/>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8</xdr:col>
      <xdr:colOff>28575</xdr:colOff>
      <xdr:row>8</xdr:row>
      <xdr:rowOff>19050</xdr:rowOff>
    </xdr:from>
    <xdr:to>
      <xdr:col>8</xdr:col>
      <xdr:colOff>209550</xdr:colOff>
      <xdr:row>8</xdr:row>
      <xdr:rowOff>209550</xdr:rowOff>
    </xdr:to>
    <xdr:grpSp>
      <xdr:nvGrpSpPr>
        <xdr:cNvPr id="16" name="Group 39"/>
        <xdr:cNvGrpSpPr>
          <a:grpSpLocks/>
        </xdr:cNvGrpSpPr>
      </xdr:nvGrpSpPr>
      <xdr:grpSpPr>
        <a:xfrm>
          <a:off x="8029575" y="1323975"/>
          <a:ext cx="180975" cy="190500"/>
          <a:chOff x="554" y="194"/>
          <a:chExt cx="19" cy="20"/>
        </a:xfrm>
        <a:solidFill>
          <a:srgbClr val="FFFFFF"/>
        </a:solidFill>
      </xdr:grpSpPr>
      <xdr:sp macro="[0]!H_autocorrelation">
        <xdr:nvSpPr>
          <xdr:cNvPr id="17" name="Oval 40"/>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autocorrelation">
        <xdr:nvSpPr>
          <xdr:cNvPr id="18" name="Rectangle 41"/>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9</xdr:col>
      <xdr:colOff>28575</xdr:colOff>
      <xdr:row>8</xdr:row>
      <xdr:rowOff>19050</xdr:rowOff>
    </xdr:from>
    <xdr:to>
      <xdr:col>9</xdr:col>
      <xdr:colOff>209550</xdr:colOff>
      <xdr:row>8</xdr:row>
      <xdr:rowOff>209550</xdr:rowOff>
    </xdr:to>
    <xdr:grpSp>
      <xdr:nvGrpSpPr>
        <xdr:cNvPr id="19" name="Group 42"/>
        <xdr:cNvGrpSpPr>
          <a:grpSpLocks/>
        </xdr:cNvGrpSpPr>
      </xdr:nvGrpSpPr>
      <xdr:grpSpPr>
        <a:xfrm>
          <a:off x="8877300" y="1323975"/>
          <a:ext cx="180975" cy="190500"/>
          <a:chOff x="554" y="194"/>
          <a:chExt cx="19" cy="20"/>
        </a:xfrm>
        <a:solidFill>
          <a:srgbClr val="FFFFFF"/>
        </a:solidFill>
      </xdr:grpSpPr>
      <xdr:sp macro="[0]!H_colinearity">
        <xdr:nvSpPr>
          <xdr:cNvPr id="20" name="Oval 43"/>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colinearity">
        <xdr:nvSpPr>
          <xdr:cNvPr id="21" name="Rectangle 44"/>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10</xdr:col>
      <xdr:colOff>495300</xdr:colOff>
      <xdr:row>2</xdr:row>
      <xdr:rowOff>19050</xdr:rowOff>
    </xdr:from>
    <xdr:to>
      <xdr:col>10</xdr:col>
      <xdr:colOff>676275</xdr:colOff>
      <xdr:row>2</xdr:row>
      <xdr:rowOff>209550</xdr:rowOff>
    </xdr:to>
    <xdr:grpSp>
      <xdr:nvGrpSpPr>
        <xdr:cNvPr id="22" name="Group 45"/>
        <xdr:cNvGrpSpPr>
          <a:grpSpLocks/>
        </xdr:cNvGrpSpPr>
      </xdr:nvGrpSpPr>
      <xdr:grpSpPr>
        <a:xfrm>
          <a:off x="10191750" y="114300"/>
          <a:ext cx="180975" cy="190500"/>
          <a:chOff x="554" y="194"/>
          <a:chExt cx="19" cy="20"/>
        </a:xfrm>
        <a:solidFill>
          <a:srgbClr val="FFFFFF"/>
        </a:solidFill>
      </xdr:grpSpPr>
      <xdr:sp macro="[0]!H_scatter">
        <xdr:nvSpPr>
          <xdr:cNvPr id="23" name="Oval 46"/>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scatter">
        <xdr:nvSpPr>
          <xdr:cNvPr id="24" name="Rectangle 47"/>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twoCellAnchor>
    <xdr:from>
      <xdr:col>23</xdr:col>
      <xdr:colOff>361950</xdr:colOff>
      <xdr:row>8</xdr:row>
      <xdr:rowOff>28575</xdr:rowOff>
    </xdr:from>
    <xdr:to>
      <xdr:col>24</xdr:col>
      <xdr:colOff>95250</xdr:colOff>
      <xdr:row>8</xdr:row>
      <xdr:rowOff>219075</xdr:rowOff>
    </xdr:to>
    <xdr:grpSp>
      <xdr:nvGrpSpPr>
        <xdr:cNvPr id="25" name="Group 48"/>
        <xdr:cNvGrpSpPr>
          <a:grpSpLocks/>
        </xdr:cNvGrpSpPr>
      </xdr:nvGrpSpPr>
      <xdr:grpSpPr>
        <a:xfrm>
          <a:off x="16278225" y="1333500"/>
          <a:ext cx="180975" cy="190500"/>
          <a:chOff x="554" y="194"/>
          <a:chExt cx="19" cy="20"/>
        </a:xfrm>
        <a:solidFill>
          <a:srgbClr val="FFFFFF"/>
        </a:solidFill>
      </xdr:grpSpPr>
      <xdr:sp macro="[0]!H_forecast">
        <xdr:nvSpPr>
          <xdr:cNvPr id="26" name="Oval 49"/>
          <xdr:cNvSpPr>
            <a:spLocks/>
          </xdr:cNvSpPr>
        </xdr:nvSpPr>
        <xdr:spPr>
          <a:xfrm>
            <a:off x="554" y="195"/>
            <a:ext cx="19" cy="19"/>
          </a:xfrm>
          <a:prstGeom prst="ellipse">
            <a:avLst/>
          </a:prstGeom>
          <a:gradFill rotWithShape="1">
            <a:gsLst>
              <a:gs pos="0">
                <a:srgbClr val="CCCCFF"/>
              </a:gs>
              <a:gs pos="100000">
                <a:srgbClr val="9999FF"/>
              </a:gs>
            </a:gsLst>
            <a:path path="rect">
              <a:fillToRect l="50000" t="50000" r="50000" b="50000"/>
            </a:path>
          </a:gradFill>
          <a:ln w="19050" cmpd="sng">
            <a:solidFill>
              <a:srgbClr val="808080"/>
            </a:solidFill>
            <a:headEnd type="none"/>
            <a:tailEnd type="none"/>
          </a:ln>
        </xdr:spPr>
        <xdr:txBody>
          <a:bodyPr vertOverflow="clip" wrap="square" lIns="0" tIns="0" rIns="0" bIns="0" anchor="ctr"/>
          <a:p>
            <a:pPr algn="ctr">
              <a:defRPr/>
            </a:pPr>
            <a:r>
              <a:rPr lang="en-US" cap="none" u="none" baseline="0">
                <a:latin typeface="Times New Roman"/>
                <a:ea typeface="Times New Roman"/>
                <a:cs typeface="Times New Roman"/>
              </a:rPr>
              <a:t/>
            </a:r>
          </a:p>
        </xdr:txBody>
      </xdr:sp>
      <xdr:sp macro="[0]!H_forecast">
        <xdr:nvSpPr>
          <xdr:cNvPr id="27" name="Rectangle 50"/>
          <xdr:cNvSpPr>
            <a:spLocks/>
          </xdr:cNvSpPr>
        </xdr:nvSpPr>
        <xdr:spPr>
          <a:xfrm>
            <a:off x="558" y="194"/>
            <a:ext cx="11" cy="18"/>
          </a:xfrm>
          <a:prstGeom prst="rect">
            <a:avLst/>
          </a:prstGeom>
          <a:noFill/>
          <a:ln w="9525" cmpd="sng">
            <a:noFill/>
          </a:ln>
        </xdr:spPr>
        <xdr:txBody>
          <a:bodyPr vertOverflow="clip" wrap="square" lIns="0" tIns="0" rIns="0" bIns="0" anchor="ctr"/>
          <a:p>
            <a:pPr algn="ctr">
              <a:defRPr/>
            </a:pPr>
            <a:r>
              <a:rPr lang="en-US" cap="none" sz="1300" b="1" i="0" u="none" baseline="0">
                <a:solidFill>
                  <a:srgbClr val="333333"/>
                </a:solidFil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695325</xdr:colOff>
      <xdr:row>0</xdr:row>
      <xdr:rowOff>28575</xdr:rowOff>
    </xdr:from>
    <xdr:ext cx="990600" cy="247650"/>
    <xdr:sp macro="[0]!Export_Tab">
      <xdr:nvSpPr>
        <xdr:cNvPr id="1" name="AutoShape 8"/>
        <xdr:cNvSpPr>
          <a:spLocks/>
        </xdr:cNvSpPr>
      </xdr:nvSpPr>
      <xdr:spPr>
        <a:xfrm>
          <a:off x="4257675" y="28575"/>
          <a:ext cx="990600" cy="247650"/>
        </a:xfrm>
        <a:prstGeom prst="roundRect">
          <a:avLst>
            <a:gd name="adj" fmla="val 0"/>
          </a:avLst>
        </a:prstGeom>
        <a:gradFill rotWithShape="1">
          <a:gsLst>
            <a:gs pos="0">
              <a:srgbClr val="FFCC00"/>
            </a:gs>
            <a:gs pos="100000">
              <a:srgbClr val="FF9900"/>
            </a:gs>
          </a:gsLst>
          <a:lin ang="5400000" scaled="1"/>
        </a:gradFill>
        <a:ln w="19050" cmpd="sng">
          <a:solidFill>
            <a:srgbClr val="808080"/>
          </a:solidFill>
          <a:headEnd type="none"/>
          <a:tailEnd type="none"/>
        </a:ln>
      </xdr:spPr>
      <xdr:txBody>
        <a:bodyPr vertOverflow="clip" wrap="square" lIns="27432" tIns="22860" rIns="27432" bIns="22860" anchor="ctr"/>
        <a:p>
          <a:pPr algn="ctr">
            <a:defRPr/>
          </a:pPr>
          <a:r>
            <a:rPr lang="en-US" cap="none" sz="1000" b="1" i="0" u="none" baseline="0">
              <a:solidFill>
                <a:srgbClr val="333333"/>
              </a:solidFill>
            </a:rPr>
            <a:t>Export Sheet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171450</xdr:rowOff>
    </xdr:from>
    <xdr:to>
      <xdr:col>14</xdr:col>
      <xdr:colOff>561975</xdr:colOff>
      <xdr:row>15</xdr:row>
      <xdr:rowOff>171450</xdr:rowOff>
    </xdr:to>
    <xdr:sp>
      <xdr:nvSpPr>
        <xdr:cNvPr id="1" name="Straight Connector 1"/>
        <xdr:cNvSpPr>
          <a:spLocks/>
        </xdr:cNvSpPr>
      </xdr:nvSpPr>
      <xdr:spPr>
        <a:xfrm flipV="1">
          <a:off x="7791450" y="2895600"/>
          <a:ext cx="1638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0</xdr:row>
      <xdr:rowOff>161925</xdr:rowOff>
    </xdr:from>
    <xdr:to>
      <xdr:col>28</xdr:col>
      <xdr:colOff>314325</xdr:colOff>
      <xdr:row>17</xdr:row>
      <xdr:rowOff>19050</xdr:rowOff>
    </xdr:to>
    <xdr:graphicFrame>
      <xdr:nvGraphicFramePr>
        <xdr:cNvPr id="1" name="Chart 1"/>
        <xdr:cNvGraphicFramePr/>
      </xdr:nvGraphicFramePr>
      <xdr:xfrm>
        <a:off x="17811750" y="161925"/>
        <a:ext cx="516255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theme="4" tint="0.5999900102615356"/>
  </sheetPr>
  <dimension ref="A1:AF243"/>
  <sheetViews>
    <sheetView showGridLines="0" zoomScalePageLayoutView="0" workbookViewId="0" topLeftCell="A154">
      <selection activeCell="O176" sqref="O176"/>
    </sheetView>
  </sheetViews>
  <sheetFormatPr defaultColWidth="9.33203125" defaultRowHeight="12.75"/>
  <cols>
    <col min="1" max="1" width="45.83203125" style="147" customWidth="1"/>
    <col min="2" max="2" width="17.83203125" style="224" bestFit="1" customWidth="1"/>
    <col min="3" max="3" width="17.66015625" style="224" customWidth="1"/>
    <col min="4" max="6" width="16.33203125" style="148" customWidth="1"/>
    <col min="7" max="28" width="16.33203125" style="147" customWidth="1"/>
    <col min="29" max="29" width="9.33203125" style="147" customWidth="1"/>
    <col min="30" max="32" width="10.33203125" style="147" customWidth="1"/>
    <col min="33" max="16384" width="9.33203125" style="147" customWidth="1"/>
  </cols>
  <sheetData>
    <row r="1" spans="4:6" ht="12.75">
      <c r="D1" s="147"/>
      <c r="E1" s="147"/>
      <c r="F1" s="147"/>
    </row>
    <row r="2" spans="4:6" ht="13.5" thickBot="1">
      <c r="D2" s="147"/>
      <c r="E2" s="147"/>
      <c r="F2" s="147"/>
    </row>
    <row r="3" spans="1:22" s="223" customFormat="1" ht="16.5" thickTop="1">
      <c r="A3" s="691" t="s">
        <v>57</v>
      </c>
      <c r="B3" s="692"/>
      <c r="C3" s="225"/>
      <c r="D3" s="689" t="s">
        <v>92</v>
      </c>
      <c r="E3" s="690"/>
      <c r="F3" s="690"/>
      <c r="G3" s="690"/>
      <c r="H3" s="690"/>
      <c r="I3" s="690"/>
      <c r="J3" s="690"/>
      <c r="K3" s="690"/>
      <c r="L3" s="690"/>
      <c r="M3" s="690"/>
      <c r="N3" s="690"/>
      <c r="O3" s="690"/>
      <c r="P3" s="690"/>
      <c r="Q3" s="690"/>
      <c r="R3" s="690"/>
      <c r="S3" s="690"/>
      <c r="T3" s="690"/>
      <c r="U3" s="690"/>
      <c r="V3" s="690"/>
    </row>
    <row r="4" spans="1:22" ht="22.5">
      <c r="A4" s="599" t="s">
        <v>56</v>
      </c>
      <c r="B4" s="600" t="s">
        <v>182</v>
      </c>
      <c r="D4" s="215"/>
      <c r="E4" s="215" t="str">
        <f>'Input - Customer Data'!A13</f>
        <v>Residential</v>
      </c>
      <c r="F4" s="215"/>
      <c r="G4" s="215" t="str">
        <f>'Input - Customer Data'!A14</f>
        <v>General Service &lt; 50 kW</v>
      </c>
      <c r="H4" s="215"/>
      <c r="I4" s="215" t="str">
        <f>'Input - Customer Data'!A15</f>
        <v>General Service &gt; 50 to 4999 kW</v>
      </c>
      <c r="J4" s="215"/>
      <c r="K4" s="215" t="str">
        <f>'Input - Customer Data'!A16</f>
        <v>USL</v>
      </c>
      <c r="L4" s="215"/>
      <c r="M4" s="215" t="str">
        <f>'Input - Customer Data'!A17</f>
        <v>Sentinel</v>
      </c>
      <c r="N4" s="215"/>
      <c r="O4" s="215" t="str">
        <f>'Input - Customer Data'!A18</f>
        <v>Streetlights</v>
      </c>
      <c r="P4" s="215"/>
      <c r="Q4" s="215" t="str">
        <f>'Input - Customer Data'!A19</f>
        <v>Large User</v>
      </c>
      <c r="R4" s="215"/>
      <c r="S4" s="215" t="str">
        <f>'Input - Customer Data'!A20</f>
        <v>other</v>
      </c>
      <c r="T4" s="215"/>
      <c r="U4" s="215" t="str">
        <f>'Input - Customer Data'!A21</f>
        <v>other</v>
      </c>
      <c r="V4" s="215"/>
    </row>
    <row r="5" spans="1:22" ht="24.75" customHeight="1">
      <c r="A5" s="599" t="s">
        <v>55</v>
      </c>
      <c r="B5" s="601" t="s">
        <v>183</v>
      </c>
      <c r="D5" s="215" t="s">
        <v>91</v>
      </c>
      <c r="E5" s="215" t="s">
        <v>90</v>
      </c>
      <c r="F5" s="215" t="s">
        <v>89</v>
      </c>
      <c r="G5" s="215" t="s">
        <v>90</v>
      </c>
      <c r="H5" s="215" t="s">
        <v>89</v>
      </c>
      <c r="I5" s="215" t="s">
        <v>90</v>
      </c>
      <c r="J5" s="215" t="s">
        <v>89</v>
      </c>
      <c r="K5" s="215" t="s">
        <v>90</v>
      </c>
      <c r="L5" s="215" t="s">
        <v>89</v>
      </c>
      <c r="M5" s="215" t="s">
        <v>90</v>
      </c>
      <c r="N5" s="215" t="s">
        <v>89</v>
      </c>
      <c r="O5" s="215" t="s">
        <v>90</v>
      </c>
      <c r="P5" s="215" t="s">
        <v>89</v>
      </c>
      <c r="Q5" s="215" t="s">
        <v>90</v>
      </c>
      <c r="R5" s="215" t="s">
        <v>89</v>
      </c>
      <c r="S5" s="215" t="s">
        <v>90</v>
      </c>
      <c r="T5" s="215" t="s">
        <v>89</v>
      </c>
      <c r="U5" s="215" t="s">
        <v>90</v>
      </c>
      <c r="V5" s="215" t="s">
        <v>89</v>
      </c>
    </row>
    <row r="6" spans="1:22" ht="12.75">
      <c r="A6" s="602" t="s">
        <v>54</v>
      </c>
      <c r="B6" s="601">
        <v>2023</v>
      </c>
      <c r="C6" s="229"/>
      <c r="D6" s="345">
        <v>2013</v>
      </c>
      <c r="E6" s="378">
        <f>AVERAGE(G32:G43)</f>
        <v>19927.25</v>
      </c>
      <c r="F6" s="152"/>
      <c r="G6" s="378">
        <f>AVERAGE(I32:I43)</f>
        <v>2499.1666666666665</v>
      </c>
      <c r="H6" s="152"/>
      <c r="I6" s="378">
        <f>AVERAGE(L32:L43)</f>
        <v>270.8333333333333</v>
      </c>
      <c r="J6" s="152"/>
      <c r="K6" s="378">
        <f>AVERAGE(N32:N43)</f>
        <v>58</v>
      </c>
      <c r="L6" s="152"/>
      <c r="M6" s="378">
        <f>AVERAGE(Q32:Q43)</f>
        <v>8.833333333333334</v>
      </c>
      <c r="N6" s="152"/>
      <c r="O6" s="378">
        <f>AVERAGE(T32:T43)</f>
        <v>6013</v>
      </c>
      <c r="P6" s="152"/>
      <c r="Q6" s="378"/>
      <c r="R6" s="152"/>
      <c r="S6" s="378"/>
      <c r="T6" s="152"/>
      <c r="U6" s="378"/>
      <c r="V6" s="152"/>
    </row>
    <row r="7" spans="1:22" ht="12.75">
      <c r="A7" s="602" t="s">
        <v>53</v>
      </c>
      <c r="B7" s="601">
        <v>2024</v>
      </c>
      <c r="C7" s="230"/>
      <c r="D7" s="345">
        <v>2014</v>
      </c>
      <c r="E7" s="378">
        <f>AVERAGE(G44:G55)</f>
        <v>20032.333333333332</v>
      </c>
      <c r="F7" s="163">
        <f aca="true" t="shared" si="0" ref="F7:F15">E7/E6</f>
        <v>1.0052733484717324</v>
      </c>
      <c r="G7" s="378">
        <f>AVERAGE(I44:I55)</f>
        <v>2531</v>
      </c>
      <c r="H7" s="163">
        <f aca="true" t="shared" si="1" ref="H7:H15">G7/G6</f>
        <v>1.0127375791930644</v>
      </c>
      <c r="I7" s="378">
        <f>AVERAGE(L44:L55)</f>
        <v>235.66666666666666</v>
      </c>
      <c r="J7" s="163">
        <f aca="true" t="shared" si="2" ref="J7:J15">I7/I6</f>
        <v>0.8701538461538462</v>
      </c>
      <c r="K7" s="378">
        <f>AVERAGE(N44:N55)</f>
        <v>57</v>
      </c>
      <c r="L7" s="163">
        <f aca="true" t="shared" si="3" ref="L7:L15">K7/K6</f>
        <v>0.9827586206896551</v>
      </c>
      <c r="M7" s="378">
        <f>AVERAGE(Q44:Q55)</f>
        <v>8</v>
      </c>
      <c r="N7" s="163">
        <f aca="true" t="shared" si="4" ref="N7:N15">M7/M6</f>
        <v>0.9056603773584905</v>
      </c>
      <c r="O7" s="378">
        <f>AVERAGE(T44:T55)</f>
        <v>6029.166666666667</v>
      </c>
      <c r="P7" s="163">
        <f aca="true" t="shared" si="5" ref="P7:P15">O7/O6</f>
        <v>1.0026886191030546</v>
      </c>
      <c r="Q7" s="378"/>
      <c r="R7" s="163"/>
      <c r="S7" s="378"/>
      <c r="T7" s="163"/>
      <c r="U7" s="378"/>
      <c r="V7" s="163"/>
    </row>
    <row r="8" spans="1:22" ht="13.5" thickBot="1">
      <c r="A8" s="603" t="s">
        <v>52</v>
      </c>
      <c r="B8" s="604">
        <v>2018</v>
      </c>
      <c r="C8" s="227"/>
      <c r="D8" s="345">
        <v>2015</v>
      </c>
      <c r="E8" s="378">
        <f>AVERAGE(G56:G67)</f>
        <v>20134.916666666668</v>
      </c>
      <c r="F8" s="163">
        <f t="shared" si="0"/>
        <v>1.0051208878978986</v>
      </c>
      <c r="G8" s="378">
        <f>AVERAGE(I56:I67)</f>
        <v>2526.1666666666665</v>
      </c>
      <c r="H8" s="163">
        <f t="shared" si="1"/>
        <v>0.998090346371658</v>
      </c>
      <c r="I8" s="378">
        <f>AVERAGE(L56:L67)</f>
        <v>235.66666666666666</v>
      </c>
      <c r="J8" s="163">
        <f t="shared" si="2"/>
        <v>1</v>
      </c>
      <c r="K8" s="378">
        <f>AVERAGE(N56:N67)</f>
        <v>57</v>
      </c>
      <c r="L8" s="163">
        <f t="shared" si="3"/>
        <v>1</v>
      </c>
      <c r="M8" s="378">
        <f>AVERAGE(Q56:Q67)</f>
        <v>8</v>
      </c>
      <c r="N8" s="163">
        <f t="shared" si="4"/>
        <v>1</v>
      </c>
      <c r="O8" s="378">
        <f>AVERAGE(T56:T67)</f>
        <v>6126.75</v>
      </c>
      <c r="P8" s="163">
        <f t="shared" si="5"/>
        <v>1.016185210780926</v>
      </c>
      <c r="Q8" s="378"/>
      <c r="R8" s="163"/>
      <c r="S8" s="378"/>
      <c r="T8" s="163"/>
      <c r="U8" s="378"/>
      <c r="V8" s="163"/>
    </row>
    <row r="9" spans="3:22" ht="12.75">
      <c r="C9" s="227"/>
      <c r="D9" s="345">
        <v>2016</v>
      </c>
      <c r="E9" s="378">
        <f>AVERAGE(G68:G79)</f>
        <v>20269.166666666668</v>
      </c>
      <c r="F9" s="163">
        <f t="shared" si="0"/>
        <v>1.0066675220077892</v>
      </c>
      <c r="G9" s="378">
        <f>AVERAGE(I68:I79)</f>
        <v>2545.8333333333335</v>
      </c>
      <c r="H9" s="163">
        <f t="shared" si="1"/>
        <v>1.0077851817642014</v>
      </c>
      <c r="I9" s="378">
        <f>AVERAGE(L68:L79)</f>
        <v>233.83333333333334</v>
      </c>
      <c r="J9" s="163">
        <f t="shared" si="2"/>
        <v>0.9922206506364923</v>
      </c>
      <c r="K9" s="378">
        <f>AVERAGE(N68:N79)</f>
        <v>56.583333333333336</v>
      </c>
      <c r="L9" s="163">
        <f t="shared" si="3"/>
        <v>0.9926900584795322</v>
      </c>
      <c r="M9" s="378">
        <f>AVERAGE(Q68:Q79)</f>
        <v>7.916666666666667</v>
      </c>
      <c r="N9" s="163">
        <f t="shared" si="4"/>
        <v>0.9895833333333334</v>
      </c>
      <c r="O9" s="378">
        <f>AVERAGE(T68:T79)</f>
        <v>6244.083333333333</v>
      </c>
      <c r="P9" s="163">
        <f t="shared" si="5"/>
        <v>1.0191509908733558</v>
      </c>
      <c r="Q9" s="378"/>
      <c r="R9" s="163"/>
      <c r="S9" s="378"/>
      <c r="T9" s="163"/>
      <c r="U9" s="378"/>
      <c r="V9" s="163"/>
    </row>
    <row r="10" spans="3:22" ht="13.5" thickBot="1">
      <c r="C10" s="227"/>
      <c r="D10" s="345">
        <v>2017</v>
      </c>
      <c r="E10" s="378">
        <f>AVERAGE(G81:G91)</f>
        <v>20518</v>
      </c>
      <c r="F10" s="163">
        <f t="shared" si="0"/>
        <v>1.0122764461620688</v>
      </c>
      <c r="G10" s="378">
        <f>AVERAGE(I81:I91)</f>
        <v>2578.6363636363635</v>
      </c>
      <c r="H10" s="163">
        <f t="shared" si="1"/>
        <v>1.0128849873530723</v>
      </c>
      <c r="I10" s="378">
        <f>AVERAGE(L81:L91)</f>
        <v>199.8181818181818</v>
      </c>
      <c r="J10" s="163">
        <f t="shared" si="2"/>
        <v>0.8545324953022743</v>
      </c>
      <c r="K10" s="378">
        <f>AVERAGE(N81:N91)</f>
        <v>54.18181818181818</v>
      </c>
      <c r="L10" s="163">
        <f t="shared" si="3"/>
        <v>0.9575579060115141</v>
      </c>
      <c r="M10" s="378">
        <f>AVERAGE(Q81:Q91)</f>
        <v>8</v>
      </c>
      <c r="N10" s="163">
        <f t="shared" si="4"/>
        <v>1.0105263157894737</v>
      </c>
      <c r="O10" s="378">
        <f>AVERAGE(T81:T91)</f>
        <v>6181.363636363636</v>
      </c>
      <c r="P10" s="163">
        <f t="shared" si="5"/>
        <v>0.9899553395396127</v>
      </c>
      <c r="Q10" s="378" t="e">
        <f>AVERAGE(W80:W90)</f>
        <v>#DIV/0!</v>
      </c>
      <c r="R10" s="163"/>
      <c r="S10" s="378"/>
      <c r="T10" s="163"/>
      <c r="U10" s="378"/>
      <c r="V10" s="163"/>
    </row>
    <row r="11" spans="1:23" ht="13.5" customHeight="1" thickTop="1">
      <c r="A11" s="245" t="s">
        <v>64</v>
      </c>
      <c r="B11" s="246"/>
      <c r="D11" s="345">
        <v>2018</v>
      </c>
      <c r="E11" s="378">
        <f>AVERAGE(G92:G103)</f>
        <v>20697.333333333332</v>
      </c>
      <c r="F11" s="163">
        <f t="shared" si="0"/>
        <v>1.0087402930759983</v>
      </c>
      <c r="G11" s="378">
        <f>AVERAGE(I92:I103)</f>
        <v>2577.8333333333335</v>
      </c>
      <c r="H11" s="163">
        <f t="shared" si="1"/>
        <v>0.9996885833480229</v>
      </c>
      <c r="I11" s="378">
        <f>AVERAGE(L92:L103)</f>
        <v>190.5</v>
      </c>
      <c r="J11" s="163">
        <f t="shared" si="2"/>
        <v>0.9533666969972703</v>
      </c>
      <c r="K11" s="378">
        <f>AVERAGE(N92:N103)</f>
        <v>52.833333333333336</v>
      </c>
      <c r="L11" s="163">
        <f t="shared" si="3"/>
        <v>0.9751118568232663</v>
      </c>
      <c r="M11" s="378">
        <f>AVERAGE(Q92:Q103)</f>
        <v>9.333333333333334</v>
      </c>
      <c r="N11" s="163">
        <f t="shared" si="4"/>
        <v>1.1666666666666667</v>
      </c>
      <c r="O11" s="378">
        <f>AVERAGE(T92:T103)</f>
        <v>6204.5</v>
      </c>
      <c r="P11" s="163">
        <f t="shared" si="5"/>
        <v>1.0037429222736967</v>
      </c>
      <c r="Q11" s="378" t="e">
        <f>AVERAGE(W92:W103)</f>
        <v>#DIV/0!</v>
      </c>
      <c r="R11" s="163" t="e">
        <f>Q11/Q10</f>
        <v>#DIV/0!</v>
      </c>
      <c r="S11" s="378"/>
      <c r="T11" s="163"/>
      <c r="U11" s="378"/>
      <c r="V11" s="163"/>
      <c r="W11" s="511"/>
    </row>
    <row r="12" spans="1:23" ht="12.75">
      <c r="A12" s="247" t="s">
        <v>63</v>
      </c>
      <c r="B12" s="248"/>
      <c r="D12" s="345">
        <v>2019</v>
      </c>
      <c r="E12" s="378">
        <f>AVERAGE(G104:G115)</f>
        <v>20873.333333333332</v>
      </c>
      <c r="F12" s="163">
        <f t="shared" si="0"/>
        <v>1.008503510919281</v>
      </c>
      <c r="G12" s="378">
        <f>AVERAGE(I104:I115)</f>
        <v>2587</v>
      </c>
      <c r="H12" s="163">
        <f t="shared" si="1"/>
        <v>1.003555957845736</v>
      </c>
      <c r="I12" s="378">
        <f>AVERAGE(L104:L115)</f>
        <v>193.75</v>
      </c>
      <c r="J12" s="163">
        <f t="shared" si="2"/>
        <v>1.0170603674540681</v>
      </c>
      <c r="K12" s="378">
        <f>AVERAGE(N104:N115)</f>
        <v>50.333333333333336</v>
      </c>
      <c r="L12" s="163">
        <f t="shared" si="3"/>
        <v>0.9526813880126183</v>
      </c>
      <c r="M12" s="378">
        <f>AVERAGE(Q104:Q115)</f>
        <v>9</v>
      </c>
      <c r="N12" s="163">
        <f t="shared" si="4"/>
        <v>0.9642857142857142</v>
      </c>
      <c r="O12" s="378">
        <f>AVERAGE(T104:T115)</f>
        <v>6279.916666666667</v>
      </c>
      <c r="P12" s="163">
        <f t="shared" si="5"/>
        <v>1.0121551562038307</v>
      </c>
      <c r="Q12" s="378" t="e">
        <f>AVERAGE(W104:W115)</f>
        <v>#DIV/0!</v>
      </c>
      <c r="R12" s="163" t="e">
        <f>Q12/Q11</f>
        <v>#DIV/0!</v>
      </c>
      <c r="S12" s="378"/>
      <c r="T12" s="163"/>
      <c r="U12" s="378"/>
      <c r="V12" s="163"/>
      <c r="W12" s="511"/>
    </row>
    <row r="13" spans="1:22" ht="12.75">
      <c r="A13" s="374" t="s">
        <v>62</v>
      </c>
      <c r="B13" s="375"/>
      <c r="D13" s="345">
        <v>2020</v>
      </c>
      <c r="E13" s="378">
        <f>AVERAGE(G116:G127)</f>
        <v>21063.5</v>
      </c>
      <c r="F13" s="163">
        <f t="shared" si="0"/>
        <v>1.009110507824976</v>
      </c>
      <c r="G13" s="378">
        <f>AVERAGE(I116:I127)</f>
        <v>2609.9166666666665</v>
      </c>
      <c r="H13" s="163">
        <f t="shared" si="1"/>
        <v>1.0088583945367864</v>
      </c>
      <c r="I13" s="378">
        <f>AVERAGE(L116:L127)</f>
        <v>183.41666666666666</v>
      </c>
      <c r="J13" s="163">
        <f t="shared" si="2"/>
        <v>0.9466666666666667</v>
      </c>
      <c r="K13" s="378">
        <f>AVERAGE(N116:N127)</f>
        <v>50</v>
      </c>
      <c r="L13" s="163">
        <f t="shared" si="3"/>
        <v>0.9933774834437086</v>
      </c>
      <c r="M13" s="378">
        <f>AVERAGE(Q116:Q127)</f>
        <v>8.916666666666666</v>
      </c>
      <c r="N13" s="163">
        <f t="shared" si="4"/>
        <v>0.9907407407407407</v>
      </c>
      <c r="O13" s="378">
        <f>AVERAGE(T116:T127)</f>
        <v>6285.416666666667</v>
      </c>
      <c r="P13" s="163">
        <f t="shared" si="5"/>
        <v>1.0008758077999973</v>
      </c>
      <c r="Q13" s="378" t="e">
        <f>AVERAGE(W116:W127)</f>
        <v>#DIV/0!</v>
      </c>
      <c r="R13" s="163" t="e">
        <f>Q13/Q12</f>
        <v>#DIV/0!</v>
      </c>
      <c r="S13" s="378"/>
      <c r="T13" s="163"/>
      <c r="U13" s="378"/>
      <c r="V13" s="163"/>
    </row>
    <row r="14" spans="1:22" ht="12.75">
      <c r="A14" s="374" t="s">
        <v>61</v>
      </c>
      <c r="B14" s="375"/>
      <c r="D14" s="345">
        <v>2021</v>
      </c>
      <c r="E14" s="378">
        <f>AVERAGE(G128:G139)</f>
        <v>21279</v>
      </c>
      <c r="F14" s="163">
        <f t="shared" si="0"/>
        <v>1.0102309682626345</v>
      </c>
      <c r="G14" s="378">
        <f>AVERAGE(I128:I139)</f>
        <v>2622.25</v>
      </c>
      <c r="H14" s="163">
        <f t="shared" si="1"/>
        <v>1.0047255659503815</v>
      </c>
      <c r="I14" s="378">
        <f>AVERAGE(L128:L139)</f>
        <v>181.58333333333334</v>
      </c>
      <c r="J14" s="163">
        <f t="shared" si="2"/>
        <v>0.9900045433893686</v>
      </c>
      <c r="K14" s="378">
        <f>AVERAGE(N128:N139)</f>
        <v>49.75</v>
      </c>
      <c r="L14" s="163">
        <f t="shared" si="3"/>
        <v>0.995</v>
      </c>
      <c r="M14" s="378">
        <f>AVERAGE(Q128:Q139)</f>
        <v>8.416666666666666</v>
      </c>
      <c r="N14" s="163">
        <f t="shared" si="4"/>
        <v>0.9439252336448598</v>
      </c>
      <c r="O14" s="378">
        <f>AVERAGE(T128:T139)</f>
        <v>6283</v>
      </c>
      <c r="P14" s="163">
        <f t="shared" si="5"/>
        <v>0.9996155120981106</v>
      </c>
      <c r="Q14" s="378" t="e">
        <f>AVERAGE(W128:W139)</f>
        <v>#DIV/0!</v>
      </c>
      <c r="R14" s="163" t="e">
        <f>Q14/Q13</f>
        <v>#DIV/0!</v>
      </c>
      <c r="S14" s="378"/>
      <c r="T14" s="163"/>
      <c r="U14" s="378"/>
      <c r="V14" s="163"/>
    </row>
    <row r="15" spans="1:22" ht="12.75">
      <c r="A15" s="374" t="s">
        <v>60</v>
      </c>
      <c r="B15" s="375"/>
      <c r="D15" s="345">
        <v>2022</v>
      </c>
      <c r="E15" s="378">
        <f>AVERAGE(G140:G151)</f>
        <v>21510.333333333332</v>
      </c>
      <c r="F15" s="163">
        <f t="shared" si="0"/>
        <v>1.0108714381941506</v>
      </c>
      <c r="G15" s="378">
        <f>AVERAGE(I140:I151)</f>
        <v>2654.0833333333335</v>
      </c>
      <c r="H15" s="163">
        <f t="shared" si="1"/>
        <v>1.0121397019099374</v>
      </c>
      <c r="I15" s="378">
        <f>AVERAGE(L140:L151)</f>
        <v>170.91666666666666</v>
      </c>
      <c r="J15" s="163">
        <f t="shared" si="2"/>
        <v>0.9412574575493344</v>
      </c>
      <c r="K15" s="378">
        <f>AVERAGE(N140:N151)</f>
        <v>49</v>
      </c>
      <c r="L15" s="163">
        <f t="shared" si="3"/>
        <v>0.9849246231155779</v>
      </c>
      <c r="M15" s="378">
        <f>AVERAGE(Q140:Q151)</f>
        <v>8.416666666666666</v>
      </c>
      <c r="N15" s="163">
        <f t="shared" si="4"/>
        <v>1</v>
      </c>
      <c r="O15" s="378">
        <f>AVERAGE(T140:T151)</f>
        <v>6283</v>
      </c>
      <c r="P15" s="163">
        <f t="shared" si="5"/>
        <v>1</v>
      </c>
      <c r="Q15" s="378" t="e">
        <f>AVERAGE(W140:W151)</f>
        <v>#DIV/0!</v>
      </c>
      <c r="R15" s="163" t="e">
        <f>Q15/Q14</f>
        <v>#DIV/0!</v>
      </c>
      <c r="S15" s="378"/>
      <c r="T15" s="163"/>
      <c r="U15" s="378"/>
      <c r="V15" s="163"/>
    </row>
    <row r="16" spans="1:22" ht="12.75">
      <c r="A16" s="374" t="s">
        <v>184</v>
      </c>
      <c r="B16" s="375"/>
      <c r="D16" s="211"/>
      <c r="E16" s="162"/>
      <c r="F16" s="158"/>
      <c r="G16" s="162"/>
      <c r="H16" s="158"/>
      <c r="I16" s="162"/>
      <c r="J16" s="158"/>
      <c r="K16" s="162"/>
      <c r="L16" s="158"/>
      <c r="M16" s="162"/>
      <c r="N16" s="158"/>
      <c r="O16" s="162"/>
      <c r="P16" s="158"/>
      <c r="Q16" s="162"/>
      <c r="R16" s="158"/>
      <c r="S16" s="162"/>
      <c r="T16" s="158"/>
      <c r="U16" s="162"/>
      <c r="V16" s="158"/>
    </row>
    <row r="17" spans="1:22" ht="12.75">
      <c r="A17" s="374" t="s">
        <v>229</v>
      </c>
      <c r="B17" s="375"/>
      <c r="D17" s="212" t="s">
        <v>88</v>
      </c>
      <c r="E17" s="162"/>
      <c r="F17" s="161">
        <f>GEOMEAN(F7:F15)</f>
        <v>1.0085300977146368</v>
      </c>
      <c r="G17" s="160"/>
      <c r="H17" s="161">
        <f>GEOMEAN(H7:H15)</f>
        <v>1.0067048208529836</v>
      </c>
      <c r="I17" s="160"/>
      <c r="J17" s="161">
        <f>GEOMEAN(J7:J15)</f>
        <v>0.9501385129440184</v>
      </c>
      <c r="K17" s="160"/>
      <c r="L17" s="161">
        <f>GEOMEAN(L7:L15)</f>
        <v>0.981438568196817</v>
      </c>
      <c r="M17" s="160"/>
      <c r="N17" s="161">
        <f>GEOMEAN(N7:N15)</f>
        <v>0.9946456550712248</v>
      </c>
      <c r="O17" s="160"/>
      <c r="P17" s="161">
        <f>GEOMEAN(P7:P15)</f>
        <v>1.004892348799624</v>
      </c>
      <c r="Q17" s="160"/>
      <c r="R17" s="161" t="e">
        <f>GEOMEAN(R7:R15)</f>
        <v>#DIV/0!</v>
      </c>
      <c r="S17" s="160"/>
      <c r="T17" s="161"/>
      <c r="U17" s="160"/>
      <c r="V17" s="161"/>
    </row>
    <row r="18" spans="1:22" ht="12.75">
      <c r="A18" s="376" t="s">
        <v>230</v>
      </c>
      <c r="B18" s="377"/>
      <c r="D18" s="212"/>
      <c r="E18" s="162"/>
      <c r="F18" s="161"/>
      <c r="G18" s="160"/>
      <c r="H18" s="161"/>
      <c r="I18" s="160"/>
      <c r="J18" s="161"/>
      <c r="K18" s="160"/>
      <c r="L18" s="161"/>
      <c r="M18" s="160"/>
      <c r="N18" s="161"/>
      <c r="O18" s="160"/>
      <c r="P18" s="161"/>
      <c r="Q18" s="160"/>
      <c r="R18" s="161"/>
      <c r="S18" s="160"/>
      <c r="T18" s="161"/>
      <c r="U18" s="160"/>
      <c r="V18" s="161"/>
    </row>
    <row r="19" spans="1:22" ht="12.75">
      <c r="A19" s="693" t="s">
        <v>231</v>
      </c>
      <c r="B19" s="694"/>
      <c r="D19" s="613">
        <v>2023</v>
      </c>
      <c r="E19" s="346">
        <f>E15*F17</f>
        <v>21693.818578541075</v>
      </c>
      <c r="F19" s="158" t="s">
        <v>59</v>
      </c>
      <c r="G19" s="346">
        <f>G15*H17</f>
        <v>2671.8784866122232</v>
      </c>
      <c r="H19" s="152"/>
      <c r="I19" s="346">
        <f>I15*J17</f>
        <v>162.39450750401514</v>
      </c>
      <c r="J19" s="152"/>
      <c r="K19" s="346">
        <f>K15*L17</f>
        <v>48.09048984164403</v>
      </c>
      <c r="L19" s="152"/>
      <c r="M19" s="346">
        <f>M15*N17</f>
        <v>8.371600930182808</v>
      </c>
      <c r="N19" s="152"/>
      <c r="O19" s="346">
        <f>O15*P17</f>
        <v>6313.738627508037</v>
      </c>
      <c r="P19" s="152"/>
      <c r="Q19" s="346" t="e">
        <f>Q15*R17</f>
        <v>#DIV/0!</v>
      </c>
      <c r="R19" s="152"/>
      <c r="S19" s="346"/>
      <c r="T19" s="152"/>
      <c r="U19" s="346"/>
      <c r="V19" s="152"/>
    </row>
    <row r="20" spans="1:22" ht="12.75">
      <c r="A20" s="693" t="s">
        <v>58</v>
      </c>
      <c r="B20" s="694"/>
      <c r="D20" s="613">
        <v>2024</v>
      </c>
      <c r="E20" s="346">
        <f>E19*F17</f>
        <v>21878.868970819633</v>
      </c>
      <c r="F20" s="158" t="s">
        <v>59</v>
      </c>
      <c r="G20" s="346">
        <f>G19*H17</f>
        <v>2689.7929532058993</v>
      </c>
      <c r="H20" s="152"/>
      <c r="I20" s="346">
        <f>I19*J17</f>
        <v>154.2972758701412</v>
      </c>
      <c r="J20" s="152"/>
      <c r="K20" s="346">
        <f>K19*L17</f>
        <v>47.197861494066686</v>
      </c>
      <c r="L20" s="152"/>
      <c r="M20" s="346">
        <f>M19*N17</f>
        <v>8.326776491196554</v>
      </c>
      <c r="N20" s="152"/>
      <c r="O20" s="346">
        <f>O19*P17</f>
        <v>6344.627639103465</v>
      </c>
      <c r="P20" s="152"/>
      <c r="Q20" s="346" t="e">
        <f>Q19*R17</f>
        <v>#DIV/0!</v>
      </c>
      <c r="R20" s="152"/>
      <c r="S20" s="346"/>
      <c r="T20" s="152"/>
      <c r="U20" s="346"/>
      <c r="V20" s="152"/>
    </row>
    <row r="21" spans="1:22" ht="12.75">
      <c r="A21" s="693" t="s">
        <v>58</v>
      </c>
      <c r="B21" s="694"/>
      <c r="D21" s="144"/>
      <c r="E21" s="144"/>
      <c r="F21" s="144"/>
      <c r="G21" s="144"/>
      <c r="H21" s="144"/>
      <c r="I21" s="144"/>
      <c r="J21" s="144"/>
      <c r="K21" s="144"/>
      <c r="L21" s="144"/>
      <c r="M21" s="144"/>
      <c r="N21" s="144"/>
      <c r="O21" s="144"/>
      <c r="P21" s="144"/>
      <c r="Q21" s="144"/>
      <c r="R21" s="144"/>
      <c r="S21" s="144"/>
      <c r="T21" s="144"/>
      <c r="U21" s="144"/>
      <c r="V21" s="144"/>
    </row>
    <row r="22" spans="1:22" ht="13.5" thickBot="1">
      <c r="A22" s="693"/>
      <c r="B22" s="694"/>
      <c r="D22" s="159" t="s">
        <v>87</v>
      </c>
      <c r="E22" s="144"/>
      <c r="F22" s="144"/>
      <c r="G22" s="144"/>
      <c r="H22" s="144"/>
      <c r="I22" s="144"/>
      <c r="J22" s="144"/>
      <c r="K22" s="144"/>
      <c r="L22" s="144"/>
      <c r="M22" s="144"/>
      <c r="N22" s="144"/>
      <c r="O22" s="144"/>
      <c r="P22" s="144"/>
      <c r="Q22" s="144"/>
      <c r="R22" s="144"/>
      <c r="S22" s="144"/>
      <c r="T22" s="144"/>
      <c r="U22" s="144"/>
      <c r="V22" s="144"/>
    </row>
    <row r="23" spans="1:22" ht="15.75">
      <c r="A23" s="693"/>
      <c r="B23" s="694"/>
      <c r="D23" s="685" t="s">
        <v>86</v>
      </c>
      <c r="E23" s="686"/>
      <c r="F23" s="686"/>
      <c r="G23" s="686"/>
      <c r="H23" s="686"/>
      <c r="I23" s="686"/>
      <c r="J23" s="686"/>
      <c r="K23" s="686"/>
      <c r="L23" s="686"/>
      <c r="M23" s="686"/>
      <c r="N23" s="686"/>
      <c r="O23" s="686"/>
      <c r="P23" s="686"/>
      <c r="Q23" s="686"/>
      <c r="R23" s="686"/>
      <c r="S23" s="686"/>
      <c r="T23" s="686"/>
      <c r="U23" s="686"/>
      <c r="V23" s="686"/>
    </row>
    <row r="24" spans="1:22" s="223" customFormat="1" ht="12.75">
      <c r="A24" s="693"/>
      <c r="B24" s="694"/>
      <c r="C24" s="225"/>
      <c r="D24" s="216" t="s">
        <v>247</v>
      </c>
      <c r="E24" s="313">
        <f>E19</f>
        <v>21693.818578541075</v>
      </c>
      <c r="F24" s="158">
        <f>E24/E15</f>
        <v>1.0085300977146368</v>
      </c>
      <c r="G24" s="313">
        <f>G19</f>
        <v>2671.8784866122232</v>
      </c>
      <c r="H24" s="158">
        <f>G24/G15</f>
        <v>1.0067048208529836</v>
      </c>
      <c r="I24" s="313">
        <f>I19</f>
        <v>162.39450750401514</v>
      </c>
      <c r="J24" s="158">
        <f>I24/I15</f>
        <v>0.9501385129440184</v>
      </c>
      <c r="K24" s="313">
        <f>K19</f>
        <v>48.09048984164403</v>
      </c>
      <c r="L24" s="158">
        <f>K24/K15</f>
        <v>0.981438568196817</v>
      </c>
      <c r="M24" s="313">
        <f>M19</f>
        <v>8.371600930182808</v>
      </c>
      <c r="N24" s="158">
        <f>M24/M15</f>
        <v>0.9946456550712248</v>
      </c>
      <c r="O24" s="313">
        <f>O19</f>
        <v>6313.738627508037</v>
      </c>
      <c r="P24" s="158">
        <f>O24/O15</f>
        <v>1.004892348799624</v>
      </c>
      <c r="Q24" s="213" t="e">
        <f>Q19</f>
        <v>#DIV/0!</v>
      </c>
      <c r="R24" s="158" t="e">
        <f>Q24/Q15</f>
        <v>#DIV/0!</v>
      </c>
      <c r="S24" s="213">
        <f>S19</f>
        <v>0</v>
      </c>
      <c r="T24" s="158" t="e">
        <f>S24/S15</f>
        <v>#DIV/0!</v>
      </c>
      <c r="U24" s="213">
        <f>U19</f>
        <v>0</v>
      </c>
      <c r="V24" s="158" t="e">
        <f>U24/U15</f>
        <v>#DIV/0!</v>
      </c>
    </row>
    <row r="25" spans="1:22" ht="12.75">
      <c r="A25" s="693"/>
      <c r="B25" s="694"/>
      <c r="D25" s="216" t="s">
        <v>248</v>
      </c>
      <c r="E25" s="313">
        <f>E20</f>
        <v>21878.868970819633</v>
      </c>
      <c r="F25" s="158">
        <f>E25/E24</f>
        <v>1.0085300977146368</v>
      </c>
      <c r="G25" s="313">
        <f>G20</f>
        <v>2689.7929532058993</v>
      </c>
      <c r="H25" s="158">
        <f>G25/G24</f>
        <v>1.0067048208529836</v>
      </c>
      <c r="I25" s="313">
        <f>I20</f>
        <v>154.2972758701412</v>
      </c>
      <c r="J25" s="158">
        <f>I25/I24</f>
        <v>0.9501385129440185</v>
      </c>
      <c r="K25" s="313">
        <f>K20</f>
        <v>47.197861494066686</v>
      </c>
      <c r="L25" s="158">
        <f>K25/K24</f>
        <v>0.981438568196817</v>
      </c>
      <c r="M25" s="313">
        <f>M20</f>
        <v>8.326776491196554</v>
      </c>
      <c r="N25" s="158">
        <f>M25/M24</f>
        <v>0.9946456550712248</v>
      </c>
      <c r="O25" s="313">
        <f>O20</f>
        <v>6344.627639103465</v>
      </c>
      <c r="P25" s="158">
        <f>O25/O24</f>
        <v>1.004892348799624</v>
      </c>
      <c r="Q25" s="213" t="e">
        <f>Q20</f>
        <v>#DIV/0!</v>
      </c>
      <c r="R25" s="158" t="e">
        <f>Q25/Q24</f>
        <v>#DIV/0!</v>
      </c>
      <c r="S25" s="213">
        <f>S20</f>
        <v>0</v>
      </c>
      <c r="T25" s="158" t="e">
        <f>S25/S24</f>
        <v>#DIV/0!</v>
      </c>
      <c r="U25" s="213">
        <f>U20</f>
        <v>0</v>
      </c>
      <c r="V25" s="158" t="e">
        <f>U25/U24</f>
        <v>#DIV/0!</v>
      </c>
    </row>
    <row r="26" spans="4:20" ht="12.75">
      <c r="D26" s="144"/>
      <c r="E26" s="144"/>
      <c r="F26" s="144"/>
      <c r="G26" s="144"/>
      <c r="H26" s="144"/>
      <c r="I26" s="144"/>
      <c r="J26" s="144"/>
      <c r="K26" s="144"/>
      <c r="L26" s="144"/>
      <c r="M26" s="144"/>
      <c r="N26" s="144"/>
      <c r="O26" s="144"/>
      <c r="P26" s="144"/>
      <c r="Q26" s="144"/>
      <c r="R26" s="144"/>
      <c r="S26" s="144"/>
      <c r="T26" s="144"/>
    </row>
    <row r="27" spans="1:3" ht="13.5" thickBot="1">
      <c r="A27" s="144" t="s">
        <v>171</v>
      </c>
      <c r="B27" s="168"/>
      <c r="C27" s="228" t="s">
        <v>59</v>
      </c>
    </row>
    <row r="28" spans="1:28" ht="16.5" thickTop="1">
      <c r="A28" s="221" t="s">
        <v>129</v>
      </c>
      <c r="B28" s="222"/>
      <c r="D28" s="687" t="s">
        <v>133</v>
      </c>
      <c r="E28" s="688"/>
      <c r="F28" s="306" t="s">
        <v>132</v>
      </c>
      <c r="G28" s="307"/>
      <c r="H28" s="307"/>
      <c r="I28" s="307"/>
      <c r="J28" s="307"/>
      <c r="K28" s="307"/>
      <c r="L28" s="307"/>
      <c r="M28" s="307"/>
      <c r="N28" s="307"/>
      <c r="O28" s="307"/>
      <c r="P28" s="307"/>
      <c r="Q28" s="307"/>
      <c r="R28" s="307"/>
      <c r="S28" s="307"/>
      <c r="T28" s="307"/>
      <c r="U28" s="307"/>
      <c r="V28" s="307"/>
      <c r="W28" s="307"/>
      <c r="X28" s="307"/>
      <c r="Y28" s="307"/>
      <c r="Z28" s="307"/>
      <c r="AA28" s="307"/>
      <c r="AB28" s="307"/>
    </row>
    <row r="29" spans="1:28" s="223" customFormat="1" ht="22.5">
      <c r="A29" s="215"/>
      <c r="B29" s="215"/>
      <c r="C29" s="218"/>
      <c r="D29" s="312" t="s">
        <v>131</v>
      </c>
      <c r="E29" s="312"/>
      <c r="F29" s="695" t="str">
        <f>'Input - Customer Data'!A13</f>
        <v>Residential</v>
      </c>
      <c r="G29" s="697"/>
      <c r="H29" s="695" t="str">
        <f>'Input - Customer Data'!A14</f>
        <v>General Service &lt; 50 kW</v>
      </c>
      <c r="I29" s="697"/>
      <c r="J29" s="698" t="str">
        <f>'Input - Customer Data'!A15</f>
        <v>General Service &gt; 50 to 4999 kW</v>
      </c>
      <c r="K29" s="699"/>
      <c r="L29" s="700"/>
      <c r="M29" s="695" t="s">
        <v>185</v>
      </c>
      <c r="N29" s="697"/>
      <c r="O29" s="698" t="str">
        <f>A17</f>
        <v>Sentinel</v>
      </c>
      <c r="P29" s="699"/>
      <c r="Q29" s="700"/>
      <c r="R29" s="701" t="str">
        <f>A18</f>
        <v>Streetlights</v>
      </c>
      <c r="S29" s="696"/>
      <c r="T29" s="697"/>
      <c r="U29" s="695" t="s">
        <v>231</v>
      </c>
      <c r="V29" s="696"/>
      <c r="W29" s="697"/>
      <c r="X29" s="312"/>
      <c r="Y29" s="312"/>
      <c r="Z29" s="312"/>
      <c r="AA29" s="312"/>
      <c r="AB29" s="312"/>
    </row>
    <row r="30" spans="1:28" ht="33.75">
      <c r="A30" s="215"/>
      <c r="B30" s="215"/>
      <c r="C30" s="214"/>
      <c r="D30" s="312"/>
      <c r="E30" s="312"/>
      <c r="F30" s="381" t="s">
        <v>79</v>
      </c>
      <c r="G30" s="381" t="s">
        <v>130</v>
      </c>
      <c r="H30" s="381" t="s">
        <v>79</v>
      </c>
      <c r="I30" s="381" t="s">
        <v>130</v>
      </c>
      <c r="J30" s="381" t="s">
        <v>79</v>
      </c>
      <c r="K30" s="381" t="s">
        <v>80</v>
      </c>
      <c r="L30" s="381" t="s">
        <v>130</v>
      </c>
      <c r="M30" s="381" t="s">
        <v>79</v>
      </c>
      <c r="N30" s="381" t="s">
        <v>186</v>
      </c>
      <c r="O30" s="381" t="s">
        <v>79</v>
      </c>
      <c r="P30" s="381" t="s">
        <v>80</v>
      </c>
      <c r="Q30" s="381" t="s">
        <v>130</v>
      </c>
      <c r="R30" s="381" t="s">
        <v>79</v>
      </c>
      <c r="S30" s="381" t="s">
        <v>80</v>
      </c>
      <c r="T30" s="399" t="s">
        <v>130</v>
      </c>
      <c r="U30" s="381" t="s">
        <v>79</v>
      </c>
      <c r="V30" s="381" t="s">
        <v>80</v>
      </c>
      <c r="W30" s="399" t="s">
        <v>130</v>
      </c>
      <c r="X30" s="312"/>
      <c r="Y30" s="312"/>
      <c r="Z30" s="312"/>
      <c r="AA30" s="312"/>
      <c r="AB30" s="312"/>
    </row>
    <row r="31" spans="1:28" ht="12.75">
      <c r="A31" s="152" t="s">
        <v>78</v>
      </c>
      <c r="B31" s="152" t="s">
        <v>77</v>
      </c>
      <c r="C31" s="214"/>
      <c r="D31" s="308"/>
      <c r="E31" s="309"/>
      <c r="F31" s="382"/>
      <c r="G31" s="383"/>
      <c r="H31" s="382"/>
      <c r="I31" s="383"/>
      <c r="J31" s="382"/>
      <c r="K31" s="152"/>
      <c r="L31" s="383"/>
      <c r="M31" s="383"/>
      <c r="N31" s="383"/>
      <c r="O31" s="383"/>
      <c r="P31" s="383"/>
      <c r="Q31" s="383"/>
      <c r="R31" s="383"/>
      <c r="S31" s="382"/>
      <c r="T31" s="383"/>
      <c r="U31" s="383"/>
      <c r="V31" s="382"/>
      <c r="W31" s="383"/>
      <c r="X31" s="311"/>
      <c r="Y31" s="310"/>
      <c r="Z31" s="311"/>
      <c r="AA31" s="310"/>
      <c r="AB31" s="311"/>
    </row>
    <row r="32" spans="1:28" ht="12.75">
      <c r="A32" s="344">
        <v>2013</v>
      </c>
      <c r="B32" s="217" t="s">
        <v>76</v>
      </c>
      <c r="D32" s="378">
        <v>45827933.03</v>
      </c>
      <c r="E32" s="612">
        <f>G32+I32+L32</f>
        <v>22638</v>
      </c>
      <c r="F32" s="617">
        <v>21742755.059594013</v>
      </c>
      <c r="G32" s="617">
        <v>19881</v>
      </c>
      <c r="H32" s="617">
        <v>6757761.187187196</v>
      </c>
      <c r="I32" s="617">
        <v>2479</v>
      </c>
      <c r="J32" s="378">
        <v>18201528.200000003</v>
      </c>
      <c r="K32" s="378">
        <v>44402.7205</v>
      </c>
      <c r="L32" s="378">
        <v>278</v>
      </c>
      <c r="M32" s="378">
        <v>20394.093151364334</v>
      </c>
      <c r="N32" s="378">
        <v>59</v>
      </c>
      <c r="O32" s="378">
        <v>1246.293</v>
      </c>
      <c r="P32" s="378">
        <v>1.635</v>
      </c>
      <c r="Q32" s="378">
        <v>9</v>
      </c>
      <c r="R32" s="398">
        <v>507148.90718296</v>
      </c>
      <c r="S32" s="378">
        <v>1217.75873</v>
      </c>
      <c r="T32" s="378">
        <v>6015</v>
      </c>
      <c r="U32" s="378"/>
      <c r="V32" s="378"/>
      <c r="W32" s="378"/>
      <c r="X32" s="378"/>
      <c r="Y32" s="378"/>
      <c r="Z32" s="378"/>
      <c r="AA32" s="378"/>
      <c r="AB32" s="378"/>
    </row>
    <row r="33" spans="1:28" ht="12.75">
      <c r="A33" s="344">
        <v>2013</v>
      </c>
      <c r="B33" s="217" t="s">
        <v>75</v>
      </c>
      <c r="D33" s="378">
        <v>41082657.47661409</v>
      </c>
      <c r="E33" s="612">
        <f>G33+I33+L33</f>
        <v>22642</v>
      </c>
      <c r="F33" s="617">
        <v>19886139.064683955</v>
      </c>
      <c r="G33" s="617">
        <v>19885</v>
      </c>
      <c r="H33" s="617">
        <v>6106316.934527216</v>
      </c>
      <c r="I33" s="617">
        <v>2481</v>
      </c>
      <c r="J33" s="378">
        <v>13495292.7</v>
      </c>
      <c r="K33" s="378">
        <v>38431.1095</v>
      </c>
      <c r="L33" s="378">
        <v>276</v>
      </c>
      <c r="M33" s="378">
        <v>26621.791288155517</v>
      </c>
      <c r="N33" s="378">
        <v>59</v>
      </c>
      <c r="O33" s="378">
        <v>1125.684</v>
      </c>
      <c r="P33" s="378">
        <v>1.635</v>
      </c>
      <c r="Q33" s="378">
        <v>9</v>
      </c>
      <c r="R33" s="398">
        <v>458070.32906847994</v>
      </c>
      <c r="S33" s="378">
        <v>1132.32193</v>
      </c>
      <c r="T33" s="378">
        <v>6015</v>
      </c>
      <c r="U33" s="378"/>
      <c r="V33" s="378"/>
      <c r="W33" s="378"/>
      <c r="X33" s="378"/>
      <c r="Y33" s="378"/>
      <c r="Z33" s="378"/>
      <c r="AA33" s="378"/>
      <c r="AB33" s="378"/>
    </row>
    <row r="34" spans="1:28" ht="12.75">
      <c r="A34" s="344">
        <v>2013</v>
      </c>
      <c r="B34" s="217" t="s">
        <v>74</v>
      </c>
      <c r="D34" s="378">
        <v>42975875.27200193</v>
      </c>
      <c r="E34" s="612">
        <f aca="true" t="shared" si="6" ref="E34:E97">G34+I34+L34</f>
        <v>22644</v>
      </c>
      <c r="F34" s="617">
        <v>19189868.26747499</v>
      </c>
      <c r="G34" s="617">
        <v>19883</v>
      </c>
      <c r="H34" s="617">
        <v>6056123.680689064</v>
      </c>
      <c r="I34" s="617">
        <v>2486</v>
      </c>
      <c r="J34" s="378">
        <v>14538975.700000001</v>
      </c>
      <c r="K34" s="378">
        <v>38014.0315</v>
      </c>
      <c r="L34" s="378">
        <v>275</v>
      </c>
      <c r="M34" s="378">
        <v>24703.26131567994</v>
      </c>
      <c r="N34" s="378">
        <v>59</v>
      </c>
      <c r="O34" s="378">
        <v>1246.293</v>
      </c>
      <c r="P34" s="378">
        <v>1.635</v>
      </c>
      <c r="Q34" s="378">
        <v>9</v>
      </c>
      <c r="R34" s="398">
        <v>489209.74320216</v>
      </c>
      <c r="S34" s="378">
        <v>1132.32193</v>
      </c>
      <c r="T34" s="378">
        <v>6001</v>
      </c>
      <c r="U34" s="378"/>
      <c r="V34" s="378"/>
      <c r="W34" s="378"/>
      <c r="X34" s="378"/>
      <c r="Y34" s="378"/>
      <c r="Z34" s="378"/>
      <c r="AA34" s="378"/>
      <c r="AB34" s="378"/>
    </row>
    <row r="35" spans="1:28" ht="12.75">
      <c r="A35" s="344">
        <v>2013</v>
      </c>
      <c r="B35" s="217" t="s">
        <v>73</v>
      </c>
      <c r="D35" s="378">
        <v>36308877.8110785</v>
      </c>
      <c r="E35" s="612">
        <f t="shared" si="6"/>
        <v>22650</v>
      </c>
      <c r="F35" s="617">
        <v>15758508.026787002</v>
      </c>
      <c r="G35" s="617">
        <v>19889</v>
      </c>
      <c r="H35" s="617">
        <v>5230547.495849994</v>
      </c>
      <c r="I35" s="617">
        <v>2485</v>
      </c>
      <c r="J35" s="378">
        <v>12414665.6</v>
      </c>
      <c r="K35" s="378">
        <v>34007.2989</v>
      </c>
      <c r="L35" s="378">
        <v>276</v>
      </c>
      <c r="M35" s="378">
        <v>23881.015825249277</v>
      </c>
      <c r="N35" s="378">
        <v>58</v>
      </c>
      <c r="O35" s="378">
        <v>1206.09</v>
      </c>
      <c r="P35" s="378">
        <v>1.635</v>
      </c>
      <c r="Q35" s="378">
        <v>9</v>
      </c>
      <c r="R35" s="398">
        <v>365057.1811447999</v>
      </c>
      <c r="S35" s="378">
        <v>1132.32193</v>
      </c>
      <c r="T35" s="378">
        <v>6001</v>
      </c>
      <c r="U35" s="378"/>
      <c r="V35" s="378"/>
      <c r="W35" s="378"/>
      <c r="X35" s="378"/>
      <c r="Y35" s="378"/>
      <c r="Z35" s="378"/>
      <c r="AA35" s="378"/>
      <c r="AB35" s="378"/>
    </row>
    <row r="36" spans="1:28" ht="12.75">
      <c r="A36" s="344">
        <v>2013</v>
      </c>
      <c r="B36" s="217" t="s">
        <v>72</v>
      </c>
      <c r="D36" s="378">
        <v>34245332.76808478</v>
      </c>
      <c r="E36" s="612">
        <f t="shared" si="6"/>
        <v>22772</v>
      </c>
      <c r="F36" s="617">
        <v>12800983.18753325</v>
      </c>
      <c r="G36" s="617">
        <v>19911</v>
      </c>
      <c r="H36" s="617">
        <v>4817165.434130364</v>
      </c>
      <c r="I36" s="617">
        <v>2586</v>
      </c>
      <c r="J36" s="378">
        <v>14643816.320504265</v>
      </c>
      <c r="K36" s="378">
        <v>54045.6225</v>
      </c>
      <c r="L36" s="378">
        <v>275</v>
      </c>
      <c r="M36" s="378">
        <v>24572.203167734748</v>
      </c>
      <c r="N36" s="378">
        <v>58</v>
      </c>
      <c r="O36" s="378">
        <v>1246.293</v>
      </c>
      <c r="P36" s="378">
        <v>1.635</v>
      </c>
      <c r="Q36" s="378">
        <v>9</v>
      </c>
      <c r="R36" s="398">
        <v>336169.50718296</v>
      </c>
      <c r="S36" s="378">
        <v>1132.32193</v>
      </c>
      <c r="T36" s="378">
        <v>6001</v>
      </c>
      <c r="U36" s="378"/>
      <c r="V36" s="378"/>
      <c r="W36" s="378"/>
      <c r="X36" s="378"/>
      <c r="Y36" s="378"/>
      <c r="Z36" s="378"/>
      <c r="AA36" s="378"/>
      <c r="AB36" s="378"/>
    </row>
    <row r="37" spans="1:28" ht="12.75">
      <c r="A37" s="344">
        <v>2013</v>
      </c>
      <c r="B37" s="217" t="s">
        <v>71</v>
      </c>
      <c r="D37" s="378">
        <v>33534201.495923758</v>
      </c>
      <c r="E37" s="612">
        <f t="shared" si="6"/>
        <v>22689</v>
      </c>
      <c r="F37" s="617">
        <v>12520370.344734386</v>
      </c>
      <c r="G37" s="617">
        <v>19925</v>
      </c>
      <c r="H37" s="617">
        <v>4851238.9461071035</v>
      </c>
      <c r="I37" s="617">
        <v>2489</v>
      </c>
      <c r="J37" s="378">
        <v>13289385.262728972</v>
      </c>
      <c r="K37" s="378">
        <v>37884.151</v>
      </c>
      <c r="L37" s="378">
        <v>275</v>
      </c>
      <c r="M37" s="378">
        <v>23779.551452646505</v>
      </c>
      <c r="N37" s="378">
        <v>58</v>
      </c>
      <c r="O37" s="378">
        <v>1206.09</v>
      </c>
      <c r="P37" s="378">
        <v>1.635</v>
      </c>
      <c r="Q37" s="378">
        <v>9</v>
      </c>
      <c r="R37" s="398">
        <v>306886.6811447999</v>
      </c>
      <c r="S37" s="378">
        <v>1133.58193</v>
      </c>
      <c r="T37" s="378">
        <v>6015</v>
      </c>
      <c r="U37" s="378"/>
      <c r="V37" s="378"/>
      <c r="W37" s="378"/>
      <c r="X37" s="378"/>
      <c r="Y37" s="378"/>
      <c r="Z37" s="378"/>
      <c r="AA37" s="378"/>
      <c r="AB37" s="378"/>
    </row>
    <row r="38" spans="1:28" ht="12.75">
      <c r="A38" s="344">
        <v>2013</v>
      </c>
      <c r="B38" s="217" t="s">
        <v>70</v>
      </c>
      <c r="D38" s="378">
        <v>34321062.79874033</v>
      </c>
      <c r="E38" s="612">
        <f t="shared" si="6"/>
        <v>22690</v>
      </c>
      <c r="F38" s="617">
        <v>14645339.399384016</v>
      </c>
      <c r="G38" s="617">
        <v>19929</v>
      </c>
      <c r="H38" s="617">
        <v>5433925.241633001</v>
      </c>
      <c r="I38" s="617">
        <v>2486</v>
      </c>
      <c r="J38" s="378">
        <v>14543919.857009344</v>
      </c>
      <c r="K38" s="378">
        <v>40238.0355</v>
      </c>
      <c r="L38" s="378">
        <v>275</v>
      </c>
      <c r="M38" s="378">
        <v>24572.203167734748</v>
      </c>
      <c r="N38" s="378">
        <v>58</v>
      </c>
      <c r="O38" s="378">
        <v>1246.293</v>
      </c>
      <c r="P38" s="378">
        <v>1.635</v>
      </c>
      <c r="Q38" s="378">
        <v>9</v>
      </c>
      <c r="R38" s="398">
        <v>313906.70718296</v>
      </c>
      <c r="S38" s="378">
        <v>1133.58193</v>
      </c>
      <c r="T38" s="378">
        <v>6015</v>
      </c>
      <c r="U38" s="378"/>
      <c r="V38" s="378"/>
      <c r="W38" s="378"/>
      <c r="X38" s="378"/>
      <c r="Y38" s="378"/>
      <c r="Z38" s="378"/>
      <c r="AA38" s="378"/>
      <c r="AB38" s="378"/>
    </row>
    <row r="39" spans="1:28" ht="12.75">
      <c r="A39" s="344">
        <v>2013</v>
      </c>
      <c r="B39" s="217" t="s">
        <v>69</v>
      </c>
      <c r="D39" s="378">
        <v>34126512.26</v>
      </c>
      <c r="E39" s="612">
        <f t="shared" si="6"/>
        <v>22703</v>
      </c>
      <c r="F39" s="617">
        <v>13099686.603360899</v>
      </c>
      <c r="G39" s="617">
        <v>19944</v>
      </c>
      <c r="H39" s="617">
        <v>5105768.514915999</v>
      </c>
      <c r="I39" s="617">
        <v>2485</v>
      </c>
      <c r="J39" s="378">
        <v>13820273.2117822</v>
      </c>
      <c r="K39" s="378">
        <v>34991.07688</v>
      </c>
      <c r="L39" s="378">
        <v>274</v>
      </c>
      <c r="M39" s="378">
        <v>24572.203167734748</v>
      </c>
      <c r="N39" s="378">
        <v>58</v>
      </c>
      <c r="O39" s="378">
        <v>1246.293</v>
      </c>
      <c r="P39" s="378">
        <v>1.635</v>
      </c>
      <c r="Q39" s="378">
        <v>9</v>
      </c>
      <c r="R39" s="398">
        <v>359653.90718295996</v>
      </c>
      <c r="S39" s="378">
        <v>1133.58193</v>
      </c>
      <c r="T39" s="378">
        <v>6015</v>
      </c>
      <c r="U39" s="378"/>
      <c r="V39" s="378"/>
      <c r="W39" s="378"/>
      <c r="X39" s="378"/>
      <c r="Y39" s="378"/>
      <c r="Z39" s="378"/>
      <c r="AA39" s="378"/>
      <c r="AB39" s="378"/>
    </row>
    <row r="40" spans="1:28" ht="12.75">
      <c r="A40" s="344">
        <v>2013</v>
      </c>
      <c r="B40" s="217" t="s">
        <v>68</v>
      </c>
      <c r="D40" s="378">
        <v>32127846.8</v>
      </c>
      <c r="E40" s="612">
        <f t="shared" si="6"/>
        <v>22715</v>
      </c>
      <c r="F40" s="617">
        <v>11884067.043171927</v>
      </c>
      <c r="G40" s="617">
        <v>19954</v>
      </c>
      <c r="H40" s="617">
        <v>4450541.310798991</v>
      </c>
      <c r="I40" s="617">
        <v>2487</v>
      </c>
      <c r="J40" s="378">
        <v>14303354.306152742</v>
      </c>
      <c r="K40" s="378">
        <v>41677.2053</v>
      </c>
      <c r="L40" s="378">
        <v>274</v>
      </c>
      <c r="M40" s="378">
        <v>23800.689863605403</v>
      </c>
      <c r="N40" s="378">
        <v>58</v>
      </c>
      <c r="O40" s="378">
        <v>1206.09</v>
      </c>
      <c r="P40" s="378">
        <v>1.635</v>
      </c>
      <c r="Q40" s="378">
        <v>9</v>
      </c>
      <c r="R40" s="398">
        <v>387638.4811448</v>
      </c>
      <c r="S40" s="378">
        <v>1133.58193</v>
      </c>
      <c r="T40" s="378">
        <v>6015</v>
      </c>
      <c r="U40" s="378"/>
      <c r="V40" s="378"/>
      <c r="W40" s="378"/>
      <c r="X40" s="378"/>
      <c r="Y40" s="378"/>
      <c r="Z40" s="378"/>
      <c r="AA40" s="378"/>
      <c r="AB40" s="378"/>
    </row>
    <row r="41" spans="1:28" ht="12.75">
      <c r="A41" s="344">
        <v>2013</v>
      </c>
      <c r="B41" s="217" t="s">
        <v>67</v>
      </c>
      <c r="D41" s="378">
        <v>35018158.9</v>
      </c>
      <c r="E41" s="612">
        <f t="shared" si="6"/>
        <v>22733</v>
      </c>
      <c r="F41" s="617">
        <v>13366928.414808653</v>
      </c>
      <c r="G41" s="617">
        <v>19968</v>
      </c>
      <c r="H41" s="617">
        <v>4727498.014652953</v>
      </c>
      <c r="I41" s="617">
        <v>2499</v>
      </c>
      <c r="J41" s="378">
        <v>13654906.91682243</v>
      </c>
      <c r="K41" s="378">
        <v>38979.8543</v>
      </c>
      <c r="L41" s="378">
        <v>266</v>
      </c>
      <c r="M41" s="378">
        <v>24441.14501978954</v>
      </c>
      <c r="N41" s="378">
        <v>57</v>
      </c>
      <c r="O41" s="378">
        <v>1246.293</v>
      </c>
      <c r="P41" s="378">
        <v>1.92</v>
      </c>
      <c r="Q41" s="378">
        <v>9</v>
      </c>
      <c r="R41" s="398">
        <v>449408.50718296</v>
      </c>
      <c r="S41" s="378">
        <v>1133.58193</v>
      </c>
      <c r="T41" s="378">
        <v>6013</v>
      </c>
      <c r="U41" s="378"/>
      <c r="V41" s="378"/>
      <c r="W41" s="378"/>
      <c r="X41" s="378"/>
      <c r="Y41" s="378"/>
      <c r="Z41" s="378"/>
      <c r="AA41" s="378"/>
      <c r="AB41" s="378"/>
    </row>
    <row r="42" spans="1:28" ht="12.75">
      <c r="A42" s="344">
        <v>2013</v>
      </c>
      <c r="B42" s="217" t="s">
        <v>66</v>
      </c>
      <c r="D42" s="378">
        <v>39153191.85</v>
      </c>
      <c r="E42" s="612">
        <f t="shared" si="6"/>
        <v>22739</v>
      </c>
      <c r="F42" s="617">
        <v>17381916.51094439</v>
      </c>
      <c r="G42" s="617">
        <v>19975</v>
      </c>
      <c r="H42" s="617">
        <v>5573959.160909999</v>
      </c>
      <c r="I42" s="617">
        <v>2498</v>
      </c>
      <c r="J42" s="378">
        <v>14288690.3</v>
      </c>
      <c r="K42" s="378">
        <v>37023.8554</v>
      </c>
      <c r="L42" s="378">
        <v>266</v>
      </c>
      <c r="M42" s="378">
        <v>24441.14501978954</v>
      </c>
      <c r="N42" s="378">
        <v>57</v>
      </c>
      <c r="O42" s="378">
        <v>1206.09</v>
      </c>
      <c r="P42" s="378">
        <v>1.35</v>
      </c>
      <c r="Q42" s="378">
        <v>8</v>
      </c>
      <c r="R42" s="398">
        <v>475138.90718295996</v>
      </c>
      <c r="S42" s="378">
        <v>1133.1719300000002</v>
      </c>
      <c r="T42" s="378">
        <v>6025</v>
      </c>
      <c r="U42" s="378"/>
      <c r="V42" s="378"/>
      <c r="W42" s="378"/>
      <c r="X42" s="378"/>
      <c r="Y42" s="378"/>
      <c r="Z42" s="378"/>
      <c r="AA42" s="378"/>
      <c r="AB42" s="378"/>
    </row>
    <row r="43" spans="1:28" ht="12.75">
      <c r="A43" s="344">
        <v>2013</v>
      </c>
      <c r="B43" s="217" t="s">
        <v>65</v>
      </c>
      <c r="D43" s="378">
        <v>46270575.63</v>
      </c>
      <c r="E43" s="612">
        <f t="shared" si="6"/>
        <v>22752</v>
      </c>
      <c r="F43" s="617">
        <v>22318493.83624093</v>
      </c>
      <c r="G43" s="617">
        <v>19983</v>
      </c>
      <c r="H43" s="617">
        <v>6549100.549076999</v>
      </c>
      <c r="I43" s="617">
        <v>2529</v>
      </c>
      <c r="J43" s="378">
        <v>13974967.625</v>
      </c>
      <c r="K43" s="378">
        <v>36943.5892</v>
      </c>
      <c r="L43" s="378">
        <v>240</v>
      </c>
      <c r="M43" s="378">
        <v>24441.14501978954</v>
      </c>
      <c r="N43" s="378">
        <v>57</v>
      </c>
      <c r="O43" s="378">
        <v>1246.293</v>
      </c>
      <c r="P43" s="378">
        <v>1.35</v>
      </c>
      <c r="Q43" s="378">
        <v>8</v>
      </c>
      <c r="R43" s="398">
        <v>486293.60718295997</v>
      </c>
      <c r="S43" s="378">
        <v>1133.2619300000001</v>
      </c>
      <c r="T43" s="378">
        <v>6025</v>
      </c>
      <c r="U43" s="378"/>
      <c r="V43" s="378"/>
      <c r="W43" s="378"/>
      <c r="X43" s="378"/>
      <c r="Y43" s="378"/>
      <c r="Z43" s="378"/>
      <c r="AA43" s="378"/>
      <c r="AB43" s="378"/>
    </row>
    <row r="44" spans="1:28" ht="12.75">
      <c r="A44" s="344">
        <v>2014</v>
      </c>
      <c r="B44" s="217" t="s">
        <v>76</v>
      </c>
      <c r="D44" s="378">
        <v>48560155.92</v>
      </c>
      <c r="E44" s="612">
        <f t="shared" si="6"/>
        <v>22761</v>
      </c>
      <c r="F44" s="617">
        <v>24110494.964624938</v>
      </c>
      <c r="G44" s="617">
        <v>19993</v>
      </c>
      <c r="H44" s="618">
        <v>7321815.588379998</v>
      </c>
      <c r="I44" s="617">
        <v>2534</v>
      </c>
      <c r="J44" s="378">
        <v>15797623.08441329</v>
      </c>
      <c r="K44" s="378">
        <v>39377.79573</v>
      </c>
      <c r="L44" s="378">
        <v>234</v>
      </c>
      <c r="M44" s="378">
        <v>24441.14501978954</v>
      </c>
      <c r="N44" s="378">
        <v>57</v>
      </c>
      <c r="O44" s="378">
        <v>1246.293</v>
      </c>
      <c r="P44" s="378">
        <v>1.35</v>
      </c>
      <c r="Q44" s="378">
        <v>8</v>
      </c>
      <c r="R44" s="398">
        <v>555780.25235896</v>
      </c>
      <c r="S44" s="378">
        <v>1161.2491300000002</v>
      </c>
      <c r="T44" s="378">
        <v>6025</v>
      </c>
      <c r="U44" s="378"/>
      <c r="V44" s="378"/>
      <c r="W44" s="378"/>
      <c r="X44" s="378"/>
      <c r="Y44" s="378"/>
      <c r="Z44" s="378"/>
      <c r="AA44" s="378"/>
      <c r="AB44" s="378"/>
    </row>
    <row r="45" spans="1:28" ht="12.75">
      <c r="A45" s="344">
        <v>2014</v>
      </c>
      <c r="B45" s="217" t="s">
        <v>75</v>
      </c>
      <c r="D45" s="378">
        <v>43502029.07</v>
      </c>
      <c r="E45" s="612">
        <f t="shared" si="6"/>
        <v>22761</v>
      </c>
      <c r="F45" s="617">
        <v>20933709.609183926</v>
      </c>
      <c r="G45" s="617">
        <v>19993</v>
      </c>
      <c r="H45" s="618">
        <v>6887516.05445962</v>
      </c>
      <c r="I45" s="617">
        <v>2534</v>
      </c>
      <c r="J45" s="378">
        <v>14202100.665811857</v>
      </c>
      <c r="K45" s="378">
        <v>37336.69493</v>
      </c>
      <c r="L45" s="378">
        <v>234</v>
      </c>
      <c r="M45" s="378">
        <v>22075.872921100225</v>
      </c>
      <c r="N45" s="378">
        <v>57</v>
      </c>
      <c r="O45" s="378">
        <v>1125.684</v>
      </c>
      <c r="P45" s="378">
        <v>1.35</v>
      </c>
      <c r="Q45" s="378">
        <v>8</v>
      </c>
      <c r="R45" s="398">
        <v>459556.23902047996</v>
      </c>
      <c r="S45" s="378">
        <v>1133.91353</v>
      </c>
      <c r="T45" s="378">
        <v>6013</v>
      </c>
      <c r="U45" s="378"/>
      <c r="V45" s="378"/>
      <c r="W45" s="378"/>
      <c r="X45" s="378"/>
      <c r="Y45" s="378"/>
      <c r="Z45" s="378"/>
      <c r="AA45" s="378"/>
      <c r="AB45" s="378"/>
    </row>
    <row r="46" spans="1:28" ht="12.75">
      <c r="A46" s="344">
        <v>2014</v>
      </c>
      <c r="B46" s="217" t="s">
        <v>74</v>
      </c>
      <c r="D46" s="378">
        <v>44749295.58</v>
      </c>
      <c r="E46" s="612">
        <f t="shared" si="6"/>
        <v>22775</v>
      </c>
      <c r="F46" s="617">
        <v>20949051.399067916</v>
      </c>
      <c r="G46" s="617">
        <v>20008</v>
      </c>
      <c r="H46" s="618">
        <v>6833985.3772</v>
      </c>
      <c r="I46" s="617">
        <v>2532</v>
      </c>
      <c r="J46" s="378">
        <v>14920696.311365806</v>
      </c>
      <c r="K46" s="378">
        <v>36558.67203</v>
      </c>
      <c r="L46" s="378">
        <v>235</v>
      </c>
      <c r="M46" s="378">
        <v>24441.14501978954</v>
      </c>
      <c r="N46" s="378">
        <v>57</v>
      </c>
      <c r="O46" s="378">
        <v>1246.293</v>
      </c>
      <c r="P46" s="378">
        <v>1.35</v>
      </c>
      <c r="Q46" s="378">
        <v>8</v>
      </c>
      <c r="R46" s="398">
        <v>426441.50718296</v>
      </c>
      <c r="S46" s="378">
        <v>1133.1719300000002</v>
      </c>
      <c r="T46" s="378">
        <v>6013</v>
      </c>
      <c r="U46" s="378"/>
      <c r="V46" s="378"/>
      <c r="W46" s="378"/>
      <c r="X46" s="378"/>
      <c r="Y46" s="378"/>
      <c r="Z46" s="378"/>
      <c r="AA46" s="378"/>
      <c r="AB46" s="378"/>
    </row>
    <row r="47" spans="1:28" ht="12.75">
      <c r="A47" s="344">
        <v>2014</v>
      </c>
      <c r="B47" s="217" t="s">
        <v>73</v>
      </c>
      <c r="D47" s="378">
        <v>36703501.6</v>
      </c>
      <c r="E47" s="612">
        <f t="shared" si="6"/>
        <v>22776</v>
      </c>
      <c r="F47" s="617">
        <v>15531235.403241</v>
      </c>
      <c r="G47" s="617">
        <v>20009</v>
      </c>
      <c r="H47" s="618">
        <v>5331627.875597999</v>
      </c>
      <c r="I47" s="617">
        <v>2531</v>
      </c>
      <c r="J47" s="378">
        <v>13353613.812658358</v>
      </c>
      <c r="K47" s="378">
        <v>43965.04394</v>
      </c>
      <c r="L47" s="378">
        <v>236</v>
      </c>
      <c r="M47" s="378">
        <v>23652.720986893073</v>
      </c>
      <c r="N47" s="378">
        <v>57</v>
      </c>
      <c r="O47" s="378">
        <v>1206.09</v>
      </c>
      <c r="P47" s="378">
        <v>1.35</v>
      </c>
      <c r="Q47" s="378">
        <v>8</v>
      </c>
      <c r="R47" s="398">
        <v>365338.5811448</v>
      </c>
      <c r="S47" s="378">
        <v>1133.1719300000002</v>
      </c>
      <c r="T47" s="378">
        <v>6013</v>
      </c>
      <c r="U47" s="378"/>
      <c r="V47" s="378"/>
      <c r="W47" s="378"/>
      <c r="X47" s="378"/>
      <c r="Y47" s="378"/>
      <c r="Z47" s="378"/>
      <c r="AA47" s="378"/>
      <c r="AB47" s="378"/>
    </row>
    <row r="48" spans="1:28" ht="12.75">
      <c r="A48" s="344">
        <v>2014</v>
      </c>
      <c r="B48" s="217" t="s">
        <v>72</v>
      </c>
      <c r="D48" s="378">
        <v>33120207.87</v>
      </c>
      <c r="E48" s="612">
        <f t="shared" si="6"/>
        <v>22781</v>
      </c>
      <c r="F48" s="617">
        <v>12595021.318971993</v>
      </c>
      <c r="G48" s="617">
        <v>20014</v>
      </c>
      <c r="H48" s="618">
        <v>4967899.266155</v>
      </c>
      <c r="I48" s="617">
        <v>2531</v>
      </c>
      <c r="J48" s="378">
        <v>13236347.937065892</v>
      </c>
      <c r="K48" s="378">
        <v>35050.973620000004</v>
      </c>
      <c r="L48" s="378">
        <v>236</v>
      </c>
      <c r="M48" s="378">
        <v>24441.14501978954</v>
      </c>
      <c r="N48" s="378">
        <v>57</v>
      </c>
      <c r="O48" s="378">
        <v>1246.293</v>
      </c>
      <c r="P48" s="378">
        <v>1.35</v>
      </c>
      <c r="Q48" s="378">
        <v>8</v>
      </c>
      <c r="R48" s="398">
        <v>336427.30718296</v>
      </c>
      <c r="S48" s="378">
        <v>1133.1719300000002</v>
      </c>
      <c r="T48" s="378">
        <v>6013</v>
      </c>
      <c r="U48" s="378"/>
      <c r="V48" s="378"/>
      <c r="W48" s="378"/>
      <c r="X48" s="378"/>
      <c r="Y48" s="378"/>
      <c r="Z48" s="378"/>
      <c r="AA48" s="378"/>
      <c r="AB48" s="378"/>
    </row>
    <row r="49" spans="1:28" ht="12.75">
      <c r="A49" s="344">
        <v>2014</v>
      </c>
      <c r="B49" s="217" t="s">
        <v>71</v>
      </c>
      <c r="D49" s="378">
        <v>31986696.49</v>
      </c>
      <c r="E49" s="612">
        <f t="shared" si="6"/>
        <v>22777</v>
      </c>
      <c r="F49" s="617">
        <v>11817641.31590696</v>
      </c>
      <c r="G49" s="617">
        <v>20009</v>
      </c>
      <c r="H49" s="618">
        <v>4796135.586039999</v>
      </c>
      <c r="I49" s="617">
        <v>2532</v>
      </c>
      <c r="J49" s="378">
        <v>13114795.73750675</v>
      </c>
      <c r="K49" s="378">
        <v>35685.129166666666</v>
      </c>
      <c r="L49" s="378">
        <v>236</v>
      </c>
      <c r="M49" s="378">
        <v>23652.720986893073</v>
      </c>
      <c r="N49" s="378">
        <v>57</v>
      </c>
      <c r="O49" s="378">
        <v>1206.09</v>
      </c>
      <c r="P49" s="378">
        <v>1.35</v>
      </c>
      <c r="Q49" s="378">
        <v>8</v>
      </c>
      <c r="R49" s="398">
        <v>173889.3811448</v>
      </c>
      <c r="S49" s="378">
        <v>1133.1719300000002</v>
      </c>
      <c r="T49" s="378">
        <v>6013</v>
      </c>
      <c r="U49" s="378"/>
      <c r="V49" s="378"/>
      <c r="W49" s="378"/>
      <c r="X49" s="378"/>
      <c r="Y49" s="378"/>
      <c r="Z49" s="378"/>
      <c r="AA49" s="378"/>
      <c r="AB49" s="378"/>
    </row>
    <row r="50" spans="1:28" ht="12.75">
      <c r="A50" s="344">
        <v>2014</v>
      </c>
      <c r="B50" s="217" t="s">
        <v>70</v>
      </c>
      <c r="D50" s="378">
        <v>33114324.39</v>
      </c>
      <c r="E50" s="612">
        <f t="shared" si="6"/>
        <v>22798</v>
      </c>
      <c r="F50" s="617">
        <v>12919178.227076886</v>
      </c>
      <c r="G50" s="617">
        <v>20029</v>
      </c>
      <c r="H50" s="618">
        <v>5045665.6589399995</v>
      </c>
      <c r="I50" s="617">
        <v>2533</v>
      </c>
      <c r="J50" s="378">
        <v>13150390.146943547</v>
      </c>
      <c r="K50" s="378">
        <v>35226.966589999996</v>
      </c>
      <c r="L50" s="378">
        <v>236</v>
      </c>
      <c r="M50" s="378">
        <v>24441.14501978954</v>
      </c>
      <c r="N50" s="378">
        <v>57</v>
      </c>
      <c r="O50" s="378">
        <v>1246.293</v>
      </c>
      <c r="P50" s="378">
        <v>1.35</v>
      </c>
      <c r="Q50" s="378">
        <v>8</v>
      </c>
      <c r="R50" s="398">
        <v>449828.20718295994</v>
      </c>
      <c r="S50" s="378">
        <v>1133.1719300000002</v>
      </c>
      <c r="T50" s="378">
        <v>6013</v>
      </c>
      <c r="U50" s="378"/>
      <c r="V50" s="378"/>
      <c r="W50" s="378"/>
      <c r="X50" s="378"/>
      <c r="Y50" s="378"/>
      <c r="Z50" s="378"/>
      <c r="AA50" s="378"/>
      <c r="AB50" s="378"/>
    </row>
    <row r="51" spans="1:28" ht="12.75">
      <c r="A51" s="344">
        <v>2014</v>
      </c>
      <c r="B51" s="217" t="s">
        <v>69</v>
      </c>
      <c r="D51" s="378">
        <v>32996892.32</v>
      </c>
      <c r="E51" s="612">
        <f t="shared" si="6"/>
        <v>22810</v>
      </c>
      <c r="F51" s="617">
        <v>12808467.307326928</v>
      </c>
      <c r="G51" s="617">
        <v>20045</v>
      </c>
      <c r="H51" s="618">
        <v>5251957.722591382</v>
      </c>
      <c r="I51" s="617">
        <v>2529</v>
      </c>
      <c r="J51" s="378">
        <v>14175549.461829886</v>
      </c>
      <c r="K51" s="378">
        <v>40874.203480000004</v>
      </c>
      <c r="L51" s="378">
        <v>236</v>
      </c>
      <c r="M51" s="378">
        <v>24441.14501978954</v>
      </c>
      <c r="N51" s="378">
        <v>57</v>
      </c>
      <c r="O51" s="378">
        <v>1246.293</v>
      </c>
      <c r="P51" s="378">
        <v>1.35</v>
      </c>
      <c r="Q51" s="378">
        <v>8</v>
      </c>
      <c r="R51" s="398">
        <v>359519.80718296</v>
      </c>
      <c r="S51" s="378">
        <v>1125.83193</v>
      </c>
      <c r="T51" s="378">
        <v>6013</v>
      </c>
      <c r="U51" s="378"/>
      <c r="V51" s="378"/>
      <c r="W51" s="378"/>
      <c r="X51" s="378"/>
      <c r="Y51" s="378"/>
      <c r="Z51" s="378"/>
      <c r="AA51" s="378"/>
      <c r="AB51" s="378"/>
    </row>
    <row r="52" spans="1:28" ht="12.75">
      <c r="A52" s="344">
        <v>2014</v>
      </c>
      <c r="B52" s="217" t="s">
        <v>68</v>
      </c>
      <c r="D52" s="378">
        <v>31808440.35</v>
      </c>
      <c r="E52" s="612">
        <f t="shared" si="6"/>
        <v>22817</v>
      </c>
      <c r="F52" s="617">
        <v>11812516.466138009</v>
      </c>
      <c r="G52" s="617">
        <v>20054</v>
      </c>
      <c r="H52" s="618">
        <v>4599255.387842</v>
      </c>
      <c r="I52" s="617">
        <v>2526</v>
      </c>
      <c r="J52" s="378">
        <v>12796413.5131392</v>
      </c>
      <c r="K52" s="378">
        <v>36391.63207000001</v>
      </c>
      <c r="L52" s="378">
        <v>237</v>
      </c>
      <c r="M52" s="378">
        <v>23652.720986893073</v>
      </c>
      <c r="N52" s="378">
        <v>57</v>
      </c>
      <c r="O52" s="378">
        <v>1206.09</v>
      </c>
      <c r="P52" s="378">
        <v>1.35</v>
      </c>
      <c r="Q52" s="378">
        <v>8</v>
      </c>
      <c r="R52" s="398">
        <v>387494.3811448</v>
      </c>
      <c r="S52" s="378">
        <v>1017.9452633333333</v>
      </c>
      <c r="T52" s="378">
        <v>6013</v>
      </c>
      <c r="U52" s="378"/>
      <c r="V52" s="378"/>
      <c r="W52" s="378"/>
      <c r="X52" s="378"/>
      <c r="Y52" s="378"/>
      <c r="Z52" s="378"/>
      <c r="AA52" s="378"/>
      <c r="AB52" s="378"/>
    </row>
    <row r="53" spans="1:28" ht="12.75">
      <c r="A53" s="344">
        <v>2014</v>
      </c>
      <c r="B53" s="217" t="s">
        <v>67</v>
      </c>
      <c r="D53" s="378">
        <v>34772519.56</v>
      </c>
      <c r="E53" s="612">
        <f t="shared" si="6"/>
        <v>22832</v>
      </c>
      <c r="F53" s="617">
        <v>13296865.368982935</v>
      </c>
      <c r="G53" s="617">
        <v>20068</v>
      </c>
      <c r="H53" s="618">
        <v>4824864.957135999</v>
      </c>
      <c r="I53" s="617">
        <v>2527</v>
      </c>
      <c r="J53" s="378">
        <v>14822312.226998772</v>
      </c>
      <c r="K53" s="378">
        <v>40876.778399999996</v>
      </c>
      <c r="L53" s="378">
        <v>237</v>
      </c>
      <c r="M53" s="378">
        <v>24441.14501978954</v>
      </c>
      <c r="N53" s="378">
        <v>57</v>
      </c>
      <c r="O53" s="378">
        <v>1246.293</v>
      </c>
      <c r="P53" s="378">
        <v>1.35</v>
      </c>
      <c r="Q53" s="378">
        <v>8</v>
      </c>
      <c r="R53" s="398">
        <v>441661.40718295996</v>
      </c>
      <c r="S53" s="378">
        <v>985.6252633333332</v>
      </c>
      <c r="T53" s="378">
        <v>6013</v>
      </c>
      <c r="U53" s="378"/>
      <c r="V53" s="378"/>
      <c r="W53" s="378"/>
      <c r="X53" s="378"/>
      <c r="Y53" s="378"/>
      <c r="Z53" s="378"/>
      <c r="AA53" s="378"/>
      <c r="AB53" s="378"/>
    </row>
    <row r="54" spans="1:28" ht="12.75">
      <c r="A54" s="344">
        <v>2014</v>
      </c>
      <c r="B54" s="217" t="s">
        <v>66</v>
      </c>
      <c r="D54" s="378">
        <v>39442096.3</v>
      </c>
      <c r="E54" s="612">
        <f t="shared" si="6"/>
        <v>22846</v>
      </c>
      <c r="F54" s="617">
        <v>17258412.548289992</v>
      </c>
      <c r="G54" s="617">
        <v>20079</v>
      </c>
      <c r="H54" s="618">
        <v>5626010.374743999</v>
      </c>
      <c r="I54" s="617">
        <v>2531</v>
      </c>
      <c r="J54" s="378">
        <v>14450298.941500142</v>
      </c>
      <c r="K54" s="378">
        <v>38456.8155</v>
      </c>
      <c r="L54" s="378">
        <v>236</v>
      </c>
      <c r="M54" s="378">
        <v>19107.863013698563</v>
      </c>
      <c r="N54" s="378">
        <v>57</v>
      </c>
      <c r="O54" s="378">
        <v>1206.09</v>
      </c>
      <c r="P54" s="378">
        <v>1.35</v>
      </c>
      <c r="Q54" s="378">
        <v>8</v>
      </c>
      <c r="R54" s="398">
        <v>260633.59999999998</v>
      </c>
      <c r="S54" s="378">
        <v>886.90893</v>
      </c>
      <c r="T54" s="378">
        <v>6100</v>
      </c>
      <c r="U54" s="378"/>
      <c r="V54" s="378"/>
      <c r="W54" s="378"/>
      <c r="X54" s="378"/>
      <c r="Y54" s="378"/>
      <c r="Z54" s="378"/>
      <c r="AA54" s="378"/>
      <c r="AB54" s="378"/>
    </row>
    <row r="55" spans="1:28" ht="12.75">
      <c r="A55" s="344">
        <v>2014</v>
      </c>
      <c r="B55" s="217" t="s">
        <v>65</v>
      </c>
      <c r="D55" s="378">
        <v>42249291.58</v>
      </c>
      <c r="E55" s="612">
        <f t="shared" si="6"/>
        <v>22854</v>
      </c>
      <c r="F55" s="617">
        <v>19778081.499401946</v>
      </c>
      <c r="G55" s="617">
        <v>20087</v>
      </c>
      <c r="H55" s="618">
        <v>6423694.150913999</v>
      </c>
      <c r="I55" s="617">
        <v>2532</v>
      </c>
      <c r="J55" s="378">
        <v>14735073.160766546</v>
      </c>
      <c r="K55" s="378">
        <v>40190.61124</v>
      </c>
      <c r="L55" s="378">
        <v>235</v>
      </c>
      <c r="M55" s="378">
        <v>28986.002992984053</v>
      </c>
      <c r="N55" s="378">
        <v>57</v>
      </c>
      <c r="O55" s="378">
        <v>1246.293</v>
      </c>
      <c r="P55" s="378">
        <v>1.35</v>
      </c>
      <c r="Q55" s="378">
        <v>8</v>
      </c>
      <c r="R55" s="398">
        <v>742207.3883277599</v>
      </c>
      <c r="S55" s="378">
        <v>850.6059533333333</v>
      </c>
      <c r="T55" s="378">
        <v>6108</v>
      </c>
      <c r="U55" s="378"/>
      <c r="V55" s="378"/>
      <c r="W55" s="378"/>
      <c r="X55" s="378"/>
      <c r="Y55" s="378"/>
      <c r="Z55" s="378"/>
      <c r="AA55" s="378"/>
      <c r="AB55" s="378"/>
    </row>
    <row r="56" spans="1:28" ht="12.75">
      <c r="A56" s="344">
        <v>2015</v>
      </c>
      <c r="B56" s="217" t="s">
        <v>76</v>
      </c>
      <c r="D56" s="378">
        <v>48032768.75</v>
      </c>
      <c r="E56" s="612">
        <f t="shared" si="6"/>
        <v>22856</v>
      </c>
      <c r="F56" s="617">
        <v>22841724.148</v>
      </c>
      <c r="G56" s="617">
        <v>20091</v>
      </c>
      <c r="H56" s="618">
        <v>7132719.894</v>
      </c>
      <c r="I56" s="617">
        <v>2531</v>
      </c>
      <c r="J56" s="378">
        <v>15896063.903719625</v>
      </c>
      <c r="K56" s="378">
        <v>40347.460600000006</v>
      </c>
      <c r="L56" s="378">
        <v>234</v>
      </c>
      <c r="M56" s="378">
        <v>24441.145</v>
      </c>
      <c r="N56" s="378">
        <v>57</v>
      </c>
      <c r="O56" s="378">
        <v>1246.293</v>
      </c>
      <c r="P56" s="378">
        <v>1.35</v>
      </c>
      <c r="Q56" s="378">
        <v>8</v>
      </c>
      <c r="R56" s="398">
        <v>341064.1</v>
      </c>
      <c r="S56" s="378">
        <v>807.3426400000002</v>
      </c>
      <c r="T56" s="378">
        <v>6108</v>
      </c>
      <c r="U56" s="378"/>
      <c r="V56" s="378"/>
      <c r="W56" s="378"/>
      <c r="X56" s="378"/>
      <c r="Y56" s="378"/>
      <c r="Z56" s="378"/>
      <c r="AA56" s="378"/>
      <c r="AB56" s="378"/>
    </row>
    <row r="57" spans="1:28" ht="12.75">
      <c r="A57" s="344">
        <v>2015</v>
      </c>
      <c r="B57" s="217" t="s">
        <v>75</v>
      </c>
      <c r="D57" s="378">
        <v>47536664.53</v>
      </c>
      <c r="E57" s="612">
        <f t="shared" si="6"/>
        <v>22870</v>
      </c>
      <c r="F57" s="617">
        <v>21882032.653</v>
      </c>
      <c r="G57" s="617">
        <v>20108</v>
      </c>
      <c r="H57" s="618">
        <v>6944773.671</v>
      </c>
      <c r="I57" s="617">
        <v>2528</v>
      </c>
      <c r="J57" s="378">
        <v>15419058.998514017</v>
      </c>
      <c r="K57" s="378">
        <v>37151.8106</v>
      </c>
      <c r="L57" s="378">
        <v>234</v>
      </c>
      <c r="M57" s="378">
        <v>22075.873</v>
      </c>
      <c r="N57" s="378">
        <v>57</v>
      </c>
      <c r="O57" s="378">
        <v>1125.684</v>
      </c>
      <c r="P57" s="378">
        <v>1.35</v>
      </c>
      <c r="Q57" s="378">
        <v>8</v>
      </c>
      <c r="R57" s="398">
        <v>456069.9</v>
      </c>
      <c r="S57" s="378">
        <v>774.8233333333334</v>
      </c>
      <c r="T57" s="378">
        <v>6108</v>
      </c>
      <c r="U57" s="378"/>
      <c r="V57" s="378"/>
      <c r="W57" s="378"/>
      <c r="X57" s="378"/>
      <c r="Y57" s="378"/>
      <c r="Z57" s="378"/>
      <c r="AA57" s="378"/>
      <c r="AB57" s="378"/>
    </row>
    <row r="58" spans="1:28" ht="12.75">
      <c r="A58" s="344">
        <v>2015</v>
      </c>
      <c r="B58" s="217" t="s">
        <v>74</v>
      </c>
      <c r="D58" s="378">
        <v>43095042.19</v>
      </c>
      <c r="E58" s="612">
        <f t="shared" si="6"/>
        <v>22868</v>
      </c>
      <c r="F58" s="617">
        <v>19094811.484</v>
      </c>
      <c r="G58" s="617">
        <v>20109</v>
      </c>
      <c r="H58" s="618">
        <v>6517661.119</v>
      </c>
      <c r="I58" s="617">
        <v>2525</v>
      </c>
      <c r="J58" s="378">
        <v>15518930.02028972</v>
      </c>
      <c r="K58" s="378">
        <v>37799.4881</v>
      </c>
      <c r="L58" s="378">
        <v>234</v>
      </c>
      <c r="M58" s="378">
        <v>24441.145</v>
      </c>
      <c r="N58" s="378">
        <v>57</v>
      </c>
      <c r="O58" s="378">
        <v>1246.293</v>
      </c>
      <c r="P58" s="378">
        <v>1.35</v>
      </c>
      <c r="Q58" s="378">
        <v>8</v>
      </c>
      <c r="R58" s="398">
        <v>314388.6</v>
      </c>
      <c r="S58" s="378">
        <v>766.3073333333333</v>
      </c>
      <c r="T58" s="378">
        <v>6108</v>
      </c>
      <c r="U58" s="378"/>
      <c r="V58" s="378"/>
      <c r="W58" s="378"/>
      <c r="X58" s="378"/>
      <c r="Y58" s="378"/>
      <c r="Z58" s="378"/>
      <c r="AA58" s="378"/>
      <c r="AB58" s="378"/>
    </row>
    <row r="59" spans="1:28" ht="12.75">
      <c r="A59" s="344">
        <v>2015</v>
      </c>
      <c r="B59" s="217" t="s">
        <v>73</v>
      </c>
      <c r="D59" s="378">
        <v>34966161.03</v>
      </c>
      <c r="E59" s="612">
        <f t="shared" si="6"/>
        <v>22862</v>
      </c>
      <c r="F59" s="617">
        <v>14501919.792</v>
      </c>
      <c r="G59" s="617">
        <v>20104</v>
      </c>
      <c r="H59" s="618">
        <v>5132758.907</v>
      </c>
      <c r="I59" s="617">
        <v>2524</v>
      </c>
      <c r="J59" s="378">
        <v>14069029.630588783</v>
      </c>
      <c r="K59" s="378">
        <v>37686.1793</v>
      </c>
      <c r="L59" s="378">
        <v>234</v>
      </c>
      <c r="M59" s="378">
        <v>23652.721</v>
      </c>
      <c r="N59" s="378">
        <v>57</v>
      </c>
      <c r="O59" s="378">
        <v>1206.09</v>
      </c>
      <c r="P59" s="378">
        <v>1.35</v>
      </c>
      <c r="Q59" s="378">
        <v>8</v>
      </c>
      <c r="R59" s="398">
        <v>262011.2</v>
      </c>
      <c r="S59" s="378">
        <v>741.2606666666667</v>
      </c>
      <c r="T59" s="378">
        <v>6109</v>
      </c>
      <c r="U59" s="378"/>
      <c r="V59" s="378"/>
      <c r="W59" s="378"/>
      <c r="X59" s="378"/>
      <c r="Y59" s="378"/>
      <c r="Z59" s="378"/>
      <c r="AA59" s="378"/>
      <c r="AB59" s="378"/>
    </row>
    <row r="60" spans="1:28" ht="12.75">
      <c r="A60" s="344">
        <v>2015</v>
      </c>
      <c r="B60" s="217" t="s">
        <v>72</v>
      </c>
      <c r="D60" s="378">
        <v>32451518.59</v>
      </c>
      <c r="E60" s="612">
        <f t="shared" si="6"/>
        <v>22873</v>
      </c>
      <c r="F60" s="617">
        <v>12272325.453</v>
      </c>
      <c r="G60" s="617">
        <v>20115</v>
      </c>
      <c r="H60" s="618">
        <v>4714746.777</v>
      </c>
      <c r="I60" s="617">
        <v>2524</v>
      </c>
      <c r="J60" s="378">
        <v>14101241.5</v>
      </c>
      <c r="K60" s="378">
        <v>36894.3208</v>
      </c>
      <c r="L60" s="378">
        <v>234</v>
      </c>
      <c r="M60" s="378">
        <v>24441.145</v>
      </c>
      <c r="N60" s="378">
        <v>57</v>
      </c>
      <c r="O60" s="378">
        <v>1246.293</v>
      </c>
      <c r="P60" s="378">
        <v>1.35</v>
      </c>
      <c r="Q60" s="378">
        <v>8</v>
      </c>
      <c r="R60" s="398">
        <v>151571.2</v>
      </c>
      <c r="S60" s="378">
        <v>520.5273333333333</v>
      </c>
      <c r="T60" s="378">
        <v>6109</v>
      </c>
      <c r="U60" s="378"/>
      <c r="V60" s="378"/>
      <c r="W60" s="378"/>
      <c r="X60" s="378"/>
      <c r="Y60" s="378"/>
      <c r="Z60" s="378"/>
      <c r="AA60" s="378"/>
      <c r="AB60" s="378"/>
    </row>
    <row r="61" spans="1:28" ht="12.75">
      <c r="A61" s="344">
        <v>2015</v>
      </c>
      <c r="B61" s="217" t="s">
        <v>71</v>
      </c>
      <c r="D61" s="378">
        <v>31428888.54</v>
      </c>
      <c r="E61" s="612">
        <f t="shared" si="6"/>
        <v>22869</v>
      </c>
      <c r="F61" s="617">
        <v>11481179.761</v>
      </c>
      <c r="G61" s="617">
        <v>20113</v>
      </c>
      <c r="H61" s="618">
        <v>4761761.335</v>
      </c>
      <c r="I61" s="617">
        <v>2522</v>
      </c>
      <c r="J61" s="378">
        <v>13553512.799999999</v>
      </c>
      <c r="K61" s="378">
        <v>35095.4899</v>
      </c>
      <c r="L61" s="378">
        <v>234</v>
      </c>
      <c r="M61" s="378">
        <v>23652.721</v>
      </c>
      <c r="N61" s="378">
        <v>57</v>
      </c>
      <c r="O61" s="378">
        <v>1206.09</v>
      </c>
      <c r="P61" s="378">
        <v>1.35</v>
      </c>
      <c r="Q61" s="378">
        <v>8</v>
      </c>
      <c r="R61" s="398">
        <v>200247.3</v>
      </c>
      <c r="S61" s="378">
        <v>765.4159999999999</v>
      </c>
      <c r="T61" s="378">
        <v>6109</v>
      </c>
      <c r="U61" s="378"/>
      <c r="V61" s="378"/>
      <c r="W61" s="378"/>
      <c r="X61" s="378"/>
      <c r="Y61" s="378"/>
      <c r="Z61" s="378"/>
      <c r="AA61" s="378"/>
      <c r="AB61" s="378"/>
    </row>
    <row r="62" spans="1:28" ht="12.75">
      <c r="A62" s="344">
        <v>2015</v>
      </c>
      <c r="B62" s="217" t="s">
        <v>70</v>
      </c>
      <c r="D62" s="378">
        <v>34059070.67</v>
      </c>
      <c r="E62" s="612">
        <f t="shared" si="6"/>
        <v>22899</v>
      </c>
      <c r="F62" s="617">
        <v>13450200.79</v>
      </c>
      <c r="G62" s="617">
        <v>20138</v>
      </c>
      <c r="H62" s="618">
        <v>5238853.941</v>
      </c>
      <c r="I62" s="617">
        <v>2523</v>
      </c>
      <c r="J62" s="378">
        <v>14527088.8</v>
      </c>
      <c r="K62" s="378">
        <v>40554.7765</v>
      </c>
      <c r="L62" s="378">
        <v>238</v>
      </c>
      <c r="M62" s="378">
        <v>24441.145</v>
      </c>
      <c r="N62" s="378">
        <v>57</v>
      </c>
      <c r="O62" s="378">
        <v>1246.293</v>
      </c>
      <c r="P62" s="378">
        <v>1.35</v>
      </c>
      <c r="Q62" s="378">
        <v>8</v>
      </c>
      <c r="R62" s="398">
        <v>-903242.007</v>
      </c>
      <c r="S62" s="378">
        <v>687.332</v>
      </c>
      <c r="T62" s="378">
        <v>6106</v>
      </c>
      <c r="U62" s="378"/>
      <c r="V62" s="378"/>
      <c r="W62" s="378"/>
      <c r="X62" s="378"/>
      <c r="Y62" s="378"/>
      <c r="Z62" s="378"/>
      <c r="AA62" s="378"/>
      <c r="AB62" s="378"/>
    </row>
    <row r="63" spans="1:28" ht="12.75">
      <c r="A63" s="344">
        <v>2015</v>
      </c>
      <c r="B63" s="217" t="s">
        <v>69</v>
      </c>
      <c r="D63" s="378">
        <v>34233108.6</v>
      </c>
      <c r="E63" s="612">
        <f t="shared" si="6"/>
        <v>22925</v>
      </c>
      <c r="F63" s="617">
        <v>13262500.256</v>
      </c>
      <c r="G63" s="617">
        <v>20163</v>
      </c>
      <c r="H63" s="618">
        <v>5104348.023</v>
      </c>
      <c r="I63" s="617">
        <v>2525</v>
      </c>
      <c r="J63" s="378">
        <v>14267156.500000002</v>
      </c>
      <c r="K63" s="378">
        <v>38820.1941</v>
      </c>
      <c r="L63" s="378">
        <v>237</v>
      </c>
      <c r="M63" s="378">
        <v>24441.145</v>
      </c>
      <c r="N63" s="378">
        <v>57</v>
      </c>
      <c r="O63" s="378">
        <v>387.736</v>
      </c>
      <c r="P63" s="378">
        <v>1.35</v>
      </c>
      <c r="Q63" s="378">
        <v>8</v>
      </c>
      <c r="R63" s="398">
        <v>1190856.026</v>
      </c>
      <c r="S63" s="378">
        <v>687.332</v>
      </c>
      <c r="T63" s="378">
        <v>6106</v>
      </c>
      <c r="U63" s="378"/>
      <c r="V63" s="378"/>
      <c r="W63" s="378"/>
      <c r="X63" s="378"/>
      <c r="Y63" s="378"/>
      <c r="Z63" s="378"/>
      <c r="AA63" s="378"/>
      <c r="AB63" s="378"/>
    </row>
    <row r="64" spans="1:28" ht="12.75">
      <c r="A64" s="344">
        <v>2015</v>
      </c>
      <c r="B64" s="217" t="s">
        <v>68</v>
      </c>
      <c r="D64" s="378">
        <v>33226978.69</v>
      </c>
      <c r="E64" s="612">
        <f t="shared" si="6"/>
        <v>22930</v>
      </c>
      <c r="F64" s="617">
        <v>12277022.869</v>
      </c>
      <c r="G64" s="617">
        <v>20171</v>
      </c>
      <c r="H64" s="618">
        <v>4845262.819</v>
      </c>
      <c r="I64" s="617">
        <v>2522</v>
      </c>
      <c r="J64" s="378">
        <v>13998071.0088879</v>
      </c>
      <c r="K64" s="378">
        <v>39011.4451</v>
      </c>
      <c r="L64" s="378">
        <v>237</v>
      </c>
      <c r="M64" s="378">
        <v>23652.721</v>
      </c>
      <c r="N64" s="378">
        <v>57</v>
      </c>
      <c r="O64" s="378">
        <v>844.6</v>
      </c>
      <c r="P64" s="378">
        <v>1.35</v>
      </c>
      <c r="Q64" s="378">
        <v>8</v>
      </c>
      <c r="R64" s="398">
        <v>238503.2</v>
      </c>
      <c r="S64" s="378">
        <v>687.332</v>
      </c>
      <c r="T64" s="378">
        <v>6106</v>
      </c>
      <c r="U64" s="378"/>
      <c r="V64" s="378"/>
      <c r="W64" s="378"/>
      <c r="X64" s="378"/>
      <c r="Y64" s="378"/>
      <c r="Z64" s="378"/>
      <c r="AA64" s="378"/>
      <c r="AB64" s="378"/>
    </row>
    <row r="65" spans="1:28" ht="12.75">
      <c r="A65" s="344">
        <v>2015</v>
      </c>
      <c r="B65" s="217" t="s">
        <v>67</v>
      </c>
      <c r="D65" s="378">
        <v>38729355</v>
      </c>
      <c r="E65" s="612">
        <f t="shared" si="6"/>
        <v>22975</v>
      </c>
      <c r="F65" s="617">
        <v>13022943.023</v>
      </c>
      <c r="G65" s="617">
        <v>20208</v>
      </c>
      <c r="H65" s="618">
        <v>4790580.041</v>
      </c>
      <c r="I65" s="617">
        <v>2529</v>
      </c>
      <c r="J65" s="378">
        <v>14891535.538</v>
      </c>
      <c r="K65" s="378">
        <v>40573.20947</v>
      </c>
      <c r="L65" s="378">
        <v>238</v>
      </c>
      <c r="M65" s="378">
        <v>24441.145</v>
      </c>
      <c r="N65" s="378">
        <v>57</v>
      </c>
      <c r="O65" s="378">
        <v>734.654</v>
      </c>
      <c r="P65" s="378">
        <v>1.35</v>
      </c>
      <c r="Q65" s="378">
        <v>8</v>
      </c>
      <c r="R65" s="398">
        <v>291914.995</v>
      </c>
      <c r="S65" s="378">
        <v>670.476</v>
      </c>
      <c r="T65" s="378">
        <v>6222</v>
      </c>
      <c r="U65" s="378"/>
      <c r="V65" s="378"/>
      <c r="W65" s="378"/>
      <c r="X65" s="378"/>
      <c r="Y65" s="378"/>
      <c r="Z65" s="378"/>
      <c r="AA65" s="378"/>
      <c r="AB65" s="378"/>
    </row>
    <row r="66" spans="1:28" ht="12.75">
      <c r="A66" s="344">
        <v>2015</v>
      </c>
      <c r="B66" s="217" t="s">
        <v>66</v>
      </c>
      <c r="D66" s="378">
        <v>35403758.38</v>
      </c>
      <c r="E66" s="612">
        <f t="shared" si="6"/>
        <v>22980</v>
      </c>
      <c r="F66" s="617">
        <v>14212539.429</v>
      </c>
      <c r="G66" s="617">
        <v>20212</v>
      </c>
      <c r="H66" s="618">
        <v>4905206.019</v>
      </c>
      <c r="I66" s="617">
        <v>2529</v>
      </c>
      <c r="J66" s="378">
        <v>15003572.399999999</v>
      </c>
      <c r="K66" s="378">
        <v>39540.45379</v>
      </c>
      <c r="L66" s="378">
        <v>239</v>
      </c>
      <c r="M66" s="378">
        <v>23652.721</v>
      </c>
      <c r="N66" s="378">
        <v>57</v>
      </c>
      <c r="O66" s="378">
        <v>494.655</v>
      </c>
      <c r="P66" s="378">
        <v>1.35</v>
      </c>
      <c r="Q66" s="378">
        <v>8</v>
      </c>
      <c r="R66" s="398">
        <v>292009.3</v>
      </c>
      <c r="S66" s="378">
        <v>624.016</v>
      </c>
      <c r="T66" s="378">
        <v>6222</v>
      </c>
      <c r="U66" s="378"/>
      <c r="V66" s="378"/>
      <c r="W66" s="378"/>
      <c r="X66" s="378"/>
      <c r="Y66" s="378"/>
      <c r="Z66" s="378"/>
      <c r="AA66" s="378"/>
      <c r="AB66" s="378"/>
    </row>
    <row r="67" spans="1:28" ht="12.75">
      <c r="A67" s="344">
        <v>2015</v>
      </c>
      <c r="B67" s="217" t="s">
        <v>65</v>
      </c>
      <c r="D67" s="378">
        <v>42249291.58</v>
      </c>
      <c r="E67" s="612">
        <f t="shared" si="6"/>
        <v>22854</v>
      </c>
      <c r="F67" s="617">
        <v>17021783.88</v>
      </c>
      <c r="G67" s="617">
        <v>20087</v>
      </c>
      <c r="H67" s="618">
        <v>5487102.073</v>
      </c>
      <c r="I67" s="617">
        <v>2532</v>
      </c>
      <c r="J67" s="378">
        <v>14917884.899999999</v>
      </c>
      <c r="K67" s="378">
        <v>36943.5892</v>
      </c>
      <c r="L67" s="378">
        <v>235</v>
      </c>
      <c r="M67" s="378">
        <v>24441.145</v>
      </c>
      <c r="N67" s="378">
        <v>57</v>
      </c>
      <c r="O67" s="378">
        <v>511.143</v>
      </c>
      <c r="P67" s="378">
        <v>1.35</v>
      </c>
      <c r="Q67" s="378">
        <v>8</v>
      </c>
      <c r="R67" s="398">
        <v>303137.8</v>
      </c>
      <c r="S67" s="378">
        <v>604.701</v>
      </c>
      <c r="T67" s="378">
        <v>6108</v>
      </c>
      <c r="U67" s="378"/>
      <c r="V67" s="378"/>
      <c r="W67" s="378"/>
      <c r="X67" s="378"/>
      <c r="Y67" s="378"/>
      <c r="Z67" s="378"/>
      <c r="AA67" s="378"/>
      <c r="AB67" s="378"/>
    </row>
    <row r="68" spans="1:32" ht="12.75">
      <c r="A68" s="344">
        <v>2016</v>
      </c>
      <c r="B68" s="217" t="s">
        <v>76</v>
      </c>
      <c r="D68" s="378">
        <v>44182306.67243714</v>
      </c>
      <c r="E68" s="612">
        <f t="shared" si="6"/>
        <v>22960</v>
      </c>
      <c r="F68" s="617">
        <v>19808228.711</v>
      </c>
      <c r="G68" s="617">
        <v>20198</v>
      </c>
      <c r="H68" s="617">
        <v>6288264.351</v>
      </c>
      <c r="I68" s="617">
        <v>2523</v>
      </c>
      <c r="J68" s="673">
        <v>15919678.361</v>
      </c>
      <c r="K68" s="674">
        <v>42179.399979999995</v>
      </c>
      <c r="L68" s="673">
        <v>239</v>
      </c>
      <c r="M68" s="378">
        <v>23472.926</v>
      </c>
      <c r="N68" s="379">
        <v>57</v>
      </c>
      <c r="O68" s="378">
        <v>511.143</v>
      </c>
      <c r="P68" s="378">
        <v>1.35</v>
      </c>
      <c r="Q68" s="379">
        <v>8</v>
      </c>
      <c r="R68" s="398">
        <v>207845</v>
      </c>
      <c r="S68" s="378">
        <v>612.30708</v>
      </c>
      <c r="T68" s="378">
        <v>6250</v>
      </c>
      <c r="U68" s="378"/>
      <c r="V68" s="378"/>
      <c r="W68" s="378"/>
      <c r="X68" s="378"/>
      <c r="Y68" s="378"/>
      <c r="Z68" s="378"/>
      <c r="AA68" s="378"/>
      <c r="AB68" s="378"/>
      <c r="AD68" s="511"/>
      <c r="AE68" s="511"/>
      <c r="AF68" s="511"/>
    </row>
    <row r="69" spans="1:32" ht="12.75">
      <c r="A69" s="344">
        <v>2016</v>
      </c>
      <c r="B69" s="217" t="s">
        <v>75</v>
      </c>
      <c r="D69" s="378">
        <v>40734589.01369439</v>
      </c>
      <c r="E69" s="612">
        <f t="shared" si="6"/>
        <v>22988</v>
      </c>
      <c r="F69" s="617">
        <v>18023786.651</v>
      </c>
      <c r="G69" s="617">
        <v>20220</v>
      </c>
      <c r="H69" s="617">
        <v>6236769.884</v>
      </c>
      <c r="I69" s="617">
        <v>2530</v>
      </c>
      <c r="J69" s="673">
        <v>15011800.118</v>
      </c>
      <c r="K69" s="674">
        <v>42257.902720000006</v>
      </c>
      <c r="L69" s="673">
        <v>238</v>
      </c>
      <c r="M69" s="378">
        <v>21958.544</v>
      </c>
      <c r="N69" s="379">
        <v>57</v>
      </c>
      <c r="O69" s="378">
        <v>478.166</v>
      </c>
      <c r="P69" s="378">
        <v>1.35</v>
      </c>
      <c r="Q69" s="379">
        <v>8</v>
      </c>
      <c r="R69" s="398">
        <v>434159.387</v>
      </c>
      <c r="S69" s="378">
        <v>608.3180000000001</v>
      </c>
      <c r="T69" s="378">
        <v>6250</v>
      </c>
      <c r="U69" s="378"/>
      <c r="V69" s="378"/>
      <c r="W69" s="378"/>
      <c r="X69" s="378"/>
      <c r="Y69" s="378"/>
      <c r="Z69" s="378"/>
      <c r="AA69" s="378"/>
      <c r="AB69" s="378"/>
      <c r="AD69" s="511"/>
      <c r="AE69" s="511"/>
      <c r="AF69" s="511"/>
    </row>
    <row r="70" spans="1:32" ht="12.75">
      <c r="A70" s="344">
        <v>2016</v>
      </c>
      <c r="B70" s="217" t="s">
        <v>74</v>
      </c>
      <c r="D70" s="378">
        <v>39051917.365899414</v>
      </c>
      <c r="E70" s="612">
        <f t="shared" si="6"/>
        <v>23003</v>
      </c>
      <c r="F70" s="617">
        <v>16450029.044</v>
      </c>
      <c r="G70" s="617">
        <v>20227</v>
      </c>
      <c r="H70" s="617">
        <v>5785841.171</v>
      </c>
      <c r="I70" s="617">
        <v>2543</v>
      </c>
      <c r="J70" s="673">
        <v>15369554.197</v>
      </c>
      <c r="K70" s="674">
        <v>42265.8801</v>
      </c>
      <c r="L70" s="673">
        <v>233</v>
      </c>
      <c r="M70" s="378">
        <v>23472.926</v>
      </c>
      <c r="N70" s="379">
        <v>57</v>
      </c>
      <c r="O70" s="378">
        <v>511.143</v>
      </c>
      <c r="P70" s="378">
        <v>1.35</v>
      </c>
      <c r="Q70" s="379">
        <v>8</v>
      </c>
      <c r="R70" s="398">
        <v>267344.7</v>
      </c>
      <c r="S70" s="378">
        <v>606.672</v>
      </c>
      <c r="T70" s="378">
        <v>6250</v>
      </c>
      <c r="U70" s="378"/>
      <c r="V70" s="378"/>
      <c r="W70" s="378"/>
      <c r="X70" s="378"/>
      <c r="Y70" s="378"/>
      <c r="Z70" s="378"/>
      <c r="AA70" s="378"/>
      <c r="AB70" s="378"/>
      <c r="AD70" s="511"/>
      <c r="AE70" s="511"/>
      <c r="AF70" s="511"/>
    </row>
    <row r="71" spans="1:32" ht="12.75">
      <c r="A71" s="344">
        <v>2016</v>
      </c>
      <c r="B71" s="217" t="s">
        <v>73</v>
      </c>
      <c r="D71" s="378">
        <v>35582403.037717596</v>
      </c>
      <c r="E71" s="612">
        <f t="shared" si="6"/>
        <v>23007</v>
      </c>
      <c r="F71" s="617">
        <v>14522202.525</v>
      </c>
      <c r="G71" s="617">
        <v>20228</v>
      </c>
      <c r="H71" s="617">
        <v>5294646.132</v>
      </c>
      <c r="I71" s="617">
        <v>2546</v>
      </c>
      <c r="J71" s="673">
        <v>14452988.719</v>
      </c>
      <c r="K71" s="674">
        <v>41958.89262</v>
      </c>
      <c r="L71" s="673">
        <v>233</v>
      </c>
      <c r="M71" s="378">
        <v>22715.735</v>
      </c>
      <c r="N71" s="379">
        <v>57</v>
      </c>
      <c r="O71" s="378">
        <v>648.655</v>
      </c>
      <c r="P71" s="378">
        <v>1.35</v>
      </c>
      <c r="Q71" s="379">
        <v>8</v>
      </c>
      <c r="R71" s="398">
        <v>221502.5</v>
      </c>
      <c r="S71" s="378">
        <v>605.1320000000001</v>
      </c>
      <c r="T71" s="378">
        <v>6250</v>
      </c>
      <c r="U71" s="378"/>
      <c r="V71" s="378"/>
      <c r="W71" s="378"/>
      <c r="X71" s="378"/>
      <c r="Y71" s="378"/>
      <c r="Z71" s="378"/>
      <c r="AA71" s="378"/>
      <c r="AB71" s="378"/>
      <c r="AD71" s="511"/>
      <c r="AE71" s="511"/>
      <c r="AF71" s="511"/>
    </row>
    <row r="72" spans="1:32" ht="12.75">
      <c r="A72" s="344">
        <v>2016</v>
      </c>
      <c r="B72" s="217" t="s">
        <v>72</v>
      </c>
      <c r="D72" s="378">
        <v>32158070.062147</v>
      </c>
      <c r="E72" s="612">
        <f t="shared" si="6"/>
        <v>23012</v>
      </c>
      <c r="F72" s="617">
        <v>12412001.283</v>
      </c>
      <c r="G72" s="617">
        <v>20229</v>
      </c>
      <c r="H72" s="617">
        <v>4849411.093</v>
      </c>
      <c r="I72" s="617">
        <v>2550</v>
      </c>
      <c r="J72" s="673">
        <v>14226828.412</v>
      </c>
      <c r="K72" s="674">
        <v>42659.652460000005</v>
      </c>
      <c r="L72" s="673">
        <v>233</v>
      </c>
      <c r="M72" s="378">
        <v>23472.926</v>
      </c>
      <c r="N72" s="379">
        <v>57</v>
      </c>
      <c r="O72" s="378">
        <v>357.143</v>
      </c>
      <c r="P72" s="378">
        <v>1.35</v>
      </c>
      <c r="Q72" s="379">
        <v>8</v>
      </c>
      <c r="R72" s="398">
        <v>165824</v>
      </c>
      <c r="S72" s="378">
        <v>605.1320000000001</v>
      </c>
      <c r="T72" s="378">
        <v>6250</v>
      </c>
      <c r="U72" s="378"/>
      <c r="V72" s="378"/>
      <c r="W72" s="378"/>
      <c r="X72" s="378"/>
      <c r="Y72" s="378"/>
      <c r="Z72" s="378"/>
      <c r="AA72" s="378"/>
      <c r="AB72" s="378"/>
      <c r="AD72" s="511"/>
      <c r="AE72" s="511"/>
      <c r="AF72" s="511"/>
    </row>
    <row r="73" spans="1:32" ht="12.75">
      <c r="A73" s="344">
        <v>2016</v>
      </c>
      <c r="B73" s="217" t="s">
        <v>71</v>
      </c>
      <c r="D73" s="378">
        <v>32230294.531470016</v>
      </c>
      <c r="E73" s="612">
        <f t="shared" si="6"/>
        <v>23028</v>
      </c>
      <c r="F73" s="617">
        <v>11770431.724</v>
      </c>
      <c r="G73" s="617">
        <v>20246</v>
      </c>
      <c r="H73" s="617">
        <v>4823421.452</v>
      </c>
      <c r="I73" s="617">
        <v>2549</v>
      </c>
      <c r="J73" s="673">
        <v>14297910.794</v>
      </c>
      <c r="K73" s="674">
        <v>50089.57974</v>
      </c>
      <c r="L73" s="673">
        <v>233</v>
      </c>
      <c r="M73" s="378">
        <v>22715.735</v>
      </c>
      <c r="N73" s="379">
        <v>57</v>
      </c>
      <c r="O73" s="378">
        <v>494.655</v>
      </c>
      <c r="P73" s="378">
        <v>1.35</v>
      </c>
      <c r="Q73" s="379">
        <v>8</v>
      </c>
      <c r="R73" s="398">
        <v>45538.1</v>
      </c>
      <c r="S73" s="378">
        <v>605.21</v>
      </c>
      <c r="T73" s="378">
        <v>6250</v>
      </c>
      <c r="U73" s="378"/>
      <c r="V73" s="378"/>
      <c r="W73" s="378"/>
      <c r="X73" s="378"/>
      <c r="Y73" s="378"/>
      <c r="Z73" s="378"/>
      <c r="AA73" s="378"/>
      <c r="AB73" s="378"/>
      <c r="AD73" s="511"/>
      <c r="AE73" s="511"/>
      <c r="AF73" s="511"/>
    </row>
    <row r="74" spans="1:32" ht="12.75">
      <c r="A74" s="344">
        <v>2016</v>
      </c>
      <c r="B74" s="217" t="s">
        <v>70</v>
      </c>
      <c r="D74" s="378">
        <v>36050965.38800774</v>
      </c>
      <c r="E74" s="612">
        <f t="shared" si="6"/>
        <v>23043</v>
      </c>
      <c r="F74" s="617">
        <v>14497881.872</v>
      </c>
      <c r="G74" s="617">
        <v>20257</v>
      </c>
      <c r="H74" s="617">
        <v>5559432.356</v>
      </c>
      <c r="I74" s="617">
        <v>2553</v>
      </c>
      <c r="J74" s="673">
        <v>14471207.344</v>
      </c>
      <c r="K74" s="674">
        <v>42867.02862</v>
      </c>
      <c r="L74" s="673">
        <v>233</v>
      </c>
      <c r="M74" s="378">
        <v>23472.926</v>
      </c>
      <c r="N74" s="379">
        <v>57</v>
      </c>
      <c r="O74" s="378">
        <v>511.143</v>
      </c>
      <c r="P74" s="378">
        <v>1.35</v>
      </c>
      <c r="Q74" s="379">
        <v>8</v>
      </c>
      <c r="R74" s="398">
        <v>177295.9</v>
      </c>
      <c r="S74" s="378">
        <v>605.21</v>
      </c>
      <c r="T74" s="378">
        <v>6250</v>
      </c>
      <c r="U74" s="378"/>
      <c r="V74" s="378"/>
      <c r="W74" s="378"/>
      <c r="X74" s="378"/>
      <c r="Y74" s="378"/>
      <c r="Z74" s="378"/>
      <c r="AA74" s="378"/>
      <c r="AB74" s="378"/>
      <c r="AD74" s="511"/>
      <c r="AE74" s="511"/>
      <c r="AF74" s="511"/>
    </row>
    <row r="75" spans="1:32" ht="12.75">
      <c r="A75" s="344">
        <v>2016</v>
      </c>
      <c r="B75" s="217" t="s">
        <v>69</v>
      </c>
      <c r="D75" s="378">
        <v>38144563.04270793</v>
      </c>
      <c r="E75" s="612">
        <f t="shared" si="6"/>
        <v>23076</v>
      </c>
      <c r="F75" s="617">
        <v>14963900.293</v>
      </c>
      <c r="G75" s="617">
        <v>20293</v>
      </c>
      <c r="H75" s="617">
        <v>5642333.05</v>
      </c>
      <c r="I75" s="617">
        <v>2550</v>
      </c>
      <c r="J75" s="673">
        <v>15574662.003</v>
      </c>
      <c r="K75" s="674">
        <v>37033.0244</v>
      </c>
      <c r="L75" s="673">
        <v>233</v>
      </c>
      <c r="M75" s="378">
        <v>23472.926</v>
      </c>
      <c r="N75" s="379">
        <v>56</v>
      </c>
      <c r="O75" s="378">
        <v>511.143</v>
      </c>
      <c r="P75" s="378">
        <v>1.35</v>
      </c>
      <c r="Q75" s="379">
        <v>8</v>
      </c>
      <c r="R75" s="398">
        <v>179422.2</v>
      </c>
      <c r="S75" s="378">
        <v>601.23</v>
      </c>
      <c r="T75" s="378">
        <v>6250</v>
      </c>
      <c r="U75" s="378"/>
      <c r="V75" s="378"/>
      <c r="W75" s="378"/>
      <c r="X75" s="378"/>
      <c r="Y75" s="378"/>
      <c r="Z75" s="378"/>
      <c r="AA75" s="378"/>
      <c r="AB75" s="378"/>
      <c r="AD75" s="511"/>
      <c r="AE75" s="511"/>
      <c r="AF75" s="511"/>
    </row>
    <row r="76" spans="1:32" ht="12.75">
      <c r="A76" s="344">
        <v>2016</v>
      </c>
      <c r="B76" s="217" t="s">
        <v>68</v>
      </c>
      <c r="D76" s="378">
        <v>32958786.127098646</v>
      </c>
      <c r="E76" s="612">
        <f t="shared" si="6"/>
        <v>23083</v>
      </c>
      <c r="F76" s="617">
        <v>11713859.265</v>
      </c>
      <c r="G76" s="617">
        <v>20300</v>
      </c>
      <c r="H76" s="617">
        <v>4815413.538</v>
      </c>
      <c r="I76" s="617">
        <v>2550</v>
      </c>
      <c r="J76" s="673">
        <v>14894569.286</v>
      </c>
      <c r="K76" s="674">
        <v>38281.188160000005</v>
      </c>
      <c r="L76" s="673">
        <v>233</v>
      </c>
      <c r="M76" s="378">
        <v>22715.735</v>
      </c>
      <c r="N76" s="379">
        <v>56</v>
      </c>
      <c r="O76" s="378">
        <v>494.655</v>
      </c>
      <c r="P76" s="378">
        <v>1.35</v>
      </c>
      <c r="Q76" s="379">
        <v>8</v>
      </c>
      <c r="R76" s="398">
        <v>192224.8</v>
      </c>
      <c r="S76" s="378">
        <v>623.225</v>
      </c>
      <c r="T76" s="378">
        <v>6250</v>
      </c>
      <c r="U76" s="378"/>
      <c r="V76" s="378"/>
      <c r="W76" s="378"/>
      <c r="X76" s="378"/>
      <c r="Y76" s="378"/>
      <c r="Z76" s="378"/>
      <c r="AA76" s="378"/>
      <c r="AB76" s="378"/>
      <c r="AD76" s="511"/>
      <c r="AE76" s="511"/>
      <c r="AF76" s="511"/>
    </row>
    <row r="77" spans="1:32" ht="12.75">
      <c r="A77" s="344">
        <v>2016</v>
      </c>
      <c r="B77" s="217" t="s">
        <v>67</v>
      </c>
      <c r="D77" s="378">
        <v>33427318.886247583</v>
      </c>
      <c r="E77" s="612">
        <f t="shared" si="6"/>
        <v>23094</v>
      </c>
      <c r="F77" s="617">
        <v>12331142.333</v>
      </c>
      <c r="G77" s="617">
        <v>20308</v>
      </c>
      <c r="H77" s="617">
        <v>4840832.497</v>
      </c>
      <c r="I77" s="617">
        <v>2553</v>
      </c>
      <c r="J77" s="673">
        <v>14887190.079</v>
      </c>
      <c r="K77" s="674">
        <v>36943.03164</v>
      </c>
      <c r="L77" s="673">
        <v>233</v>
      </c>
      <c r="M77" s="378">
        <v>23472.926</v>
      </c>
      <c r="N77" s="379">
        <v>56</v>
      </c>
      <c r="O77" s="378">
        <v>511.143</v>
      </c>
      <c r="P77" s="378">
        <v>1.35</v>
      </c>
      <c r="Q77" s="379">
        <v>8</v>
      </c>
      <c r="R77" s="398">
        <v>291091.9</v>
      </c>
      <c r="S77" s="378">
        <v>618.085</v>
      </c>
      <c r="T77" s="378">
        <v>6250</v>
      </c>
      <c r="U77" s="378"/>
      <c r="V77" s="378"/>
      <c r="W77" s="378"/>
      <c r="X77" s="378"/>
      <c r="Y77" s="378"/>
      <c r="Z77" s="378"/>
      <c r="AA77" s="378"/>
      <c r="AB77" s="378"/>
      <c r="AD77" s="511"/>
      <c r="AE77" s="511"/>
      <c r="AF77" s="511"/>
    </row>
    <row r="78" spans="1:32" ht="12.75">
      <c r="A78" s="344">
        <v>2016</v>
      </c>
      <c r="B78" s="217" t="s">
        <v>66</v>
      </c>
      <c r="D78" s="378">
        <v>34938643.68800774</v>
      </c>
      <c r="E78" s="612">
        <f t="shared" si="6"/>
        <v>23124</v>
      </c>
      <c r="F78" s="617">
        <v>13662040.012</v>
      </c>
      <c r="G78" s="617">
        <v>20339</v>
      </c>
      <c r="H78" s="617">
        <v>5064018.837</v>
      </c>
      <c r="I78" s="617">
        <v>2553</v>
      </c>
      <c r="J78" s="673">
        <v>14701409.822</v>
      </c>
      <c r="K78" s="674">
        <v>38845.71327</v>
      </c>
      <c r="L78" s="673">
        <v>232</v>
      </c>
      <c r="M78" s="378">
        <v>22715.735</v>
      </c>
      <c r="N78" s="379">
        <v>56</v>
      </c>
      <c r="O78" s="378">
        <v>505.769</v>
      </c>
      <c r="P78" s="378">
        <v>1.35</v>
      </c>
      <c r="Q78" s="379">
        <v>8</v>
      </c>
      <c r="R78" s="398">
        <v>213015.7</v>
      </c>
      <c r="S78" s="378">
        <v>618.085</v>
      </c>
      <c r="T78" s="378">
        <v>6250</v>
      </c>
      <c r="U78" s="378"/>
      <c r="V78" s="378"/>
      <c r="W78" s="378"/>
      <c r="X78" s="378"/>
      <c r="Y78" s="378"/>
      <c r="Z78" s="378"/>
      <c r="AA78" s="378"/>
      <c r="AB78" s="378"/>
      <c r="AD78" s="511"/>
      <c r="AE78" s="511"/>
      <c r="AF78" s="511"/>
    </row>
    <row r="79" spans="1:32" ht="12.75">
      <c r="A79" s="344">
        <v>2016</v>
      </c>
      <c r="B79" s="217" t="s">
        <v>65</v>
      </c>
      <c r="D79" s="378">
        <v>41527820.80617021</v>
      </c>
      <c r="E79" s="612">
        <f t="shared" si="6"/>
        <v>23168</v>
      </c>
      <c r="F79" s="617">
        <v>18967712.5</v>
      </c>
      <c r="G79" s="617">
        <v>20385</v>
      </c>
      <c r="H79" s="617">
        <v>6161215.818</v>
      </c>
      <c r="I79" s="617">
        <v>2550</v>
      </c>
      <c r="J79" s="673">
        <v>14597139.905000001</v>
      </c>
      <c r="K79" s="674">
        <v>42098.12102</v>
      </c>
      <c r="L79" s="673">
        <v>233</v>
      </c>
      <c r="M79" s="378">
        <v>23472.926</v>
      </c>
      <c r="N79" s="379">
        <v>56</v>
      </c>
      <c r="O79" s="378">
        <v>484.64</v>
      </c>
      <c r="P79" s="378">
        <v>1.35</v>
      </c>
      <c r="Q79" s="379">
        <v>7</v>
      </c>
      <c r="R79" s="398">
        <v>302526.5</v>
      </c>
      <c r="S79" s="378">
        <v>627.96228</v>
      </c>
      <c r="T79" s="378">
        <v>6179</v>
      </c>
      <c r="U79" s="378"/>
      <c r="V79" s="378"/>
      <c r="W79" s="378"/>
      <c r="X79" s="378"/>
      <c r="Y79" s="378"/>
      <c r="Z79" s="378"/>
      <c r="AA79" s="378"/>
      <c r="AB79" s="378"/>
      <c r="AD79" s="511"/>
      <c r="AE79" s="511"/>
      <c r="AF79" s="511"/>
    </row>
    <row r="80" spans="1:32" ht="12.75">
      <c r="A80" s="344">
        <v>2017</v>
      </c>
      <c r="B80" s="217" t="s">
        <v>76</v>
      </c>
      <c r="D80" s="378">
        <v>41870353.92880271</v>
      </c>
      <c r="E80" s="612">
        <f t="shared" si="6"/>
        <v>23326</v>
      </c>
      <c r="F80" s="617">
        <v>18702931.394</v>
      </c>
      <c r="G80" s="617">
        <v>20536</v>
      </c>
      <c r="H80" s="617">
        <v>6313651.744</v>
      </c>
      <c r="I80" s="617">
        <v>2557</v>
      </c>
      <c r="J80" s="673">
        <v>15200627.774</v>
      </c>
      <c r="K80" s="673">
        <v>35985.480559999996</v>
      </c>
      <c r="L80" s="673">
        <v>233</v>
      </c>
      <c r="M80" s="378">
        <v>23472.926</v>
      </c>
      <c r="N80" s="378">
        <v>56</v>
      </c>
      <c r="O80" s="378">
        <v>678.533</v>
      </c>
      <c r="P80" s="378">
        <v>1.35</v>
      </c>
      <c r="Q80" s="378">
        <v>8</v>
      </c>
      <c r="R80" s="398">
        <v>263432.357</v>
      </c>
      <c r="S80" s="379">
        <v>623.9242800000001</v>
      </c>
      <c r="T80" s="378">
        <v>6181</v>
      </c>
      <c r="U80" s="378"/>
      <c r="V80" s="378"/>
      <c r="W80" s="378"/>
      <c r="X80" s="378"/>
      <c r="Y80" s="379"/>
      <c r="Z80" s="378"/>
      <c r="AA80" s="379"/>
      <c r="AB80" s="378"/>
      <c r="AD80" s="511"/>
      <c r="AE80" s="511"/>
      <c r="AF80" s="511"/>
    </row>
    <row r="81" spans="1:32" ht="12.75">
      <c r="A81" s="344">
        <v>2017</v>
      </c>
      <c r="B81" s="217" t="s">
        <v>75</v>
      </c>
      <c r="D81" s="378">
        <v>36769365.05034043</v>
      </c>
      <c r="E81" s="612">
        <f t="shared" si="6"/>
        <v>23199</v>
      </c>
      <c r="F81" s="617">
        <v>15946698.575</v>
      </c>
      <c r="G81" s="617">
        <v>20419</v>
      </c>
      <c r="H81" s="617">
        <v>5630123.171</v>
      </c>
      <c r="I81" s="617">
        <v>2548</v>
      </c>
      <c r="J81" s="673">
        <v>13924145.783</v>
      </c>
      <c r="K81" s="673">
        <v>36710.77205</v>
      </c>
      <c r="L81" s="673">
        <v>232</v>
      </c>
      <c r="M81" s="378">
        <v>20636.925</v>
      </c>
      <c r="N81" s="378">
        <v>56</v>
      </c>
      <c r="O81" s="378">
        <v>613.678</v>
      </c>
      <c r="P81" s="378">
        <v>1.35</v>
      </c>
      <c r="Q81" s="378">
        <v>8</v>
      </c>
      <c r="R81" s="398">
        <v>314949.454</v>
      </c>
      <c r="S81" s="379">
        <v>615.811</v>
      </c>
      <c r="T81" s="378">
        <v>6181</v>
      </c>
      <c r="U81" s="378"/>
      <c r="V81" s="378"/>
      <c r="W81" s="378"/>
      <c r="X81" s="378"/>
      <c r="Y81" s="379"/>
      <c r="Z81" s="378"/>
      <c r="AA81" s="379"/>
      <c r="AB81" s="378"/>
      <c r="AD81" s="511"/>
      <c r="AE81" s="511"/>
      <c r="AF81" s="511"/>
    </row>
    <row r="82" spans="1:32" ht="12.75">
      <c r="A82" s="344">
        <v>2017</v>
      </c>
      <c r="B82" s="217" t="s">
        <v>74</v>
      </c>
      <c r="D82" s="378">
        <v>40358686.70367118</v>
      </c>
      <c r="E82" s="612">
        <f t="shared" si="6"/>
        <v>23206</v>
      </c>
      <c r="F82" s="617">
        <v>17259105.846</v>
      </c>
      <c r="G82" s="617">
        <v>20422</v>
      </c>
      <c r="H82" s="617">
        <v>6125358.702</v>
      </c>
      <c r="I82" s="617">
        <v>2552</v>
      </c>
      <c r="J82" s="673">
        <v>15582181.432</v>
      </c>
      <c r="K82" s="673">
        <v>37596.68325</v>
      </c>
      <c r="L82" s="673">
        <v>232</v>
      </c>
      <c r="M82" s="378">
        <v>22101.112</v>
      </c>
      <c r="N82" s="378">
        <v>55</v>
      </c>
      <c r="O82" s="378">
        <v>663.143</v>
      </c>
      <c r="P82" s="378">
        <v>1.35</v>
      </c>
      <c r="Q82" s="378">
        <v>8</v>
      </c>
      <c r="R82" s="398">
        <v>238210.7</v>
      </c>
      <c r="S82" s="379">
        <v>612.759</v>
      </c>
      <c r="T82" s="378">
        <v>6181</v>
      </c>
      <c r="U82" s="378"/>
      <c r="V82" s="378"/>
      <c r="W82" s="378"/>
      <c r="X82" s="378"/>
      <c r="Y82" s="379"/>
      <c r="Z82" s="378"/>
      <c r="AA82" s="379"/>
      <c r="AB82" s="378"/>
      <c r="AD82" s="511"/>
      <c r="AE82" s="511"/>
      <c r="AF82" s="511"/>
    </row>
    <row r="83" spans="1:32" ht="12.75">
      <c r="A83" s="344">
        <v>2017</v>
      </c>
      <c r="B83" s="217" t="s">
        <v>73</v>
      </c>
      <c r="D83" s="378">
        <v>32359460.055404257</v>
      </c>
      <c r="E83" s="612">
        <f t="shared" si="6"/>
        <v>23210</v>
      </c>
      <c r="F83" s="617">
        <v>13015680.21</v>
      </c>
      <c r="G83" s="617">
        <v>20430</v>
      </c>
      <c r="H83" s="617">
        <v>5104479.924</v>
      </c>
      <c r="I83" s="617">
        <v>2582</v>
      </c>
      <c r="J83" s="673">
        <v>12964167.461</v>
      </c>
      <c r="K83" s="673">
        <v>35497.783950000005</v>
      </c>
      <c r="L83" s="673">
        <v>198</v>
      </c>
      <c r="M83" s="378">
        <v>21388.173</v>
      </c>
      <c r="N83" s="378">
        <v>54</v>
      </c>
      <c r="O83" s="378">
        <v>646.762</v>
      </c>
      <c r="P83" s="378">
        <v>1.35</v>
      </c>
      <c r="Q83" s="378">
        <v>8</v>
      </c>
      <c r="R83" s="398">
        <v>203129.4</v>
      </c>
      <c r="S83" s="379">
        <v>612.759</v>
      </c>
      <c r="T83" s="378">
        <v>6181</v>
      </c>
      <c r="U83" s="378"/>
      <c r="V83" s="378"/>
      <c r="W83" s="378"/>
      <c r="X83" s="378"/>
      <c r="Y83" s="379"/>
      <c r="Z83" s="378"/>
      <c r="AA83" s="379"/>
      <c r="AB83" s="378"/>
      <c r="AD83" s="511"/>
      <c r="AE83" s="511"/>
      <c r="AF83" s="511"/>
    </row>
    <row r="84" spans="1:32" ht="12.75">
      <c r="A84" s="344">
        <v>2017</v>
      </c>
      <c r="B84" s="217" t="s">
        <v>72</v>
      </c>
      <c r="D84" s="378">
        <v>32466960.156876206</v>
      </c>
      <c r="E84" s="612">
        <f t="shared" si="6"/>
        <v>23220</v>
      </c>
      <c r="F84" s="617">
        <v>12246816.147</v>
      </c>
      <c r="G84" s="617">
        <v>20439</v>
      </c>
      <c r="H84" s="617">
        <v>5138827.24</v>
      </c>
      <c r="I84" s="617">
        <v>2583</v>
      </c>
      <c r="J84" s="673">
        <v>13774485.454</v>
      </c>
      <c r="K84" s="673">
        <v>35549.4603</v>
      </c>
      <c r="L84" s="673">
        <v>198</v>
      </c>
      <c r="M84" s="378">
        <v>22101.112</v>
      </c>
      <c r="N84" s="378">
        <v>54</v>
      </c>
      <c r="O84" s="378">
        <v>663.036</v>
      </c>
      <c r="P84" s="378">
        <v>1.35</v>
      </c>
      <c r="Q84" s="378">
        <v>8</v>
      </c>
      <c r="R84" s="398">
        <v>185971.6</v>
      </c>
      <c r="S84" s="379">
        <v>612.759</v>
      </c>
      <c r="T84" s="378">
        <v>6181</v>
      </c>
      <c r="U84" s="378"/>
      <c r="V84" s="378"/>
      <c r="W84" s="378"/>
      <c r="X84" s="378"/>
      <c r="Y84" s="379"/>
      <c r="Z84" s="378"/>
      <c r="AA84" s="379"/>
      <c r="AB84" s="378"/>
      <c r="AD84" s="511"/>
      <c r="AE84" s="511"/>
      <c r="AF84" s="511"/>
    </row>
    <row r="85" spans="1:32" ht="12.75">
      <c r="A85" s="344">
        <v>2017</v>
      </c>
      <c r="B85" s="217" t="s">
        <v>71</v>
      </c>
      <c r="D85" s="378">
        <v>31942168.662241776</v>
      </c>
      <c r="E85" s="612">
        <f t="shared" si="6"/>
        <v>23263</v>
      </c>
      <c r="F85" s="617">
        <v>11796819.918</v>
      </c>
      <c r="G85" s="617">
        <v>20485</v>
      </c>
      <c r="H85" s="617">
        <v>5135827.843</v>
      </c>
      <c r="I85" s="617">
        <v>2580</v>
      </c>
      <c r="J85" s="673">
        <v>13854649.642</v>
      </c>
      <c r="K85" s="673">
        <v>35577.23885</v>
      </c>
      <c r="L85" s="673">
        <v>198</v>
      </c>
      <c r="M85" s="378">
        <v>21388.173</v>
      </c>
      <c r="N85" s="378">
        <v>54</v>
      </c>
      <c r="O85" s="378">
        <v>646.655</v>
      </c>
      <c r="P85" s="378">
        <v>1.35</v>
      </c>
      <c r="Q85" s="378">
        <v>8</v>
      </c>
      <c r="R85" s="398">
        <v>165904.9</v>
      </c>
      <c r="S85" s="379">
        <v>612.759</v>
      </c>
      <c r="T85" s="378">
        <v>6181</v>
      </c>
      <c r="U85" s="378"/>
      <c r="V85" s="378"/>
      <c r="W85" s="378"/>
      <c r="X85" s="378"/>
      <c r="Y85" s="379"/>
      <c r="Z85" s="378"/>
      <c r="AA85" s="379"/>
      <c r="AB85" s="378"/>
      <c r="AD85" s="511"/>
      <c r="AE85" s="511"/>
      <c r="AF85" s="511"/>
    </row>
    <row r="86" spans="1:32" ht="12.75">
      <c r="A86" s="344">
        <v>2017</v>
      </c>
      <c r="B86" s="217" t="s">
        <v>70</v>
      </c>
      <c r="D86" s="378">
        <v>34485256.861729205</v>
      </c>
      <c r="E86" s="612">
        <f t="shared" si="6"/>
        <v>23448</v>
      </c>
      <c r="F86" s="617">
        <v>13428973.594</v>
      </c>
      <c r="G86" s="617">
        <v>20667</v>
      </c>
      <c r="H86" s="617">
        <v>5637931.762</v>
      </c>
      <c r="I86" s="617">
        <v>2589</v>
      </c>
      <c r="J86" s="673">
        <v>13603334.751</v>
      </c>
      <c r="K86" s="673">
        <v>34709.51357</v>
      </c>
      <c r="L86" s="673">
        <v>192</v>
      </c>
      <c r="M86" s="378">
        <v>22101.112</v>
      </c>
      <c r="N86" s="378">
        <v>54</v>
      </c>
      <c r="O86" s="378">
        <v>663.143</v>
      </c>
      <c r="P86" s="378">
        <v>1.35</v>
      </c>
      <c r="Q86" s="378">
        <v>8</v>
      </c>
      <c r="R86" s="398">
        <v>175554.9</v>
      </c>
      <c r="S86" s="379">
        <v>612.759</v>
      </c>
      <c r="T86" s="378">
        <v>6181</v>
      </c>
      <c r="U86" s="378"/>
      <c r="V86" s="378"/>
      <c r="W86" s="378"/>
      <c r="X86" s="378"/>
      <c r="Y86" s="379"/>
      <c r="Z86" s="378"/>
      <c r="AA86" s="379"/>
      <c r="AB86" s="378"/>
      <c r="AD86" s="511"/>
      <c r="AE86" s="511"/>
      <c r="AF86" s="511"/>
    </row>
    <row r="87" spans="1:32" ht="12.75">
      <c r="A87" s="344">
        <v>2017</v>
      </c>
      <c r="B87" s="217" t="s">
        <v>69</v>
      </c>
      <c r="D87" s="378">
        <v>33750093.26521856</v>
      </c>
      <c r="E87" s="612">
        <f t="shared" si="6"/>
        <v>23301</v>
      </c>
      <c r="F87" s="617">
        <v>12914234.573</v>
      </c>
      <c r="G87" s="617">
        <v>20530</v>
      </c>
      <c r="H87" s="617">
        <v>5593124.195</v>
      </c>
      <c r="I87" s="617">
        <v>2579</v>
      </c>
      <c r="J87" s="673">
        <v>14193878.142</v>
      </c>
      <c r="K87" s="673">
        <v>35278.67699</v>
      </c>
      <c r="L87" s="673">
        <v>192</v>
      </c>
      <c r="M87" s="378">
        <v>22101.112</v>
      </c>
      <c r="N87" s="378">
        <v>54</v>
      </c>
      <c r="O87" s="378">
        <v>663.143</v>
      </c>
      <c r="P87" s="378">
        <v>1.35</v>
      </c>
      <c r="Q87" s="378">
        <v>8</v>
      </c>
      <c r="R87" s="398">
        <v>198687.3</v>
      </c>
      <c r="S87" s="379">
        <v>612.759</v>
      </c>
      <c r="T87" s="378">
        <v>6181</v>
      </c>
      <c r="U87" s="378"/>
      <c r="V87" s="378"/>
      <c r="W87" s="378"/>
      <c r="X87" s="378"/>
      <c r="Y87" s="379"/>
      <c r="Z87" s="378"/>
      <c r="AA87" s="379"/>
      <c r="AB87" s="378"/>
      <c r="AD87" s="511"/>
      <c r="AE87" s="511"/>
      <c r="AF87" s="511"/>
    </row>
    <row r="88" spans="1:32" ht="12.75">
      <c r="A88" s="344">
        <v>2017</v>
      </c>
      <c r="B88" s="217" t="s">
        <v>68</v>
      </c>
      <c r="D88" s="378">
        <v>32126296.99355706</v>
      </c>
      <c r="E88" s="612">
        <f t="shared" si="6"/>
        <v>23336</v>
      </c>
      <c r="F88" s="617">
        <v>12045063.942</v>
      </c>
      <c r="G88" s="617">
        <v>20559</v>
      </c>
      <c r="H88" s="617">
        <v>5115773.648</v>
      </c>
      <c r="I88" s="617">
        <v>2589</v>
      </c>
      <c r="J88" s="673">
        <v>13996363.574</v>
      </c>
      <c r="K88" s="673">
        <v>37420.33098</v>
      </c>
      <c r="L88" s="673">
        <v>188</v>
      </c>
      <c r="M88" s="378">
        <v>21388.173</v>
      </c>
      <c r="N88" s="378">
        <v>54</v>
      </c>
      <c r="O88" s="378">
        <v>646.655</v>
      </c>
      <c r="P88" s="378">
        <v>1.35</v>
      </c>
      <c r="Q88" s="378">
        <v>8</v>
      </c>
      <c r="R88" s="398">
        <v>215232</v>
      </c>
      <c r="S88" s="379">
        <v>612.759</v>
      </c>
      <c r="T88" s="378">
        <v>6182</v>
      </c>
      <c r="U88" s="378"/>
      <c r="V88" s="378"/>
      <c r="W88" s="378"/>
      <c r="X88" s="378"/>
      <c r="Y88" s="379"/>
      <c r="Z88" s="378"/>
      <c r="AA88" s="379"/>
      <c r="AB88" s="378"/>
      <c r="AD88" s="511"/>
      <c r="AE88" s="511"/>
      <c r="AF88" s="511"/>
    </row>
    <row r="89" spans="1:32" ht="12.75">
      <c r="A89" s="344">
        <v>2017</v>
      </c>
      <c r="B89" s="217" t="s">
        <v>67</v>
      </c>
      <c r="D89" s="378">
        <v>32454033.777102515</v>
      </c>
      <c r="E89" s="612">
        <f t="shared" si="6"/>
        <v>23342</v>
      </c>
      <c r="F89" s="617">
        <v>12284884.753</v>
      </c>
      <c r="G89" s="617">
        <v>20566</v>
      </c>
      <c r="H89" s="617">
        <v>5044526.673</v>
      </c>
      <c r="I89" s="617">
        <v>2588</v>
      </c>
      <c r="J89" s="673">
        <v>16502076.073</v>
      </c>
      <c r="K89" s="673">
        <v>42971.41764</v>
      </c>
      <c r="L89" s="673">
        <v>188</v>
      </c>
      <c r="M89" s="378">
        <v>22101.112</v>
      </c>
      <c r="N89" s="378">
        <v>54</v>
      </c>
      <c r="O89" s="378">
        <v>663.143</v>
      </c>
      <c r="P89" s="378">
        <v>1.35</v>
      </c>
      <c r="Q89" s="378">
        <v>8</v>
      </c>
      <c r="R89" s="398">
        <v>250813.8</v>
      </c>
      <c r="S89" s="379">
        <v>612.8589999999999</v>
      </c>
      <c r="T89" s="378">
        <v>6182</v>
      </c>
      <c r="U89" s="378"/>
      <c r="V89" s="378"/>
      <c r="W89" s="378"/>
      <c r="X89" s="378"/>
      <c r="Y89" s="379"/>
      <c r="Z89" s="378"/>
      <c r="AA89" s="379"/>
      <c r="AB89" s="378"/>
      <c r="AD89" s="511"/>
      <c r="AE89" s="511"/>
      <c r="AF89" s="511"/>
    </row>
    <row r="90" spans="1:32" ht="12.75">
      <c r="A90" s="344">
        <v>2017</v>
      </c>
      <c r="B90" s="217" t="s">
        <v>66</v>
      </c>
      <c r="D90" s="378">
        <v>37086665.36184913</v>
      </c>
      <c r="E90" s="612">
        <f t="shared" si="6"/>
        <v>23363</v>
      </c>
      <c r="F90" s="617">
        <v>15559306.54</v>
      </c>
      <c r="G90" s="617">
        <v>20587</v>
      </c>
      <c r="H90" s="617">
        <v>5993592.619</v>
      </c>
      <c r="I90" s="617">
        <v>2586</v>
      </c>
      <c r="J90" s="673">
        <v>14335395.688</v>
      </c>
      <c r="K90" s="673">
        <v>35645.36791</v>
      </c>
      <c r="L90" s="673">
        <v>190</v>
      </c>
      <c r="M90" s="378">
        <v>22015.822</v>
      </c>
      <c r="N90" s="378">
        <v>54</v>
      </c>
      <c r="O90" s="378">
        <v>646.655</v>
      </c>
      <c r="P90" s="378">
        <v>1.35</v>
      </c>
      <c r="Q90" s="378">
        <v>8</v>
      </c>
      <c r="R90" s="398">
        <v>265829.2</v>
      </c>
      <c r="S90" s="379">
        <v>612.8589999999999</v>
      </c>
      <c r="T90" s="378">
        <v>6182</v>
      </c>
      <c r="U90" s="378"/>
      <c r="V90" s="378"/>
      <c r="W90" s="378"/>
      <c r="X90" s="378"/>
      <c r="Y90" s="379"/>
      <c r="Z90" s="378"/>
      <c r="AA90" s="379"/>
      <c r="AB90" s="378"/>
      <c r="AD90" s="511"/>
      <c r="AE90" s="511"/>
      <c r="AF90" s="511"/>
    </row>
    <row r="91" spans="1:32" ht="12.75">
      <c r="A91" s="344">
        <v>2017</v>
      </c>
      <c r="B91" s="217" t="s">
        <v>65</v>
      </c>
      <c r="D91" s="378">
        <v>42555872.96041586</v>
      </c>
      <c r="E91" s="612">
        <f t="shared" si="6"/>
        <v>23373</v>
      </c>
      <c r="F91" s="617">
        <v>20029537.906</v>
      </c>
      <c r="G91" s="617">
        <v>20594</v>
      </c>
      <c r="H91" s="617">
        <v>6918001.855</v>
      </c>
      <c r="I91" s="617">
        <v>2589</v>
      </c>
      <c r="J91" s="673">
        <v>14163059.01</v>
      </c>
      <c r="K91" s="673">
        <v>36092.63491</v>
      </c>
      <c r="L91" s="673">
        <v>190</v>
      </c>
      <c r="M91" s="378">
        <v>20956.575</v>
      </c>
      <c r="N91" s="378">
        <v>53</v>
      </c>
      <c r="O91" s="378">
        <v>663.143</v>
      </c>
      <c r="P91" s="378">
        <v>1.35</v>
      </c>
      <c r="Q91" s="378">
        <v>8</v>
      </c>
      <c r="R91" s="398">
        <v>289269.1</v>
      </c>
      <c r="S91" s="379">
        <v>612.8589999999999</v>
      </c>
      <c r="T91" s="378">
        <v>6182</v>
      </c>
      <c r="U91" s="378"/>
      <c r="V91" s="378"/>
      <c r="W91" s="378"/>
      <c r="X91" s="378"/>
      <c r="Y91" s="379"/>
      <c r="Z91" s="378"/>
      <c r="AA91" s="379"/>
      <c r="AB91" s="378"/>
      <c r="AD91" s="511"/>
      <c r="AE91" s="511"/>
      <c r="AF91" s="511"/>
    </row>
    <row r="92" spans="1:32" ht="12.75">
      <c r="A92" s="344">
        <v>2018</v>
      </c>
      <c r="B92" s="217" t="s">
        <v>76</v>
      </c>
      <c r="D92" s="379">
        <v>45303345.130447</v>
      </c>
      <c r="E92" s="612">
        <f t="shared" si="6"/>
        <v>23400</v>
      </c>
      <c r="F92" s="618">
        <v>20812003.928</v>
      </c>
      <c r="G92" s="617">
        <v>20625</v>
      </c>
      <c r="H92" s="618">
        <v>7549932.53</v>
      </c>
      <c r="I92" s="617">
        <v>2585</v>
      </c>
      <c r="J92" s="673">
        <v>15143029.3</v>
      </c>
      <c r="K92" s="673">
        <v>35864.75723999999</v>
      </c>
      <c r="L92" s="673">
        <v>190</v>
      </c>
      <c r="M92" s="378">
        <v>20956.575</v>
      </c>
      <c r="N92" s="378">
        <v>53</v>
      </c>
      <c r="O92" s="378">
        <v>760.784</v>
      </c>
      <c r="P92" s="378">
        <v>1.35</v>
      </c>
      <c r="Q92" s="378">
        <v>10</v>
      </c>
      <c r="R92" s="398">
        <v>284980.2</v>
      </c>
      <c r="S92" s="379">
        <v>546.274</v>
      </c>
      <c r="T92" s="378">
        <v>6182</v>
      </c>
      <c r="U92" s="378"/>
      <c r="V92" s="378"/>
      <c r="W92" s="378"/>
      <c r="X92" s="378"/>
      <c r="Y92" s="379"/>
      <c r="Z92" s="378"/>
      <c r="AA92" s="379"/>
      <c r="AB92" s="378"/>
      <c r="AD92" s="511"/>
      <c r="AE92" s="511"/>
      <c r="AF92" s="511"/>
    </row>
    <row r="93" spans="1:32" ht="12.75">
      <c r="A93" s="344">
        <v>2018</v>
      </c>
      <c r="B93" s="217" t="s">
        <v>75</v>
      </c>
      <c r="D93" s="379">
        <v>38010441.551727</v>
      </c>
      <c r="E93" s="612">
        <f t="shared" si="6"/>
        <v>23409</v>
      </c>
      <c r="F93" s="618">
        <v>17222255.415</v>
      </c>
      <c r="G93" s="617">
        <v>20633</v>
      </c>
      <c r="H93" s="618">
        <v>6432723.774</v>
      </c>
      <c r="I93" s="617">
        <v>2586</v>
      </c>
      <c r="J93" s="673">
        <v>13409533.6</v>
      </c>
      <c r="K93" s="673">
        <v>35404.8802</v>
      </c>
      <c r="L93" s="673">
        <v>190</v>
      </c>
      <c r="M93" s="378">
        <v>18928.519</v>
      </c>
      <c r="N93" s="378">
        <v>53</v>
      </c>
      <c r="O93" s="378">
        <v>601.891</v>
      </c>
      <c r="P93" s="378">
        <v>1.35</v>
      </c>
      <c r="Q93" s="378">
        <v>10</v>
      </c>
      <c r="R93" s="398">
        <v>257400.3</v>
      </c>
      <c r="S93" s="379">
        <v>546.274</v>
      </c>
      <c r="T93" s="378">
        <v>6182</v>
      </c>
      <c r="U93" s="378"/>
      <c r="V93" s="378"/>
      <c r="W93" s="378"/>
      <c r="X93" s="378"/>
      <c r="Y93" s="379"/>
      <c r="Z93" s="378"/>
      <c r="AA93" s="379"/>
      <c r="AB93" s="378"/>
      <c r="AD93" s="511"/>
      <c r="AE93" s="511"/>
      <c r="AF93" s="511"/>
    </row>
    <row r="94" spans="1:32" ht="12.75">
      <c r="A94" s="344">
        <v>2018</v>
      </c>
      <c r="B94" s="217" t="s">
        <v>74</v>
      </c>
      <c r="D94" s="379">
        <v>40822738.38310101</v>
      </c>
      <c r="E94" s="612">
        <f t="shared" si="6"/>
        <v>23417</v>
      </c>
      <c r="F94" s="618">
        <v>17414379.406</v>
      </c>
      <c r="G94" s="617">
        <v>20647</v>
      </c>
      <c r="H94" s="618">
        <v>6615275.934</v>
      </c>
      <c r="I94" s="617">
        <v>2580</v>
      </c>
      <c r="J94" s="673">
        <v>14800207</v>
      </c>
      <c r="K94" s="673">
        <v>36145.44374</v>
      </c>
      <c r="L94" s="673">
        <v>190</v>
      </c>
      <c r="M94" s="378">
        <v>20956.575</v>
      </c>
      <c r="N94" s="378">
        <v>53</v>
      </c>
      <c r="O94" s="378">
        <v>644</v>
      </c>
      <c r="P94" s="378">
        <v>1.35</v>
      </c>
      <c r="Q94" s="378">
        <v>10</v>
      </c>
      <c r="R94" s="398">
        <v>238249.6</v>
      </c>
      <c r="S94" s="379">
        <v>546.314</v>
      </c>
      <c r="T94" s="378">
        <v>6182</v>
      </c>
      <c r="U94" s="378"/>
      <c r="V94" s="378"/>
      <c r="W94" s="378"/>
      <c r="X94" s="378"/>
      <c r="Y94" s="379"/>
      <c r="Z94" s="378"/>
      <c r="AA94" s="379"/>
      <c r="AB94" s="378"/>
      <c r="AD94" s="511"/>
      <c r="AE94" s="511"/>
      <c r="AF94" s="511"/>
    </row>
    <row r="95" spans="1:32" ht="12.75">
      <c r="A95" s="344">
        <v>2018</v>
      </c>
      <c r="B95" s="217" t="s">
        <v>73</v>
      </c>
      <c r="D95" s="379">
        <v>37268114.37110101</v>
      </c>
      <c r="E95" s="612">
        <f t="shared" si="6"/>
        <v>23441</v>
      </c>
      <c r="F95" s="618">
        <v>16004206.48</v>
      </c>
      <c r="G95" s="617">
        <v>20667</v>
      </c>
      <c r="H95" s="618">
        <v>5879025.947</v>
      </c>
      <c r="I95" s="617">
        <v>2584</v>
      </c>
      <c r="J95" s="673">
        <v>13956229.7</v>
      </c>
      <c r="K95" s="673">
        <v>36144.476630000005</v>
      </c>
      <c r="L95" s="673">
        <v>190</v>
      </c>
      <c r="M95" s="378">
        <v>19604.538</v>
      </c>
      <c r="N95" s="378">
        <v>53</v>
      </c>
      <c r="O95" s="378">
        <v>601.933</v>
      </c>
      <c r="P95" s="378">
        <v>1.35</v>
      </c>
      <c r="Q95" s="378">
        <v>10</v>
      </c>
      <c r="R95" s="398">
        <v>203162.9</v>
      </c>
      <c r="S95" s="379">
        <v>546.314</v>
      </c>
      <c r="T95" s="378">
        <v>6182</v>
      </c>
      <c r="U95" s="378"/>
      <c r="V95" s="378"/>
      <c r="W95" s="378"/>
      <c r="X95" s="378"/>
      <c r="Y95" s="379"/>
      <c r="Z95" s="378"/>
      <c r="AA95" s="379"/>
      <c r="AB95" s="378"/>
      <c r="AD95" s="511"/>
      <c r="AE95" s="511"/>
      <c r="AF95" s="511"/>
    </row>
    <row r="96" spans="1:32" ht="12.75">
      <c r="A96" s="344">
        <v>2018</v>
      </c>
      <c r="B96" s="217" t="s">
        <v>72</v>
      </c>
      <c r="D96" s="379">
        <v>33661736.0785</v>
      </c>
      <c r="E96" s="612">
        <f t="shared" si="6"/>
        <v>23452</v>
      </c>
      <c r="F96" s="618">
        <v>12402424.628</v>
      </c>
      <c r="G96" s="617">
        <v>20684</v>
      </c>
      <c r="H96" s="618">
        <v>5334860.956</v>
      </c>
      <c r="I96" s="617">
        <v>2578</v>
      </c>
      <c r="J96" s="673">
        <v>14608651</v>
      </c>
      <c r="K96" s="673">
        <v>37552.55345</v>
      </c>
      <c r="L96" s="673">
        <v>190</v>
      </c>
      <c r="M96" s="378">
        <v>20956.575</v>
      </c>
      <c r="N96" s="378">
        <v>53</v>
      </c>
      <c r="O96" s="378">
        <v>643.445</v>
      </c>
      <c r="P96" s="378">
        <v>1.35</v>
      </c>
      <c r="Q96" s="378">
        <v>9</v>
      </c>
      <c r="R96" s="398">
        <v>185401.4</v>
      </c>
      <c r="S96" s="379">
        <v>543.169</v>
      </c>
      <c r="T96" s="378">
        <v>6194</v>
      </c>
      <c r="U96" s="378"/>
      <c r="V96" s="378"/>
      <c r="W96" s="378"/>
      <c r="X96" s="378"/>
      <c r="Y96" s="379"/>
      <c r="Z96" s="378"/>
      <c r="AA96" s="379"/>
      <c r="AB96" s="378"/>
      <c r="AD96" s="511"/>
      <c r="AE96" s="511"/>
      <c r="AF96" s="511"/>
    </row>
    <row r="97" spans="1:32" ht="12.75">
      <c r="A97" s="344">
        <v>2018</v>
      </c>
      <c r="B97" s="217" t="s">
        <v>71</v>
      </c>
      <c r="D97" s="379">
        <v>33150240.258909997</v>
      </c>
      <c r="E97" s="612">
        <f t="shared" si="6"/>
        <v>23438</v>
      </c>
      <c r="F97" s="618">
        <v>12535208.144</v>
      </c>
      <c r="G97" s="617">
        <v>20675</v>
      </c>
      <c r="H97" s="617">
        <v>5173904.728</v>
      </c>
      <c r="I97" s="617">
        <v>2573</v>
      </c>
      <c r="J97" s="673">
        <v>17112278.913</v>
      </c>
      <c r="K97" s="673">
        <v>39372.41235</v>
      </c>
      <c r="L97" s="673">
        <v>190</v>
      </c>
      <c r="M97" s="378">
        <v>20280.557</v>
      </c>
      <c r="N97" s="378">
        <v>53</v>
      </c>
      <c r="O97" s="378">
        <v>622.847</v>
      </c>
      <c r="P97" s="378">
        <v>1.35</v>
      </c>
      <c r="Q97" s="378">
        <v>9</v>
      </c>
      <c r="R97" s="398">
        <v>82499.6</v>
      </c>
      <c r="S97" s="379">
        <v>590.019</v>
      </c>
      <c r="T97" s="378">
        <v>6194</v>
      </c>
      <c r="U97" s="378"/>
      <c r="V97" s="378"/>
      <c r="W97" s="378"/>
      <c r="X97" s="378"/>
      <c r="Y97" s="379"/>
      <c r="Z97" s="378"/>
      <c r="AA97" s="379"/>
      <c r="AB97" s="378"/>
      <c r="AD97" s="511"/>
      <c r="AE97" s="511"/>
      <c r="AF97" s="511"/>
    </row>
    <row r="98" spans="1:32" ht="12.75">
      <c r="A98" s="344">
        <v>2018</v>
      </c>
      <c r="B98" s="217" t="s">
        <v>70</v>
      </c>
      <c r="D98" s="379">
        <v>36985443.746902004</v>
      </c>
      <c r="E98" s="612">
        <f aca="true" t="shared" si="7" ref="E98:E151">G98+I98+L98</f>
        <v>23458</v>
      </c>
      <c r="F98" s="618">
        <v>15174666.415</v>
      </c>
      <c r="G98" s="617">
        <v>20698</v>
      </c>
      <c r="H98" s="617">
        <v>5780104.118</v>
      </c>
      <c r="I98" s="617">
        <v>2570</v>
      </c>
      <c r="J98" s="673">
        <v>13937128.1</v>
      </c>
      <c r="K98" s="673">
        <v>35145.77124</v>
      </c>
      <c r="L98" s="673">
        <v>190</v>
      </c>
      <c r="M98" s="378">
        <v>20846.504</v>
      </c>
      <c r="N98" s="378">
        <v>53</v>
      </c>
      <c r="O98" s="378">
        <v>643.608</v>
      </c>
      <c r="P98" s="378">
        <v>1.35</v>
      </c>
      <c r="Q98" s="378">
        <v>9</v>
      </c>
      <c r="R98" s="398">
        <v>71502</v>
      </c>
      <c r="S98" s="379">
        <v>590.019</v>
      </c>
      <c r="T98" s="378">
        <v>6194</v>
      </c>
      <c r="U98" s="378"/>
      <c r="V98" s="378"/>
      <c r="W98" s="378"/>
      <c r="X98" s="378"/>
      <c r="Y98" s="379"/>
      <c r="Z98" s="378"/>
      <c r="AA98" s="379"/>
      <c r="AB98" s="378"/>
      <c r="AD98" s="511"/>
      <c r="AE98" s="511"/>
      <c r="AF98" s="511"/>
    </row>
    <row r="99" spans="1:32" ht="12.75">
      <c r="A99" s="344">
        <v>2018</v>
      </c>
      <c r="B99" s="217" t="s">
        <v>69</v>
      </c>
      <c r="D99" s="379">
        <v>37978825.404948</v>
      </c>
      <c r="E99" s="612">
        <f t="shared" si="7"/>
        <v>23480</v>
      </c>
      <c r="F99" s="618">
        <v>15253467.645</v>
      </c>
      <c r="G99" s="617">
        <v>20714</v>
      </c>
      <c r="H99" s="617">
        <v>5736891.494</v>
      </c>
      <c r="I99" s="617">
        <v>2574</v>
      </c>
      <c r="J99" s="673">
        <v>15858055.7</v>
      </c>
      <c r="K99" s="673">
        <v>38680.14632</v>
      </c>
      <c r="L99" s="673">
        <v>192</v>
      </c>
      <c r="M99" s="378">
        <v>20846.504</v>
      </c>
      <c r="N99" s="378">
        <v>53</v>
      </c>
      <c r="O99" s="378">
        <v>643.608</v>
      </c>
      <c r="P99" s="378">
        <v>1.35</v>
      </c>
      <c r="Q99" s="378">
        <v>9</v>
      </c>
      <c r="R99" s="398">
        <v>231222.5</v>
      </c>
      <c r="S99" s="379">
        <v>534.186</v>
      </c>
      <c r="T99" s="378">
        <v>6194</v>
      </c>
      <c r="U99" s="378"/>
      <c r="V99" s="378"/>
      <c r="W99" s="378"/>
      <c r="X99" s="378"/>
      <c r="Y99" s="379"/>
      <c r="Z99" s="378"/>
      <c r="AA99" s="379"/>
      <c r="AB99" s="378"/>
      <c r="AD99" s="511"/>
      <c r="AE99" s="511"/>
      <c r="AF99" s="511"/>
    </row>
    <row r="100" spans="1:32" ht="12.75">
      <c r="A100" s="344">
        <v>2018</v>
      </c>
      <c r="B100" s="217" t="s">
        <v>68</v>
      </c>
      <c r="D100" s="379">
        <v>33668646.682027996</v>
      </c>
      <c r="E100" s="612">
        <f t="shared" si="7"/>
        <v>23508</v>
      </c>
      <c r="F100" s="618">
        <v>12861942.269</v>
      </c>
      <c r="G100" s="617">
        <v>20742</v>
      </c>
      <c r="H100" s="618">
        <v>4742385.658</v>
      </c>
      <c r="I100" s="617">
        <v>2575</v>
      </c>
      <c r="J100" s="673">
        <v>14381300</v>
      </c>
      <c r="K100" s="673">
        <v>38242.54709</v>
      </c>
      <c r="L100" s="673">
        <v>191</v>
      </c>
      <c r="M100" s="378">
        <v>20174.036</v>
      </c>
      <c r="N100" s="378">
        <v>53</v>
      </c>
      <c r="O100" s="378">
        <v>622.847</v>
      </c>
      <c r="P100" s="378">
        <v>1.35</v>
      </c>
      <c r="Q100" s="378">
        <v>9</v>
      </c>
      <c r="R100" s="398">
        <v>118739</v>
      </c>
      <c r="S100" s="379">
        <v>534.186</v>
      </c>
      <c r="T100" s="378">
        <v>6194</v>
      </c>
      <c r="U100" s="378"/>
      <c r="V100" s="378"/>
      <c r="W100" s="378"/>
      <c r="X100" s="378"/>
      <c r="Y100" s="379"/>
      <c r="Z100" s="378"/>
      <c r="AA100" s="379"/>
      <c r="AB100" s="378"/>
      <c r="AD100" s="511"/>
      <c r="AE100" s="511"/>
      <c r="AF100" s="511"/>
    </row>
    <row r="101" spans="1:32" ht="12.75">
      <c r="A101" s="344">
        <v>2018</v>
      </c>
      <c r="B101" s="217" t="s">
        <v>67</v>
      </c>
      <c r="D101" s="379">
        <v>32878906.859995</v>
      </c>
      <c r="E101" s="612">
        <f t="shared" si="7"/>
        <v>23507</v>
      </c>
      <c r="F101" s="618">
        <v>13698727.06</v>
      </c>
      <c r="G101" s="617">
        <v>20741</v>
      </c>
      <c r="H101" s="618">
        <v>4885923.362</v>
      </c>
      <c r="I101" s="617">
        <v>2575</v>
      </c>
      <c r="J101" s="673">
        <v>15369918.799999999</v>
      </c>
      <c r="K101" s="673">
        <v>39408.54737</v>
      </c>
      <c r="L101" s="673">
        <v>191</v>
      </c>
      <c r="M101" s="378">
        <v>19268.816</v>
      </c>
      <c r="N101" s="378">
        <v>53</v>
      </c>
      <c r="O101" s="378">
        <v>643.608</v>
      </c>
      <c r="P101" s="378">
        <v>1.35</v>
      </c>
      <c r="Q101" s="378">
        <v>9</v>
      </c>
      <c r="R101" s="398">
        <v>334692.358</v>
      </c>
      <c r="S101" s="379">
        <v>359.88</v>
      </c>
      <c r="T101" s="378">
        <v>6194</v>
      </c>
      <c r="U101" s="378"/>
      <c r="V101" s="378"/>
      <c r="W101" s="378"/>
      <c r="X101" s="378"/>
      <c r="Y101" s="379"/>
      <c r="Z101" s="378"/>
      <c r="AA101" s="379"/>
      <c r="AB101" s="378"/>
      <c r="AD101" s="511"/>
      <c r="AE101" s="511"/>
      <c r="AF101" s="511"/>
    </row>
    <row r="102" spans="1:32" ht="12.75">
      <c r="A102" s="344">
        <v>2018</v>
      </c>
      <c r="B102" s="217" t="s">
        <v>66</v>
      </c>
      <c r="D102" s="380">
        <v>39246375.131524995</v>
      </c>
      <c r="E102" s="612">
        <f t="shared" si="7"/>
        <v>23531</v>
      </c>
      <c r="F102" s="619">
        <v>16647592.043</v>
      </c>
      <c r="G102" s="617">
        <v>20763</v>
      </c>
      <c r="H102" s="618">
        <v>5823838.213</v>
      </c>
      <c r="I102" s="617">
        <v>2577</v>
      </c>
      <c r="J102" s="673">
        <v>14945892.3</v>
      </c>
      <c r="K102" s="673">
        <v>35803.27236</v>
      </c>
      <c r="L102" s="673">
        <v>191</v>
      </c>
      <c r="M102" s="378">
        <v>19139.603</v>
      </c>
      <c r="N102" s="378">
        <v>52</v>
      </c>
      <c r="O102" s="378">
        <v>622.847</v>
      </c>
      <c r="P102" s="378">
        <v>1.35</v>
      </c>
      <c r="Q102" s="378">
        <v>9</v>
      </c>
      <c r="R102" s="398">
        <v>230822</v>
      </c>
      <c r="S102" s="379">
        <v>359.88</v>
      </c>
      <c r="T102" s="378">
        <v>6281</v>
      </c>
      <c r="U102" s="378"/>
      <c r="V102" s="378"/>
      <c r="W102" s="378"/>
      <c r="X102" s="378"/>
      <c r="Y102" s="379"/>
      <c r="Z102" s="378"/>
      <c r="AA102" s="379"/>
      <c r="AB102" s="378"/>
      <c r="AD102" s="511"/>
      <c r="AE102" s="511"/>
      <c r="AF102" s="511"/>
    </row>
    <row r="103" spans="1:32" ht="12.75">
      <c r="A103" s="344">
        <v>2018</v>
      </c>
      <c r="B103" s="217" t="s">
        <v>65</v>
      </c>
      <c r="D103" s="380">
        <v>41296482.416115</v>
      </c>
      <c r="E103" s="612">
        <f t="shared" si="7"/>
        <v>23547</v>
      </c>
      <c r="F103" s="619">
        <v>19011448.942</v>
      </c>
      <c r="G103" s="617">
        <v>20779</v>
      </c>
      <c r="H103" s="618">
        <v>7867693.193</v>
      </c>
      <c r="I103" s="617">
        <v>2577</v>
      </c>
      <c r="J103" s="673">
        <v>15043746.6</v>
      </c>
      <c r="K103" s="673">
        <v>47763.27609</v>
      </c>
      <c r="L103" s="673">
        <v>191</v>
      </c>
      <c r="M103" s="378">
        <v>19073.529</v>
      </c>
      <c r="N103" s="378">
        <v>52</v>
      </c>
      <c r="O103" s="378">
        <v>643.608</v>
      </c>
      <c r="P103" s="378">
        <v>1.35</v>
      </c>
      <c r="Q103" s="378">
        <v>9</v>
      </c>
      <c r="R103" s="398">
        <v>241841.242</v>
      </c>
      <c r="S103" s="379">
        <v>518.336</v>
      </c>
      <c r="T103" s="378">
        <v>6281</v>
      </c>
      <c r="U103" s="378"/>
      <c r="V103" s="378"/>
      <c r="W103" s="378"/>
      <c r="X103" s="378"/>
      <c r="Y103" s="379"/>
      <c r="Z103" s="378"/>
      <c r="AA103" s="379"/>
      <c r="AB103" s="378"/>
      <c r="AD103" s="511"/>
      <c r="AE103" s="511"/>
      <c r="AF103" s="511"/>
    </row>
    <row r="104" spans="1:32" ht="12.75">
      <c r="A104" s="344">
        <v>2019</v>
      </c>
      <c r="B104" s="217" t="s">
        <v>76</v>
      </c>
      <c r="D104" s="379">
        <v>46360880.991009995</v>
      </c>
      <c r="E104" s="612">
        <f t="shared" si="7"/>
        <v>23564</v>
      </c>
      <c r="F104" s="618">
        <v>21446133.919</v>
      </c>
      <c r="G104" s="617">
        <v>20791</v>
      </c>
      <c r="H104" s="618">
        <v>7335270.628</v>
      </c>
      <c r="I104" s="617">
        <v>2580</v>
      </c>
      <c r="J104" s="673">
        <v>15751088.9</v>
      </c>
      <c r="K104" s="673">
        <v>36968.97426999999</v>
      </c>
      <c r="L104" s="673">
        <v>193</v>
      </c>
      <c r="M104" s="378">
        <v>19073.529</v>
      </c>
      <c r="N104" s="378">
        <v>52</v>
      </c>
      <c r="O104" s="378">
        <v>643.608</v>
      </c>
      <c r="P104" s="378">
        <v>1.35</v>
      </c>
      <c r="Q104" s="378">
        <v>9</v>
      </c>
      <c r="R104" s="398">
        <v>225888.2</v>
      </c>
      <c r="S104" s="378">
        <v>484.365</v>
      </c>
      <c r="T104" s="378">
        <v>6281</v>
      </c>
      <c r="U104" s="378"/>
      <c r="V104" s="378"/>
      <c r="W104" s="378"/>
      <c r="X104" s="378"/>
      <c r="Y104" s="378"/>
      <c r="Z104" s="378"/>
      <c r="AA104" s="378"/>
      <c r="AB104" s="378"/>
      <c r="AD104" s="511"/>
      <c r="AE104" s="511"/>
      <c r="AF104" s="511"/>
    </row>
    <row r="105" spans="1:32" ht="12.75">
      <c r="A105" s="344">
        <v>2019</v>
      </c>
      <c r="B105" s="217" t="s">
        <v>75</v>
      </c>
      <c r="D105" s="379">
        <v>40126452.14</v>
      </c>
      <c r="E105" s="612">
        <f t="shared" si="7"/>
        <v>23584</v>
      </c>
      <c r="F105" s="618">
        <v>18543913.12</v>
      </c>
      <c r="G105" s="617">
        <v>20810</v>
      </c>
      <c r="H105" s="618">
        <v>7335739.799</v>
      </c>
      <c r="I105" s="617">
        <v>2581</v>
      </c>
      <c r="J105" s="673">
        <v>13902232.399999999</v>
      </c>
      <c r="K105" s="673">
        <v>36382.95352</v>
      </c>
      <c r="L105" s="673">
        <v>193</v>
      </c>
      <c r="M105" s="378">
        <v>17063.489</v>
      </c>
      <c r="N105" s="378">
        <v>52</v>
      </c>
      <c r="O105" s="378">
        <v>581.324</v>
      </c>
      <c r="P105" s="378">
        <v>1.35</v>
      </c>
      <c r="Q105" s="378">
        <v>9</v>
      </c>
      <c r="R105" s="398">
        <v>219430.5</v>
      </c>
      <c r="S105" s="378">
        <v>518.765</v>
      </c>
      <c r="T105" s="378">
        <v>6276</v>
      </c>
      <c r="U105" s="378"/>
      <c r="V105" s="378"/>
      <c r="W105" s="378"/>
      <c r="X105" s="378"/>
      <c r="Y105" s="378"/>
      <c r="Z105" s="378"/>
      <c r="AA105" s="378"/>
      <c r="AB105" s="378"/>
      <c r="AD105" s="511"/>
      <c r="AE105" s="511"/>
      <c r="AF105" s="511"/>
    </row>
    <row r="106" spans="1:32" ht="12.75">
      <c r="A106" s="344">
        <v>2019</v>
      </c>
      <c r="B106" s="217" t="s">
        <v>74</v>
      </c>
      <c r="D106" s="379">
        <v>41742642.984000005</v>
      </c>
      <c r="E106" s="612">
        <f t="shared" si="7"/>
        <v>23618</v>
      </c>
      <c r="F106" s="618">
        <v>18510547.747</v>
      </c>
      <c r="G106" s="617">
        <v>20838</v>
      </c>
      <c r="H106" s="618">
        <v>7277095.071</v>
      </c>
      <c r="I106" s="617">
        <v>2586</v>
      </c>
      <c r="J106" s="673">
        <v>15653131.2</v>
      </c>
      <c r="K106" s="673">
        <v>37271.263139999995</v>
      </c>
      <c r="L106" s="673">
        <v>194</v>
      </c>
      <c r="M106" s="378">
        <v>18891.72</v>
      </c>
      <c r="N106" s="378">
        <v>50</v>
      </c>
      <c r="O106" s="378">
        <v>644</v>
      </c>
      <c r="P106" s="378">
        <v>1.35</v>
      </c>
      <c r="Q106" s="378">
        <v>9</v>
      </c>
      <c r="R106" s="398">
        <v>202746</v>
      </c>
      <c r="S106" s="378">
        <v>518.765</v>
      </c>
      <c r="T106" s="378">
        <v>6276</v>
      </c>
      <c r="U106" s="378"/>
      <c r="V106" s="378"/>
      <c r="W106" s="378"/>
      <c r="X106" s="378"/>
      <c r="Y106" s="378"/>
      <c r="Z106" s="378"/>
      <c r="AA106" s="378"/>
      <c r="AB106" s="378"/>
      <c r="AD106" s="511"/>
      <c r="AE106" s="511"/>
      <c r="AF106" s="511"/>
    </row>
    <row r="107" spans="1:32" ht="12.75">
      <c r="A107" s="344">
        <v>2019</v>
      </c>
      <c r="B107" s="217" t="s">
        <v>73</v>
      </c>
      <c r="D107" s="379">
        <v>36007111.135000005</v>
      </c>
      <c r="E107" s="612">
        <f t="shared" si="7"/>
        <v>23601</v>
      </c>
      <c r="F107" s="618">
        <v>15031263.904</v>
      </c>
      <c r="G107" s="617">
        <v>20828</v>
      </c>
      <c r="H107" s="618">
        <v>5636188.442</v>
      </c>
      <c r="I107" s="617">
        <v>2579</v>
      </c>
      <c r="J107" s="673">
        <v>14389058</v>
      </c>
      <c r="K107" s="673">
        <v>35763.96721</v>
      </c>
      <c r="L107" s="673">
        <v>194</v>
      </c>
      <c r="M107" s="378">
        <v>17683.428</v>
      </c>
      <c r="N107" s="378">
        <v>50</v>
      </c>
      <c r="O107" s="378">
        <v>622.689</v>
      </c>
      <c r="P107" s="378">
        <v>1.35</v>
      </c>
      <c r="Q107" s="378">
        <v>9</v>
      </c>
      <c r="R107" s="398">
        <v>174009</v>
      </c>
      <c r="S107" s="378">
        <v>518.967</v>
      </c>
      <c r="T107" s="378">
        <v>6280</v>
      </c>
      <c r="U107" s="378"/>
      <c r="V107" s="378"/>
      <c r="W107" s="378"/>
      <c r="X107" s="378"/>
      <c r="Y107" s="378"/>
      <c r="Z107" s="378"/>
      <c r="AA107" s="378"/>
      <c r="AB107" s="378"/>
      <c r="AD107" s="511"/>
      <c r="AE107" s="511"/>
      <c r="AF107" s="511"/>
    </row>
    <row r="108" spans="1:32" ht="12.75">
      <c r="A108" s="344">
        <v>2019</v>
      </c>
      <c r="B108" s="217" t="s">
        <v>72</v>
      </c>
      <c r="D108" s="379">
        <v>33884250.907</v>
      </c>
      <c r="E108" s="612">
        <f t="shared" si="7"/>
        <v>23608</v>
      </c>
      <c r="F108" s="618">
        <v>13085771.63</v>
      </c>
      <c r="G108" s="617">
        <v>20835</v>
      </c>
      <c r="H108" s="618">
        <v>5262736.617</v>
      </c>
      <c r="I108" s="617">
        <v>2579</v>
      </c>
      <c r="J108" s="673">
        <v>14425049.799999999</v>
      </c>
      <c r="K108" s="673">
        <v>35084.43984000001</v>
      </c>
      <c r="L108" s="673">
        <v>194</v>
      </c>
      <c r="M108" s="378">
        <v>19490.603</v>
      </c>
      <c r="N108" s="378">
        <v>50</v>
      </c>
      <c r="O108" s="378">
        <v>644</v>
      </c>
      <c r="P108" s="378">
        <v>1.35</v>
      </c>
      <c r="Q108" s="378">
        <v>9</v>
      </c>
      <c r="R108" s="398">
        <v>158470</v>
      </c>
      <c r="S108" s="378">
        <v>518.967</v>
      </c>
      <c r="T108" s="378">
        <v>6280</v>
      </c>
      <c r="U108" s="378"/>
      <c r="V108" s="378"/>
      <c r="W108" s="378"/>
      <c r="X108" s="378"/>
      <c r="Y108" s="378"/>
      <c r="Z108" s="378"/>
      <c r="AA108" s="378"/>
      <c r="AB108" s="378"/>
      <c r="AD108" s="511"/>
      <c r="AE108" s="511"/>
      <c r="AF108" s="511"/>
    </row>
    <row r="109" spans="1:32" ht="12.75">
      <c r="A109" s="344">
        <v>2019</v>
      </c>
      <c r="B109" s="217" t="s">
        <v>71</v>
      </c>
      <c r="D109" s="379">
        <v>32413450.978</v>
      </c>
      <c r="E109" s="612">
        <f t="shared" si="7"/>
        <v>23607</v>
      </c>
      <c r="F109" s="618">
        <v>11949336.403</v>
      </c>
      <c r="G109" s="617">
        <v>20832</v>
      </c>
      <c r="H109" s="618">
        <v>4879756.656</v>
      </c>
      <c r="I109" s="617">
        <v>2581</v>
      </c>
      <c r="J109" s="673">
        <v>14632349.8</v>
      </c>
      <c r="K109" s="673">
        <v>37821.97603</v>
      </c>
      <c r="L109" s="673">
        <v>194</v>
      </c>
      <c r="M109" s="378">
        <v>18282.31</v>
      </c>
      <c r="N109" s="378">
        <v>50</v>
      </c>
      <c r="O109" s="378">
        <v>622.689</v>
      </c>
      <c r="P109" s="378">
        <v>1.35</v>
      </c>
      <c r="Q109" s="378">
        <v>9</v>
      </c>
      <c r="R109" s="398">
        <v>141638.9</v>
      </c>
      <c r="S109" s="378">
        <v>518.967</v>
      </c>
      <c r="T109" s="378">
        <v>6280</v>
      </c>
      <c r="U109" s="378"/>
      <c r="V109" s="378"/>
      <c r="W109" s="378"/>
      <c r="X109" s="378"/>
      <c r="Y109" s="378"/>
      <c r="Z109" s="378"/>
      <c r="AA109" s="378"/>
      <c r="AB109" s="378"/>
      <c r="AD109" s="511"/>
      <c r="AE109" s="511"/>
      <c r="AF109" s="511"/>
    </row>
    <row r="110" spans="1:32" ht="12.75">
      <c r="A110" s="344">
        <v>2019</v>
      </c>
      <c r="B110" s="217" t="s">
        <v>70</v>
      </c>
      <c r="D110" s="379">
        <v>37948386.16900001</v>
      </c>
      <c r="E110" s="612">
        <f t="shared" si="7"/>
        <v>23644</v>
      </c>
      <c r="F110" s="618">
        <v>15387499.146</v>
      </c>
      <c r="G110" s="617">
        <v>20864</v>
      </c>
      <c r="H110" s="618">
        <v>5775452.977</v>
      </c>
      <c r="I110" s="617">
        <v>2586</v>
      </c>
      <c r="J110" s="673">
        <v>15013728.2</v>
      </c>
      <c r="K110" s="673">
        <v>37969.71738</v>
      </c>
      <c r="L110" s="673">
        <v>194</v>
      </c>
      <c r="M110" s="378">
        <v>18891.72</v>
      </c>
      <c r="N110" s="378">
        <v>50</v>
      </c>
      <c r="O110" s="378">
        <v>643.445</v>
      </c>
      <c r="P110" s="378">
        <v>1.35</v>
      </c>
      <c r="Q110" s="378">
        <v>9</v>
      </c>
      <c r="R110" s="398">
        <v>148141.3</v>
      </c>
      <c r="S110" s="378">
        <v>518.967</v>
      </c>
      <c r="T110" s="378">
        <v>6279</v>
      </c>
      <c r="U110" s="378"/>
      <c r="V110" s="378"/>
      <c r="W110" s="378"/>
      <c r="X110" s="378"/>
      <c r="Y110" s="378"/>
      <c r="Z110" s="378"/>
      <c r="AA110" s="378"/>
      <c r="AB110" s="378"/>
      <c r="AD110" s="511"/>
      <c r="AE110" s="511"/>
      <c r="AF110" s="511"/>
    </row>
    <row r="111" spans="1:32" ht="12.75">
      <c r="A111" s="344">
        <v>2019</v>
      </c>
      <c r="B111" s="217" t="s">
        <v>69</v>
      </c>
      <c r="D111" s="379">
        <v>35859378.324999996</v>
      </c>
      <c r="E111" s="612">
        <f t="shared" si="7"/>
        <v>23662</v>
      </c>
      <c r="F111" s="618">
        <v>13935935.626</v>
      </c>
      <c r="G111" s="617">
        <v>20877</v>
      </c>
      <c r="H111" s="618">
        <v>5674484.497</v>
      </c>
      <c r="I111" s="617">
        <v>2591</v>
      </c>
      <c r="J111" s="673">
        <v>14915133.100000001</v>
      </c>
      <c r="K111" s="673">
        <v>36780.25499</v>
      </c>
      <c r="L111" s="673">
        <v>194</v>
      </c>
      <c r="M111" s="378">
        <v>18891.72</v>
      </c>
      <c r="N111" s="378">
        <v>50</v>
      </c>
      <c r="O111" s="378">
        <v>643.445</v>
      </c>
      <c r="P111" s="378">
        <v>1.35</v>
      </c>
      <c r="Q111" s="378">
        <v>9</v>
      </c>
      <c r="R111" s="398">
        <v>167008.5</v>
      </c>
      <c r="S111" s="378">
        <v>519.067</v>
      </c>
      <c r="T111" s="378">
        <v>6279</v>
      </c>
      <c r="U111" s="378"/>
      <c r="V111" s="378"/>
      <c r="W111" s="378"/>
      <c r="X111" s="378"/>
      <c r="Y111" s="378"/>
      <c r="Z111" s="378"/>
      <c r="AA111" s="378"/>
      <c r="AB111" s="378"/>
      <c r="AD111" s="511"/>
      <c r="AE111" s="511"/>
      <c r="AF111" s="511"/>
    </row>
    <row r="112" spans="1:32" ht="12.75">
      <c r="A112" s="344">
        <v>2019</v>
      </c>
      <c r="B112" s="217" t="s">
        <v>68</v>
      </c>
      <c r="D112" s="379">
        <v>32309083.065000005</v>
      </c>
      <c r="E112" s="612">
        <f t="shared" si="7"/>
        <v>23711</v>
      </c>
      <c r="F112" s="618">
        <v>11662540.119</v>
      </c>
      <c r="G112" s="617">
        <v>20921</v>
      </c>
      <c r="H112" s="618">
        <v>5344184.074</v>
      </c>
      <c r="I112" s="617">
        <v>2595</v>
      </c>
      <c r="J112" s="673">
        <v>14714208.600000001</v>
      </c>
      <c r="K112" s="673">
        <v>37898.71015</v>
      </c>
      <c r="L112" s="673">
        <v>195</v>
      </c>
      <c r="M112" s="378">
        <v>18282.31</v>
      </c>
      <c r="N112" s="378">
        <v>50</v>
      </c>
      <c r="O112" s="378">
        <v>622.689</v>
      </c>
      <c r="P112" s="378">
        <v>1.35</v>
      </c>
      <c r="Q112" s="378">
        <v>9</v>
      </c>
      <c r="R112" s="398">
        <v>181478.8</v>
      </c>
      <c r="S112" s="378">
        <v>519.307</v>
      </c>
      <c r="T112" s="378">
        <v>6282</v>
      </c>
      <c r="U112" s="378"/>
      <c r="V112" s="378"/>
      <c r="W112" s="378"/>
      <c r="X112" s="378"/>
      <c r="Y112" s="378"/>
      <c r="Z112" s="378"/>
      <c r="AA112" s="378"/>
      <c r="AB112" s="378"/>
      <c r="AD112" s="511"/>
      <c r="AE112" s="511"/>
      <c r="AF112" s="511"/>
    </row>
    <row r="113" spans="1:32" ht="12.75">
      <c r="A113" s="344">
        <v>2019</v>
      </c>
      <c r="B113" s="217" t="s">
        <v>67</v>
      </c>
      <c r="D113" s="379">
        <v>34937472.141</v>
      </c>
      <c r="E113" s="612">
        <f t="shared" si="7"/>
        <v>23734</v>
      </c>
      <c r="F113" s="618">
        <v>13141466.7</v>
      </c>
      <c r="G113" s="617">
        <v>20945</v>
      </c>
      <c r="H113" s="618">
        <v>5162452.154</v>
      </c>
      <c r="I113" s="617">
        <v>2595</v>
      </c>
      <c r="J113" s="673">
        <v>15657464.4</v>
      </c>
      <c r="K113" s="673">
        <v>38669.117889999994</v>
      </c>
      <c r="L113" s="673">
        <v>194</v>
      </c>
      <c r="M113" s="378">
        <v>18891.72</v>
      </c>
      <c r="N113" s="378">
        <v>50</v>
      </c>
      <c r="O113" s="378">
        <v>643.445</v>
      </c>
      <c r="P113" s="378">
        <v>1.35</v>
      </c>
      <c r="Q113" s="378">
        <v>9</v>
      </c>
      <c r="R113" s="398">
        <v>210531.2</v>
      </c>
      <c r="S113" s="378">
        <v>519.307</v>
      </c>
      <c r="T113" s="378">
        <v>6282</v>
      </c>
      <c r="U113" s="378"/>
      <c r="V113" s="378"/>
      <c r="W113" s="378"/>
      <c r="X113" s="378"/>
      <c r="Y113" s="378"/>
      <c r="Z113" s="378"/>
      <c r="AA113" s="378"/>
      <c r="AB113" s="378"/>
      <c r="AD113" s="511"/>
      <c r="AE113" s="511"/>
      <c r="AF113" s="511"/>
    </row>
    <row r="114" spans="1:32" ht="12.75">
      <c r="A114" s="344">
        <v>2019</v>
      </c>
      <c r="B114" s="217" t="s">
        <v>66</v>
      </c>
      <c r="D114" s="379">
        <v>40083049.746</v>
      </c>
      <c r="E114" s="612">
        <f t="shared" si="7"/>
        <v>23742</v>
      </c>
      <c r="F114" s="618">
        <v>16831146.047</v>
      </c>
      <c r="G114" s="617">
        <v>20956</v>
      </c>
      <c r="H114" s="618">
        <v>6187207.652</v>
      </c>
      <c r="I114" s="617">
        <v>2593</v>
      </c>
      <c r="J114" s="673">
        <v>15432904.7</v>
      </c>
      <c r="K114" s="673">
        <v>36066.81486</v>
      </c>
      <c r="L114" s="673">
        <v>193</v>
      </c>
      <c r="M114" s="378">
        <v>18282.31</v>
      </c>
      <c r="N114" s="378">
        <v>50</v>
      </c>
      <c r="O114" s="378">
        <v>622.689</v>
      </c>
      <c r="P114" s="378">
        <v>1.35</v>
      </c>
      <c r="Q114" s="378">
        <v>9</v>
      </c>
      <c r="R114" s="398">
        <v>206587.8</v>
      </c>
      <c r="S114" s="378">
        <v>478.22900000000004</v>
      </c>
      <c r="T114" s="378">
        <v>6282</v>
      </c>
      <c r="U114" s="378"/>
      <c r="V114" s="378"/>
      <c r="W114" s="378"/>
      <c r="X114" s="378"/>
      <c r="Y114" s="378"/>
      <c r="Z114" s="378"/>
      <c r="AA114" s="378"/>
      <c r="AB114" s="378"/>
      <c r="AD114" s="511"/>
      <c r="AE114" s="511"/>
      <c r="AF114" s="511"/>
    </row>
    <row r="115" spans="1:32" ht="12.75">
      <c r="A115" s="344">
        <v>2019</v>
      </c>
      <c r="B115" s="217" t="s">
        <v>65</v>
      </c>
      <c r="D115" s="379">
        <v>42216027.818</v>
      </c>
      <c r="E115" s="612">
        <f t="shared" si="7"/>
        <v>23774</v>
      </c>
      <c r="F115" s="618">
        <v>19198604.605</v>
      </c>
      <c r="G115" s="617">
        <v>20983</v>
      </c>
      <c r="H115" s="618">
        <v>6880391.775</v>
      </c>
      <c r="I115" s="617">
        <v>2598</v>
      </c>
      <c r="J115" s="673">
        <v>15156402.8</v>
      </c>
      <c r="K115" s="673">
        <v>37800.22249</v>
      </c>
      <c r="L115" s="673">
        <v>193</v>
      </c>
      <c r="M115" s="378">
        <v>18891.72</v>
      </c>
      <c r="N115" s="378">
        <v>50</v>
      </c>
      <c r="O115" s="378">
        <v>643.445</v>
      </c>
      <c r="P115" s="378">
        <v>1.35</v>
      </c>
      <c r="Q115" s="378">
        <v>9</v>
      </c>
      <c r="R115" s="398">
        <v>262932.2</v>
      </c>
      <c r="S115" s="378">
        <v>601.469</v>
      </c>
      <c r="T115" s="378">
        <v>6282</v>
      </c>
      <c r="U115" s="378"/>
      <c r="V115" s="378"/>
      <c r="W115" s="378"/>
      <c r="X115" s="378"/>
      <c r="Y115" s="378"/>
      <c r="Z115" s="378"/>
      <c r="AA115" s="378"/>
      <c r="AB115" s="378"/>
      <c r="AD115" s="511"/>
      <c r="AE115" s="511"/>
      <c r="AF115" s="511"/>
    </row>
    <row r="116" spans="1:32" ht="12.75">
      <c r="A116" s="344">
        <v>2020</v>
      </c>
      <c r="B116" s="217" t="s">
        <v>76</v>
      </c>
      <c r="D116" s="379">
        <v>43447689.20199999</v>
      </c>
      <c r="E116" s="612">
        <f t="shared" si="7"/>
        <v>23778</v>
      </c>
      <c r="F116" s="618">
        <v>19079082.081</v>
      </c>
      <c r="G116" s="617">
        <v>20985</v>
      </c>
      <c r="H116" s="618">
        <v>6867990.581</v>
      </c>
      <c r="I116" s="617">
        <v>2600</v>
      </c>
      <c r="J116" s="673">
        <v>15711558.5</v>
      </c>
      <c r="K116" s="673">
        <v>36350.05875</v>
      </c>
      <c r="L116" s="673">
        <v>193</v>
      </c>
      <c r="M116" s="378">
        <v>18891.72</v>
      </c>
      <c r="N116" s="378">
        <v>50</v>
      </c>
      <c r="O116" s="378">
        <v>643.445</v>
      </c>
      <c r="P116" s="378">
        <v>1.35</v>
      </c>
      <c r="Q116" s="378">
        <v>9</v>
      </c>
      <c r="R116" s="398">
        <v>241586.4</v>
      </c>
      <c r="S116" s="378">
        <v>519.539</v>
      </c>
      <c r="T116" s="378">
        <v>6285</v>
      </c>
      <c r="U116" s="378"/>
      <c r="V116" s="378"/>
      <c r="W116" s="378"/>
      <c r="X116" s="378"/>
      <c r="Y116" s="378"/>
      <c r="Z116" s="378"/>
      <c r="AA116" s="378"/>
      <c r="AB116" s="378"/>
      <c r="AD116" s="511"/>
      <c r="AE116" s="511"/>
      <c r="AF116" s="511"/>
    </row>
    <row r="117" spans="1:32" ht="12.75">
      <c r="A117" s="344">
        <v>2020</v>
      </c>
      <c r="B117" s="217" t="s">
        <v>75</v>
      </c>
      <c r="D117" s="379">
        <v>41046123.789</v>
      </c>
      <c r="E117" s="612">
        <f t="shared" si="7"/>
        <v>23804</v>
      </c>
      <c r="F117" s="618">
        <v>18163991.523</v>
      </c>
      <c r="G117" s="617">
        <v>21012</v>
      </c>
      <c r="H117" s="618">
        <v>6383510.12</v>
      </c>
      <c r="I117" s="617">
        <v>2606</v>
      </c>
      <c r="J117" s="673">
        <v>14949730.3</v>
      </c>
      <c r="K117" s="673">
        <v>36692.531</v>
      </c>
      <c r="L117" s="673">
        <v>186</v>
      </c>
      <c r="M117" s="378">
        <v>17672.9</v>
      </c>
      <c r="N117" s="378">
        <v>50</v>
      </c>
      <c r="O117" s="378">
        <v>601.933</v>
      </c>
      <c r="P117" s="378">
        <v>1.35</v>
      </c>
      <c r="Q117" s="378">
        <v>9</v>
      </c>
      <c r="R117" s="398">
        <v>224040.3</v>
      </c>
      <c r="S117" s="378">
        <v>519.619</v>
      </c>
      <c r="T117" s="378">
        <v>6286</v>
      </c>
      <c r="U117" s="378"/>
      <c r="V117" s="378"/>
      <c r="W117" s="378"/>
      <c r="X117" s="378"/>
      <c r="Y117" s="378"/>
      <c r="Z117" s="378"/>
      <c r="AA117" s="378"/>
      <c r="AB117" s="378"/>
      <c r="AD117" s="511"/>
      <c r="AE117" s="511"/>
      <c r="AF117" s="511"/>
    </row>
    <row r="118" spans="1:32" ht="12.75">
      <c r="A118" s="344">
        <v>2020</v>
      </c>
      <c r="B118" s="217" t="s">
        <v>74</v>
      </c>
      <c r="D118" s="379">
        <v>39146163.179</v>
      </c>
      <c r="E118" s="612">
        <f t="shared" si="7"/>
        <v>23812</v>
      </c>
      <c r="F118" s="618">
        <v>17573788.192</v>
      </c>
      <c r="G118" s="617">
        <v>21018</v>
      </c>
      <c r="H118" s="618">
        <v>6483396.472</v>
      </c>
      <c r="I118" s="617">
        <v>2609</v>
      </c>
      <c r="J118" s="673">
        <v>13925373.5</v>
      </c>
      <c r="K118" s="673">
        <v>35856.41714</v>
      </c>
      <c r="L118" s="673">
        <v>185</v>
      </c>
      <c r="M118" s="378">
        <v>18891.72</v>
      </c>
      <c r="N118" s="378">
        <v>50</v>
      </c>
      <c r="O118" s="378">
        <v>643.445</v>
      </c>
      <c r="P118" s="378">
        <v>1.35</v>
      </c>
      <c r="Q118" s="378">
        <v>9</v>
      </c>
      <c r="R118" s="398">
        <v>202002.5</v>
      </c>
      <c r="S118" s="378">
        <v>519.619</v>
      </c>
      <c r="T118" s="378">
        <v>6286</v>
      </c>
      <c r="U118" s="378"/>
      <c r="V118" s="378"/>
      <c r="W118" s="378"/>
      <c r="X118" s="378"/>
      <c r="Y118" s="378"/>
      <c r="Z118" s="378"/>
      <c r="AA118" s="378"/>
      <c r="AB118" s="378"/>
      <c r="AD118" s="511"/>
      <c r="AE118" s="511"/>
      <c r="AF118" s="511"/>
    </row>
    <row r="119" spans="1:32" ht="12.75">
      <c r="A119" s="344">
        <v>2020</v>
      </c>
      <c r="B119" s="217" t="s">
        <v>73</v>
      </c>
      <c r="D119" s="379">
        <v>33162781.871000007</v>
      </c>
      <c r="E119" s="612">
        <f t="shared" si="7"/>
        <v>23826</v>
      </c>
      <c r="F119" s="618">
        <v>15657965.816</v>
      </c>
      <c r="G119" s="617">
        <v>21032</v>
      </c>
      <c r="H119" s="618">
        <v>4937129.089</v>
      </c>
      <c r="I119" s="617">
        <v>2609</v>
      </c>
      <c r="J119" s="673">
        <v>11358398.8</v>
      </c>
      <c r="K119" s="673">
        <v>30345.40463</v>
      </c>
      <c r="L119" s="673">
        <v>185</v>
      </c>
      <c r="M119" s="378">
        <v>18282.31</v>
      </c>
      <c r="N119" s="378">
        <v>50</v>
      </c>
      <c r="O119" s="378">
        <v>623</v>
      </c>
      <c r="P119" s="378">
        <v>1.35</v>
      </c>
      <c r="Q119" s="378">
        <v>8</v>
      </c>
      <c r="R119" s="398">
        <v>172253.6</v>
      </c>
      <c r="S119" s="378">
        <v>519.619</v>
      </c>
      <c r="T119" s="378">
        <v>6286</v>
      </c>
      <c r="U119" s="378"/>
      <c r="V119" s="378"/>
      <c r="W119" s="378"/>
      <c r="X119" s="378"/>
      <c r="Y119" s="378"/>
      <c r="Z119" s="378"/>
      <c r="AA119" s="378"/>
      <c r="AB119" s="378"/>
      <c r="AD119" s="511"/>
      <c r="AE119" s="511"/>
      <c r="AF119" s="511"/>
    </row>
    <row r="120" spans="1:32" ht="12.75">
      <c r="A120" s="344">
        <v>2020</v>
      </c>
      <c r="B120" s="217" t="s">
        <v>72</v>
      </c>
      <c r="D120" s="379">
        <v>33144752.307000004</v>
      </c>
      <c r="E120" s="612">
        <f t="shared" si="7"/>
        <v>23835</v>
      </c>
      <c r="F120" s="618">
        <v>14660582.736</v>
      </c>
      <c r="G120" s="617">
        <v>21039</v>
      </c>
      <c r="H120" s="618">
        <v>4719083.752</v>
      </c>
      <c r="I120" s="617">
        <v>2611</v>
      </c>
      <c r="J120" s="673">
        <v>12629766.200000001</v>
      </c>
      <c r="K120" s="673">
        <v>34583.71669</v>
      </c>
      <c r="L120" s="673">
        <v>185</v>
      </c>
      <c r="M120" s="378">
        <v>18891.72</v>
      </c>
      <c r="N120" s="378">
        <v>50</v>
      </c>
      <c r="O120" s="378">
        <v>643.445</v>
      </c>
      <c r="P120" s="378">
        <v>1.35</v>
      </c>
      <c r="Q120" s="378">
        <v>9</v>
      </c>
      <c r="R120" s="398">
        <v>157705.2</v>
      </c>
      <c r="S120" s="378">
        <v>519.619</v>
      </c>
      <c r="T120" s="378">
        <v>6286</v>
      </c>
      <c r="U120" s="378"/>
      <c r="V120" s="378"/>
      <c r="W120" s="378"/>
      <c r="X120" s="378"/>
      <c r="Y120" s="378"/>
      <c r="Z120" s="378"/>
      <c r="AA120" s="378"/>
      <c r="AB120" s="378"/>
      <c r="AD120" s="511"/>
      <c r="AE120" s="511"/>
      <c r="AF120" s="511"/>
    </row>
    <row r="121" spans="1:32" ht="12.75">
      <c r="A121" s="344">
        <v>2020</v>
      </c>
      <c r="B121" s="217" t="s">
        <v>71</v>
      </c>
      <c r="D121" s="379">
        <v>34594857.988000005</v>
      </c>
      <c r="E121" s="612">
        <f t="shared" si="7"/>
        <v>23849</v>
      </c>
      <c r="F121" s="618">
        <v>14236537.858</v>
      </c>
      <c r="G121" s="617">
        <v>21052</v>
      </c>
      <c r="H121" s="618">
        <v>4792778.66</v>
      </c>
      <c r="I121" s="617">
        <v>2616</v>
      </c>
      <c r="J121" s="673">
        <v>14179156.5</v>
      </c>
      <c r="K121" s="673">
        <v>34862.8228</v>
      </c>
      <c r="L121" s="673">
        <v>181</v>
      </c>
      <c r="M121" s="378">
        <v>18282.31</v>
      </c>
      <c r="N121" s="378">
        <v>50</v>
      </c>
      <c r="O121" s="378">
        <v>622.689</v>
      </c>
      <c r="P121" s="378">
        <v>1.35</v>
      </c>
      <c r="Q121" s="378">
        <v>9</v>
      </c>
      <c r="R121" s="398">
        <v>140687.1</v>
      </c>
      <c r="S121" s="378">
        <v>519.619</v>
      </c>
      <c r="T121" s="378">
        <v>6286</v>
      </c>
      <c r="U121" s="378"/>
      <c r="V121" s="378"/>
      <c r="W121" s="378"/>
      <c r="X121" s="378"/>
      <c r="Y121" s="378"/>
      <c r="Z121" s="378"/>
      <c r="AA121" s="378"/>
      <c r="AB121" s="378"/>
      <c r="AD121" s="511"/>
      <c r="AE121" s="511"/>
      <c r="AF121" s="511"/>
    </row>
    <row r="122" spans="1:32" ht="12.75">
      <c r="A122" s="344">
        <v>2020</v>
      </c>
      <c r="B122" s="217" t="s">
        <v>70</v>
      </c>
      <c r="D122" s="379">
        <v>40573552.657000005</v>
      </c>
      <c r="E122" s="612">
        <f t="shared" si="7"/>
        <v>23849</v>
      </c>
      <c r="F122" s="618">
        <v>17815753.289</v>
      </c>
      <c r="G122" s="617">
        <v>21059</v>
      </c>
      <c r="H122" s="618">
        <v>6075388.55</v>
      </c>
      <c r="I122" s="617">
        <v>2611</v>
      </c>
      <c r="J122" s="673">
        <v>15212208.2</v>
      </c>
      <c r="K122" s="673">
        <v>36827.88961</v>
      </c>
      <c r="L122" s="673">
        <v>179</v>
      </c>
      <c r="M122" s="378">
        <v>18891.72</v>
      </c>
      <c r="N122" s="378">
        <v>50</v>
      </c>
      <c r="O122" s="378">
        <v>643.445</v>
      </c>
      <c r="P122" s="378">
        <v>1.35</v>
      </c>
      <c r="Q122" s="378">
        <v>9</v>
      </c>
      <c r="R122" s="398">
        <v>148871.9</v>
      </c>
      <c r="S122" s="378">
        <v>519.619</v>
      </c>
      <c r="T122" s="378">
        <v>6286</v>
      </c>
      <c r="U122" s="378"/>
      <c r="V122" s="378"/>
      <c r="W122" s="378"/>
      <c r="X122" s="378"/>
      <c r="Y122" s="378"/>
      <c r="Z122" s="378"/>
      <c r="AA122" s="378"/>
      <c r="AB122" s="378"/>
      <c r="AD122" s="511"/>
      <c r="AE122" s="511"/>
      <c r="AF122" s="511"/>
    </row>
    <row r="123" spans="1:32" ht="12.75">
      <c r="A123" s="344">
        <v>2020</v>
      </c>
      <c r="B123" s="217" t="s">
        <v>69</v>
      </c>
      <c r="D123" s="379">
        <v>38203279.18799999</v>
      </c>
      <c r="E123" s="612">
        <f t="shared" si="7"/>
        <v>23863</v>
      </c>
      <c r="F123" s="618">
        <v>15764375.517</v>
      </c>
      <c r="G123" s="617">
        <v>21072</v>
      </c>
      <c r="H123" s="618">
        <v>5549759.279</v>
      </c>
      <c r="I123" s="617">
        <v>2610</v>
      </c>
      <c r="J123" s="673">
        <v>15001038.399999999</v>
      </c>
      <c r="K123" s="673">
        <v>36523.19165</v>
      </c>
      <c r="L123" s="673">
        <v>181</v>
      </c>
      <c r="M123" s="378">
        <v>18891.72</v>
      </c>
      <c r="N123" s="378">
        <v>50</v>
      </c>
      <c r="O123" s="378">
        <v>643.445</v>
      </c>
      <c r="P123" s="378">
        <v>1.35</v>
      </c>
      <c r="Q123" s="378">
        <v>9</v>
      </c>
      <c r="R123" s="398">
        <v>168487</v>
      </c>
      <c r="S123" s="378">
        <v>519.619</v>
      </c>
      <c r="T123" s="378">
        <v>6286</v>
      </c>
      <c r="U123" s="378"/>
      <c r="V123" s="378"/>
      <c r="W123" s="378"/>
      <c r="X123" s="378"/>
      <c r="Y123" s="378"/>
      <c r="Z123" s="378"/>
      <c r="AA123" s="378"/>
      <c r="AB123" s="378"/>
      <c r="AD123" s="511"/>
      <c r="AE123" s="511"/>
      <c r="AF123" s="511"/>
    </row>
    <row r="124" spans="1:32" ht="12.75">
      <c r="A124" s="344">
        <v>2020</v>
      </c>
      <c r="B124" s="217" t="s">
        <v>68</v>
      </c>
      <c r="D124" s="379">
        <v>32819205.606000002</v>
      </c>
      <c r="E124" s="612">
        <f t="shared" si="7"/>
        <v>23879</v>
      </c>
      <c r="F124" s="618">
        <v>12564776.24</v>
      </c>
      <c r="G124" s="617">
        <v>21084</v>
      </c>
      <c r="H124" s="618">
        <v>5054757.533</v>
      </c>
      <c r="I124" s="617">
        <v>2613</v>
      </c>
      <c r="J124" s="673">
        <v>14198550.749000002</v>
      </c>
      <c r="K124" s="673">
        <v>35494.00307</v>
      </c>
      <c r="L124" s="673">
        <v>182</v>
      </c>
      <c r="M124" s="378">
        <v>18282.31</v>
      </c>
      <c r="N124" s="378">
        <v>50</v>
      </c>
      <c r="O124" s="378">
        <v>622.689</v>
      </c>
      <c r="P124" s="378">
        <v>1.35</v>
      </c>
      <c r="Q124" s="378">
        <v>9</v>
      </c>
      <c r="R124" s="398">
        <v>182517</v>
      </c>
      <c r="S124" s="378">
        <v>519.619</v>
      </c>
      <c r="T124" s="378">
        <v>6286</v>
      </c>
      <c r="U124" s="378"/>
      <c r="V124" s="378"/>
      <c r="W124" s="378"/>
      <c r="X124" s="378"/>
      <c r="Y124" s="378"/>
      <c r="Z124" s="378"/>
      <c r="AA124" s="378"/>
      <c r="AB124" s="378"/>
      <c r="AD124" s="511"/>
      <c r="AE124" s="511"/>
      <c r="AF124" s="511"/>
    </row>
    <row r="125" spans="1:32" ht="12.75">
      <c r="A125" s="344">
        <v>2020</v>
      </c>
      <c r="B125" s="217" t="s">
        <v>67</v>
      </c>
      <c r="D125" s="379">
        <v>35693648.401</v>
      </c>
      <c r="E125" s="612">
        <f t="shared" si="7"/>
        <v>23905</v>
      </c>
      <c r="F125" s="618">
        <v>14222723.288</v>
      </c>
      <c r="G125" s="617">
        <v>21114</v>
      </c>
      <c r="H125" s="618">
        <v>5147360.987</v>
      </c>
      <c r="I125" s="617">
        <v>2609</v>
      </c>
      <c r="J125" s="673">
        <v>15544780.151</v>
      </c>
      <c r="K125" s="673">
        <v>37463.30058</v>
      </c>
      <c r="L125" s="673">
        <v>182</v>
      </c>
      <c r="M125" s="378">
        <v>18891.72</v>
      </c>
      <c r="N125" s="378">
        <v>50</v>
      </c>
      <c r="O125" s="378">
        <v>643.445</v>
      </c>
      <c r="P125" s="378">
        <v>1.35</v>
      </c>
      <c r="Q125" s="378">
        <v>9</v>
      </c>
      <c r="R125" s="398">
        <v>212655.1</v>
      </c>
      <c r="S125" s="378">
        <v>519.342</v>
      </c>
      <c r="T125" s="378">
        <v>6286</v>
      </c>
      <c r="U125" s="378"/>
      <c r="V125" s="378"/>
      <c r="W125" s="378"/>
      <c r="X125" s="378"/>
      <c r="Y125" s="378"/>
      <c r="Z125" s="378"/>
      <c r="AA125" s="378"/>
      <c r="AB125" s="378"/>
      <c r="AD125" s="511"/>
      <c r="AE125" s="511"/>
      <c r="AF125" s="511"/>
    </row>
    <row r="126" spans="1:32" ht="12.75">
      <c r="A126" s="344">
        <v>2020</v>
      </c>
      <c r="B126" s="217" t="s">
        <v>66</v>
      </c>
      <c r="D126" s="379">
        <v>36622836.334</v>
      </c>
      <c r="E126" s="612">
        <f t="shared" si="7"/>
        <v>23929</v>
      </c>
      <c r="F126" s="618">
        <v>15409452.699</v>
      </c>
      <c r="G126" s="617">
        <v>21136</v>
      </c>
      <c r="H126" s="618">
        <v>5547583.19</v>
      </c>
      <c r="I126" s="617">
        <v>2612</v>
      </c>
      <c r="J126" s="673">
        <v>14193463.8</v>
      </c>
      <c r="K126" s="673">
        <v>35851.55367</v>
      </c>
      <c r="L126" s="673">
        <v>181</v>
      </c>
      <c r="M126" s="378">
        <v>18282.31</v>
      </c>
      <c r="N126" s="378">
        <v>50</v>
      </c>
      <c r="O126" s="378">
        <v>622.689</v>
      </c>
      <c r="P126" s="378">
        <v>1.35</v>
      </c>
      <c r="Q126" s="378">
        <v>9</v>
      </c>
      <c r="R126" s="398">
        <v>225384.4</v>
      </c>
      <c r="S126" s="378">
        <v>519.342</v>
      </c>
      <c r="T126" s="378">
        <v>6283</v>
      </c>
      <c r="U126" s="378"/>
      <c r="V126" s="378"/>
      <c r="W126" s="378"/>
      <c r="X126" s="378"/>
      <c r="Y126" s="378"/>
      <c r="Z126" s="378"/>
      <c r="AA126" s="378"/>
      <c r="AB126" s="378"/>
      <c r="AD126" s="511"/>
      <c r="AE126" s="511"/>
      <c r="AF126" s="511"/>
    </row>
    <row r="127" spans="1:32" ht="12.75">
      <c r="A127" s="344">
        <v>2020</v>
      </c>
      <c r="B127" s="217" t="s">
        <v>65</v>
      </c>
      <c r="D127" s="379">
        <v>42343067.589999996</v>
      </c>
      <c r="E127" s="612">
        <f t="shared" si="7"/>
        <v>23953</v>
      </c>
      <c r="F127" s="618">
        <v>19881049.822</v>
      </c>
      <c r="G127" s="617">
        <v>21159</v>
      </c>
      <c r="H127" s="618">
        <v>6534010.157</v>
      </c>
      <c r="I127" s="617">
        <v>2613</v>
      </c>
      <c r="J127" s="673">
        <v>14568820.7</v>
      </c>
      <c r="K127" s="673">
        <v>35741.78746</v>
      </c>
      <c r="L127" s="673">
        <v>181</v>
      </c>
      <c r="M127" s="378">
        <v>18891.72</v>
      </c>
      <c r="N127" s="378">
        <v>50</v>
      </c>
      <c r="O127" s="378">
        <v>643.445</v>
      </c>
      <c r="P127" s="378">
        <v>1.35</v>
      </c>
      <c r="Q127" s="378">
        <v>9</v>
      </c>
      <c r="R127" s="398">
        <v>245260</v>
      </c>
      <c r="S127" s="378">
        <v>519.342</v>
      </c>
      <c r="T127" s="378">
        <v>6283</v>
      </c>
      <c r="U127" s="378"/>
      <c r="V127" s="378"/>
      <c r="W127" s="378"/>
      <c r="X127" s="378"/>
      <c r="Y127" s="378"/>
      <c r="Z127" s="378"/>
      <c r="AA127" s="378"/>
      <c r="AB127" s="378"/>
      <c r="AD127" s="511"/>
      <c r="AE127" s="511"/>
      <c r="AF127" s="511"/>
    </row>
    <row r="128" spans="1:32" ht="12.75">
      <c r="A128" s="344">
        <v>2021</v>
      </c>
      <c r="B128" s="217" t="s">
        <v>76</v>
      </c>
      <c r="D128" s="379">
        <v>43527338.929699995</v>
      </c>
      <c r="E128" s="612">
        <f t="shared" si="7"/>
        <v>23977</v>
      </c>
      <c r="F128" s="618">
        <v>20365573.507</v>
      </c>
      <c r="G128" s="617">
        <v>21177</v>
      </c>
      <c r="H128" s="618">
        <v>6278485.877</v>
      </c>
      <c r="I128" s="617">
        <v>2618</v>
      </c>
      <c r="J128" s="673">
        <v>14901709.4</v>
      </c>
      <c r="K128" s="673">
        <v>34057.203380000006</v>
      </c>
      <c r="L128" s="673">
        <v>182</v>
      </c>
      <c r="M128" s="378">
        <v>18891.72</v>
      </c>
      <c r="N128" s="378">
        <v>50</v>
      </c>
      <c r="O128" s="378">
        <v>643.445</v>
      </c>
      <c r="P128" s="378">
        <v>1.35</v>
      </c>
      <c r="Q128" s="378">
        <v>9</v>
      </c>
      <c r="R128" s="398">
        <v>241505</v>
      </c>
      <c r="S128" s="378">
        <v>519.342</v>
      </c>
      <c r="T128" s="378">
        <v>6283</v>
      </c>
      <c r="U128" s="378"/>
      <c r="V128" s="378"/>
      <c r="W128" s="378"/>
      <c r="X128" s="378"/>
      <c r="Y128" s="378"/>
      <c r="Z128" s="378"/>
      <c r="AA128" s="378"/>
      <c r="AB128" s="378"/>
      <c r="AD128" s="511"/>
      <c r="AE128" s="511"/>
      <c r="AF128" s="511"/>
    </row>
    <row r="129" spans="1:32" ht="12.75">
      <c r="A129" s="344">
        <v>2021</v>
      </c>
      <c r="B129" s="217" t="s">
        <v>75</v>
      </c>
      <c r="D129" s="379">
        <v>41279330.5436</v>
      </c>
      <c r="E129" s="612">
        <f t="shared" si="7"/>
        <v>23994</v>
      </c>
      <c r="F129" s="618">
        <v>19588347.357</v>
      </c>
      <c r="G129" s="617">
        <v>21192</v>
      </c>
      <c r="H129" s="618">
        <v>6491644.093</v>
      </c>
      <c r="I129" s="617">
        <v>2620</v>
      </c>
      <c r="J129" s="673">
        <v>13705221.4</v>
      </c>
      <c r="K129" s="673">
        <v>34150.648270000005</v>
      </c>
      <c r="L129" s="673">
        <v>182</v>
      </c>
      <c r="M129" s="378">
        <v>17063.489</v>
      </c>
      <c r="N129" s="378">
        <v>50</v>
      </c>
      <c r="O129" s="378">
        <v>578.735</v>
      </c>
      <c r="P129" s="378">
        <v>1.35</v>
      </c>
      <c r="Q129" s="378">
        <v>9</v>
      </c>
      <c r="R129" s="398">
        <v>218131.1</v>
      </c>
      <c r="S129" s="378">
        <v>519.342</v>
      </c>
      <c r="T129" s="378">
        <v>6283</v>
      </c>
      <c r="U129" s="378"/>
      <c r="V129" s="378"/>
      <c r="W129" s="378"/>
      <c r="X129" s="378"/>
      <c r="Y129" s="378"/>
      <c r="Z129" s="378"/>
      <c r="AA129" s="378"/>
      <c r="AB129" s="378"/>
      <c r="AD129" s="511"/>
      <c r="AE129" s="511"/>
      <c r="AF129" s="511"/>
    </row>
    <row r="130" spans="1:32" ht="12.75">
      <c r="A130" s="344">
        <v>2021</v>
      </c>
      <c r="B130" s="217" t="s">
        <v>74</v>
      </c>
      <c r="D130" s="379">
        <v>40171238.9648</v>
      </c>
      <c r="E130" s="612">
        <f t="shared" si="7"/>
        <v>24011</v>
      </c>
      <c r="F130" s="618">
        <v>17530236.202</v>
      </c>
      <c r="G130" s="617">
        <v>21207</v>
      </c>
      <c r="H130" s="618">
        <v>6538405.797</v>
      </c>
      <c r="I130" s="617">
        <v>2622</v>
      </c>
      <c r="J130" s="673">
        <v>15206917.4</v>
      </c>
      <c r="K130" s="673">
        <v>35251.467959999994</v>
      </c>
      <c r="L130" s="673">
        <v>182</v>
      </c>
      <c r="M130" s="378">
        <v>18891.72</v>
      </c>
      <c r="N130" s="378">
        <v>50</v>
      </c>
      <c r="O130" s="378">
        <v>605.596</v>
      </c>
      <c r="P130" s="378">
        <v>1.35</v>
      </c>
      <c r="Q130" s="378">
        <v>8</v>
      </c>
      <c r="R130" s="398">
        <v>202877.4</v>
      </c>
      <c r="S130" s="378">
        <v>519.342</v>
      </c>
      <c r="T130" s="378">
        <v>6283</v>
      </c>
      <c r="U130" s="378"/>
      <c r="V130" s="378"/>
      <c r="W130" s="378"/>
      <c r="X130" s="378"/>
      <c r="Y130" s="378"/>
      <c r="Z130" s="378"/>
      <c r="AA130" s="378"/>
      <c r="AB130" s="378"/>
      <c r="AD130" s="511"/>
      <c r="AE130" s="511"/>
      <c r="AF130" s="511"/>
    </row>
    <row r="131" spans="1:32" ht="12.75">
      <c r="A131" s="344">
        <v>2021</v>
      </c>
      <c r="B131" s="217" t="s">
        <v>73</v>
      </c>
      <c r="D131" s="379">
        <v>34273201.967099994</v>
      </c>
      <c r="E131" s="612">
        <f t="shared" si="7"/>
        <v>24032</v>
      </c>
      <c r="F131" s="618">
        <v>14425956.534</v>
      </c>
      <c r="G131" s="617">
        <v>21231</v>
      </c>
      <c r="H131" s="618">
        <v>5165789.772</v>
      </c>
      <c r="I131" s="617">
        <v>2619</v>
      </c>
      <c r="J131" s="673">
        <v>13477955.9</v>
      </c>
      <c r="K131" s="673">
        <v>34665.8569</v>
      </c>
      <c r="L131" s="673">
        <v>182</v>
      </c>
      <c r="M131" s="378">
        <v>18282.31</v>
      </c>
      <c r="N131" s="378">
        <v>50</v>
      </c>
      <c r="O131" s="378">
        <v>586.06</v>
      </c>
      <c r="P131" s="378">
        <v>1.35</v>
      </c>
      <c r="Q131" s="378">
        <v>8</v>
      </c>
      <c r="R131" s="398">
        <v>172169.9</v>
      </c>
      <c r="S131" s="378">
        <v>519.342</v>
      </c>
      <c r="T131" s="378">
        <v>6283</v>
      </c>
      <c r="U131" s="378"/>
      <c r="V131" s="378"/>
      <c r="W131" s="378"/>
      <c r="X131" s="378"/>
      <c r="Y131" s="378"/>
      <c r="Z131" s="378"/>
      <c r="AA131" s="378"/>
      <c r="AB131" s="378"/>
      <c r="AD131" s="511"/>
      <c r="AE131" s="511"/>
      <c r="AF131" s="511"/>
    </row>
    <row r="132" spans="1:32" ht="12.75">
      <c r="A132" s="344">
        <v>2021</v>
      </c>
      <c r="B132" s="217" t="s">
        <v>72</v>
      </c>
      <c r="D132" s="379">
        <v>33543165.898700003</v>
      </c>
      <c r="E132" s="612">
        <f t="shared" si="7"/>
        <v>24037</v>
      </c>
      <c r="F132" s="618">
        <v>14061123.551</v>
      </c>
      <c r="G132" s="617">
        <v>21237</v>
      </c>
      <c r="H132" s="618">
        <v>5028404.328</v>
      </c>
      <c r="I132" s="617">
        <v>2619</v>
      </c>
      <c r="J132" s="673">
        <v>13609805.3</v>
      </c>
      <c r="K132" s="673">
        <v>35642.422470000005</v>
      </c>
      <c r="L132" s="673">
        <v>181</v>
      </c>
      <c r="M132" s="378">
        <v>18891.72</v>
      </c>
      <c r="N132" s="378">
        <v>50</v>
      </c>
      <c r="O132" s="378">
        <v>605.596</v>
      </c>
      <c r="P132" s="378">
        <v>1.35</v>
      </c>
      <c r="Q132" s="378">
        <v>8</v>
      </c>
      <c r="R132" s="398">
        <v>157629.2</v>
      </c>
      <c r="S132" s="378">
        <v>519.342</v>
      </c>
      <c r="T132" s="378">
        <v>6283</v>
      </c>
      <c r="U132" s="378"/>
      <c r="V132" s="378"/>
      <c r="W132" s="378"/>
      <c r="X132" s="378"/>
      <c r="Y132" s="378"/>
      <c r="Z132" s="378"/>
      <c r="AA132" s="378"/>
      <c r="AB132" s="378"/>
      <c r="AD132" s="511"/>
      <c r="AE132" s="511"/>
      <c r="AF132" s="511"/>
    </row>
    <row r="133" spans="1:32" ht="12.75">
      <c r="A133" s="344">
        <v>2021</v>
      </c>
      <c r="B133" s="217" t="s">
        <v>71</v>
      </c>
      <c r="D133" s="379">
        <v>37512786.45989999</v>
      </c>
      <c r="E133" s="612">
        <f t="shared" si="7"/>
        <v>24076</v>
      </c>
      <c r="F133" s="618">
        <v>14780430.523</v>
      </c>
      <c r="G133" s="617">
        <v>21272</v>
      </c>
      <c r="H133" s="618">
        <v>5490048.405</v>
      </c>
      <c r="I133" s="617">
        <v>2621</v>
      </c>
      <c r="J133" s="673">
        <v>14556963.9</v>
      </c>
      <c r="K133" s="673">
        <v>36252.611059999996</v>
      </c>
      <c r="L133" s="673">
        <v>183</v>
      </c>
      <c r="M133" s="378">
        <v>18282.31</v>
      </c>
      <c r="N133" s="378">
        <v>50</v>
      </c>
      <c r="O133" s="378">
        <v>586.06</v>
      </c>
      <c r="P133" s="378">
        <v>1.35</v>
      </c>
      <c r="Q133" s="378">
        <v>8</v>
      </c>
      <c r="R133" s="398">
        <v>140607.1</v>
      </c>
      <c r="S133" s="378">
        <v>519.342</v>
      </c>
      <c r="T133" s="378">
        <v>6283</v>
      </c>
      <c r="U133" s="378"/>
      <c r="V133" s="378"/>
      <c r="W133" s="378"/>
      <c r="X133" s="378"/>
      <c r="Y133" s="378"/>
      <c r="Z133" s="378"/>
      <c r="AA133" s="378"/>
      <c r="AB133" s="378"/>
      <c r="AD133" s="511"/>
      <c r="AE133" s="511"/>
      <c r="AF133" s="511"/>
    </row>
    <row r="134" spans="1:32" ht="12.75">
      <c r="A134" s="344">
        <v>2021</v>
      </c>
      <c r="B134" s="217" t="s">
        <v>70</v>
      </c>
      <c r="D134" s="379">
        <v>38597541.411</v>
      </c>
      <c r="E134" s="612">
        <f t="shared" si="7"/>
        <v>24079</v>
      </c>
      <c r="F134" s="618">
        <v>15626672.091</v>
      </c>
      <c r="G134" s="617">
        <v>21275</v>
      </c>
      <c r="H134" s="618">
        <v>5697343.329</v>
      </c>
      <c r="I134" s="617">
        <v>2621</v>
      </c>
      <c r="J134" s="673">
        <v>14809239.9</v>
      </c>
      <c r="K134" s="673">
        <v>37497.41206</v>
      </c>
      <c r="L134" s="673">
        <v>183</v>
      </c>
      <c r="M134" s="378">
        <v>18891.72</v>
      </c>
      <c r="N134" s="378">
        <v>50</v>
      </c>
      <c r="O134" s="378">
        <v>605.596</v>
      </c>
      <c r="P134" s="378">
        <v>1.35</v>
      </c>
      <c r="Q134" s="378">
        <v>8</v>
      </c>
      <c r="R134" s="398">
        <v>148869.9</v>
      </c>
      <c r="S134" s="378">
        <v>519.342</v>
      </c>
      <c r="T134" s="378">
        <v>6283</v>
      </c>
      <c r="U134" s="378"/>
      <c r="V134" s="378"/>
      <c r="W134" s="378"/>
      <c r="X134" s="378"/>
      <c r="Y134" s="378"/>
      <c r="Z134" s="378"/>
      <c r="AA134" s="378"/>
      <c r="AB134" s="378"/>
      <c r="AD134" s="511"/>
      <c r="AE134" s="511"/>
      <c r="AF134" s="511"/>
    </row>
    <row r="135" spans="1:32" ht="12.75">
      <c r="A135" s="344">
        <v>2021</v>
      </c>
      <c r="B135" s="217" t="s">
        <v>69</v>
      </c>
      <c r="D135" s="379">
        <v>40059213.5992</v>
      </c>
      <c r="E135" s="612">
        <f t="shared" si="7"/>
        <v>24109</v>
      </c>
      <c r="F135" s="618">
        <v>17514418.009</v>
      </c>
      <c r="G135" s="617">
        <v>21309</v>
      </c>
      <c r="H135" s="618">
        <v>6281082.12</v>
      </c>
      <c r="I135" s="617">
        <v>2617</v>
      </c>
      <c r="J135" s="673">
        <v>15388005.7</v>
      </c>
      <c r="K135" s="673">
        <v>37248.10214</v>
      </c>
      <c r="L135" s="673">
        <v>183</v>
      </c>
      <c r="M135" s="378">
        <v>18891.72</v>
      </c>
      <c r="N135" s="378">
        <v>50</v>
      </c>
      <c r="O135" s="378">
        <v>605.596</v>
      </c>
      <c r="P135" s="378">
        <v>1.35</v>
      </c>
      <c r="Q135" s="378">
        <v>8</v>
      </c>
      <c r="R135" s="398">
        <v>168397</v>
      </c>
      <c r="S135" s="378">
        <v>519.342</v>
      </c>
      <c r="T135" s="378">
        <v>6283</v>
      </c>
      <c r="U135" s="378"/>
      <c r="V135" s="378"/>
      <c r="W135" s="378"/>
      <c r="X135" s="378"/>
      <c r="Y135" s="378"/>
      <c r="Z135" s="378"/>
      <c r="AA135" s="378"/>
      <c r="AB135" s="378"/>
      <c r="AD135" s="511"/>
      <c r="AE135" s="511"/>
      <c r="AF135" s="511"/>
    </row>
    <row r="136" spans="1:32" ht="12.75">
      <c r="A136" s="344">
        <v>2021</v>
      </c>
      <c r="B136" s="217" t="s">
        <v>68</v>
      </c>
      <c r="D136" s="379">
        <v>34178604.9412</v>
      </c>
      <c r="E136" s="612">
        <f t="shared" si="7"/>
        <v>24136</v>
      </c>
      <c r="F136" s="618">
        <v>12656983.574</v>
      </c>
      <c r="G136" s="617">
        <v>21331</v>
      </c>
      <c r="H136" s="618">
        <v>4966753.135</v>
      </c>
      <c r="I136" s="617">
        <v>2622</v>
      </c>
      <c r="J136" s="673">
        <v>14055046.4</v>
      </c>
      <c r="K136" s="673">
        <v>36819.1216</v>
      </c>
      <c r="L136" s="673">
        <v>183</v>
      </c>
      <c r="M136" s="378">
        <v>18282.31</v>
      </c>
      <c r="N136" s="378">
        <v>50</v>
      </c>
      <c r="O136" s="378">
        <v>586.06</v>
      </c>
      <c r="P136" s="378">
        <v>1.35</v>
      </c>
      <c r="Q136" s="378">
        <v>8</v>
      </c>
      <c r="R136" s="398">
        <v>182420</v>
      </c>
      <c r="S136" s="378">
        <v>519.342</v>
      </c>
      <c r="T136" s="378">
        <v>6283</v>
      </c>
      <c r="U136" s="378"/>
      <c r="V136" s="378"/>
      <c r="W136" s="378"/>
      <c r="X136" s="378"/>
      <c r="Y136" s="378"/>
      <c r="Z136" s="378"/>
      <c r="AA136" s="378"/>
      <c r="AB136" s="378"/>
      <c r="AD136" s="511"/>
      <c r="AE136" s="511"/>
      <c r="AF136" s="511"/>
    </row>
    <row r="137" spans="1:32" ht="12.75">
      <c r="A137" s="344">
        <v>2021</v>
      </c>
      <c r="B137" s="217" t="s">
        <v>67</v>
      </c>
      <c r="D137" s="379">
        <v>34477682.714700006</v>
      </c>
      <c r="E137" s="612">
        <f t="shared" si="7"/>
        <v>24150</v>
      </c>
      <c r="F137" s="618">
        <v>13551117.327</v>
      </c>
      <c r="G137" s="617">
        <v>21345</v>
      </c>
      <c r="H137" s="618">
        <v>5179145.79</v>
      </c>
      <c r="I137" s="617">
        <v>2624</v>
      </c>
      <c r="J137" s="673">
        <v>14320808</v>
      </c>
      <c r="K137" s="673">
        <v>36282.70601</v>
      </c>
      <c r="L137" s="673">
        <v>181</v>
      </c>
      <c r="M137" s="378">
        <v>18875.742</v>
      </c>
      <c r="N137" s="378">
        <v>49</v>
      </c>
      <c r="O137" s="378">
        <v>605.596</v>
      </c>
      <c r="P137" s="378">
        <v>1.35</v>
      </c>
      <c r="Q137" s="378">
        <v>9</v>
      </c>
      <c r="R137" s="398">
        <v>212541.1</v>
      </c>
      <c r="S137" s="378">
        <v>519.342</v>
      </c>
      <c r="T137" s="378">
        <v>6283</v>
      </c>
      <c r="U137" s="378"/>
      <c r="V137" s="378"/>
      <c r="W137" s="378"/>
      <c r="X137" s="378"/>
      <c r="Y137" s="378"/>
      <c r="Z137" s="378"/>
      <c r="AA137" s="378"/>
      <c r="AB137" s="378"/>
      <c r="AD137" s="511"/>
      <c r="AE137" s="511"/>
      <c r="AF137" s="511"/>
    </row>
    <row r="138" spans="1:32" ht="12.75">
      <c r="A138" s="344">
        <v>2021</v>
      </c>
      <c r="B138" s="217" t="s">
        <v>66</v>
      </c>
      <c r="D138" s="379">
        <v>38088839.1656</v>
      </c>
      <c r="E138" s="612">
        <f t="shared" si="7"/>
        <v>24191</v>
      </c>
      <c r="F138" s="618">
        <v>16382180.936</v>
      </c>
      <c r="G138" s="617">
        <v>21379</v>
      </c>
      <c r="H138" s="618">
        <v>5848485.336</v>
      </c>
      <c r="I138" s="617">
        <v>2634</v>
      </c>
      <c r="J138" s="673">
        <v>14234902.438</v>
      </c>
      <c r="K138" s="673">
        <v>35678.85717</v>
      </c>
      <c r="L138" s="673">
        <v>178</v>
      </c>
      <c r="M138" s="378">
        <v>18264.557</v>
      </c>
      <c r="N138" s="378">
        <v>49</v>
      </c>
      <c r="O138" s="378">
        <v>924.266</v>
      </c>
      <c r="P138" s="378">
        <v>1.35</v>
      </c>
      <c r="Q138" s="378">
        <v>9</v>
      </c>
      <c r="R138" s="398">
        <v>225263.4</v>
      </c>
      <c r="S138" s="378">
        <v>519.342</v>
      </c>
      <c r="T138" s="378">
        <v>6283</v>
      </c>
      <c r="U138" s="378"/>
      <c r="V138" s="378"/>
      <c r="W138" s="378"/>
      <c r="X138" s="378"/>
      <c r="Y138" s="378"/>
      <c r="Z138" s="378"/>
      <c r="AA138" s="378"/>
      <c r="AB138" s="378"/>
      <c r="AD138" s="511"/>
      <c r="AE138" s="511"/>
      <c r="AF138" s="511"/>
    </row>
    <row r="139" spans="1:32" ht="12.75">
      <c r="A139" s="344">
        <v>2021</v>
      </c>
      <c r="B139" s="217" t="s">
        <v>65</v>
      </c>
      <c r="D139" s="379">
        <v>41741160.11999999</v>
      </c>
      <c r="E139" s="612">
        <f t="shared" si="7"/>
        <v>24202</v>
      </c>
      <c r="F139" s="618">
        <v>19329226.699</v>
      </c>
      <c r="G139" s="617">
        <v>21393</v>
      </c>
      <c r="H139" s="618">
        <v>6595764.291</v>
      </c>
      <c r="I139" s="617">
        <v>2630</v>
      </c>
      <c r="J139" s="673">
        <v>14143286.896000002</v>
      </c>
      <c r="K139" s="673">
        <v>35789.10847</v>
      </c>
      <c r="L139" s="673">
        <v>179</v>
      </c>
      <c r="M139" s="378">
        <v>18873.375</v>
      </c>
      <c r="N139" s="378">
        <v>49</v>
      </c>
      <c r="O139" s="378">
        <v>643.424</v>
      </c>
      <c r="P139" s="378">
        <v>1.35</v>
      </c>
      <c r="Q139" s="378">
        <v>9</v>
      </c>
      <c r="R139" s="398">
        <v>245130</v>
      </c>
      <c r="S139" s="378">
        <v>519.342</v>
      </c>
      <c r="T139" s="378">
        <v>6283</v>
      </c>
      <c r="U139" s="378"/>
      <c r="V139" s="378"/>
      <c r="W139" s="378"/>
      <c r="X139" s="378"/>
      <c r="Y139" s="378"/>
      <c r="Z139" s="378"/>
      <c r="AA139" s="378"/>
      <c r="AB139" s="378"/>
      <c r="AD139" s="511"/>
      <c r="AE139" s="511"/>
      <c r="AF139" s="511"/>
    </row>
    <row r="140" spans="1:32" ht="12.75">
      <c r="A140" s="344">
        <v>2022</v>
      </c>
      <c r="B140" s="217" t="s">
        <v>76</v>
      </c>
      <c r="D140" s="379">
        <v>47203417.384799995</v>
      </c>
      <c r="E140" s="612">
        <f t="shared" si="7"/>
        <v>24243</v>
      </c>
      <c r="F140" s="618">
        <v>22929310.062</v>
      </c>
      <c r="G140" s="617">
        <v>21429</v>
      </c>
      <c r="H140" s="618">
        <v>7513730.607</v>
      </c>
      <c r="I140" s="617">
        <v>2645</v>
      </c>
      <c r="J140" s="673">
        <v>11947779.646</v>
      </c>
      <c r="K140" s="673">
        <v>35365.41345</v>
      </c>
      <c r="L140" s="673">
        <v>169</v>
      </c>
      <c r="M140" s="378">
        <v>18873.375</v>
      </c>
      <c r="N140" s="378">
        <v>49</v>
      </c>
      <c r="O140" s="378">
        <v>643.445</v>
      </c>
      <c r="P140" s="378">
        <v>1.35</v>
      </c>
      <c r="Q140" s="378">
        <v>9</v>
      </c>
      <c r="R140" s="398">
        <v>241494.6</v>
      </c>
      <c r="S140" s="378">
        <v>519.342</v>
      </c>
      <c r="T140" s="378">
        <v>6283</v>
      </c>
      <c r="U140" s="378"/>
      <c r="V140" s="378"/>
      <c r="W140" s="378"/>
      <c r="X140" s="378"/>
      <c r="Y140" s="378"/>
      <c r="Z140" s="378"/>
      <c r="AA140" s="378"/>
      <c r="AB140" s="378"/>
      <c r="AD140" s="511"/>
      <c r="AE140" s="511"/>
      <c r="AF140" s="511"/>
    </row>
    <row r="141" spans="1:32" ht="12.75">
      <c r="A141" s="344">
        <v>2022</v>
      </c>
      <c r="B141" s="217" t="s">
        <v>75</v>
      </c>
      <c r="D141" s="379">
        <v>41797636.53990001</v>
      </c>
      <c r="E141" s="612">
        <f t="shared" si="7"/>
        <v>24248</v>
      </c>
      <c r="F141" s="618">
        <v>19739796.43</v>
      </c>
      <c r="G141" s="617">
        <v>21435</v>
      </c>
      <c r="H141" s="618">
        <v>6912416.036</v>
      </c>
      <c r="I141" s="617">
        <v>2644</v>
      </c>
      <c r="J141" s="673">
        <v>16365625.154</v>
      </c>
      <c r="K141" s="673">
        <v>34838.39889</v>
      </c>
      <c r="L141" s="673">
        <v>169</v>
      </c>
      <c r="M141" s="378">
        <v>17046.919</v>
      </c>
      <c r="N141" s="378">
        <v>49</v>
      </c>
      <c r="O141" s="378">
        <v>581.176</v>
      </c>
      <c r="P141" s="378">
        <v>1.35</v>
      </c>
      <c r="Q141" s="378">
        <v>9</v>
      </c>
      <c r="R141" s="398">
        <v>218123.1</v>
      </c>
      <c r="S141" s="378">
        <v>519.342</v>
      </c>
      <c r="T141" s="378">
        <v>6283</v>
      </c>
      <c r="U141" s="378"/>
      <c r="V141" s="378"/>
      <c r="W141" s="378"/>
      <c r="X141" s="378"/>
      <c r="Y141" s="378"/>
      <c r="Z141" s="378"/>
      <c r="AA141" s="378"/>
      <c r="AB141" s="378"/>
      <c r="AD141" s="511"/>
      <c r="AE141" s="511"/>
      <c r="AF141" s="511"/>
    </row>
    <row r="142" spans="1:32" ht="12.75">
      <c r="A142" s="344">
        <v>2022</v>
      </c>
      <c r="B142" s="217" t="s">
        <v>74</v>
      </c>
      <c r="D142" s="379">
        <v>42551682.3739</v>
      </c>
      <c r="E142" s="612">
        <f t="shared" si="7"/>
        <v>24262</v>
      </c>
      <c r="F142" s="618">
        <v>18893995.174</v>
      </c>
      <c r="G142" s="617">
        <v>21450</v>
      </c>
      <c r="H142" s="618">
        <v>6920640.27</v>
      </c>
      <c r="I142" s="617">
        <v>2643</v>
      </c>
      <c r="J142" s="673">
        <v>14737977.6</v>
      </c>
      <c r="K142" s="673">
        <v>35196.216290000004</v>
      </c>
      <c r="L142" s="673">
        <v>169</v>
      </c>
      <c r="M142" s="378">
        <v>18873.375</v>
      </c>
      <c r="N142" s="378">
        <v>49</v>
      </c>
      <c r="O142" s="378">
        <v>643.445</v>
      </c>
      <c r="P142" s="378">
        <v>1.35</v>
      </c>
      <c r="Q142" s="378">
        <v>8</v>
      </c>
      <c r="R142" s="398">
        <v>202861.4</v>
      </c>
      <c r="S142" s="378">
        <v>519.342</v>
      </c>
      <c r="T142" s="378">
        <v>6283</v>
      </c>
      <c r="U142" s="378"/>
      <c r="V142" s="378"/>
      <c r="W142" s="378"/>
      <c r="X142" s="378"/>
      <c r="Y142" s="378"/>
      <c r="Z142" s="378"/>
      <c r="AA142" s="378"/>
      <c r="AB142" s="378"/>
      <c r="AD142" s="511"/>
      <c r="AE142" s="511"/>
      <c r="AF142" s="511"/>
    </row>
    <row r="143" spans="1:32" ht="12.75">
      <c r="A143" s="344">
        <v>2022</v>
      </c>
      <c r="B143" s="217" t="s">
        <v>73</v>
      </c>
      <c r="D143" s="379">
        <v>36094613.055</v>
      </c>
      <c r="E143" s="612">
        <f t="shared" si="7"/>
        <v>24272</v>
      </c>
      <c r="F143" s="618">
        <v>15487754.564</v>
      </c>
      <c r="G143" s="617">
        <v>21460</v>
      </c>
      <c r="H143" s="618">
        <v>5738768.547</v>
      </c>
      <c r="I143" s="617">
        <v>2643</v>
      </c>
      <c r="J143" s="673">
        <v>13829280.299999999</v>
      </c>
      <c r="K143" s="673">
        <v>34915.23704000001</v>
      </c>
      <c r="L143" s="673">
        <v>169</v>
      </c>
      <c r="M143" s="378">
        <v>18264.557</v>
      </c>
      <c r="N143" s="378">
        <v>49</v>
      </c>
      <c r="O143" s="378">
        <v>622.689</v>
      </c>
      <c r="P143" s="378">
        <v>1.35</v>
      </c>
      <c r="Q143" s="378">
        <v>8</v>
      </c>
      <c r="R143" s="398">
        <v>172161.6</v>
      </c>
      <c r="S143" s="378">
        <v>519.342</v>
      </c>
      <c r="T143" s="378">
        <v>6283</v>
      </c>
      <c r="U143" s="378"/>
      <c r="V143" s="378"/>
      <c r="W143" s="378"/>
      <c r="X143" s="378"/>
      <c r="Y143" s="378"/>
      <c r="Z143" s="378"/>
      <c r="AA143" s="378"/>
      <c r="AB143" s="378"/>
      <c r="AD143" s="511"/>
      <c r="AE143" s="511"/>
      <c r="AF143" s="511"/>
    </row>
    <row r="144" spans="1:32" ht="12.75">
      <c r="A144" s="344">
        <v>2022</v>
      </c>
      <c r="B144" s="217" t="s">
        <v>72</v>
      </c>
      <c r="D144" s="379">
        <v>34287485.0159</v>
      </c>
      <c r="E144" s="612">
        <f t="shared" si="7"/>
        <v>24275</v>
      </c>
      <c r="F144" s="618">
        <v>13542387.801</v>
      </c>
      <c r="G144" s="617">
        <v>21467</v>
      </c>
      <c r="H144" s="618">
        <v>5472224.102</v>
      </c>
      <c r="I144" s="617">
        <v>2638</v>
      </c>
      <c r="J144" s="673">
        <v>14368133.2</v>
      </c>
      <c r="K144" s="673">
        <v>36465.583909999994</v>
      </c>
      <c r="L144" s="673">
        <v>170</v>
      </c>
      <c r="M144" s="378">
        <v>18873.375</v>
      </c>
      <c r="N144" s="378">
        <v>49</v>
      </c>
      <c r="O144" s="378">
        <v>643.445</v>
      </c>
      <c r="P144" s="378">
        <v>1.35</v>
      </c>
      <c r="Q144" s="378">
        <v>8</v>
      </c>
      <c r="R144" s="398">
        <v>157621.2</v>
      </c>
      <c r="S144" s="378">
        <v>519.342</v>
      </c>
      <c r="T144" s="378">
        <v>6283</v>
      </c>
      <c r="U144" s="378"/>
      <c r="V144" s="378"/>
      <c r="W144" s="378"/>
      <c r="X144" s="378"/>
      <c r="Y144" s="378"/>
      <c r="Z144" s="378"/>
      <c r="AA144" s="378"/>
      <c r="AB144" s="378"/>
      <c r="AD144" s="511"/>
      <c r="AE144" s="511"/>
      <c r="AF144" s="511"/>
    </row>
    <row r="145" spans="1:32" ht="12.75">
      <c r="A145" s="344">
        <v>2022</v>
      </c>
      <c r="B145" s="217" t="s">
        <v>71</v>
      </c>
      <c r="D145" s="379">
        <v>34727203.90410001</v>
      </c>
      <c r="E145" s="612">
        <f t="shared" si="7"/>
        <v>24289</v>
      </c>
      <c r="F145" s="618">
        <v>13762725.92</v>
      </c>
      <c r="G145" s="617">
        <v>21469</v>
      </c>
      <c r="H145" s="618">
        <v>5560183.214</v>
      </c>
      <c r="I145" s="617">
        <v>2650</v>
      </c>
      <c r="J145" s="673">
        <v>14061466.3</v>
      </c>
      <c r="K145" s="673">
        <v>36760.05905000001</v>
      </c>
      <c r="L145" s="673">
        <v>170</v>
      </c>
      <c r="M145" s="378">
        <v>18264.557</v>
      </c>
      <c r="N145" s="378">
        <v>49</v>
      </c>
      <c r="O145" s="378">
        <v>622.689</v>
      </c>
      <c r="P145" s="378">
        <v>1.35</v>
      </c>
      <c r="Q145" s="378">
        <v>8</v>
      </c>
      <c r="R145" s="398">
        <v>140612.1</v>
      </c>
      <c r="S145" s="378">
        <v>519.342</v>
      </c>
      <c r="T145" s="378">
        <v>6283</v>
      </c>
      <c r="U145" s="378"/>
      <c r="V145" s="378"/>
      <c r="W145" s="378"/>
      <c r="X145" s="378"/>
      <c r="Y145" s="378"/>
      <c r="Z145" s="378"/>
      <c r="AA145" s="378"/>
      <c r="AB145" s="378"/>
      <c r="AD145" s="511"/>
      <c r="AE145" s="511"/>
      <c r="AF145" s="511"/>
    </row>
    <row r="146" spans="1:32" ht="12.75">
      <c r="A146" s="344">
        <v>2022</v>
      </c>
      <c r="B146" s="217" t="s">
        <v>70</v>
      </c>
      <c r="D146" s="379">
        <v>36965339.7436</v>
      </c>
      <c r="E146" s="612">
        <f t="shared" si="7"/>
        <v>24329</v>
      </c>
      <c r="F146" s="618">
        <v>15721959.575</v>
      </c>
      <c r="G146" s="617">
        <v>21508</v>
      </c>
      <c r="H146" s="618">
        <v>5972650.682</v>
      </c>
      <c r="I146" s="617">
        <v>2650</v>
      </c>
      <c r="J146" s="673">
        <v>13928195.7</v>
      </c>
      <c r="K146" s="673">
        <v>36102.53341000001</v>
      </c>
      <c r="L146" s="673">
        <v>171</v>
      </c>
      <c r="M146" s="378">
        <v>18873.375</v>
      </c>
      <c r="N146" s="378">
        <v>49</v>
      </c>
      <c r="O146" s="378">
        <v>643.445</v>
      </c>
      <c r="P146" s="378">
        <v>1.35</v>
      </c>
      <c r="Q146" s="378">
        <v>8</v>
      </c>
      <c r="R146" s="398">
        <v>148790.9</v>
      </c>
      <c r="S146" s="378">
        <v>519.342</v>
      </c>
      <c r="T146" s="378">
        <v>6283</v>
      </c>
      <c r="U146" s="378"/>
      <c r="V146" s="378"/>
      <c r="W146" s="378"/>
      <c r="X146" s="378"/>
      <c r="Y146" s="378"/>
      <c r="Z146" s="378"/>
      <c r="AA146" s="378"/>
      <c r="AB146" s="378"/>
      <c r="AD146" s="511"/>
      <c r="AE146" s="511"/>
      <c r="AF146" s="511"/>
    </row>
    <row r="147" spans="1:32" ht="12.75">
      <c r="A147" s="344">
        <v>2022</v>
      </c>
      <c r="B147" s="217" t="s">
        <v>69</v>
      </c>
      <c r="D147" s="379">
        <v>38942955.5937</v>
      </c>
      <c r="E147" s="612">
        <f t="shared" si="7"/>
        <v>24533</v>
      </c>
      <c r="F147" s="618">
        <v>16052959.55</v>
      </c>
      <c r="G147" s="617">
        <v>21699</v>
      </c>
      <c r="H147" s="618">
        <v>6057805.895</v>
      </c>
      <c r="I147" s="617">
        <v>2662</v>
      </c>
      <c r="J147" s="673">
        <v>15112198.5</v>
      </c>
      <c r="K147" s="673">
        <v>36488.10576</v>
      </c>
      <c r="L147" s="673">
        <v>172</v>
      </c>
      <c r="M147" s="378">
        <v>18873.375</v>
      </c>
      <c r="N147" s="378">
        <v>49</v>
      </c>
      <c r="O147" s="378">
        <v>643.445</v>
      </c>
      <c r="P147" s="378">
        <v>1.35</v>
      </c>
      <c r="Q147" s="378">
        <v>8</v>
      </c>
      <c r="R147" s="398">
        <v>168398</v>
      </c>
      <c r="S147" s="378">
        <v>519.342</v>
      </c>
      <c r="T147" s="378">
        <v>6283</v>
      </c>
      <c r="U147" s="378"/>
      <c r="V147" s="378"/>
      <c r="W147" s="378"/>
      <c r="X147" s="378"/>
      <c r="Y147" s="378"/>
      <c r="Z147" s="378"/>
      <c r="AA147" s="378"/>
      <c r="AB147" s="378"/>
      <c r="AD147" s="511"/>
      <c r="AE147" s="511"/>
      <c r="AF147" s="511"/>
    </row>
    <row r="148" spans="1:32" ht="12.75">
      <c r="A148" s="344">
        <v>2022</v>
      </c>
      <c r="B148" s="217" t="s">
        <v>68</v>
      </c>
      <c r="D148" s="379">
        <v>34315274.0672</v>
      </c>
      <c r="E148" s="612">
        <f t="shared" si="7"/>
        <v>24361</v>
      </c>
      <c r="F148" s="618">
        <v>13217717.119</v>
      </c>
      <c r="G148" s="617">
        <v>21527</v>
      </c>
      <c r="H148" s="618">
        <v>5264457.715</v>
      </c>
      <c r="I148" s="617">
        <v>2662</v>
      </c>
      <c r="J148" s="673">
        <v>14368264.5</v>
      </c>
      <c r="K148" s="673">
        <v>36513.78219000001</v>
      </c>
      <c r="L148" s="673">
        <v>172</v>
      </c>
      <c r="M148" s="378">
        <v>18264.557</v>
      </c>
      <c r="N148" s="378">
        <v>49</v>
      </c>
      <c r="O148" s="378">
        <v>622.689</v>
      </c>
      <c r="P148" s="378">
        <v>1.35</v>
      </c>
      <c r="Q148" s="378">
        <v>8</v>
      </c>
      <c r="R148" s="398">
        <v>182420</v>
      </c>
      <c r="S148" s="378">
        <v>519.342</v>
      </c>
      <c r="T148" s="378">
        <v>6283</v>
      </c>
      <c r="U148" s="378"/>
      <c r="V148" s="378"/>
      <c r="W148" s="378"/>
      <c r="X148" s="378"/>
      <c r="Y148" s="378"/>
      <c r="Z148" s="378"/>
      <c r="AA148" s="378"/>
      <c r="AB148" s="378"/>
      <c r="AD148" s="511"/>
      <c r="AE148" s="511"/>
      <c r="AF148" s="511"/>
    </row>
    <row r="149" spans="1:32" ht="12.75">
      <c r="A149" s="344">
        <v>2022</v>
      </c>
      <c r="B149" s="217" t="s">
        <v>67</v>
      </c>
      <c r="D149" s="379">
        <v>34341915.194199994</v>
      </c>
      <c r="E149" s="612">
        <f t="shared" si="7"/>
        <v>24381</v>
      </c>
      <c r="F149" s="618">
        <v>13742289.513</v>
      </c>
      <c r="G149" s="617">
        <v>21541</v>
      </c>
      <c r="H149" s="618">
        <v>5481172.604</v>
      </c>
      <c r="I149" s="617">
        <v>2668</v>
      </c>
      <c r="J149" s="673">
        <v>13831821.5</v>
      </c>
      <c r="K149" s="673">
        <v>35329.149209999996</v>
      </c>
      <c r="L149" s="673">
        <v>172</v>
      </c>
      <c r="M149" s="378">
        <v>18873.375</v>
      </c>
      <c r="N149" s="378">
        <v>49</v>
      </c>
      <c r="O149" s="378">
        <v>643.445</v>
      </c>
      <c r="P149" s="378">
        <v>1.35</v>
      </c>
      <c r="Q149" s="378">
        <v>9</v>
      </c>
      <c r="R149" s="398">
        <v>212541.1</v>
      </c>
      <c r="S149" s="378">
        <v>519.342</v>
      </c>
      <c r="T149" s="378">
        <v>6283</v>
      </c>
      <c r="U149" s="378"/>
      <c r="V149" s="378"/>
      <c r="W149" s="378"/>
      <c r="X149" s="378"/>
      <c r="Y149" s="378"/>
      <c r="Z149" s="378"/>
      <c r="AA149" s="378"/>
      <c r="AB149" s="378"/>
      <c r="AD149" s="511"/>
      <c r="AE149" s="511"/>
      <c r="AF149" s="511"/>
    </row>
    <row r="150" spans="1:32" ht="12.75">
      <c r="A150" s="344">
        <v>2022</v>
      </c>
      <c r="B150" s="217" t="s">
        <v>66</v>
      </c>
      <c r="D150" s="379">
        <v>37142391.188200004</v>
      </c>
      <c r="E150" s="612">
        <f t="shared" si="7"/>
        <v>24402</v>
      </c>
      <c r="F150" s="618">
        <v>15564654.719</v>
      </c>
      <c r="G150" s="617">
        <v>21558</v>
      </c>
      <c r="H150" s="618">
        <v>5864915.709</v>
      </c>
      <c r="I150" s="617">
        <v>2670</v>
      </c>
      <c r="J150" s="673">
        <v>14249249.4</v>
      </c>
      <c r="K150" s="673">
        <v>32908.10762999999</v>
      </c>
      <c r="L150" s="673">
        <v>174</v>
      </c>
      <c r="M150" s="378">
        <v>18264.557</v>
      </c>
      <c r="N150" s="378">
        <v>49</v>
      </c>
      <c r="O150" s="378">
        <v>622.689</v>
      </c>
      <c r="P150" s="378">
        <v>1.35</v>
      </c>
      <c r="Q150" s="378">
        <v>9</v>
      </c>
      <c r="R150" s="398">
        <v>225263.4</v>
      </c>
      <c r="S150" s="378">
        <v>519.342</v>
      </c>
      <c r="T150" s="378">
        <v>6283</v>
      </c>
      <c r="U150" s="378"/>
      <c r="V150" s="378"/>
      <c r="W150" s="378"/>
      <c r="X150" s="378"/>
      <c r="Y150" s="378"/>
      <c r="Z150" s="378"/>
      <c r="AA150" s="378"/>
      <c r="AB150" s="378"/>
      <c r="AD150" s="511"/>
      <c r="AE150" s="511"/>
      <c r="AF150" s="511"/>
    </row>
    <row r="151" spans="1:32" ht="12.75">
      <c r="A151" s="344">
        <v>2022</v>
      </c>
      <c r="B151" s="217" t="s">
        <v>65</v>
      </c>
      <c r="D151" s="379">
        <v>42267056.1342</v>
      </c>
      <c r="E151" s="612">
        <f t="shared" si="7"/>
        <v>24429</v>
      </c>
      <c r="F151" s="618">
        <v>19849020</v>
      </c>
      <c r="G151" s="617">
        <v>21581</v>
      </c>
      <c r="H151" s="618">
        <v>6860547.137</v>
      </c>
      <c r="I151" s="617">
        <v>2674</v>
      </c>
      <c r="J151" s="673">
        <v>13642722.7</v>
      </c>
      <c r="K151" s="673">
        <v>31550.867470000005</v>
      </c>
      <c r="L151" s="673">
        <v>174</v>
      </c>
      <c r="M151" s="378">
        <v>18873.375</v>
      </c>
      <c r="N151" s="378">
        <v>49</v>
      </c>
      <c r="O151" s="378">
        <v>643.445</v>
      </c>
      <c r="P151" s="378">
        <v>1.35</v>
      </c>
      <c r="Q151" s="378">
        <v>9</v>
      </c>
      <c r="R151" s="398">
        <v>245130</v>
      </c>
      <c r="S151" s="378">
        <v>519.342</v>
      </c>
      <c r="T151" s="378">
        <v>6283</v>
      </c>
      <c r="U151" s="378"/>
      <c r="V151" s="378"/>
      <c r="W151" s="378"/>
      <c r="X151" s="378"/>
      <c r="Y151" s="378"/>
      <c r="Z151" s="378"/>
      <c r="AA151" s="378"/>
      <c r="AB151" s="378"/>
      <c r="AD151" s="511"/>
      <c r="AE151" s="511"/>
      <c r="AF151" s="511"/>
    </row>
    <row r="153" spans="4:16" ht="14.25">
      <c r="D153" s="153"/>
      <c r="E153" s="153"/>
      <c r="F153" s="153"/>
      <c r="G153" s="153"/>
      <c r="H153" s="153"/>
      <c r="I153" s="153"/>
      <c r="J153" s="153"/>
      <c r="K153" s="153"/>
      <c r="L153" s="153"/>
      <c r="M153" s="153"/>
      <c r="N153" s="153"/>
      <c r="O153" s="153"/>
      <c r="P153" s="151"/>
    </row>
    <row r="154" spans="1:16" ht="15">
      <c r="A154" s="156" t="s">
        <v>85</v>
      </c>
      <c r="B154" s="226"/>
      <c r="C154" s="153"/>
      <c r="D154" s="154"/>
      <c r="E154" s="154"/>
      <c r="F154" s="153"/>
      <c r="G154" s="153"/>
      <c r="H154" s="153"/>
      <c r="I154" s="153"/>
      <c r="J154" s="153"/>
      <c r="K154" s="153"/>
      <c r="L154" s="153"/>
      <c r="M154" s="153"/>
      <c r="N154" s="153"/>
      <c r="O154" s="153"/>
      <c r="P154" s="151"/>
    </row>
    <row r="155" spans="1:16" ht="14.25">
      <c r="A155" s="154" t="s">
        <v>84</v>
      </c>
      <c r="B155" s="154"/>
      <c r="C155" s="154"/>
      <c r="D155" s="154"/>
      <c r="E155" s="154"/>
      <c r="F155" s="153"/>
      <c r="G155" s="153"/>
      <c r="H155" s="153"/>
      <c r="I155" s="153"/>
      <c r="J155" s="153"/>
      <c r="K155" s="153"/>
      <c r="L155" s="153"/>
      <c r="M155" s="153"/>
      <c r="N155" s="153"/>
      <c r="O155" s="153"/>
      <c r="P155" s="151"/>
    </row>
    <row r="156" spans="1:16" ht="14.25">
      <c r="A156" s="154" t="s">
        <v>83</v>
      </c>
      <c r="B156" s="154"/>
      <c r="C156" s="154"/>
      <c r="D156" s="154"/>
      <c r="E156" s="154"/>
      <c r="F156" s="153"/>
      <c r="G156" s="153"/>
      <c r="H156" s="153"/>
      <c r="I156" s="153"/>
      <c r="J156" s="153"/>
      <c r="K156" s="153"/>
      <c r="L156" s="153"/>
      <c r="M156" s="153"/>
      <c r="N156" s="153"/>
      <c r="O156" s="153"/>
      <c r="P156" s="151"/>
    </row>
    <row r="157" spans="1:16" ht="14.25">
      <c r="A157" s="154"/>
      <c r="B157" s="154"/>
      <c r="C157" s="154"/>
      <c r="D157" s="154"/>
      <c r="E157" s="154"/>
      <c r="F157" s="153"/>
      <c r="G157" s="153"/>
      <c r="H157" s="153"/>
      <c r="I157" s="153"/>
      <c r="J157" s="153"/>
      <c r="K157" s="153"/>
      <c r="L157" s="153"/>
      <c r="M157" s="153"/>
      <c r="N157" s="153"/>
      <c r="O157" s="153"/>
      <c r="P157" s="151"/>
    </row>
    <row r="158" spans="1:16" ht="15">
      <c r="A158" s="155" t="s">
        <v>82</v>
      </c>
      <c r="B158" s="155"/>
      <c r="C158" s="155"/>
      <c r="D158" s="150"/>
      <c r="E158" s="151"/>
      <c r="F158" s="150"/>
      <c r="G158" s="151"/>
      <c r="H158" s="151"/>
      <c r="I158" s="150"/>
      <c r="J158" s="151"/>
      <c r="K158" s="151"/>
      <c r="L158" s="150"/>
      <c r="M158" s="151"/>
      <c r="N158" s="151"/>
      <c r="O158" s="150"/>
      <c r="P158" s="151"/>
    </row>
    <row r="159" spans="1:3" ht="13.5" thickBot="1">
      <c r="A159" s="151"/>
      <c r="B159" s="151"/>
      <c r="C159" s="151"/>
    </row>
    <row r="160" spans="1:14" ht="16.5" thickTop="1">
      <c r="A160" s="614" t="s">
        <v>260</v>
      </c>
      <c r="B160" s="576"/>
      <c r="C160" s="577">
        <v>2013</v>
      </c>
      <c r="D160" s="577">
        <v>2014</v>
      </c>
      <c r="E160" s="577">
        <v>2015</v>
      </c>
      <c r="F160" s="577">
        <v>2016</v>
      </c>
      <c r="G160" s="577">
        <v>2017</v>
      </c>
      <c r="H160" s="577">
        <v>2018</v>
      </c>
      <c r="I160" s="577">
        <v>2019</v>
      </c>
      <c r="J160" s="577">
        <v>2020</v>
      </c>
      <c r="K160" s="577">
        <v>2021</v>
      </c>
      <c r="L160" s="577">
        <v>2022</v>
      </c>
      <c r="M160" s="577">
        <v>2023</v>
      </c>
      <c r="N160" s="577">
        <v>2024</v>
      </c>
    </row>
    <row r="161" spans="1:14" ht="12.75">
      <c r="A161" s="578" t="s">
        <v>76</v>
      </c>
      <c r="B161" s="576"/>
      <c r="C161" s="579">
        <f>D32</f>
        <v>45827933.03</v>
      </c>
      <c r="D161" s="579">
        <f aca="true" t="shared" si="8" ref="D161:D172">D44</f>
        <v>48560155.92</v>
      </c>
      <c r="E161" s="580">
        <f aca="true" t="shared" si="9" ref="E161:E172">D56</f>
        <v>48032768.75</v>
      </c>
      <c r="F161" s="579">
        <f aca="true" t="shared" si="10" ref="F161:F172">D68</f>
        <v>44182306.67243714</v>
      </c>
      <c r="G161" s="579">
        <f aca="true" t="shared" si="11" ref="G161:G172">D80</f>
        <v>41870353.92880271</v>
      </c>
      <c r="H161" s="579">
        <f aca="true" t="shared" si="12" ref="H161:H172">D92</f>
        <v>45303345.130447</v>
      </c>
      <c r="I161" s="579">
        <f aca="true" t="shared" si="13" ref="I161:I172">D104</f>
        <v>46360880.991009995</v>
      </c>
      <c r="J161" s="579">
        <f aca="true" t="shared" si="14" ref="J161:J172">D116</f>
        <v>43447689.20199999</v>
      </c>
      <c r="K161" s="579">
        <f aca="true" t="shared" si="15" ref="K161:K172">D128</f>
        <v>43527338.929699995</v>
      </c>
      <c r="L161" s="579">
        <f aca="true" t="shared" si="16" ref="L161:L172">D140</f>
        <v>47203417.384799995</v>
      </c>
      <c r="M161" s="605">
        <f>Forecast!C124</f>
        <v>45292195.3636142</v>
      </c>
      <c r="N161" s="605">
        <f>Forecast!C136</f>
        <v>45549480.23273444</v>
      </c>
    </row>
    <row r="162" spans="1:14" ht="12.75">
      <c r="A162" s="578" t="s">
        <v>75</v>
      </c>
      <c r="B162" s="576"/>
      <c r="C162" s="579">
        <f aca="true" t="shared" si="17" ref="C162:C172">D33</f>
        <v>41082657.47661409</v>
      </c>
      <c r="D162" s="579">
        <f t="shared" si="8"/>
        <v>43502029.07</v>
      </c>
      <c r="E162" s="580">
        <f t="shared" si="9"/>
        <v>47536664.53</v>
      </c>
      <c r="F162" s="579">
        <f t="shared" si="10"/>
        <v>40734589.01369439</v>
      </c>
      <c r="G162" s="579">
        <f t="shared" si="11"/>
        <v>36769365.05034043</v>
      </c>
      <c r="H162" s="579">
        <f t="shared" si="12"/>
        <v>38010441.551727</v>
      </c>
      <c r="I162" s="579">
        <f t="shared" si="13"/>
        <v>40126452.14</v>
      </c>
      <c r="J162" s="579">
        <f t="shared" si="14"/>
        <v>41046123.789</v>
      </c>
      <c r="K162" s="579">
        <f t="shared" si="15"/>
        <v>41279330.5436</v>
      </c>
      <c r="L162" s="579">
        <f t="shared" si="16"/>
        <v>41797636.53990001</v>
      </c>
      <c r="M162" s="605">
        <f>Forecast!C125</f>
        <v>41962571.51111336</v>
      </c>
      <c r="N162" s="605">
        <f>Forecast!C137</f>
        <v>42075078.11465473</v>
      </c>
    </row>
    <row r="163" spans="1:14" ht="12.75">
      <c r="A163" s="578" t="s">
        <v>74</v>
      </c>
      <c r="B163" s="576"/>
      <c r="C163" s="579">
        <f t="shared" si="17"/>
        <v>42975875.27200193</v>
      </c>
      <c r="D163" s="579">
        <f t="shared" si="8"/>
        <v>44749295.58</v>
      </c>
      <c r="E163" s="580">
        <f t="shared" si="9"/>
        <v>43095042.19</v>
      </c>
      <c r="F163" s="579">
        <f t="shared" si="10"/>
        <v>39051917.365899414</v>
      </c>
      <c r="G163" s="579">
        <f t="shared" si="11"/>
        <v>40358686.70367118</v>
      </c>
      <c r="H163" s="579">
        <f t="shared" si="12"/>
        <v>40822738.38310101</v>
      </c>
      <c r="I163" s="579">
        <f t="shared" si="13"/>
        <v>41742642.984000005</v>
      </c>
      <c r="J163" s="579">
        <f t="shared" si="14"/>
        <v>39146163.179</v>
      </c>
      <c r="K163" s="579">
        <f t="shared" si="15"/>
        <v>40171238.9648</v>
      </c>
      <c r="L163" s="579">
        <f t="shared" si="16"/>
        <v>42551682.3739</v>
      </c>
      <c r="M163" s="605">
        <f>Forecast!C126</f>
        <v>42470995.94513463</v>
      </c>
      <c r="N163" s="605">
        <f>Forecast!C138</f>
        <v>42577839.649134</v>
      </c>
    </row>
    <row r="164" spans="1:14" ht="12.75">
      <c r="A164" s="578" t="s">
        <v>73</v>
      </c>
      <c r="B164" s="576"/>
      <c r="C164" s="579">
        <f t="shared" si="17"/>
        <v>36308877.8110785</v>
      </c>
      <c r="D164" s="579">
        <f t="shared" si="8"/>
        <v>36703501.6</v>
      </c>
      <c r="E164" s="580">
        <f t="shared" si="9"/>
        <v>34966161.03</v>
      </c>
      <c r="F164" s="579">
        <f t="shared" si="10"/>
        <v>35582403.037717596</v>
      </c>
      <c r="G164" s="579">
        <f t="shared" si="11"/>
        <v>32359460.055404257</v>
      </c>
      <c r="H164" s="579">
        <f t="shared" si="12"/>
        <v>37268114.37110101</v>
      </c>
      <c r="I164" s="579">
        <f t="shared" si="13"/>
        <v>36007111.135000005</v>
      </c>
      <c r="J164" s="579">
        <f t="shared" si="14"/>
        <v>33162781.871000007</v>
      </c>
      <c r="K164" s="579">
        <f t="shared" si="15"/>
        <v>34273201.967099994</v>
      </c>
      <c r="L164" s="579">
        <f t="shared" si="16"/>
        <v>36094613.055</v>
      </c>
      <c r="M164" s="605">
        <f>Forecast!C127</f>
        <v>36768084.86853854</v>
      </c>
      <c r="N164" s="605">
        <f>Forecast!C139</f>
        <v>36859168.43516848</v>
      </c>
    </row>
    <row r="165" spans="1:14" ht="12.75">
      <c r="A165" s="578" t="s">
        <v>72</v>
      </c>
      <c r="B165" s="576"/>
      <c r="C165" s="579">
        <f t="shared" si="17"/>
        <v>34245332.76808478</v>
      </c>
      <c r="D165" s="579">
        <f t="shared" si="8"/>
        <v>33120207.87</v>
      </c>
      <c r="E165" s="580">
        <f t="shared" si="9"/>
        <v>32451518.59</v>
      </c>
      <c r="F165" s="579">
        <f t="shared" si="10"/>
        <v>32158070.062147</v>
      </c>
      <c r="G165" s="579">
        <f t="shared" si="11"/>
        <v>32466960.156876206</v>
      </c>
      <c r="H165" s="579">
        <f t="shared" si="12"/>
        <v>33661736.0785</v>
      </c>
      <c r="I165" s="579">
        <f t="shared" si="13"/>
        <v>33884250.907</v>
      </c>
      <c r="J165" s="579">
        <f t="shared" si="14"/>
        <v>33144752.307000004</v>
      </c>
      <c r="K165" s="579">
        <f t="shared" si="15"/>
        <v>33543165.898700003</v>
      </c>
      <c r="L165" s="579">
        <f t="shared" si="16"/>
        <v>34287485.0159</v>
      </c>
      <c r="M165" s="605">
        <f>Forecast!C128</f>
        <v>34381356.263512105</v>
      </c>
      <c r="N165" s="605">
        <f>Forecast!C140</f>
        <v>34553848.63845715</v>
      </c>
    </row>
    <row r="166" spans="1:14" ht="12.75">
      <c r="A166" s="578" t="s">
        <v>71</v>
      </c>
      <c r="B166" s="576"/>
      <c r="C166" s="579">
        <f t="shared" si="17"/>
        <v>33534201.495923758</v>
      </c>
      <c r="D166" s="579">
        <f t="shared" si="8"/>
        <v>31986696.49</v>
      </c>
      <c r="E166" s="580">
        <f t="shared" si="9"/>
        <v>31428888.54</v>
      </c>
      <c r="F166" s="579">
        <f t="shared" si="10"/>
        <v>32230294.531470016</v>
      </c>
      <c r="G166" s="579">
        <f t="shared" si="11"/>
        <v>31942168.662241776</v>
      </c>
      <c r="H166" s="579">
        <f t="shared" si="12"/>
        <v>33150240.258909997</v>
      </c>
      <c r="I166" s="579">
        <f t="shared" si="13"/>
        <v>32413450.978</v>
      </c>
      <c r="J166" s="579">
        <f t="shared" si="14"/>
        <v>34594857.988000005</v>
      </c>
      <c r="K166" s="579">
        <f t="shared" si="15"/>
        <v>37512786.45989999</v>
      </c>
      <c r="L166" s="579">
        <f t="shared" si="16"/>
        <v>34727203.90410001</v>
      </c>
      <c r="M166" s="605">
        <f>Forecast!C129</f>
        <v>33087581.035678785</v>
      </c>
      <c r="N166" s="605">
        <f>Forecast!C141</f>
        <v>33200711.78456646</v>
      </c>
    </row>
    <row r="167" spans="1:14" ht="12.75">
      <c r="A167" s="578" t="s">
        <v>70</v>
      </c>
      <c r="B167" s="576"/>
      <c r="C167" s="579">
        <f t="shared" si="17"/>
        <v>34321062.79874033</v>
      </c>
      <c r="D167" s="579">
        <f t="shared" si="8"/>
        <v>33114324.39</v>
      </c>
      <c r="E167" s="580">
        <f t="shared" si="9"/>
        <v>34059070.67</v>
      </c>
      <c r="F167" s="579">
        <f t="shared" si="10"/>
        <v>36050965.38800774</v>
      </c>
      <c r="G167" s="579">
        <f t="shared" si="11"/>
        <v>34485256.861729205</v>
      </c>
      <c r="H167" s="579">
        <f t="shared" si="12"/>
        <v>36985443.746902004</v>
      </c>
      <c r="I167" s="579">
        <f t="shared" si="13"/>
        <v>37948386.16900001</v>
      </c>
      <c r="J167" s="579">
        <f t="shared" si="14"/>
        <v>40573552.657000005</v>
      </c>
      <c r="K167" s="579">
        <f t="shared" si="15"/>
        <v>38597541.411</v>
      </c>
      <c r="L167" s="579">
        <f t="shared" si="16"/>
        <v>36965339.7436</v>
      </c>
      <c r="M167" s="605">
        <f>Forecast!C130</f>
        <v>37243663.55871541</v>
      </c>
      <c r="N167" s="605">
        <f>Forecast!C142</f>
        <v>37414166.41388912</v>
      </c>
    </row>
    <row r="168" spans="1:14" ht="12.75">
      <c r="A168" s="578" t="s">
        <v>69</v>
      </c>
      <c r="B168" s="576"/>
      <c r="C168" s="579">
        <f t="shared" si="17"/>
        <v>34126512.26</v>
      </c>
      <c r="D168" s="579">
        <f t="shared" si="8"/>
        <v>32996892.32</v>
      </c>
      <c r="E168" s="580">
        <f t="shared" si="9"/>
        <v>34233108.6</v>
      </c>
      <c r="F168" s="579">
        <f t="shared" si="10"/>
        <v>38144563.04270793</v>
      </c>
      <c r="G168" s="579">
        <f t="shared" si="11"/>
        <v>33750093.26521856</v>
      </c>
      <c r="H168" s="579">
        <f t="shared" si="12"/>
        <v>37978825.404948</v>
      </c>
      <c r="I168" s="579">
        <f t="shared" si="13"/>
        <v>35859378.324999996</v>
      </c>
      <c r="J168" s="579">
        <f t="shared" si="14"/>
        <v>38203279.18799999</v>
      </c>
      <c r="K168" s="579">
        <f t="shared" si="15"/>
        <v>40059213.5992</v>
      </c>
      <c r="L168" s="579">
        <f t="shared" si="16"/>
        <v>38942955.5937</v>
      </c>
      <c r="M168" s="605">
        <f>Forecast!C131</f>
        <v>37052096.73799666</v>
      </c>
      <c r="N168" s="605">
        <f>Forecast!C143</f>
        <v>37302084.71729624</v>
      </c>
    </row>
    <row r="169" spans="1:14" ht="12.75">
      <c r="A169" s="578" t="s">
        <v>68</v>
      </c>
      <c r="B169" s="576"/>
      <c r="C169" s="579">
        <f t="shared" si="17"/>
        <v>32127846.8</v>
      </c>
      <c r="D169" s="579">
        <f t="shared" si="8"/>
        <v>31808440.35</v>
      </c>
      <c r="E169" s="580">
        <f t="shared" si="9"/>
        <v>33226978.69</v>
      </c>
      <c r="F169" s="579">
        <f t="shared" si="10"/>
        <v>32958786.127098646</v>
      </c>
      <c r="G169" s="579">
        <f t="shared" si="11"/>
        <v>32126296.99355706</v>
      </c>
      <c r="H169" s="579">
        <f t="shared" si="12"/>
        <v>33668646.682027996</v>
      </c>
      <c r="I169" s="579">
        <f t="shared" si="13"/>
        <v>32309083.065000005</v>
      </c>
      <c r="J169" s="579">
        <f t="shared" si="14"/>
        <v>32819205.606000002</v>
      </c>
      <c r="K169" s="579">
        <f t="shared" si="15"/>
        <v>34178604.9412</v>
      </c>
      <c r="L169" s="579">
        <f t="shared" si="16"/>
        <v>34315274.0672</v>
      </c>
      <c r="M169" s="605">
        <f>Forecast!C132</f>
        <v>33048150.083901484</v>
      </c>
      <c r="N169" s="605">
        <f>Forecast!C144</f>
        <v>33181614.492592443</v>
      </c>
    </row>
    <row r="170" spans="1:14" ht="12.75">
      <c r="A170" s="578" t="s">
        <v>67</v>
      </c>
      <c r="B170" s="576"/>
      <c r="C170" s="579">
        <f t="shared" si="17"/>
        <v>35018158.9</v>
      </c>
      <c r="D170" s="579">
        <f t="shared" si="8"/>
        <v>34772519.56</v>
      </c>
      <c r="E170" s="580">
        <f t="shared" si="9"/>
        <v>38729355</v>
      </c>
      <c r="F170" s="579">
        <f t="shared" si="10"/>
        <v>33427318.886247583</v>
      </c>
      <c r="G170" s="579">
        <f t="shared" si="11"/>
        <v>32454033.777102515</v>
      </c>
      <c r="H170" s="579">
        <f t="shared" si="12"/>
        <v>32878906.859995</v>
      </c>
      <c r="I170" s="579">
        <f t="shared" si="13"/>
        <v>34937472.141</v>
      </c>
      <c r="J170" s="579">
        <f t="shared" si="14"/>
        <v>35693648.401</v>
      </c>
      <c r="K170" s="579">
        <f t="shared" si="15"/>
        <v>34477682.714700006</v>
      </c>
      <c r="L170" s="579">
        <f t="shared" si="16"/>
        <v>34341915.194199994</v>
      </c>
      <c r="M170" s="605">
        <f>Forecast!C133</f>
        <v>35480703.347477406</v>
      </c>
      <c r="N170" s="605">
        <f>Forecast!C145</f>
        <v>35656246.82566993</v>
      </c>
    </row>
    <row r="171" spans="1:14" ht="12.75">
      <c r="A171" s="578" t="s">
        <v>66</v>
      </c>
      <c r="B171" s="576"/>
      <c r="C171" s="579">
        <f t="shared" si="17"/>
        <v>39153191.85</v>
      </c>
      <c r="D171" s="579">
        <f t="shared" si="8"/>
        <v>39442096.3</v>
      </c>
      <c r="E171" s="580">
        <f t="shared" si="9"/>
        <v>35403758.38</v>
      </c>
      <c r="F171" s="579">
        <f t="shared" si="10"/>
        <v>34938643.68800774</v>
      </c>
      <c r="G171" s="579">
        <f t="shared" si="11"/>
        <v>37086665.36184913</v>
      </c>
      <c r="H171" s="579">
        <f t="shared" si="12"/>
        <v>39246375.131524995</v>
      </c>
      <c r="I171" s="579">
        <f t="shared" si="13"/>
        <v>40083049.746</v>
      </c>
      <c r="J171" s="579">
        <f t="shared" si="14"/>
        <v>36622836.334</v>
      </c>
      <c r="K171" s="579">
        <f t="shared" si="15"/>
        <v>38088839.1656</v>
      </c>
      <c r="L171" s="579">
        <f t="shared" si="16"/>
        <v>37142391.188200004</v>
      </c>
      <c r="M171" s="605">
        <f>Forecast!C134</f>
        <v>38282034.13597526</v>
      </c>
      <c r="N171" s="605">
        <f>Forecast!C146</f>
        <v>38288179.83479041</v>
      </c>
    </row>
    <row r="172" spans="1:14" ht="12.75">
      <c r="A172" s="578" t="s">
        <v>65</v>
      </c>
      <c r="B172" s="576"/>
      <c r="C172" s="579">
        <f t="shared" si="17"/>
        <v>46270575.63</v>
      </c>
      <c r="D172" s="579">
        <f t="shared" si="8"/>
        <v>42249291.58</v>
      </c>
      <c r="E172" s="580">
        <f t="shared" si="9"/>
        <v>42249291.58</v>
      </c>
      <c r="F172" s="579">
        <f t="shared" si="10"/>
        <v>41527820.80617021</v>
      </c>
      <c r="G172" s="579">
        <f t="shared" si="11"/>
        <v>42555872.96041586</v>
      </c>
      <c r="H172" s="579">
        <f t="shared" si="12"/>
        <v>41296482.416115</v>
      </c>
      <c r="I172" s="579">
        <f t="shared" si="13"/>
        <v>42216027.818</v>
      </c>
      <c r="J172" s="579">
        <f t="shared" si="14"/>
        <v>42343067.589999996</v>
      </c>
      <c r="K172" s="579">
        <f t="shared" si="15"/>
        <v>41741160.11999999</v>
      </c>
      <c r="L172" s="579">
        <f t="shared" si="16"/>
        <v>42267056.1342</v>
      </c>
      <c r="M172" s="605">
        <f>Forecast!C135</f>
        <v>42946063.1764472</v>
      </c>
      <c r="N172" s="605">
        <f>Forecast!C147</f>
        <v>42836238.585088745</v>
      </c>
    </row>
    <row r="173" spans="1:14" ht="12.75">
      <c r="A173" s="578" t="s">
        <v>81</v>
      </c>
      <c r="B173" s="576"/>
      <c r="C173" s="615">
        <f>SUM(C161:C172)</f>
        <v>454992226.09244335</v>
      </c>
      <c r="D173" s="615">
        <f>SUM(D161:D172)</f>
        <v>453005451.03000003</v>
      </c>
      <c r="E173" s="616">
        <f>SUM(E161:E172)</f>
        <v>455412606.55</v>
      </c>
      <c r="F173" s="615">
        <f aca="true" t="shared" si="18" ref="F173:L173">SUM(F161:F172)</f>
        <v>440987678.6216054</v>
      </c>
      <c r="G173" s="615">
        <f t="shared" si="18"/>
        <v>428225213.77720886</v>
      </c>
      <c r="H173" s="615">
        <f t="shared" si="18"/>
        <v>450271296.015299</v>
      </c>
      <c r="I173" s="615">
        <f t="shared" si="18"/>
        <v>453888186.39901006</v>
      </c>
      <c r="J173" s="615">
        <f t="shared" si="18"/>
        <v>450797958.112</v>
      </c>
      <c r="K173" s="615">
        <f t="shared" si="18"/>
        <v>457450104.7155</v>
      </c>
      <c r="L173" s="615">
        <f t="shared" si="18"/>
        <v>460636970.19469994</v>
      </c>
      <c r="M173" s="615">
        <f>SUM(M161:M172)</f>
        <v>458015496.02810496</v>
      </c>
      <c r="N173" s="615">
        <f>SUM(N161:N172)</f>
        <v>459494657.7240422</v>
      </c>
    </row>
    <row r="174" spans="1:14" ht="12.75">
      <c r="A174" s="581" t="s">
        <v>234</v>
      </c>
      <c r="B174" s="576"/>
      <c r="C174" s="582"/>
      <c r="D174" s="582"/>
      <c r="E174" s="583"/>
      <c r="F174" s="584"/>
      <c r="G174" s="584"/>
      <c r="H174" s="584"/>
      <c r="I174" s="584"/>
      <c r="J174" s="584"/>
      <c r="K174" s="584"/>
      <c r="L174" s="584"/>
      <c r="M174" s="584"/>
      <c r="N174" s="584"/>
    </row>
    <row r="175" spans="1:14" ht="13.5" thickBot="1">
      <c r="A175" s="620"/>
      <c r="B175" s="576"/>
      <c r="C175" s="621"/>
      <c r="D175" s="621"/>
      <c r="E175" s="622"/>
      <c r="F175" s="623"/>
      <c r="G175" s="623"/>
      <c r="H175" s="623"/>
      <c r="I175" s="623"/>
      <c r="J175" s="623"/>
      <c r="K175" s="623"/>
      <c r="L175" s="623"/>
      <c r="M175" s="623"/>
      <c r="N175" s="623"/>
    </row>
    <row r="176" spans="1:14" ht="16.5" thickTop="1">
      <c r="A176" s="614" t="s">
        <v>249</v>
      </c>
      <c r="B176" s="576"/>
      <c r="C176" s="624">
        <v>2013</v>
      </c>
      <c r="D176" s="624">
        <v>2014</v>
      </c>
      <c r="E176" s="624">
        <v>2015</v>
      </c>
      <c r="F176" s="624">
        <v>2016</v>
      </c>
      <c r="G176" s="624">
        <v>2017</v>
      </c>
      <c r="H176" s="624">
        <v>2018</v>
      </c>
      <c r="I176" s="624">
        <v>2019</v>
      </c>
      <c r="J176" s="624">
        <v>2020</v>
      </c>
      <c r="K176" s="624">
        <v>2021</v>
      </c>
      <c r="L176" s="624">
        <v>2022</v>
      </c>
      <c r="M176" s="624">
        <v>2023</v>
      </c>
      <c r="N176" s="624">
        <v>2024</v>
      </c>
    </row>
    <row r="177" spans="1:14" ht="12.75">
      <c r="A177" s="325" t="s">
        <v>250</v>
      </c>
      <c r="B177" s="144"/>
      <c r="C177" s="625">
        <v>436666604</v>
      </c>
      <c r="D177" s="625">
        <v>435737607</v>
      </c>
      <c r="E177" s="625">
        <v>430497706</v>
      </c>
      <c r="F177" s="625">
        <v>423340221</v>
      </c>
      <c r="G177" s="625">
        <v>415790203</v>
      </c>
      <c r="H177" s="625">
        <v>442080065</v>
      </c>
      <c r="I177" s="625">
        <v>443657476</v>
      </c>
      <c r="J177" s="625">
        <v>437158928</v>
      </c>
      <c r="K177" s="625">
        <v>440328981</v>
      </c>
      <c r="L177" s="625">
        <v>445112009</v>
      </c>
      <c r="M177" s="167"/>
      <c r="N177" s="167"/>
    </row>
    <row r="178" spans="1:14" ht="12.75">
      <c r="A178" s="325" t="s">
        <v>251</v>
      </c>
      <c r="B178" s="144"/>
      <c r="C178" s="626">
        <v>33953355</v>
      </c>
      <c r="D178" s="626">
        <v>33369663</v>
      </c>
      <c r="E178" s="626">
        <v>27949404</v>
      </c>
      <c r="F178" s="626">
        <v>17049299</v>
      </c>
      <c r="G178" s="626">
        <v>10112983</v>
      </c>
      <c r="H178" s="626">
        <v>26075623</v>
      </c>
      <c r="I178" s="626">
        <v>25804889</v>
      </c>
      <c r="J178" s="626">
        <v>39775431</v>
      </c>
      <c r="K178" s="627">
        <v>35936747</v>
      </c>
      <c r="L178" s="628">
        <v>32035695</v>
      </c>
      <c r="M178" s="167"/>
      <c r="N178" s="167"/>
    </row>
    <row r="179" spans="1:14" ht="12.75">
      <c r="A179" s="325" t="s">
        <v>252</v>
      </c>
      <c r="B179" s="144"/>
      <c r="C179" s="629">
        <v>669182</v>
      </c>
      <c r="D179" s="629">
        <v>833981</v>
      </c>
      <c r="E179" s="629">
        <v>999109</v>
      </c>
      <c r="F179" s="629">
        <v>1937098</v>
      </c>
      <c r="G179" s="629">
        <v>1654815</v>
      </c>
      <c r="H179" s="629">
        <f>2486848</f>
        <v>2486848</v>
      </c>
      <c r="I179" s="629">
        <v>2499758</v>
      </c>
      <c r="J179" s="629">
        <v>2624710</v>
      </c>
      <c r="K179" s="630">
        <v>2436280</v>
      </c>
      <c r="L179" s="630">
        <v>2314938</v>
      </c>
      <c r="M179" s="167"/>
      <c r="N179" s="167"/>
    </row>
    <row r="180" spans="1:14" ht="12.75">
      <c r="A180" s="325" t="s">
        <v>253</v>
      </c>
      <c r="B180" s="144"/>
      <c r="C180" s="629"/>
      <c r="D180" s="629">
        <v>2679047</v>
      </c>
      <c r="E180" s="629">
        <v>2686757</v>
      </c>
      <c r="F180" s="629">
        <v>2530476</v>
      </c>
      <c r="G180" s="629">
        <v>2322028</v>
      </c>
      <c r="H180" s="629">
        <v>84933</v>
      </c>
      <c r="I180" s="629"/>
      <c r="J180" s="629"/>
      <c r="K180" s="630"/>
      <c r="L180" s="630"/>
      <c r="M180" s="167"/>
      <c r="N180" s="167"/>
    </row>
    <row r="181" spans="1:14" ht="12.75">
      <c r="A181" s="325" t="s">
        <v>254</v>
      </c>
      <c r="B181" s="144"/>
      <c r="C181" s="625">
        <f>C177+C178-C179+C180</f>
        <v>469950777</v>
      </c>
      <c r="D181" s="625">
        <f aca="true" t="shared" si="19" ref="D181:L181">D177+D178-D179+D180</f>
        <v>470952336</v>
      </c>
      <c r="E181" s="625">
        <f t="shared" si="19"/>
        <v>460134758</v>
      </c>
      <c r="F181" s="625">
        <f t="shared" si="19"/>
        <v>440982898</v>
      </c>
      <c r="G181" s="625">
        <f t="shared" si="19"/>
        <v>426570399</v>
      </c>
      <c r="H181" s="625">
        <f t="shared" si="19"/>
        <v>465753773</v>
      </c>
      <c r="I181" s="625">
        <f t="shared" si="19"/>
        <v>466962607</v>
      </c>
      <c r="J181" s="625">
        <f t="shared" si="19"/>
        <v>474309649</v>
      </c>
      <c r="K181" s="625">
        <f t="shared" si="19"/>
        <v>473829448</v>
      </c>
      <c r="L181" s="625">
        <f t="shared" si="19"/>
        <v>474832766</v>
      </c>
      <c r="M181" s="167"/>
      <c r="N181" s="167"/>
    </row>
    <row r="182" spans="1:16" ht="12.75">
      <c r="A182" s="325" t="s">
        <v>261</v>
      </c>
      <c r="B182" s="144"/>
      <c r="C182" s="631">
        <f>C173-C181</f>
        <v>-14958550.907556653</v>
      </c>
      <c r="D182" s="631">
        <f aca="true" t="shared" si="20" ref="D182:L182">D173-D181</f>
        <v>-17946884.96999997</v>
      </c>
      <c r="E182" s="631">
        <f t="shared" si="20"/>
        <v>-4722151.449999988</v>
      </c>
      <c r="F182" s="631">
        <f t="shared" si="20"/>
        <v>4780.621605396271</v>
      </c>
      <c r="G182" s="631">
        <f t="shared" si="20"/>
        <v>1654814.7772088647</v>
      </c>
      <c r="H182" s="631">
        <f t="shared" si="20"/>
        <v>-15482476.984700978</v>
      </c>
      <c r="I182" s="631">
        <f t="shared" si="20"/>
        <v>-13074420.600989938</v>
      </c>
      <c r="J182" s="631">
        <f t="shared" si="20"/>
        <v>-23511690.88800001</v>
      </c>
      <c r="K182" s="631">
        <f t="shared" si="20"/>
        <v>-16379343.284500003</v>
      </c>
      <c r="L182" s="631">
        <f t="shared" si="20"/>
        <v>-14195795.805300057</v>
      </c>
      <c r="M182" s="167"/>
      <c r="N182" s="167"/>
      <c r="P182" s="644" t="s">
        <v>59</v>
      </c>
    </row>
    <row r="183" spans="1:14" ht="13.5" thickBot="1">
      <c r="A183" s="576"/>
      <c r="B183" s="576"/>
      <c r="C183" s="585"/>
      <c r="D183" s="585"/>
      <c r="E183" s="586"/>
      <c r="F183" s="576"/>
      <c r="G183" s="576"/>
      <c r="H183" s="576"/>
      <c r="I183" s="576"/>
      <c r="J183" s="576"/>
      <c r="K183" s="576"/>
      <c r="L183" s="645"/>
      <c r="M183" s="576"/>
      <c r="N183" s="576"/>
    </row>
    <row r="184" spans="1:14" ht="16.5" thickTop="1">
      <c r="A184" s="614" t="s">
        <v>259</v>
      </c>
      <c r="B184" s="576"/>
      <c r="C184" s="577">
        <f>C160</f>
        <v>2013</v>
      </c>
      <c r="D184" s="577">
        <f aca="true" t="shared" si="21" ref="D184:N184">D160</f>
        <v>2014</v>
      </c>
      <c r="E184" s="577">
        <f t="shared" si="21"/>
        <v>2015</v>
      </c>
      <c r="F184" s="577">
        <f t="shared" si="21"/>
        <v>2016</v>
      </c>
      <c r="G184" s="577">
        <f t="shared" si="21"/>
        <v>2017</v>
      </c>
      <c r="H184" s="577">
        <f t="shared" si="21"/>
        <v>2018</v>
      </c>
      <c r="I184" s="577">
        <f t="shared" si="21"/>
        <v>2019</v>
      </c>
      <c r="J184" s="577">
        <f t="shared" si="21"/>
        <v>2020</v>
      </c>
      <c r="K184" s="577">
        <f t="shared" si="21"/>
        <v>2021</v>
      </c>
      <c r="L184" s="577">
        <f t="shared" si="21"/>
        <v>2022</v>
      </c>
      <c r="M184" s="577">
        <f t="shared" si="21"/>
        <v>2023</v>
      </c>
      <c r="N184" s="577">
        <f t="shared" si="21"/>
        <v>2024</v>
      </c>
    </row>
    <row r="185" spans="1:14" ht="12.75">
      <c r="A185" s="587" t="s">
        <v>62</v>
      </c>
      <c r="B185" s="588"/>
      <c r="C185" s="589"/>
      <c r="D185" s="589"/>
      <c r="E185" s="590"/>
      <c r="F185" s="589"/>
      <c r="G185" s="589"/>
      <c r="H185" s="589"/>
      <c r="I185" s="589"/>
      <c r="J185" s="589"/>
      <c r="K185" s="589"/>
      <c r="L185" s="589"/>
      <c r="M185" s="589"/>
      <c r="N185" s="589"/>
    </row>
    <row r="186" spans="1:14" ht="12.75">
      <c r="A186" s="591" t="s">
        <v>235</v>
      </c>
      <c r="B186" s="588"/>
      <c r="C186" s="592">
        <f>SUM($F32:$F43)</f>
        <v>194595055.7587184</v>
      </c>
      <c r="D186" s="592">
        <f>SUM($F44:$F55)</f>
        <v>193810675.42821345</v>
      </c>
      <c r="E186" s="592">
        <f>SUM($F56:$F67)</f>
        <v>185320983.53799996</v>
      </c>
      <c r="F186" s="592">
        <f>SUM($F68:$F79)</f>
        <v>179123216.213</v>
      </c>
      <c r="G186" s="592">
        <f>SUM($F80:$F91)</f>
        <v>175230053.39799997</v>
      </c>
      <c r="H186" s="592">
        <f>SUM($F92:$F103)</f>
        <v>189038322.37500003</v>
      </c>
      <c r="I186" s="592">
        <f>SUM($F104:$F115)</f>
        <v>188724158.96599996</v>
      </c>
      <c r="J186" s="592">
        <f>SUM($F116:$F127)</f>
        <v>195030079.061</v>
      </c>
      <c r="K186" s="592">
        <f>SUM($F128:$F139)</f>
        <v>195812266.30999997</v>
      </c>
      <c r="L186" s="592">
        <f>SUM($F140:$F151)</f>
        <v>198504570.42700002</v>
      </c>
      <c r="M186" s="606">
        <f>'Bridge&amp;Test Year Class Forecast'!G22</f>
        <v>192599398.1170233</v>
      </c>
      <c r="N186" s="606">
        <f>'Bridge&amp;Test Year Class Forecast'!F16</f>
        <v>193221398.14720958</v>
      </c>
    </row>
    <row r="187" spans="1:14" ht="12.75">
      <c r="A187" s="591" t="s">
        <v>236</v>
      </c>
      <c r="B187" s="588"/>
      <c r="C187" s="592">
        <f>E6</f>
        <v>19927.25</v>
      </c>
      <c r="D187" s="592">
        <f>E7</f>
        <v>20032.333333333332</v>
      </c>
      <c r="E187" s="593">
        <f>E8</f>
        <v>20134.916666666668</v>
      </c>
      <c r="F187" s="592">
        <f>$E9</f>
        <v>20269.166666666668</v>
      </c>
      <c r="G187" s="592">
        <f>$E10</f>
        <v>20518</v>
      </c>
      <c r="H187" s="592">
        <f>$E11</f>
        <v>20697.333333333332</v>
      </c>
      <c r="I187" s="592">
        <f>$E12</f>
        <v>20873.333333333332</v>
      </c>
      <c r="J187" s="592">
        <f>E13</f>
        <v>21063.5</v>
      </c>
      <c r="K187" s="592">
        <f>E14</f>
        <v>21279</v>
      </c>
      <c r="L187" s="592">
        <f>$E15</f>
        <v>21510.333333333332</v>
      </c>
      <c r="M187" s="606">
        <f>$E19</f>
        <v>21693.818578541075</v>
      </c>
      <c r="N187" s="606">
        <f>$E20</f>
        <v>21878.868970819633</v>
      </c>
    </row>
    <row r="188" spans="1:14" ht="12.75">
      <c r="A188" s="591"/>
      <c r="B188" s="588"/>
      <c r="C188" s="594"/>
      <c r="D188" s="594"/>
      <c r="E188" s="595"/>
      <c r="F188" s="594"/>
      <c r="G188" s="594"/>
      <c r="H188" s="594"/>
      <c r="I188" s="594"/>
      <c r="J188" s="594"/>
      <c r="K188" s="594"/>
      <c r="L188" s="594"/>
      <c r="M188" s="594"/>
      <c r="N188" s="594"/>
    </row>
    <row r="189" spans="1:14" ht="12.75">
      <c r="A189" s="587" t="s">
        <v>61</v>
      </c>
      <c r="B189" s="588"/>
      <c r="C189" s="594"/>
      <c r="D189" s="594"/>
      <c r="E189" s="595"/>
      <c r="F189" s="594"/>
      <c r="G189" s="594"/>
      <c r="H189" s="594"/>
      <c r="I189" s="594"/>
      <c r="J189" s="594"/>
      <c r="K189" s="594"/>
      <c r="L189" s="594"/>
      <c r="M189" s="594"/>
      <c r="N189" s="594"/>
    </row>
    <row r="190" spans="1:14" ht="12.75">
      <c r="A190" s="591" t="s">
        <v>235</v>
      </c>
      <c r="B190" s="588"/>
      <c r="C190" s="592">
        <f>SUM($H32:$H43)</f>
        <v>65659946.47047887</v>
      </c>
      <c r="D190" s="592">
        <f>SUM($H44:$H55)</f>
        <v>67910428</v>
      </c>
      <c r="E190" s="592">
        <f>SUM($H56:$H67)</f>
        <v>65575774.618999995</v>
      </c>
      <c r="F190" s="592">
        <f>SUM($H68:$H79)</f>
        <v>65361600.17899999</v>
      </c>
      <c r="G190" s="592">
        <f>SUM($H80:$H91)</f>
        <v>67751219.376</v>
      </c>
      <c r="H190" s="592">
        <f>SUM($H92:$H103)</f>
        <v>71822559.907</v>
      </c>
      <c r="I190" s="592">
        <f>SUM($H104:$H115)</f>
        <v>72750960.34200001</v>
      </c>
      <c r="J190" s="592">
        <f>SUM($H116:$H127)</f>
        <v>68092748.37</v>
      </c>
      <c r="K190" s="592">
        <f>SUM($H128:$H139)</f>
        <v>69561352.27299999</v>
      </c>
      <c r="L190" s="592">
        <f>SUM($H140:$H151)</f>
        <v>73619512.518</v>
      </c>
      <c r="M190" s="606">
        <f>'Bridge&amp;Test Year Class Forecast'!F39</f>
        <v>69955931.4315023</v>
      </c>
      <c r="N190" s="606">
        <f>'Bridge&amp;Test Year Class Forecast'!F40</f>
        <v>70181854.21157072</v>
      </c>
    </row>
    <row r="191" spans="1:14" ht="12.75">
      <c r="A191" s="591" t="s">
        <v>236</v>
      </c>
      <c r="B191" s="588"/>
      <c r="C191" s="592">
        <f>G6</f>
        <v>2499.1666666666665</v>
      </c>
      <c r="D191" s="592">
        <f>G7</f>
        <v>2531</v>
      </c>
      <c r="E191" s="593">
        <f>G8</f>
        <v>2526.1666666666665</v>
      </c>
      <c r="F191" s="592">
        <f>$G9</f>
        <v>2545.8333333333335</v>
      </c>
      <c r="G191" s="592">
        <f>$G10</f>
        <v>2578.6363636363635</v>
      </c>
      <c r="H191" s="592">
        <f>$G11</f>
        <v>2577.8333333333335</v>
      </c>
      <c r="I191" s="592">
        <f>$G12</f>
        <v>2587</v>
      </c>
      <c r="J191" s="592">
        <f>G13</f>
        <v>2609.9166666666665</v>
      </c>
      <c r="K191" s="592">
        <f>G14</f>
        <v>2622.25</v>
      </c>
      <c r="L191" s="592">
        <f>$G15</f>
        <v>2654.0833333333335</v>
      </c>
      <c r="M191" s="606">
        <f>$G19</f>
        <v>2671.8784866122232</v>
      </c>
      <c r="N191" s="606">
        <f>$G20</f>
        <v>2689.7929532058993</v>
      </c>
    </row>
    <row r="192" spans="1:14" ht="12.75">
      <c r="A192" s="591"/>
      <c r="B192" s="588"/>
      <c r="C192" s="594"/>
      <c r="D192" s="594"/>
      <c r="E192" s="595"/>
      <c r="F192" s="594"/>
      <c r="G192" s="594"/>
      <c r="H192" s="594"/>
      <c r="I192" s="594"/>
      <c r="J192" s="594"/>
      <c r="K192" s="594"/>
      <c r="L192" s="594"/>
      <c r="M192" s="594"/>
      <c r="N192" s="594"/>
    </row>
    <row r="193" spans="1:14" ht="12.75">
      <c r="A193" s="587" t="s">
        <v>60</v>
      </c>
      <c r="B193" s="576"/>
      <c r="C193" s="594"/>
      <c r="D193" s="594"/>
      <c r="E193" s="595"/>
      <c r="F193" s="594"/>
      <c r="G193" s="594"/>
      <c r="H193" s="594"/>
      <c r="I193" s="594"/>
      <c r="J193" s="594"/>
      <c r="K193" s="594"/>
      <c r="L193" s="594"/>
      <c r="M193" s="594"/>
      <c r="N193" s="594"/>
    </row>
    <row r="194" spans="1:14" ht="12.75">
      <c r="A194" s="591" t="s">
        <v>235</v>
      </c>
      <c r="B194" s="576"/>
      <c r="C194" s="592">
        <f>SUM($J32:$J43)</f>
        <v>171169775.99999997</v>
      </c>
      <c r="D194" s="592">
        <f>SUM($J44:$J55)</f>
        <v>168755215.00000006</v>
      </c>
      <c r="E194" s="592">
        <f>SUM($J56:$J67)</f>
        <v>176163146.00000006</v>
      </c>
      <c r="F194" s="592">
        <f>SUM($J68:$J79)</f>
        <v>178404939.04</v>
      </c>
      <c r="G194" s="592">
        <f>SUM($J80:$J91)</f>
        <v>172094364.784</v>
      </c>
      <c r="H194" s="592">
        <f>SUM($J92:$J103)</f>
        <v>178565971.013</v>
      </c>
      <c r="I194" s="592">
        <f>SUM($J104:$J115)</f>
        <v>179642751.9</v>
      </c>
      <c r="J194" s="592">
        <f>SUM($J116:$J127)</f>
        <v>171472845.8</v>
      </c>
      <c r="K194" s="592">
        <f>SUM($J128:$J139)</f>
        <v>172409862.634</v>
      </c>
      <c r="L194" s="592">
        <f>SUM($J140:$J151)</f>
        <v>170442714.49999997</v>
      </c>
      <c r="M194" s="606">
        <f>'Bridge&amp;Test Year Class Forecast'!J63</f>
        <v>176868613.1636885</v>
      </c>
      <c r="N194" s="606">
        <f>'Bridge&amp;Test Year Class Forecast'!J64</f>
        <v>177439810.60149136</v>
      </c>
    </row>
    <row r="195" spans="1:14" ht="12.75">
      <c r="A195" s="591" t="s">
        <v>237</v>
      </c>
      <c r="B195" s="576"/>
      <c r="C195" s="607">
        <f>SUM($K32:$K43)</f>
        <v>476638.55048000003</v>
      </c>
      <c r="D195" s="607">
        <f>SUM($K44:$K55)</f>
        <v>459991.31669666676</v>
      </c>
      <c r="E195" s="607">
        <f>SUM($K56:$K67)</f>
        <v>460418.41745999997</v>
      </c>
      <c r="F195" s="607">
        <f>SUM($K68:$K79)</f>
        <v>497479.4147300001</v>
      </c>
      <c r="G195" s="592">
        <f>SUM($K80:$K91)-G215</f>
        <v>439035.3609600001</v>
      </c>
      <c r="H195" s="592">
        <f>SUM($K92:$K103)-H215</f>
        <v>455528.08408</v>
      </c>
      <c r="I195" s="592">
        <f>SUM($K104:$K115)-I215</f>
        <v>444478.41176999995</v>
      </c>
      <c r="J195" s="592">
        <f>SUM($K116:$K127)-J215</f>
        <v>426592.67704999994</v>
      </c>
      <c r="K195" s="592">
        <f>SUM($K128:$K139)-K215</f>
        <v>429335.51749</v>
      </c>
      <c r="L195" s="592">
        <f>SUM($K140:$K151)-L215</f>
        <v>422433.4543</v>
      </c>
      <c r="M195" s="606">
        <f>'Bridge&amp;Test Year Class Forecast'!K63</f>
        <v>443140.4116926996</v>
      </c>
      <c r="N195" s="606">
        <f>'Bridge&amp;Test Year Class Forecast'!K64</f>
        <v>444571.53428261617</v>
      </c>
    </row>
    <row r="196" spans="1:14" ht="12.75">
      <c r="A196" s="591" t="s">
        <v>236</v>
      </c>
      <c r="B196" s="576"/>
      <c r="C196" s="607">
        <f>$I6</f>
        <v>270.8333333333333</v>
      </c>
      <c r="D196" s="607">
        <f>$I7</f>
        <v>235.66666666666666</v>
      </c>
      <c r="E196" s="608">
        <f>$I8</f>
        <v>235.66666666666666</v>
      </c>
      <c r="F196" s="607">
        <f>$I9</f>
        <v>233.83333333333334</v>
      </c>
      <c r="G196" s="592">
        <f>$I10</f>
        <v>199.8181818181818</v>
      </c>
      <c r="H196" s="592">
        <f>$I11</f>
        <v>190.5</v>
      </c>
      <c r="I196" s="592">
        <f>$I12</f>
        <v>193.75</v>
      </c>
      <c r="J196" s="592">
        <f>I13</f>
        <v>183.41666666666666</v>
      </c>
      <c r="K196" s="592">
        <f>I14</f>
        <v>181.58333333333334</v>
      </c>
      <c r="L196" s="592">
        <f>$I15</f>
        <v>170.91666666666666</v>
      </c>
      <c r="M196" s="606">
        <f>$I19</f>
        <v>162.39450750401514</v>
      </c>
      <c r="N196" s="606">
        <f>$I20</f>
        <v>154.2972758701412</v>
      </c>
    </row>
    <row r="197" spans="1:14" ht="12.75">
      <c r="A197" s="596"/>
      <c r="B197" s="576"/>
      <c r="C197" s="594"/>
      <c r="D197" s="594"/>
      <c r="E197" s="595"/>
      <c r="F197" s="594"/>
      <c r="G197" s="594"/>
      <c r="H197" s="594"/>
      <c r="I197" s="594"/>
      <c r="J197" s="594"/>
      <c r="K197" s="594"/>
      <c r="L197" s="594"/>
      <c r="M197" s="594"/>
      <c r="N197" s="594"/>
    </row>
    <row r="198" spans="1:14" ht="12.75">
      <c r="A198" s="587" t="s">
        <v>184</v>
      </c>
      <c r="B198" s="576"/>
      <c r="C198" s="594"/>
      <c r="D198" s="594"/>
      <c r="E198" s="595"/>
      <c r="F198" s="594"/>
      <c r="G198" s="594"/>
      <c r="H198" s="594"/>
      <c r="I198" s="594"/>
      <c r="J198" s="594"/>
      <c r="K198" s="594"/>
      <c r="L198" s="594"/>
      <c r="M198" s="594"/>
      <c r="N198" s="594"/>
    </row>
    <row r="199" spans="1:14" ht="12.75">
      <c r="A199" s="591" t="s">
        <v>235</v>
      </c>
      <c r="B199" s="576"/>
      <c r="C199" s="592">
        <f>SUM($M32:$M43)</f>
        <v>290220.44745927386</v>
      </c>
      <c r="D199" s="592">
        <f>SUM($M44:$M55)</f>
        <v>287774.77200719935</v>
      </c>
      <c r="E199" s="592">
        <f>SUM($M56:$M67)</f>
        <v>287774.772</v>
      </c>
      <c r="F199" s="592">
        <f>SUM($M68:$M79)</f>
        <v>277131.966</v>
      </c>
      <c r="G199" s="592">
        <f>SUM($M80:$M91)</f>
        <v>261752.327</v>
      </c>
      <c r="H199" s="592">
        <f>SUM($M92:$M103)</f>
        <v>241032.331</v>
      </c>
      <c r="I199" s="592">
        <f>SUM($M104:$M115)</f>
        <v>222616.579</v>
      </c>
      <c r="J199" s="592">
        <f>SUM($M116:$M127)</f>
        <v>223044.18</v>
      </c>
      <c r="K199" s="592">
        <f>SUM($M128:$M139)</f>
        <v>222382.693</v>
      </c>
      <c r="L199" s="592">
        <f>SUM($M140:$M151)</f>
        <v>222218.772</v>
      </c>
      <c r="M199" s="606">
        <f>'Bridge&amp;Test Year Class Forecast'!B87</f>
        <v>217683.69502040817</v>
      </c>
      <c r="N199" s="606">
        <f>'Bridge&amp;Test Year Class Forecast'!B88</f>
        <v>213148.61804081633</v>
      </c>
    </row>
    <row r="200" spans="1:14" ht="12.75">
      <c r="A200" s="591" t="s">
        <v>237</v>
      </c>
      <c r="B200" s="576"/>
      <c r="C200" s="592"/>
      <c r="D200" s="592"/>
      <c r="E200" s="592"/>
      <c r="F200" s="592"/>
      <c r="G200" s="592"/>
      <c r="H200" s="592"/>
      <c r="I200" s="592"/>
      <c r="J200" s="592"/>
      <c r="K200" s="592"/>
      <c r="L200" s="592"/>
      <c r="M200" s="606"/>
      <c r="N200" s="606"/>
    </row>
    <row r="201" spans="1:14" ht="12.75">
      <c r="A201" s="591" t="s">
        <v>236</v>
      </c>
      <c r="B201" s="576"/>
      <c r="C201" s="592">
        <f>$K6</f>
        <v>58</v>
      </c>
      <c r="D201" s="592">
        <f>$K7</f>
        <v>57</v>
      </c>
      <c r="E201" s="593">
        <f>$K8</f>
        <v>57</v>
      </c>
      <c r="F201" s="592">
        <f>$K9</f>
        <v>56.583333333333336</v>
      </c>
      <c r="G201" s="592">
        <f>$K10</f>
        <v>54.18181818181818</v>
      </c>
      <c r="H201" s="592">
        <f>$K11</f>
        <v>52.833333333333336</v>
      </c>
      <c r="I201" s="592">
        <f>$K12</f>
        <v>50.333333333333336</v>
      </c>
      <c r="J201" s="592">
        <f>K13</f>
        <v>50</v>
      </c>
      <c r="K201" s="592">
        <f>K14</f>
        <v>49.75</v>
      </c>
      <c r="L201" s="592">
        <f>$K15</f>
        <v>49</v>
      </c>
      <c r="M201" s="606">
        <f>$K19</f>
        <v>48.09048984164403</v>
      </c>
      <c r="N201" s="606">
        <f>$K20</f>
        <v>47.197861494066686</v>
      </c>
    </row>
    <row r="202" spans="1:14" ht="12.75">
      <c r="A202" s="596"/>
      <c r="B202" s="576"/>
      <c r="C202" s="594"/>
      <c r="D202" s="594"/>
      <c r="E202" s="595"/>
      <c r="F202" s="594"/>
      <c r="G202" s="594"/>
      <c r="H202" s="594"/>
      <c r="I202" s="594"/>
      <c r="J202" s="594"/>
      <c r="K202" s="594"/>
      <c r="L202" s="594"/>
      <c r="M202" s="594"/>
      <c r="N202" s="594"/>
    </row>
    <row r="203" spans="1:14" ht="12.75">
      <c r="A203" s="587" t="s">
        <v>238</v>
      </c>
      <c r="B203" s="576"/>
      <c r="C203" s="594"/>
      <c r="D203" s="594"/>
      <c r="E203" s="595"/>
      <c r="F203" s="594"/>
      <c r="G203" s="594"/>
      <c r="H203" s="594"/>
      <c r="I203" s="594"/>
      <c r="J203" s="594"/>
      <c r="K203" s="594"/>
      <c r="L203" s="594"/>
      <c r="M203" s="594"/>
      <c r="N203" s="594"/>
    </row>
    <row r="204" spans="1:14" ht="12.75">
      <c r="A204" s="591" t="s">
        <v>235</v>
      </c>
      <c r="B204" s="576"/>
      <c r="C204" s="592">
        <f>SUM($O32:$O43)</f>
        <v>14674.095</v>
      </c>
      <c r="D204" s="592">
        <f>SUM($O44:$O55)</f>
        <v>14674.095</v>
      </c>
      <c r="E204" s="592">
        <f>SUM($O56:$O67)</f>
        <v>11495.824000000002</v>
      </c>
      <c r="F204" s="592">
        <f>SUM($O68:$O79)</f>
        <v>6019.398</v>
      </c>
      <c r="G204" s="592">
        <f>SUM($O80:$O91)</f>
        <v>7857.688999999999</v>
      </c>
      <c r="H204" s="592">
        <f>SUM($O92:$O103)</f>
        <v>7695.026000000001</v>
      </c>
      <c r="I204" s="592">
        <f>SUM($O104:$O115)</f>
        <v>7577.467999999999</v>
      </c>
      <c r="J204" s="592">
        <f>SUM($O116:$O127)</f>
        <v>7597.115</v>
      </c>
      <c r="K204" s="592">
        <f>SUM($O128:$O139)</f>
        <v>7576.029999999998</v>
      </c>
      <c r="L204" s="592">
        <f>SUM($O140:$O151)</f>
        <v>7576.047</v>
      </c>
      <c r="M204" s="606">
        <f>'Bridge&amp;Test Year Class Forecast'!B108</f>
        <v>7249</v>
      </c>
      <c r="N204" s="606">
        <f>'Bridge&amp;Test Year Class Forecast'!B109</f>
        <v>7210</v>
      </c>
    </row>
    <row r="205" spans="1:14" ht="12.75">
      <c r="A205" s="591" t="s">
        <v>237</v>
      </c>
      <c r="B205" s="576"/>
      <c r="C205" s="592">
        <f>SUM($P32:$P43)</f>
        <v>19.335</v>
      </c>
      <c r="D205" s="592">
        <f>SUM($P44:$P55)</f>
        <v>16.2</v>
      </c>
      <c r="E205" s="592">
        <f>SUM($P56:$P67)</f>
        <v>16.2</v>
      </c>
      <c r="F205" s="592">
        <f>SUM($P68:$P79)</f>
        <v>16.2</v>
      </c>
      <c r="G205" s="592">
        <f>SUM($P80:$P91)</f>
        <v>16.2</v>
      </c>
      <c r="H205" s="592">
        <f>SUM($P92:$P103)</f>
        <v>16.2</v>
      </c>
      <c r="I205" s="592">
        <f>SUM($P104:$P115)</f>
        <v>16.2</v>
      </c>
      <c r="J205" s="592">
        <f>SUM($P116:$P127)</f>
        <v>16.2</v>
      </c>
      <c r="K205" s="592">
        <f>SUM($P128:$P139)</f>
        <v>16.2</v>
      </c>
      <c r="L205" s="592">
        <f>SUM($P140:$P151)</f>
        <v>16.2</v>
      </c>
      <c r="M205" s="606">
        <f>'Bridge&amp;Test Year Class Forecast'!C108</f>
        <v>16</v>
      </c>
      <c r="N205" s="606">
        <f>'Bridge&amp;Test Year Class Forecast'!C109</f>
        <v>16</v>
      </c>
    </row>
    <row r="206" spans="1:14" ht="12.75">
      <c r="A206" s="591" t="s">
        <v>236</v>
      </c>
      <c r="B206" s="576"/>
      <c r="C206" s="592">
        <f>$M6</f>
        <v>8.833333333333334</v>
      </c>
      <c r="D206" s="592">
        <f>$M7</f>
        <v>8</v>
      </c>
      <c r="E206" s="593">
        <f>$M8</f>
        <v>8</v>
      </c>
      <c r="F206" s="592">
        <f>$M9</f>
        <v>7.916666666666667</v>
      </c>
      <c r="G206" s="592">
        <f>$M10</f>
        <v>8</v>
      </c>
      <c r="H206" s="592">
        <f>$M11</f>
        <v>9.333333333333334</v>
      </c>
      <c r="I206" s="592">
        <f>$M12</f>
        <v>9</v>
      </c>
      <c r="J206" s="592">
        <f>M13</f>
        <v>8.916666666666666</v>
      </c>
      <c r="K206" s="592">
        <f>M14</f>
        <v>8.416666666666666</v>
      </c>
      <c r="L206" s="592">
        <f>$M15</f>
        <v>8.416666666666666</v>
      </c>
      <c r="M206" s="606">
        <f>$M19</f>
        <v>8.371600930182808</v>
      </c>
      <c r="N206" s="606">
        <f>$M20</f>
        <v>8.326776491196554</v>
      </c>
    </row>
    <row r="207" spans="1:14" ht="12.75">
      <c r="A207" s="596"/>
      <c r="B207" s="576"/>
      <c r="C207" s="594"/>
      <c r="D207" s="594"/>
      <c r="E207" s="595"/>
      <c r="F207" s="594"/>
      <c r="G207" s="594"/>
      <c r="H207" s="594"/>
      <c r="I207" s="594"/>
      <c r="J207" s="594"/>
      <c r="K207" s="594"/>
      <c r="L207" s="594"/>
      <c r="M207" s="594"/>
      <c r="N207" s="594"/>
    </row>
    <row r="208" spans="1:14" ht="12.75">
      <c r="A208" s="597" t="s">
        <v>239</v>
      </c>
      <c r="B208" s="576"/>
      <c r="C208" s="594"/>
      <c r="D208" s="594"/>
      <c r="E208" s="595"/>
      <c r="F208" s="594"/>
      <c r="G208" s="594"/>
      <c r="H208" s="594"/>
      <c r="I208" s="594"/>
      <c r="J208" s="594"/>
      <c r="K208" s="594"/>
      <c r="L208" s="594"/>
      <c r="M208" s="594"/>
      <c r="N208" s="594"/>
    </row>
    <row r="209" spans="1:14" ht="12.75">
      <c r="A209" s="591" t="s">
        <v>235</v>
      </c>
      <c r="B209" s="576"/>
      <c r="C209" s="592">
        <f>SUM($R32:$R43)</f>
        <v>4934582.46598576</v>
      </c>
      <c r="D209" s="592">
        <f>SUM($R44:$R55)</f>
        <v>4958778.059056399</v>
      </c>
      <c r="E209" s="592">
        <f>SUM($R56:$R67)</f>
        <v>3138531.614</v>
      </c>
      <c r="F209" s="592">
        <f>SUM($R68:$R79)</f>
        <v>2697790.6870000004</v>
      </c>
      <c r="G209" s="592">
        <f>SUM($R80:$R91)</f>
        <v>2766984.711</v>
      </c>
      <c r="H209" s="592">
        <f>SUM($R92:$R103)</f>
        <v>2480513.1</v>
      </c>
      <c r="I209" s="592">
        <f>SUM($R104:$R115)</f>
        <v>2298862.4</v>
      </c>
      <c r="J209" s="592">
        <f>SUM($R116:$R127)</f>
        <v>2321450.5</v>
      </c>
      <c r="K209" s="592">
        <f>SUM($R128:$R139)</f>
        <v>2315541.1</v>
      </c>
      <c r="L209" s="592">
        <f>SUM($R140:$R151)</f>
        <v>2315417.4</v>
      </c>
      <c r="M209" s="606">
        <f>'Bridge&amp;Test Year Class Forecast'!B129</f>
        <v>2482154</v>
      </c>
      <c r="N209" s="606">
        <f>'Bridge&amp;Test Year Class Forecast'!B130</f>
        <v>2494298</v>
      </c>
    </row>
    <row r="210" spans="1:14" ht="12.75">
      <c r="A210" s="591" t="s">
        <v>237</v>
      </c>
      <c r="B210" s="576"/>
      <c r="C210" s="592">
        <f>SUM($S32:$S43)</f>
        <v>13681.389960000002</v>
      </c>
      <c r="D210" s="592">
        <f>SUM($S44:$S55)</f>
        <v>12827.939650000002</v>
      </c>
      <c r="E210" s="592">
        <f>SUM($S56:$S67)</f>
        <v>8336.866306666667</v>
      </c>
      <c r="F210" s="592">
        <f>SUM($S68:$S79)</f>
        <v>7336.568360000001</v>
      </c>
      <c r="G210" s="592">
        <f>SUM($S80:$S91)</f>
        <v>7367.62528</v>
      </c>
      <c r="H210" s="592">
        <f>SUM($S92:$S103)</f>
        <v>6214.851</v>
      </c>
      <c r="I210" s="592">
        <f>SUM($S104:$S115)</f>
        <v>6235.142</v>
      </c>
      <c r="J210" s="592">
        <f>SUM($S116:$S127)</f>
        <v>6234.516999999999</v>
      </c>
      <c r="K210" s="592">
        <f>SUM($S128:$S139)</f>
        <v>6232.103999999998</v>
      </c>
      <c r="L210" s="592">
        <f>SUM($S140:$S151)</f>
        <v>6232.103999999998</v>
      </c>
      <c r="M210" s="606">
        <f>'Bridge&amp;Test Year Class Forecast'!C129</f>
        <v>6618</v>
      </c>
      <c r="N210" s="606">
        <f>'Bridge&amp;Test Year Class Forecast'!C130</f>
        <v>6650</v>
      </c>
    </row>
    <row r="211" spans="1:14" ht="12.75">
      <c r="A211" s="591" t="s">
        <v>236</v>
      </c>
      <c r="B211" s="576"/>
      <c r="C211" s="592">
        <f>$O6</f>
        <v>6013</v>
      </c>
      <c r="D211" s="592">
        <f>$O7</f>
        <v>6029.166666666667</v>
      </c>
      <c r="E211" s="593">
        <f>$O8</f>
        <v>6126.75</v>
      </c>
      <c r="F211" s="592">
        <f>$O9</f>
        <v>6244.083333333333</v>
      </c>
      <c r="G211" s="592">
        <f>$O10</f>
        <v>6181.363636363636</v>
      </c>
      <c r="H211" s="592">
        <f>$O11</f>
        <v>6204.5</v>
      </c>
      <c r="I211" s="592">
        <f>$O12</f>
        <v>6279.916666666667</v>
      </c>
      <c r="J211" s="592">
        <f>O13</f>
        <v>6285.416666666667</v>
      </c>
      <c r="K211" s="592">
        <f>O14</f>
        <v>6283</v>
      </c>
      <c r="L211" s="592">
        <f>$O15</f>
        <v>6283</v>
      </c>
      <c r="M211" s="606">
        <f>O19</f>
        <v>6313.738627508037</v>
      </c>
      <c r="N211" s="606">
        <f>O20</f>
        <v>6344.627639103465</v>
      </c>
    </row>
    <row r="212" spans="1:14" ht="12.75">
      <c r="A212" s="596"/>
      <c r="B212" s="576"/>
      <c r="C212" s="594"/>
      <c r="D212" s="594"/>
      <c r="E212" s="595"/>
      <c r="F212" s="594"/>
      <c r="G212" s="594"/>
      <c r="H212" s="594"/>
      <c r="I212" s="594"/>
      <c r="J212" s="594"/>
      <c r="K212" s="594"/>
      <c r="L212" s="594"/>
      <c r="M212" s="594"/>
      <c r="N212" s="594"/>
    </row>
    <row r="213" spans="1:14" ht="12.75">
      <c r="A213" s="597"/>
      <c r="B213" s="576"/>
      <c r="C213" s="594"/>
      <c r="D213" s="594"/>
      <c r="E213" s="595"/>
      <c r="F213" s="594"/>
      <c r="G213" s="594"/>
      <c r="H213" s="594"/>
      <c r="I213" s="594"/>
      <c r="J213" s="594"/>
      <c r="K213" s="594"/>
      <c r="L213" s="594"/>
      <c r="M213" s="594"/>
      <c r="N213" s="594"/>
    </row>
    <row r="214" spans="1:14" ht="12.75">
      <c r="A214" s="591"/>
      <c r="B214" s="576"/>
      <c r="C214" s="592"/>
      <c r="D214" s="592"/>
      <c r="E214" s="592"/>
      <c r="F214" s="592"/>
      <c r="G214" s="592"/>
      <c r="H214" s="592"/>
      <c r="I214" s="592"/>
      <c r="J214" s="592"/>
      <c r="K214" s="592"/>
      <c r="L214" s="592"/>
      <c r="M214" s="606"/>
      <c r="N214" s="606"/>
    </row>
    <row r="215" spans="1:14" ht="12.75">
      <c r="A215" s="591"/>
      <c r="B215" s="576"/>
      <c r="C215" s="592"/>
      <c r="D215" s="592"/>
      <c r="E215" s="592"/>
      <c r="F215" s="592"/>
      <c r="G215" s="592"/>
      <c r="H215" s="592"/>
      <c r="I215" s="592"/>
      <c r="J215" s="592"/>
      <c r="K215" s="592"/>
      <c r="L215" s="592"/>
      <c r="M215" s="606"/>
      <c r="N215" s="606"/>
    </row>
    <row r="216" spans="1:14" ht="12.75">
      <c r="A216" s="591"/>
      <c r="B216" s="576"/>
      <c r="C216" s="592"/>
      <c r="D216" s="592"/>
      <c r="E216" s="593"/>
      <c r="F216" s="592"/>
      <c r="G216" s="592"/>
      <c r="H216" s="592"/>
      <c r="I216" s="592"/>
      <c r="J216" s="592"/>
      <c r="K216" s="592"/>
      <c r="L216" s="592"/>
      <c r="M216" s="606"/>
      <c r="N216" s="606"/>
    </row>
    <row r="217" spans="1:14" ht="12.75">
      <c r="A217" s="591"/>
      <c r="B217" s="576"/>
      <c r="C217" s="594"/>
      <c r="D217" s="594"/>
      <c r="E217" s="595"/>
      <c r="F217" s="594"/>
      <c r="G217" s="594"/>
      <c r="H217" s="594"/>
      <c r="I217" s="594"/>
      <c r="J217" s="594"/>
      <c r="K217" s="594"/>
      <c r="L217" s="594"/>
      <c r="M217" s="594"/>
      <c r="N217" s="594"/>
    </row>
    <row r="218" spans="1:14" ht="12.75">
      <c r="A218" s="597" t="s">
        <v>81</v>
      </c>
      <c r="B218" s="576"/>
      <c r="C218" s="594"/>
      <c r="D218" s="594"/>
      <c r="E218" s="595"/>
      <c r="F218" s="594"/>
      <c r="G218" s="594"/>
      <c r="H218" s="594"/>
      <c r="I218" s="594"/>
      <c r="J218" s="594"/>
      <c r="K218" s="594"/>
      <c r="L218" s="594"/>
      <c r="M218" s="594"/>
      <c r="N218" s="594"/>
    </row>
    <row r="219" spans="1:14" ht="12.75">
      <c r="A219" s="591" t="s">
        <v>235</v>
      </c>
      <c r="B219" s="576"/>
      <c r="C219" s="598">
        <f>C186+C190+C194+C199+C204+C209+C214</f>
        <v>436664255.23764235</v>
      </c>
      <c r="D219" s="598">
        <f aca="true" t="shared" si="22" ref="D219:L219">D186+D190+D194+D199+D204+D209+D214</f>
        <v>435737545.35427713</v>
      </c>
      <c r="E219" s="598">
        <f t="shared" si="22"/>
        <v>430497706.36700004</v>
      </c>
      <c r="F219" s="598">
        <f t="shared" si="22"/>
        <v>425870697.483</v>
      </c>
      <c r="G219" s="598">
        <f>G186+G190+G194+G199+G204+G209+G214</f>
        <v>418112232.285</v>
      </c>
      <c r="H219" s="598">
        <f>H186+H190+H194+H199+H204+H209+H214</f>
        <v>442156093.7520001</v>
      </c>
      <c r="I219" s="598">
        <f t="shared" si="22"/>
        <v>443646927.6549999</v>
      </c>
      <c r="J219" s="598">
        <f t="shared" si="22"/>
        <v>437147765.026</v>
      </c>
      <c r="K219" s="598">
        <f t="shared" si="22"/>
        <v>440328981.03999996</v>
      </c>
      <c r="L219" s="598">
        <f t="shared" si="22"/>
        <v>445112009.66400003</v>
      </c>
      <c r="M219" s="609">
        <f>M186+M190+M194+M199+M204+M209+M214</f>
        <v>442131029.40723455</v>
      </c>
      <c r="N219" s="609">
        <f>N186+N190+N194+N199+N204+N209+N214</f>
        <v>443557719.5783125</v>
      </c>
    </row>
    <row r="220" spans="1:14" ht="12.75">
      <c r="A220" s="591" t="s">
        <v>237</v>
      </c>
      <c r="B220" s="576"/>
      <c r="C220" s="598">
        <f>C195+C200+C205+C210+C215</f>
        <v>490339.27544000006</v>
      </c>
      <c r="D220" s="598">
        <f aca="true" t="shared" si="23" ref="D220:K220">D195+D200+D205+D210+D215</f>
        <v>472835.4563466668</v>
      </c>
      <c r="E220" s="598">
        <f t="shared" si="23"/>
        <v>468771.4837666667</v>
      </c>
      <c r="F220" s="598">
        <f t="shared" si="23"/>
        <v>504832.18309000006</v>
      </c>
      <c r="G220" s="598">
        <f t="shared" si="23"/>
        <v>446419.18624000007</v>
      </c>
      <c r="H220" s="598">
        <f t="shared" si="23"/>
        <v>461759.13508000004</v>
      </c>
      <c r="I220" s="598">
        <f t="shared" si="23"/>
        <v>450729.75376999995</v>
      </c>
      <c r="J220" s="598">
        <f t="shared" si="23"/>
        <v>432843.39404999994</v>
      </c>
      <c r="K220" s="598">
        <f t="shared" si="23"/>
        <v>435583.82149</v>
      </c>
      <c r="L220" s="598">
        <f>L195+L200+L205+L210+L215</f>
        <v>428681.7583</v>
      </c>
      <c r="M220" s="609">
        <f>M195+M200+M205+M210+M215</f>
        <v>449774.4116926996</v>
      </c>
      <c r="N220" s="609">
        <f>N195+N200+N205+N210+N215</f>
        <v>451237.53428261617</v>
      </c>
    </row>
    <row r="221" spans="1:14" ht="12.75">
      <c r="A221" s="591" t="s">
        <v>236</v>
      </c>
      <c r="B221" s="576"/>
      <c r="C221" s="598">
        <f>C187+C191+C196+C216</f>
        <v>22697.25</v>
      </c>
      <c r="D221" s="598">
        <f aca="true" t="shared" si="24" ref="D221:L221">D187+D191+D196+D216</f>
        <v>22799</v>
      </c>
      <c r="E221" s="598">
        <f t="shared" si="24"/>
        <v>22896.750000000004</v>
      </c>
      <c r="F221" s="598">
        <f t="shared" si="24"/>
        <v>23048.833333333332</v>
      </c>
      <c r="G221" s="598">
        <f t="shared" si="24"/>
        <v>23296.454545454544</v>
      </c>
      <c r="H221" s="598">
        <f t="shared" si="24"/>
        <v>23465.666666666664</v>
      </c>
      <c r="I221" s="598">
        <f t="shared" si="24"/>
        <v>23654.083333333332</v>
      </c>
      <c r="J221" s="598">
        <f t="shared" si="24"/>
        <v>23856.833333333336</v>
      </c>
      <c r="K221" s="598">
        <f t="shared" si="24"/>
        <v>24082.833333333332</v>
      </c>
      <c r="L221" s="598">
        <f t="shared" si="24"/>
        <v>24335.333333333332</v>
      </c>
      <c r="M221" s="609">
        <f>M187+M191+M196+M216</f>
        <v>24528.09157265731</v>
      </c>
      <c r="N221" s="609">
        <f>N187+N191+N196+N216</f>
        <v>24722.95919989567</v>
      </c>
    </row>
    <row r="222" spans="1:14" ht="12.75">
      <c r="A222" s="591" t="s">
        <v>240</v>
      </c>
      <c r="B222" s="576"/>
      <c r="C222" s="598">
        <f>C201+C206+C211</f>
        <v>6079.833333333333</v>
      </c>
      <c r="D222" s="598">
        <f aca="true" t="shared" si="25" ref="D222:L222">D201+D206+D211</f>
        <v>6094.166666666667</v>
      </c>
      <c r="E222" s="598">
        <f t="shared" si="25"/>
        <v>6191.75</v>
      </c>
      <c r="F222" s="598">
        <f t="shared" si="25"/>
        <v>6308.583333333333</v>
      </c>
      <c r="G222" s="598">
        <f t="shared" si="25"/>
        <v>6243.545454545454</v>
      </c>
      <c r="H222" s="598">
        <f t="shared" si="25"/>
        <v>6266.666666666667</v>
      </c>
      <c r="I222" s="598">
        <f t="shared" si="25"/>
        <v>6339.25</v>
      </c>
      <c r="J222" s="598">
        <f t="shared" si="25"/>
        <v>6344.333333333334</v>
      </c>
      <c r="K222" s="598">
        <f t="shared" si="25"/>
        <v>6341.166666666667</v>
      </c>
      <c r="L222" s="598">
        <f t="shared" si="25"/>
        <v>6340.416666666667</v>
      </c>
      <c r="M222" s="609">
        <f>M201+M206+M211</f>
        <v>6370.200718279864</v>
      </c>
      <c r="N222" s="609">
        <f>N201+N206+N211</f>
        <v>6400.152277088729</v>
      </c>
    </row>
    <row r="224" ht="13.5" thickBot="1">
      <c r="F224" s="12" t="s">
        <v>258</v>
      </c>
    </row>
    <row r="225" spans="1:14" ht="16.5" thickTop="1">
      <c r="A225" s="614" t="s">
        <v>255</v>
      </c>
      <c r="B225" s="144"/>
      <c r="C225" s="624">
        <f aca="true" t="shared" si="26" ref="C225:L225">C184</f>
        <v>2013</v>
      </c>
      <c r="D225" s="624">
        <f t="shared" si="26"/>
        <v>2014</v>
      </c>
      <c r="E225" s="624">
        <f t="shared" si="26"/>
        <v>2015</v>
      </c>
      <c r="F225" s="624">
        <f t="shared" si="26"/>
        <v>2016</v>
      </c>
      <c r="G225" s="624">
        <f t="shared" si="26"/>
        <v>2017</v>
      </c>
      <c r="H225" s="624">
        <f t="shared" si="26"/>
        <v>2018</v>
      </c>
      <c r="I225" s="624">
        <f t="shared" si="26"/>
        <v>2019</v>
      </c>
      <c r="J225" s="624">
        <f t="shared" si="26"/>
        <v>2020</v>
      </c>
      <c r="K225" s="624">
        <f t="shared" si="26"/>
        <v>2021</v>
      </c>
      <c r="L225" s="624">
        <f t="shared" si="26"/>
        <v>2022</v>
      </c>
      <c r="M225" s="624"/>
      <c r="N225" s="624"/>
    </row>
    <row r="226" spans="1:14" ht="12.75">
      <c r="A226" s="632" t="str">
        <f aca="true" t="shared" si="27" ref="A226:A231">A13</f>
        <v>Residential</v>
      </c>
      <c r="B226" s="144"/>
      <c r="C226" s="633">
        <v>194595056</v>
      </c>
      <c r="D226" s="633">
        <v>193810737</v>
      </c>
      <c r="E226" s="634">
        <v>185320983</v>
      </c>
      <c r="F226" s="634">
        <v>179123216</v>
      </c>
      <c r="G226" s="634">
        <v>175230053</v>
      </c>
      <c r="H226" s="634">
        <v>189038321</v>
      </c>
      <c r="I226" s="634">
        <v>188724159</v>
      </c>
      <c r="J226" s="634">
        <v>195030079</v>
      </c>
      <c r="K226" s="633">
        <v>195812264</v>
      </c>
      <c r="L226" s="633">
        <v>198504573</v>
      </c>
      <c r="M226" s="523"/>
      <c r="N226" s="523"/>
    </row>
    <row r="227" spans="1:14" ht="12.75">
      <c r="A227" s="632" t="str">
        <f t="shared" si="27"/>
        <v>General Service &lt; 50 kW</v>
      </c>
      <c r="B227" s="144"/>
      <c r="C227" s="633">
        <v>65659946</v>
      </c>
      <c r="D227" s="633">
        <v>67910428</v>
      </c>
      <c r="E227" s="634">
        <v>65575776</v>
      </c>
      <c r="F227" s="634">
        <v>65361599</v>
      </c>
      <c r="G227" s="634">
        <v>67751218</v>
      </c>
      <c r="H227" s="634">
        <v>71822559</v>
      </c>
      <c r="I227" s="634">
        <v>72750960</v>
      </c>
      <c r="J227" s="634">
        <v>68092748</v>
      </c>
      <c r="K227" s="633">
        <v>69561352</v>
      </c>
      <c r="L227" s="633">
        <v>73619513</v>
      </c>
      <c r="M227" s="523"/>
      <c r="N227" s="523"/>
    </row>
    <row r="228" spans="1:14" ht="12.75">
      <c r="A228" s="632" t="str">
        <f t="shared" si="27"/>
        <v>General Service &gt; 50 to 4999 kW</v>
      </c>
      <c r="B228" s="144"/>
      <c r="C228" s="633">
        <v>171169776</v>
      </c>
      <c r="D228" s="633">
        <v>168755215</v>
      </c>
      <c r="E228" s="634">
        <v>176163146</v>
      </c>
      <c r="F228" s="634">
        <v>178404938</v>
      </c>
      <c r="G228" s="634">
        <v>172094364</v>
      </c>
      <c r="H228" s="634">
        <v>178565970</v>
      </c>
      <c r="I228" s="634">
        <v>179642752</v>
      </c>
      <c r="J228" s="634">
        <v>171472845</v>
      </c>
      <c r="K228" s="633">
        <v>172409864</v>
      </c>
      <c r="L228" s="633">
        <v>170442714</v>
      </c>
      <c r="M228" s="523"/>
      <c r="N228" s="523"/>
    </row>
    <row r="229" spans="1:14" ht="12.75">
      <c r="A229" s="632" t="str">
        <f t="shared" si="27"/>
        <v>USL</v>
      </c>
      <c r="B229" s="144"/>
      <c r="C229" s="633">
        <v>293679</v>
      </c>
      <c r="D229" s="634">
        <v>287775</v>
      </c>
      <c r="E229" s="634">
        <v>287775</v>
      </c>
      <c r="F229" s="634">
        <v>277131</v>
      </c>
      <c r="G229" s="634">
        <v>261752</v>
      </c>
      <c r="H229" s="634">
        <v>241032</v>
      </c>
      <c r="I229" s="634">
        <v>222617</v>
      </c>
      <c r="J229" s="634">
        <v>223044</v>
      </c>
      <c r="K229" s="633">
        <v>222383</v>
      </c>
      <c r="L229" s="633">
        <v>222219</v>
      </c>
      <c r="M229" s="523"/>
      <c r="N229" s="523"/>
    </row>
    <row r="230" spans="1:14" ht="12.75">
      <c r="A230" s="632" t="str">
        <f t="shared" si="27"/>
        <v>Sentinel</v>
      </c>
      <c r="B230" s="144"/>
      <c r="C230" s="633">
        <v>13565</v>
      </c>
      <c r="D230" s="633">
        <v>14674</v>
      </c>
      <c r="E230" s="634">
        <v>11496</v>
      </c>
      <c r="F230" s="634">
        <v>6019</v>
      </c>
      <c r="G230" s="634">
        <v>7857</v>
      </c>
      <c r="H230" s="634">
        <v>16599</v>
      </c>
      <c r="I230" s="634">
        <v>18126</v>
      </c>
      <c r="J230" s="634">
        <v>18762</v>
      </c>
      <c r="K230" s="634">
        <v>7576</v>
      </c>
      <c r="L230" s="633">
        <v>7576</v>
      </c>
      <c r="M230" s="523"/>
      <c r="N230" s="523"/>
    </row>
    <row r="231" spans="1:14" ht="12.75">
      <c r="A231" s="632" t="str">
        <f t="shared" si="27"/>
        <v>Streetlights</v>
      </c>
      <c r="B231" s="144"/>
      <c r="C231" s="633">
        <v>4934528</v>
      </c>
      <c r="D231" s="633">
        <v>4958778</v>
      </c>
      <c r="E231" s="634">
        <v>3138531</v>
      </c>
      <c r="F231" s="634">
        <v>2697790</v>
      </c>
      <c r="G231" s="634">
        <v>2766984</v>
      </c>
      <c r="H231" s="634">
        <v>2480513</v>
      </c>
      <c r="I231" s="634">
        <v>2298862</v>
      </c>
      <c r="J231" s="634">
        <v>2321450</v>
      </c>
      <c r="K231" s="634">
        <v>2315541</v>
      </c>
      <c r="L231" s="633">
        <v>2315418</v>
      </c>
      <c r="M231" s="523"/>
      <c r="N231" s="523"/>
    </row>
    <row r="232" spans="1:14" ht="12.75">
      <c r="A232" s="632" t="s">
        <v>231</v>
      </c>
      <c r="B232" s="144"/>
      <c r="C232" s="633"/>
      <c r="D232" s="633"/>
      <c r="E232" s="634"/>
      <c r="F232" s="634"/>
      <c r="G232" s="634"/>
      <c r="H232" s="634"/>
      <c r="I232" s="634"/>
      <c r="J232" s="634"/>
      <c r="K232" s="634"/>
      <c r="L232" s="633"/>
      <c r="M232" s="523"/>
      <c r="N232" s="523"/>
    </row>
    <row r="233" spans="1:14" ht="12.75">
      <c r="A233" s="240" t="s">
        <v>81</v>
      </c>
      <c r="B233" s="159"/>
      <c r="C233" s="635">
        <f>SUM(C226:C231)</f>
        <v>436666550</v>
      </c>
      <c r="D233" s="635">
        <f aca="true" t="shared" si="28" ref="D233:N233">SUM(D226:D231)</f>
        <v>435737607</v>
      </c>
      <c r="E233" s="635">
        <f t="shared" si="28"/>
        <v>430497707</v>
      </c>
      <c r="F233" s="635">
        <f t="shared" si="28"/>
        <v>425870693</v>
      </c>
      <c r="G233" s="635">
        <f t="shared" si="28"/>
        <v>418112228</v>
      </c>
      <c r="H233" s="635">
        <f t="shared" si="28"/>
        <v>442164994</v>
      </c>
      <c r="I233" s="635">
        <f t="shared" si="28"/>
        <v>443657476</v>
      </c>
      <c r="J233" s="635">
        <f t="shared" si="28"/>
        <v>437158928</v>
      </c>
      <c r="K233" s="635">
        <f t="shared" si="28"/>
        <v>440328980</v>
      </c>
      <c r="L233" s="635">
        <f>SUM(L226:L231)</f>
        <v>445112013</v>
      </c>
      <c r="M233" s="516">
        <f t="shared" si="28"/>
        <v>0</v>
      </c>
      <c r="N233" s="516">
        <f t="shared" si="28"/>
        <v>0</v>
      </c>
    </row>
    <row r="234" spans="1:14" ht="12.75">
      <c r="A234" s="144"/>
      <c r="B234" s="144"/>
      <c r="C234" s="636"/>
      <c r="D234" s="636"/>
      <c r="E234" s="636"/>
      <c r="F234" s="642"/>
      <c r="G234" s="642"/>
      <c r="H234" s="636"/>
      <c r="I234" s="636"/>
      <c r="J234" s="636"/>
      <c r="K234" s="636"/>
      <c r="L234" s="636"/>
      <c r="M234" s="231"/>
      <c r="N234" s="231"/>
    </row>
    <row r="235" spans="1:14" ht="12.75">
      <c r="A235" s="240" t="s">
        <v>256</v>
      </c>
      <c r="B235" s="144"/>
      <c r="C235" s="637"/>
      <c r="D235" s="637"/>
      <c r="E235" s="637"/>
      <c r="F235" s="637"/>
      <c r="G235" s="637"/>
      <c r="H235" s="637"/>
      <c r="I235" s="637"/>
      <c r="J235" s="637"/>
      <c r="K235" s="637"/>
      <c r="L235" s="637"/>
      <c r="M235" s="638"/>
      <c r="N235" s="638"/>
    </row>
    <row r="236" spans="1:14" ht="12.75">
      <c r="A236" s="632" t="str">
        <f aca="true" t="shared" si="29" ref="A236:A241">A226</f>
        <v>Residential</v>
      </c>
      <c r="B236" s="144"/>
      <c r="C236" s="633">
        <f aca="true" t="shared" si="30" ref="C236:L236">C226-C186</f>
        <v>0.24128159880638123</v>
      </c>
      <c r="D236" s="633">
        <f t="shared" si="30"/>
        <v>61.57178655266762</v>
      </c>
      <c r="E236" s="633">
        <f t="shared" si="30"/>
        <v>-0.5379999577999115</v>
      </c>
      <c r="F236" s="633">
        <f t="shared" si="30"/>
        <v>-0.21299999952316284</v>
      </c>
      <c r="G236" s="633">
        <f t="shared" si="30"/>
        <v>-0.39799997210502625</v>
      </c>
      <c r="H236" s="633">
        <f t="shared" si="30"/>
        <v>-1.3750000298023224</v>
      </c>
      <c r="I236" s="633">
        <f t="shared" si="30"/>
        <v>0.03400003910064697</v>
      </c>
      <c r="J236" s="633">
        <f t="shared" si="30"/>
        <v>-0.06099998950958252</v>
      </c>
      <c r="K236" s="633">
        <f t="shared" si="30"/>
        <v>-2.3099999725818634</v>
      </c>
      <c r="L236" s="633">
        <f t="shared" si="30"/>
        <v>2.572999984025955</v>
      </c>
      <c r="M236" s="638"/>
      <c r="N236" s="638"/>
    </row>
    <row r="237" spans="1:14" ht="12.75">
      <c r="A237" s="632" t="str">
        <f t="shared" si="29"/>
        <v>General Service &lt; 50 kW</v>
      </c>
      <c r="B237" s="144"/>
      <c r="C237" s="633">
        <f aca="true" t="shared" si="31" ref="C237:L237">C227-C190</f>
        <v>-0.4704788699746132</v>
      </c>
      <c r="D237" s="633">
        <f t="shared" si="31"/>
        <v>0</v>
      </c>
      <c r="E237" s="633">
        <f t="shared" si="31"/>
        <v>1.381000004708767</v>
      </c>
      <c r="F237" s="633">
        <f t="shared" si="31"/>
        <v>-1.1789999902248383</v>
      </c>
      <c r="G237" s="633">
        <f t="shared" si="31"/>
        <v>-1.376000002026558</v>
      </c>
      <c r="H237" s="633">
        <f t="shared" si="31"/>
        <v>-0.9070000052452087</v>
      </c>
      <c r="I237" s="633">
        <f t="shared" si="31"/>
        <v>-0.34200000762939453</v>
      </c>
      <c r="J237" s="633">
        <f t="shared" si="31"/>
        <v>-0.3700000047683716</v>
      </c>
      <c r="K237" s="633">
        <f t="shared" si="31"/>
        <v>-0.27299998700618744</v>
      </c>
      <c r="L237" s="633">
        <f t="shared" si="31"/>
        <v>0.4819999933242798</v>
      </c>
      <c r="M237" s="638"/>
      <c r="N237" s="638"/>
    </row>
    <row r="238" spans="1:14" ht="12.75">
      <c r="A238" s="632" t="str">
        <f t="shared" si="29"/>
        <v>General Service &gt; 50 to 4999 kW</v>
      </c>
      <c r="B238" s="144"/>
      <c r="C238" s="633">
        <f>C228-C194</f>
        <v>0</v>
      </c>
      <c r="D238" s="633">
        <f>D228-D194</f>
        <v>0</v>
      </c>
      <c r="E238" s="633">
        <f>E228-E194</f>
        <v>0</v>
      </c>
      <c r="F238" s="633">
        <f>(F194+F214)-F228</f>
        <v>1.0399999916553497</v>
      </c>
      <c r="G238" s="633">
        <f aca="true" t="shared" si="32" ref="G238:L238">(G194+G214)-G228</f>
        <v>0.7840000092983246</v>
      </c>
      <c r="H238" s="633">
        <f t="shared" si="32"/>
        <v>1.0130000114440918</v>
      </c>
      <c r="I238" s="633">
        <f t="shared" si="32"/>
        <v>-0.09999999403953552</v>
      </c>
      <c r="J238" s="633">
        <f>(J194+J214)-J228</f>
        <v>0.800000011920929</v>
      </c>
      <c r="K238" s="633">
        <f t="shared" si="32"/>
        <v>-1.36599999666214</v>
      </c>
      <c r="L238" s="633">
        <f t="shared" si="32"/>
        <v>0.4999999701976776</v>
      </c>
      <c r="M238" s="638"/>
      <c r="N238" s="638"/>
    </row>
    <row r="239" spans="1:14" ht="12.75">
      <c r="A239" s="632" t="str">
        <f t="shared" si="29"/>
        <v>USL</v>
      </c>
      <c r="B239" s="144"/>
      <c r="C239" s="633">
        <f aca="true" t="shared" si="33" ref="C239:L239">C229-C199</f>
        <v>3458.552540726145</v>
      </c>
      <c r="D239" s="633">
        <f>D229-D199</f>
        <v>0.22799280064646155</v>
      </c>
      <c r="E239" s="633">
        <f>E229-E199</f>
        <v>0.22800000000279397</v>
      </c>
      <c r="F239" s="633">
        <f t="shared" si="33"/>
        <v>-0.9660000000149012</v>
      </c>
      <c r="G239" s="633">
        <f t="shared" si="33"/>
        <v>-0.3269999999902211</v>
      </c>
      <c r="H239" s="633">
        <f t="shared" si="33"/>
        <v>-0.33100000000558794</v>
      </c>
      <c r="I239" s="633">
        <f t="shared" si="33"/>
        <v>0.4210000000020955</v>
      </c>
      <c r="J239" s="633">
        <f t="shared" si="33"/>
        <v>-0.17999999999301508</v>
      </c>
      <c r="K239" s="633">
        <f t="shared" si="33"/>
        <v>0.3070000000006985</v>
      </c>
      <c r="L239" s="633">
        <f t="shared" si="33"/>
        <v>0.22800000000279397</v>
      </c>
      <c r="M239" s="638"/>
      <c r="N239" s="638"/>
    </row>
    <row r="240" spans="1:14" ht="12.75">
      <c r="A240" s="632" t="str">
        <f t="shared" si="29"/>
        <v>Sentinel</v>
      </c>
      <c r="B240" s="144"/>
      <c r="C240" s="633">
        <f aca="true" t="shared" si="34" ref="C240:L240">C230-C204</f>
        <v>-1109.0949999999993</v>
      </c>
      <c r="D240" s="633">
        <f t="shared" si="34"/>
        <v>-0.09499999999934516</v>
      </c>
      <c r="E240" s="633">
        <f t="shared" si="34"/>
        <v>0.17599999999765714</v>
      </c>
      <c r="F240" s="633">
        <f t="shared" si="34"/>
        <v>-0.39800000000013824</v>
      </c>
      <c r="G240" s="633">
        <f t="shared" si="34"/>
        <v>-0.6889999999993961</v>
      </c>
      <c r="H240" s="633">
        <f t="shared" si="34"/>
        <v>8903.973999999998</v>
      </c>
      <c r="I240" s="633">
        <f t="shared" si="34"/>
        <v>10548.532000000001</v>
      </c>
      <c r="J240" s="633">
        <f t="shared" si="34"/>
        <v>11164.885</v>
      </c>
      <c r="K240" s="633">
        <f t="shared" si="34"/>
        <v>-0.029999999997926352</v>
      </c>
      <c r="L240" s="633">
        <f t="shared" si="34"/>
        <v>-0.04699999999957072</v>
      </c>
      <c r="M240" s="638"/>
      <c r="N240" s="638"/>
    </row>
    <row r="241" spans="1:14" ht="12.75">
      <c r="A241" s="632" t="str">
        <f t="shared" si="29"/>
        <v>Streetlights</v>
      </c>
      <c r="B241" s="144"/>
      <c r="C241" s="633">
        <f aca="true" t="shared" si="35" ref="C241:L241">C231-C209</f>
        <v>-54.465985760092735</v>
      </c>
      <c r="D241" s="633">
        <f t="shared" si="35"/>
        <v>-0.05905639939010143</v>
      </c>
      <c r="E241" s="633">
        <f t="shared" si="35"/>
        <v>-0.6140000000596046</v>
      </c>
      <c r="F241" s="633">
        <f t="shared" si="35"/>
        <v>-0.6870000003837049</v>
      </c>
      <c r="G241" s="633">
        <f t="shared" si="35"/>
        <v>-0.7110000001266599</v>
      </c>
      <c r="H241" s="633">
        <f t="shared" si="35"/>
        <v>-0.10000000009313226</v>
      </c>
      <c r="I241" s="633">
        <f t="shared" si="35"/>
        <v>-0.39999999990686774</v>
      </c>
      <c r="J241" s="633">
        <f t="shared" si="35"/>
        <v>-0.5</v>
      </c>
      <c r="K241" s="633">
        <f t="shared" si="35"/>
        <v>-0.10000000009313226</v>
      </c>
      <c r="L241" s="633">
        <f t="shared" si="35"/>
        <v>0.6000000000931323</v>
      </c>
      <c r="M241" s="638"/>
      <c r="N241" s="638"/>
    </row>
    <row r="242" spans="1:14" ht="12.75">
      <c r="A242" s="632" t="s">
        <v>231</v>
      </c>
      <c r="B242" s="144"/>
      <c r="C242" s="633"/>
      <c r="D242" s="633"/>
      <c r="E242" s="633"/>
      <c r="F242" s="633"/>
      <c r="G242" s="633"/>
      <c r="H242" s="633"/>
      <c r="I242" s="633"/>
      <c r="J242" s="633"/>
      <c r="K242" s="633"/>
      <c r="L242" s="633"/>
      <c r="M242" s="638"/>
      <c r="N242" s="638"/>
    </row>
    <row r="243" spans="1:14" ht="12.75">
      <c r="A243" s="240" t="s">
        <v>257</v>
      </c>
      <c r="B243" s="159"/>
      <c r="C243" s="635">
        <f>SUM(C236:C241)</f>
        <v>2294.7623576948845</v>
      </c>
      <c r="D243" s="635">
        <f aca="true" t="shared" si="36" ref="D243:N243">SUM(D236:D241)</f>
        <v>61.64572295392463</v>
      </c>
      <c r="E243" s="635">
        <f t="shared" si="36"/>
        <v>0.6330000468497019</v>
      </c>
      <c r="F243" s="635">
        <f t="shared" si="36"/>
        <v>-2.4029999984913957</v>
      </c>
      <c r="G243" s="635">
        <f t="shared" si="36"/>
        <v>-2.7169999649495367</v>
      </c>
      <c r="H243" s="635">
        <f t="shared" si="36"/>
        <v>8902.273999976296</v>
      </c>
      <c r="I243" s="635">
        <f t="shared" si="36"/>
        <v>10548.145000037528</v>
      </c>
      <c r="J243" s="635">
        <f>SUM(J236:J241)</f>
        <v>11164.57400001765</v>
      </c>
      <c r="K243" s="635">
        <f t="shared" si="36"/>
        <v>-3.771999956340551</v>
      </c>
      <c r="L243" s="635">
        <f>SUM(L236:L241)</f>
        <v>4.335999947644268</v>
      </c>
      <c r="M243" s="635">
        <f t="shared" si="36"/>
        <v>0</v>
      </c>
      <c r="N243" s="635">
        <f t="shared" si="36"/>
        <v>0</v>
      </c>
    </row>
  </sheetData>
  <sheetProtection/>
  <mergeCells count="18">
    <mergeCell ref="A25:B25"/>
    <mergeCell ref="U29:W29"/>
    <mergeCell ref="F29:G29"/>
    <mergeCell ref="H29:I29"/>
    <mergeCell ref="O29:Q29"/>
    <mergeCell ref="R29:T29"/>
    <mergeCell ref="J29:L29"/>
    <mergeCell ref="M29:N29"/>
    <mergeCell ref="D23:V23"/>
    <mergeCell ref="D28:E28"/>
    <mergeCell ref="D3:V3"/>
    <mergeCell ref="A3:B3"/>
    <mergeCell ref="A19:B19"/>
    <mergeCell ref="A20:B20"/>
    <mergeCell ref="A21:B21"/>
    <mergeCell ref="A22:B22"/>
    <mergeCell ref="A23:B23"/>
    <mergeCell ref="A24:B24"/>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Sheet12"/>
  <dimension ref="B2:J38"/>
  <sheetViews>
    <sheetView zoomScalePageLayoutView="0" workbookViewId="0" topLeftCell="A1">
      <selection activeCell="H5" sqref="H5:O5"/>
    </sheetView>
  </sheetViews>
  <sheetFormatPr defaultColWidth="9.33203125" defaultRowHeight="12.75"/>
  <cols>
    <col min="2" max="2" width="38.83203125" style="0" bestFit="1" customWidth="1"/>
    <col min="3" max="3" width="16.66015625" style="0" bestFit="1" customWidth="1"/>
    <col min="5" max="9" width="13" style="0" customWidth="1"/>
    <col min="10" max="10" width="15.16015625" style="0" bestFit="1" customWidth="1"/>
  </cols>
  <sheetData>
    <row r="2" spans="2:10" ht="15.75">
      <c r="B2" s="776" t="s">
        <v>64</v>
      </c>
      <c r="C2" s="777"/>
      <c r="D2" s="144"/>
      <c r="E2" s="551">
        <v>2015</v>
      </c>
      <c r="F2" s="551">
        <v>2016</v>
      </c>
      <c r="G2" s="516" t="s">
        <v>221</v>
      </c>
      <c r="H2" s="516" t="s">
        <v>222</v>
      </c>
      <c r="I2" s="517"/>
      <c r="J2" s="517"/>
    </row>
    <row r="3" spans="2:10" ht="25.5">
      <c r="B3" s="244"/>
      <c r="C3" s="518" t="s">
        <v>78</v>
      </c>
      <c r="D3" s="519"/>
      <c r="E3" s="520" t="s">
        <v>223</v>
      </c>
      <c r="F3" s="520" t="s">
        <v>223</v>
      </c>
      <c r="G3" s="516" t="s">
        <v>225</v>
      </c>
      <c r="H3" s="516" t="s">
        <v>59</v>
      </c>
      <c r="I3" s="521" t="s">
        <v>113</v>
      </c>
      <c r="J3" s="522" t="s">
        <v>112</v>
      </c>
    </row>
    <row r="4" spans="2:10" ht="12.75">
      <c r="B4" s="240"/>
      <c r="C4" s="167" t="s">
        <v>110</v>
      </c>
      <c r="D4" s="144"/>
      <c r="E4" s="523"/>
      <c r="F4" s="523"/>
      <c r="G4" s="523"/>
      <c r="H4" s="523"/>
      <c r="I4" s="524"/>
      <c r="J4" s="167"/>
    </row>
    <row r="5" spans="2:10" ht="12.75">
      <c r="B5" s="240" t="str">
        <f>'CDM Allocation'!B5</f>
        <v>Residential</v>
      </c>
      <c r="C5" s="167" t="s">
        <v>79</v>
      </c>
      <c r="D5" s="144"/>
      <c r="E5" s="525">
        <v>197204</v>
      </c>
      <c r="F5" s="525">
        <f>'CDM Allocation'!M6</f>
        <v>315548</v>
      </c>
      <c r="G5" s="525">
        <f>'CDM Allocation'!O6</f>
        <v>79286</v>
      </c>
      <c r="H5" s="526">
        <f>SUM(E5:G5)</f>
        <v>592038</v>
      </c>
      <c r="I5" s="527">
        <f>H5/$H$34</f>
        <v>0.39513349582600293</v>
      </c>
      <c r="J5" s="330">
        <f>I5*$J$35</f>
        <v>555518.9720487691</v>
      </c>
    </row>
    <row r="6" spans="2:10" ht="12.75">
      <c r="B6" s="240"/>
      <c r="C6" s="167" t="s">
        <v>80</v>
      </c>
      <c r="D6" s="144"/>
      <c r="E6" s="528"/>
      <c r="F6" s="544"/>
      <c r="G6" s="528"/>
      <c r="H6" s="523"/>
      <c r="I6" s="529"/>
      <c r="J6" s="167"/>
    </row>
    <row r="7" spans="2:10" ht="12.75">
      <c r="B7" s="240"/>
      <c r="C7" s="167"/>
      <c r="D7" s="144"/>
      <c r="E7" s="528"/>
      <c r="F7" s="544"/>
      <c r="G7" s="528"/>
      <c r="H7" s="523"/>
      <c r="I7" s="529"/>
      <c r="J7" s="167"/>
    </row>
    <row r="8" spans="2:10" ht="12.75">
      <c r="B8" s="240"/>
      <c r="C8" s="167" t="s">
        <v>110</v>
      </c>
      <c r="D8" s="144"/>
      <c r="E8" s="528"/>
      <c r="F8" s="544"/>
      <c r="G8" s="528"/>
      <c r="H8" s="523"/>
      <c r="I8" s="529"/>
      <c r="J8" s="167"/>
    </row>
    <row r="9" spans="2:10" ht="12.75">
      <c r="B9" s="240" t="str">
        <f>'CDM Allocation'!B9</f>
        <v>General Service &lt; 50 kW</v>
      </c>
      <c r="C9" s="167" t="s">
        <v>79</v>
      </c>
      <c r="D9" s="144"/>
      <c r="E9" s="525">
        <v>38362</v>
      </c>
      <c r="F9" s="525">
        <f>'CDM Allocation'!M10</f>
        <v>416719</v>
      </c>
      <c r="G9" s="525">
        <f>'CDM Allocation'!O10</f>
        <v>451010</v>
      </c>
      <c r="H9" s="526">
        <f>SUM(E9:G9)</f>
        <v>906091</v>
      </c>
      <c r="I9" s="527">
        <f>H9/$H$34</f>
        <v>0.6047363587581858</v>
      </c>
      <c r="J9" s="330">
        <f>I9*$J$35</f>
        <v>850200.0562508509</v>
      </c>
    </row>
    <row r="10" spans="2:10" ht="12.75">
      <c r="B10" s="240"/>
      <c r="C10" s="167" t="s">
        <v>80</v>
      </c>
      <c r="D10" s="144"/>
      <c r="E10" s="528"/>
      <c r="F10" s="544"/>
      <c r="G10" s="528"/>
      <c r="H10" s="523"/>
      <c r="I10" s="529"/>
      <c r="J10" s="167"/>
    </row>
    <row r="11" spans="2:10" ht="12.75">
      <c r="B11" s="240"/>
      <c r="C11" s="167"/>
      <c r="D11" s="144"/>
      <c r="E11" s="528"/>
      <c r="F11" s="544"/>
      <c r="G11" s="528"/>
      <c r="H11" s="523"/>
      <c r="I11" s="529"/>
      <c r="J11" s="167"/>
    </row>
    <row r="12" spans="2:10" ht="12.75">
      <c r="B12" s="240"/>
      <c r="C12" s="167" t="s">
        <v>110</v>
      </c>
      <c r="D12" s="144"/>
      <c r="E12" s="528"/>
      <c r="F12" s="544"/>
      <c r="G12" s="528"/>
      <c r="H12" s="523"/>
      <c r="I12" s="529"/>
      <c r="J12" s="167"/>
    </row>
    <row r="13" spans="2:10" ht="12.75">
      <c r="B13" s="240" t="str">
        <f>'CDM Allocation'!B13</f>
        <v>General Service &gt; 50 to 4999 kW</v>
      </c>
      <c r="C13" s="167" t="s">
        <v>79</v>
      </c>
      <c r="D13" s="144"/>
      <c r="E13" s="544"/>
      <c r="F13" s="544"/>
      <c r="G13" s="525">
        <f>'CDM Allocation'!O14</f>
        <v>195</v>
      </c>
      <c r="H13" s="526">
        <f>SUM(E13:G13)</f>
        <v>195</v>
      </c>
      <c r="I13" s="527">
        <f>H13/$H$34</f>
        <v>0.00013014541581126646</v>
      </c>
      <c r="J13" s="330">
        <f>I13*$J$35</f>
        <v>182.97170037989113</v>
      </c>
    </row>
    <row r="14" spans="2:10" ht="12.75">
      <c r="B14" s="240"/>
      <c r="C14" s="167" t="s">
        <v>80</v>
      </c>
      <c r="D14" s="144"/>
      <c r="E14" s="167"/>
      <c r="F14" s="544"/>
      <c r="G14" s="528"/>
      <c r="H14" s="523"/>
      <c r="I14" s="529"/>
      <c r="J14" s="331"/>
    </row>
    <row r="15" spans="2:10" ht="12.75">
      <c r="B15" s="240"/>
      <c r="C15" s="167"/>
      <c r="D15" s="144"/>
      <c r="E15" s="523"/>
      <c r="F15" s="544"/>
      <c r="G15" s="528"/>
      <c r="H15" s="523"/>
      <c r="I15" s="529"/>
      <c r="J15" s="167"/>
    </row>
    <row r="16" spans="2:10" ht="12.75">
      <c r="B16" s="240"/>
      <c r="C16" s="167" t="s">
        <v>110</v>
      </c>
      <c r="D16" s="144"/>
      <c r="E16" s="523"/>
      <c r="F16" s="544"/>
      <c r="G16" s="528"/>
      <c r="H16" s="523"/>
      <c r="I16" s="529"/>
      <c r="J16" s="167"/>
    </row>
    <row r="17" spans="2:10" ht="12.75">
      <c r="B17" s="240" t="str">
        <f>'CDM Allocation'!B17</f>
        <v>USL</v>
      </c>
      <c r="C17" s="167" t="s">
        <v>79</v>
      </c>
      <c r="D17" s="144"/>
      <c r="E17" s="523"/>
      <c r="F17" s="544"/>
      <c r="G17" s="525">
        <f>'CDM Allocation'!O18</f>
        <v>0</v>
      </c>
      <c r="H17" s="526">
        <f>SUM(E17:G17)</f>
        <v>0</v>
      </c>
      <c r="I17" s="527">
        <f>H17/$H$34</f>
        <v>0</v>
      </c>
      <c r="J17" s="330">
        <f>I17*$J$35</f>
        <v>0</v>
      </c>
    </row>
    <row r="18" spans="2:10" ht="12.75">
      <c r="B18" s="240"/>
      <c r="C18" s="167" t="s">
        <v>80</v>
      </c>
      <c r="D18" s="144"/>
      <c r="E18" s="543"/>
      <c r="F18" s="543"/>
      <c r="G18" s="544"/>
      <c r="H18" s="545"/>
      <c r="I18" s="546"/>
      <c r="J18" s="547"/>
    </row>
    <row r="19" spans="2:10" ht="12.75">
      <c r="B19" s="240"/>
      <c r="C19" s="167"/>
      <c r="D19" s="144"/>
      <c r="E19" s="543"/>
      <c r="F19" s="543"/>
      <c r="G19" s="544"/>
      <c r="H19" s="545"/>
      <c r="I19" s="546"/>
      <c r="J19" s="548"/>
    </row>
    <row r="20" spans="2:10" ht="12.75">
      <c r="B20" s="240"/>
      <c r="C20" s="167" t="s">
        <v>110</v>
      </c>
      <c r="D20" s="144"/>
      <c r="E20" s="543"/>
      <c r="F20" s="543"/>
      <c r="G20" s="544"/>
      <c r="H20" s="545"/>
      <c r="I20" s="546"/>
      <c r="J20" s="548"/>
    </row>
    <row r="21" spans="2:10" ht="12.75">
      <c r="B21" s="240" t="str">
        <f>'CDM Allocation'!B21</f>
        <v>Sentinel</v>
      </c>
      <c r="C21" s="167" t="s">
        <v>79</v>
      </c>
      <c r="D21" s="144"/>
      <c r="E21" s="543"/>
      <c r="F21" s="543"/>
      <c r="G21" s="544"/>
      <c r="H21" s="545"/>
      <c r="I21" s="549"/>
      <c r="J21" s="550"/>
    </row>
    <row r="22" spans="2:10" ht="12.75">
      <c r="B22" s="240"/>
      <c r="C22" s="167"/>
      <c r="D22" s="144"/>
      <c r="E22" s="543"/>
      <c r="F22" s="543"/>
      <c r="G22" s="544"/>
      <c r="H22" s="545"/>
      <c r="I22" s="546"/>
      <c r="J22" s="547"/>
    </row>
    <row r="23" spans="2:10" ht="12.75">
      <c r="B23" s="240"/>
      <c r="C23" s="167"/>
      <c r="D23" s="144"/>
      <c r="E23" s="543"/>
      <c r="F23" s="543"/>
      <c r="G23" s="544"/>
      <c r="H23" s="545"/>
      <c r="I23" s="546"/>
      <c r="J23" s="548"/>
    </row>
    <row r="24" spans="2:10" ht="12.75">
      <c r="B24" s="240"/>
      <c r="C24" s="167" t="s">
        <v>110</v>
      </c>
      <c r="D24" s="144"/>
      <c r="E24" s="543"/>
      <c r="F24" s="543"/>
      <c r="G24" s="544"/>
      <c r="H24" s="545"/>
      <c r="I24" s="546"/>
      <c r="J24" s="548"/>
    </row>
    <row r="25" spans="2:10" ht="12.75">
      <c r="B25" s="240"/>
      <c r="C25" s="167" t="s">
        <v>79</v>
      </c>
      <c r="D25" s="144"/>
      <c r="E25" s="543"/>
      <c r="F25" s="543"/>
      <c r="G25" s="544"/>
      <c r="H25" s="545"/>
      <c r="I25" s="549"/>
      <c r="J25" s="550"/>
    </row>
    <row r="26" spans="2:10" ht="12.75">
      <c r="B26" s="240" t="str">
        <f>'CDM Allocation'!B26</f>
        <v>Total</v>
      </c>
      <c r="C26" s="167" t="s">
        <v>80</v>
      </c>
      <c r="D26" s="144"/>
      <c r="E26" s="543"/>
      <c r="F26" s="543"/>
      <c r="G26" s="544"/>
      <c r="H26" s="545"/>
      <c r="I26" s="546"/>
      <c r="J26" s="547"/>
    </row>
    <row r="27" spans="2:10" ht="12.75">
      <c r="B27" s="240"/>
      <c r="C27" s="167"/>
      <c r="D27" s="144"/>
      <c r="E27" s="543"/>
      <c r="F27" s="543"/>
      <c r="G27" s="544"/>
      <c r="H27" s="545"/>
      <c r="I27" s="546"/>
      <c r="J27" s="547"/>
    </row>
    <row r="28" spans="2:10" ht="12.75">
      <c r="B28" s="240"/>
      <c r="C28" s="167" t="s">
        <v>110</v>
      </c>
      <c r="D28" s="144"/>
      <c r="E28" s="543"/>
      <c r="F28" s="543"/>
      <c r="G28" s="544"/>
      <c r="H28" s="545"/>
      <c r="I28" s="546"/>
      <c r="J28" s="547"/>
    </row>
    <row r="29" spans="2:10" ht="12.75">
      <c r="B29" s="240"/>
      <c r="C29" s="167" t="s">
        <v>79</v>
      </c>
      <c r="D29" s="144"/>
      <c r="E29" s="544"/>
      <c r="F29" s="543"/>
      <c r="G29" s="544"/>
      <c r="H29" s="545"/>
      <c r="I29" s="549"/>
      <c r="J29" s="550"/>
    </row>
    <row r="30" spans="2:10" ht="12.75">
      <c r="B30" s="240"/>
      <c r="C30" s="167" t="s">
        <v>80</v>
      </c>
      <c r="D30" s="144"/>
      <c r="E30" s="548"/>
      <c r="F30" s="543"/>
      <c r="G30" s="544"/>
      <c r="H30" s="545"/>
      <c r="I30" s="546"/>
      <c r="J30" s="548"/>
    </row>
    <row r="31" spans="2:10" ht="12.75">
      <c r="B31" s="240"/>
      <c r="C31" s="167"/>
      <c r="D31" s="144"/>
      <c r="E31" s="543"/>
      <c r="F31" s="543"/>
      <c r="G31" s="544"/>
      <c r="H31" s="545"/>
      <c r="I31" s="546"/>
      <c r="J31" s="548"/>
    </row>
    <row r="32" spans="2:10" ht="12.75">
      <c r="B32" s="240"/>
      <c r="C32" s="167"/>
      <c r="D32" s="144"/>
      <c r="E32" s="528"/>
      <c r="F32" s="528"/>
      <c r="G32" s="528"/>
      <c r="H32" s="523"/>
      <c r="I32" s="529"/>
      <c r="J32" s="167"/>
    </row>
    <row r="33" spans="2:10" ht="12.75">
      <c r="B33" s="240"/>
      <c r="C33" s="240" t="s">
        <v>110</v>
      </c>
      <c r="D33" s="144"/>
      <c r="E33" s="528"/>
      <c r="F33" s="528"/>
      <c r="G33" s="528"/>
      <c r="H33" s="523"/>
      <c r="I33" s="529"/>
      <c r="J33" s="167"/>
    </row>
    <row r="34" spans="2:10" ht="13.5" thickBot="1">
      <c r="B34" s="240"/>
      <c r="C34" s="240" t="s">
        <v>79</v>
      </c>
      <c r="D34" s="144"/>
      <c r="E34" s="528">
        <f>SUM(E5:E33)</f>
        <v>235566</v>
      </c>
      <c r="F34" s="528">
        <f>SUM(F5:F33)</f>
        <v>732267</v>
      </c>
      <c r="G34" s="528">
        <f>SUM(G5:G33)</f>
        <v>530491</v>
      </c>
      <c r="H34" s="528">
        <f>SUM(H5:H33)</f>
        <v>1498324</v>
      </c>
      <c r="I34" s="552">
        <f>SUM(I5:I33)</f>
        <v>0.9999999999999999</v>
      </c>
      <c r="J34" s="167"/>
    </row>
    <row r="35" spans="2:10" ht="13.5" thickTop="1">
      <c r="B35" s="240"/>
      <c r="C35" s="240" t="s">
        <v>80</v>
      </c>
      <c r="D35" s="144"/>
      <c r="E35" s="528">
        <f>SUM(E13:E30)</f>
        <v>0</v>
      </c>
      <c r="F35" s="528">
        <f>SUM(F5:F33)</f>
        <v>732267</v>
      </c>
      <c r="G35" s="523"/>
      <c r="H35" s="523"/>
      <c r="I35" s="529"/>
      <c r="J35" s="530">
        <f>'CDM Adjustment'!Q40</f>
        <v>1405902</v>
      </c>
    </row>
    <row r="36" spans="2:10" ht="12.75">
      <c r="B36" s="144"/>
      <c r="C36" s="144"/>
      <c r="D36" s="144"/>
      <c r="E36" s="531">
        <f>SUM(E34:E35)</f>
        <v>235566</v>
      </c>
      <c r="F36" s="528"/>
      <c r="G36" s="231"/>
      <c r="H36" s="231"/>
      <c r="I36" s="144"/>
      <c r="J36" s="144"/>
    </row>
    <row r="37" spans="2:10" ht="12.75">
      <c r="B37" s="144"/>
      <c r="C37" s="144"/>
      <c r="D37" s="144"/>
      <c r="E37" s="144"/>
      <c r="F37" s="231"/>
      <c r="G37" s="231"/>
      <c r="H37" s="144"/>
      <c r="I37" s="144"/>
      <c r="J37" s="144"/>
    </row>
    <row r="38" spans="2:10" ht="12.75">
      <c r="B38" s="144"/>
      <c r="F38" s="231"/>
      <c r="G38" s="231"/>
      <c r="H38" s="144"/>
      <c r="I38" s="144"/>
      <c r="J38" s="144"/>
    </row>
  </sheetData>
  <sheetProtection/>
  <mergeCells count="1">
    <mergeCell ref="B2:C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tabColor theme="1"/>
  </sheetPr>
  <dimension ref="B3:P31"/>
  <sheetViews>
    <sheetView showGridLines="0" zoomScalePageLayoutView="0" workbookViewId="0" topLeftCell="A1">
      <selection activeCell="L10" sqref="L10"/>
    </sheetView>
  </sheetViews>
  <sheetFormatPr defaultColWidth="10.5" defaultRowHeight="12.75"/>
  <cols>
    <col min="1" max="1" width="10.5" style="144" customWidth="1"/>
    <col min="2" max="2" width="36.5" style="144" bestFit="1" customWidth="1"/>
    <col min="3" max="3" width="12.5" style="144" bestFit="1" customWidth="1"/>
    <col min="4" max="4" width="14.5" style="144" bestFit="1" customWidth="1"/>
    <col min="5" max="5" width="17.83203125" style="144" customWidth="1"/>
    <col min="6" max="10" width="14.5" style="144" bestFit="1" customWidth="1"/>
    <col min="11" max="15" width="10.66015625" style="144" customWidth="1"/>
    <col min="16" max="16384" width="10.5" style="144" customWidth="1"/>
  </cols>
  <sheetData>
    <row r="3" spans="2:10" ht="15" customHeight="1">
      <c r="B3" s="778" t="s">
        <v>124</v>
      </c>
      <c r="C3" s="755"/>
      <c r="D3" s="755"/>
      <c r="E3" s="755"/>
      <c r="F3" s="755"/>
      <c r="G3" s="755"/>
      <c r="H3" s="755"/>
      <c r="I3" s="755"/>
      <c r="J3" s="755"/>
    </row>
    <row r="4" spans="2:16" ht="12.75">
      <c r="B4" s="305"/>
      <c r="C4" s="305" t="s">
        <v>78</v>
      </c>
      <c r="D4" s="305">
        <v>2018</v>
      </c>
      <c r="E4" s="305">
        <v>2019</v>
      </c>
      <c r="F4" s="305">
        <f>'Input - Customer Data'!D13</f>
        <v>2020</v>
      </c>
      <c r="G4" s="305">
        <f>'Input - Customer Data'!D14</f>
        <v>2021</v>
      </c>
      <c r="H4" s="305">
        <f>'Input - Customer Data'!D15</f>
        <v>2022</v>
      </c>
      <c r="I4" s="444">
        <f>'Input - Customer Data'!D19</f>
        <v>2023</v>
      </c>
      <c r="J4" s="444">
        <f>'Input - Customer Data'!D20</f>
        <v>2024</v>
      </c>
      <c r="K4" s="303"/>
      <c r="L4" s="303"/>
      <c r="M4" s="303"/>
      <c r="N4" s="303"/>
      <c r="O4" s="303"/>
      <c r="P4" s="304"/>
    </row>
    <row r="5" spans="2:10" ht="12.75">
      <c r="B5" s="240" t="str">
        <f>'Input - Customer Data'!A13</f>
        <v>Residential</v>
      </c>
      <c r="C5" s="167" t="s">
        <v>110</v>
      </c>
      <c r="D5" s="558">
        <f>'Input - Customer Data'!E11</f>
        <v>20697.333333333332</v>
      </c>
      <c r="E5" s="315">
        <f>'Input - Customer Data'!$E12</f>
        <v>20873.333333333332</v>
      </c>
      <c r="F5" s="315">
        <f>'Input - Customer Data'!$E13</f>
        <v>21063.5</v>
      </c>
      <c r="G5" s="315">
        <f>'Input - Customer Data'!$E14</f>
        <v>21279</v>
      </c>
      <c r="H5" s="315">
        <f>'Input - Customer Data'!$E15</f>
        <v>21510.333333333332</v>
      </c>
      <c r="I5" s="315">
        <f>'Input - Customer Data'!$E24</f>
        <v>21693.818578541075</v>
      </c>
      <c r="J5" s="315">
        <f>'Input - Customer Data'!$E25</f>
        <v>21878.868970819633</v>
      </c>
    </row>
    <row r="6" spans="2:10" ht="12.75">
      <c r="B6" s="240"/>
      <c r="C6" s="167" t="s">
        <v>79</v>
      </c>
      <c r="D6" s="315">
        <f>'Bridge&amp;Test Year Class Forecast'!B10</f>
        <v>189038322.37500003</v>
      </c>
      <c r="E6" s="315">
        <f>'Bridge&amp;Test Year Class Forecast'!B11</f>
        <v>188724158.96599996</v>
      </c>
      <c r="F6" s="315">
        <f>'Bridge&amp;Test Year Class Forecast'!B12</f>
        <v>195030079.061</v>
      </c>
      <c r="G6" s="315">
        <f>'Bridge&amp;Test Year Class Forecast'!B13</f>
        <v>195812266.30999997</v>
      </c>
      <c r="H6" s="315">
        <f>'Bridge&amp;Test Year Class Forecast'!B14</f>
        <v>198504570.42700002</v>
      </c>
      <c r="I6" s="315">
        <f>'Bridge&amp;Test Year Class Forecast'!G22</f>
        <v>192599398.1170233</v>
      </c>
      <c r="J6" s="315">
        <f>'Bridge&amp;Test Year Class Forecast'!G23</f>
        <v>193221398.14720958</v>
      </c>
    </row>
    <row r="7" spans="2:10" ht="12.75">
      <c r="B7" s="240"/>
      <c r="C7" s="167" t="s">
        <v>80</v>
      </c>
      <c r="D7" s="167">
        <v>0</v>
      </c>
      <c r="E7" s="167">
        <v>0</v>
      </c>
      <c r="F7" s="167">
        <v>0</v>
      </c>
      <c r="G7" s="167">
        <v>0</v>
      </c>
      <c r="H7" s="167">
        <v>0</v>
      </c>
      <c r="I7" s="167">
        <v>0</v>
      </c>
      <c r="J7" s="167">
        <v>0</v>
      </c>
    </row>
    <row r="8" spans="2:10" ht="12.75">
      <c r="B8" s="240"/>
      <c r="C8" s="167"/>
      <c r="D8" s="167"/>
      <c r="E8" s="167"/>
      <c r="F8" s="315"/>
      <c r="G8" s="315"/>
      <c r="H8" s="315"/>
      <c r="I8" s="315"/>
      <c r="J8" s="315"/>
    </row>
    <row r="9" spans="2:10" ht="12.75">
      <c r="B9" s="240" t="str">
        <f>'Input - Customer Data'!A14</f>
        <v>General Service &lt; 50 kW</v>
      </c>
      <c r="C9" s="167" t="s">
        <v>110</v>
      </c>
      <c r="D9" s="315">
        <f>'Input - Customer Data'!$G11</f>
        <v>2577.8333333333335</v>
      </c>
      <c r="E9" s="315">
        <f>'Input - Customer Data'!$G12</f>
        <v>2587</v>
      </c>
      <c r="F9" s="315">
        <f>'Input - Customer Data'!$G13</f>
        <v>2609.9166666666665</v>
      </c>
      <c r="G9" s="315">
        <f>'Input - Customer Data'!$G14</f>
        <v>2622.25</v>
      </c>
      <c r="H9" s="315">
        <f>'Input - Customer Data'!$G15</f>
        <v>2654.0833333333335</v>
      </c>
      <c r="I9" s="315">
        <f>'Input - Customer Data'!$G24</f>
        <v>2671.8784866122232</v>
      </c>
      <c r="J9" s="315">
        <f>'Input - Customer Data'!$G25</f>
        <v>2689.7929532058993</v>
      </c>
    </row>
    <row r="10" spans="2:10" ht="12.75">
      <c r="B10" s="240"/>
      <c r="C10" s="167" t="s">
        <v>79</v>
      </c>
      <c r="D10" s="560">
        <f>'Bridge&amp;Test Year Class Forecast'!B34</f>
        <v>71822559.907</v>
      </c>
      <c r="E10" s="315">
        <f>'Bridge&amp;Test Year Class Forecast'!B$35</f>
        <v>72750960.34200001</v>
      </c>
      <c r="F10" s="315">
        <f>'Bridge&amp;Test Year Class Forecast'!B$36</f>
        <v>68092748.37</v>
      </c>
      <c r="G10" s="315">
        <f>'Bridge&amp;Test Year Class Forecast'!B$37</f>
        <v>69561352.27299999</v>
      </c>
      <c r="H10" s="315">
        <f>'Bridge&amp;Test Year Class Forecast'!B$38</f>
        <v>73619512.518</v>
      </c>
      <c r="I10" s="315">
        <f>'Bridge&amp;Test Year Class Forecast'!G46</f>
        <v>69955931.4315023</v>
      </c>
      <c r="J10" s="315">
        <f>'Bridge&amp;Test Year Class Forecast'!G47</f>
        <v>70181854.21157072</v>
      </c>
    </row>
    <row r="11" spans="2:10" ht="12.75">
      <c r="B11" s="240"/>
      <c r="C11" s="167" t="s">
        <v>80</v>
      </c>
      <c r="D11" s="167">
        <v>0</v>
      </c>
      <c r="E11" s="167">
        <v>0</v>
      </c>
      <c r="F11" s="167">
        <v>0</v>
      </c>
      <c r="G11" s="167">
        <v>0</v>
      </c>
      <c r="H11" s="167">
        <v>0</v>
      </c>
      <c r="I11" s="167">
        <v>0</v>
      </c>
      <c r="J11" s="167">
        <v>0</v>
      </c>
    </row>
    <row r="12" spans="2:10" ht="12.75">
      <c r="B12" s="240"/>
      <c r="C12" s="167"/>
      <c r="D12" s="167"/>
      <c r="E12" s="167"/>
      <c r="F12" s="315"/>
      <c r="G12" s="315"/>
      <c r="H12" s="315"/>
      <c r="I12" s="315"/>
      <c r="J12" s="315"/>
    </row>
    <row r="13" spans="2:10" ht="12.75">
      <c r="B13" s="240" t="str">
        <f>'Input - Customer Data'!A15</f>
        <v>General Service &gt; 50 to 4999 kW</v>
      </c>
      <c r="C13" s="167" t="s">
        <v>110</v>
      </c>
      <c r="D13" s="315">
        <f>'Input - Customer Data'!$I11</f>
        <v>190.5</v>
      </c>
      <c r="E13" s="315">
        <f>'Input - Customer Data'!$I12</f>
        <v>193.75</v>
      </c>
      <c r="F13" s="315">
        <f>'Input - Customer Data'!$I13</f>
        <v>183.41666666666666</v>
      </c>
      <c r="G13" s="315">
        <f>'Input - Customer Data'!$I14</f>
        <v>181.58333333333334</v>
      </c>
      <c r="H13" s="315">
        <f>'Input - Customer Data'!$I15</f>
        <v>170.91666666666666</v>
      </c>
      <c r="I13" s="315">
        <f>'Input - Customer Data'!$I24</f>
        <v>162.39450750401514</v>
      </c>
      <c r="J13" s="315">
        <f>'Input - Customer Data'!$I25</f>
        <v>154.2972758701412</v>
      </c>
    </row>
    <row r="14" spans="2:10" ht="12.75">
      <c r="B14" s="240"/>
      <c r="C14" s="167" t="s">
        <v>79</v>
      </c>
      <c r="D14" s="315">
        <f>'Bridge&amp;Test Year Class Forecast'!$J$58</f>
        <v>178565971.013</v>
      </c>
      <c r="E14" s="315">
        <f>'Bridge&amp;Test Year Class Forecast'!$J$59</f>
        <v>179642751.9</v>
      </c>
      <c r="F14" s="315">
        <f>'Bridge&amp;Test Year Class Forecast'!$J$60</f>
        <v>171472845.8</v>
      </c>
      <c r="G14" s="315">
        <f>'Bridge&amp;Test Year Class Forecast'!$J$61</f>
        <v>172409862.634</v>
      </c>
      <c r="H14" s="315">
        <f>'Bridge&amp;Test Year Class Forecast'!$J$62</f>
        <v>170442714.49999997</v>
      </c>
      <c r="I14" s="315">
        <f>'Bridge&amp;Test Year Class Forecast'!$J$63</f>
        <v>176868613.1636885</v>
      </c>
      <c r="J14" s="315">
        <f>'Bridge&amp;Test Year Class Forecast'!$J$64</f>
        <v>177439810.60149136</v>
      </c>
    </row>
    <row r="15" spans="2:10" ht="12.75">
      <c r="B15" s="240"/>
      <c r="C15" s="167" t="s">
        <v>80</v>
      </c>
      <c r="D15" s="315">
        <f>'Bridge&amp;Test Year Class Forecast'!$K58</f>
        <v>455528.08408</v>
      </c>
      <c r="E15" s="315">
        <f>'Bridge&amp;Test Year Class Forecast'!$K59</f>
        <v>444478.41176999995</v>
      </c>
      <c r="F15" s="315">
        <f>'Bridge&amp;Test Year Class Forecast'!$K60</f>
        <v>426592.67704999994</v>
      </c>
      <c r="G15" s="315">
        <f>'Bridge&amp;Test Year Class Forecast'!$K61</f>
        <v>429335.51749</v>
      </c>
      <c r="H15" s="315">
        <f>'Bridge&amp;Test Year Class Forecast'!$K62</f>
        <v>422433.4543</v>
      </c>
      <c r="I15" s="315">
        <f>'Bridge&amp;Test Year Class Forecast'!$K63</f>
        <v>443140.4116926996</v>
      </c>
      <c r="J15" s="315">
        <f>'Bridge&amp;Test Year Class Forecast'!$K64</f>
        <v>444571.53428261617</v>
      </c>
    </row>
    <row r="16" spans="2:10" ht="12.75">
      <c r="B16" s="240"/>
      <c r="C16" s="167"/>
      <c r="D16" s="167"/>
      <c r="E16" s="167"/>
      <c r="F16" s="315"/>
      <c r="G16" s="315"/>
      <c r="H16" s="315"/>
      <c r="I16" s="315"/>
      <c r="J16" s="315"/>
    </row>
    <row r="17" spans="2:10" ht="12.75">
      <c r="B17" s="240" t="str">
        <f>'Input - Customer Data'!A16</f>
        <v>USL</v>
      </c>
      <c r="C17" s="167" t="s">
        <v>110</v>
      </c>
      <c r="D17" s="315">
        <f>'Input - Customer Data'!$K11</f>
        <v>52.833333333333336</v>
      </c>
      <c r="E17" s="315">
        <f>'Input - Customer Data'!$K12</f>
        <v>50.333333333333336</v>
      </c>
      <c r="F17" s="315">
        <f>'Input - Customer Data'!$K13</f>
        <v>50</v>
      </c>
      <c r="G17" s="315">
        <f>'Input - Customer Data'!$K14</f>
        <v>49.75</v>
      </c>
      <c r="H17" s="315">
        <f>'Input - Customer Data'!$K15</f>
        <v>49</v>
      </c>
      <c r="I17" s="315">
        <f>'Input - Customer Data'!$K24</f>
        <v>48.09048984164403</v>
      </c>
      <c r="J17" s="315">
        <f>'Input - Customer Data'!$K25</f>
        <v>47.197861494066686</v>
      </c>
    </row>
    <row r="18" spans="2:10" ht="12.75">
      <c r="B18" s="240"/>
      <c r="C18" s="167" t="s">
        <v>79</v>
      </c>
      <c r="D18" s="315">
        <f>'Bridge&amp;Test Year Class Forecast'!$B82</f>
        <v>241032.331</v>
      </c>
      <c r="E18" s="315">
        <f>'Bridge&amp;Test Year Class Forecast'!$B83</f>
        <v>222616.579</v>
      </c>
      <c r="F18" s="315">
        <f>'Bridge&amp;Test Year Class Forecast'!$B84</f>
        <v>223044.18</v>
      </c>
      <c r="G18" s="315">
        <f>'Bridge&amp;Test Year Class Forecast'!$B85</f>
        <v>222382.693</v>
      </c>
      <c r="H18" s="315">
        <f>'Bridge&amp;Test Year Class Forecast'!$B86</f>
        <v>222218.772</v>
      </c>
      <c r="I18" s="315">
        <f>'Bridge&amp;Test Year Class Forecast'!$B87</f>
        <v>217683.69502040817</v>
      </c>
      <c r="J18" s="315">
        <f>'Bridge&amp;Test Year Class Forecast'!$B88</f>
        <v>213148.61804081633</v>
      </c>
    </row>
    <row r="19" spans="2:10" ht="12.75">
      <c r="B19" s="240"/>
      <c r="C19" s="167" t="s">
        <v>80</v>
      </c>
      <c r="D19" s="167">
        <v>0</v>
      </c>
      <c r="E19" s="167">
        <v>0</v>
      </c>
      <c r="F19" s="167">
        <v>0</v>
      </c>
      <c r="G19" s="167">
        <v>0</v>
      </c>
      <c r="H19" s="167">
        <v>0</v>
      </c>
      <c r="I19" s="167">
        <v>0</v>
      </c>
      <c r="J19" s="167">
        <v>0</v>
      </c>
    </row>
    <row r="20" spans="2:10" ht="12.75">
      <c r="B20" s="240"/>
      <c r="C20" s="167"/>
      <c r="D20" s="167"/>
      <c r="E20" s="167"/>
      <c r="F20" s="315"/>
      <c r="G20" s="315"/>
      <c r="H20" s="315"/>
      <c r="I20" s="315"/>
      <c r="J20" s="315"/>
    </row>
    <row r="21" spans="2:10" ht="12.75">
      <c r="B21" s="240" t="str">
        <f>'Input - Customer Data'!A17</f>
        <v>Sentinel</v>
      </c>
      <c r="C21" s="167" t="s">
        <v>110</v>
      </c>
      <c r="D21" s="315">
        <f>'Input - Customer Data'!$M11</f>
        <v>9.333333333333334</v>
      </c>
      <c r="E21" s="315">
        <f>'Input - Customer Data'!$M12</f>
        <v>9</v>
      </c>
      <c r="F21" s="315">
        <f>'Input - Customer Data'!$M13</f>
        <v>8.916666666666666</v>
      </c>
      <c r="G21" s="315">
        <f>'Input - Customer Data'!$M14</f>
        <v>8.416666666666666</v>
      </c>
      <c r="H21" s="315">
        <f>'Input - Customer Data'!$M15</f>
        <v>8.416666666666666</v>
      </c>
      <c r="I21" s="315">
        <f>'Input - Customer Data'!$M24</f>
        <v>8.371600930182808</v>
      </c>
      <c r="J21" s="315">
        <f>'Input - Customer Data'!$M25</f>
        <v>8.326776491196554</v>
      </c>
    </row>
    <row r="22" spans="2:10" ht="12.75">
      <c r="B22" s="240"/>
      <c r="C22" s="167" t="s">
        <v>79</v>
      </c>
      <c r="D22" s="315">
        <f>'Bridge&amp;Test Year Class Forecast'!$B103</f>
        <v>7695.026000000001</v>
      </c>
      <c r="E22" s="315">
        <f>'Bridge&amp;Test Year Class Forecast'!$B104</f>
        <v>7577.467999999999</v>
      </c>
      <c r="F22" s="315">
        <f>'Bridge&amp;Test Year Class Forecast'!$B105</f>
        <v>7597.115</v>
      </c>
      <c r="G22" s="315">
        <f>'Bridge&amp;Test Year Class Forecast'!$B106</f>
        <v>7576.029999999998</v>
      </c>
      <c r="H22" s="315">
        <f>'Bridge&amp;Test Year Class Forecast'!$B107</f>
        <v>7576.047</v>
      </c>
      <c r="I22" s="315">
        <f>'Bridge&amp;Test Year Class Forecast'!$B108</f>
        <v>7249</v>
      </c>
      <c r="J22" s="315">
        <f>'Bridge&amp;Test Year Class Forecast'!$B109</f>
        <v>7210</v>
      </c>
    </row>
    <row r="23" spans="2:10" ht="12.75">
      <c r="B23" s="240"/>
      <c r="C23" s="167" t="s">
        <v>80</v>
      </c>
      <c r="D23" s="315">
        <f>'Bridge&amp;Test Year Class Forecast'!$C103</f>
        <v>16</v>
      </c>
      <c r="E23" s="315">
        <f>'Bridge&amp;Test Year Class Forecast'!$C104</f>
        <v>16</v>
      </c>
      <c r="F23" s="315">
        <f>'Bridge&amp;Test Year Class Forecast'!$C105</f>
        <v>16</v>
      </c>
      <c r="G23" s="315">
        <f>'Bridge&amp;Test Year Class Forecast'!$C106</f>
        <v>16</v>
      </c>
      <c r="H23" s="315">
        <f>'Bridge&amp;Test Year Class Forecast'!$C107</f>
        <v>16</v>
      </c>
      <c r="I23" s="315">
        <f>'Bridge&amp;Test Year Class Forecast'!$C108</f>
        <v>16</v>
      </c>
      <c r="J23" s="315">
        <f>'Bridge&amp;Test Year Class Forecast'!$C109</f>
        <v>16</v>
      </c>
    </row>
    <row r="24" spans="2:10" ht="12.75">
      <c r="B24" s="240"/>
      <c r="C24" s="167"/>
      <c r="D24" s="167"/>
      <c r="E24" s="167"/>
      <c r="F24" s="315"/>
      <c r="G24" s="315"/>
      <c r="H24" s="315"/>
      <c r="I24" s="315"/>
      <c r="J24" s="315"/>
    </row>
    <row r="25" spans="2:10" ht="12.75">
      <c r="B25" s="559" t="str">
        <f>'Input - Customer Data'!A18</f>
        <v>Streetlights</v>
      </c>
      <c r="C25" s="167" t="s">
        <v>110</v>
      </c>
      <c r="D25" s="315">
        <f>'Input - Customer Data'!$O11</f>
        <v>6204.5</v>
      </c>
      <c r="E25" s="315">
        <f>'Input - Customer Data'!$O12</f>
        <v>6279.916666666667</v>
      </c>
      <c r="F25" s="315">
        <f>'Input - Customer Data'!$O13</f>
        <v>6285.416666666667</v>
      </c>
      <c r="G25" s="315">
        <f>'Input - Customer Data'!$O14</f>
        <v>6283</v>
      </c>
      <c r="H25" s="315">
        <f>'Input - Customer Data'!$O15</f>
        <v>6283</v>
      </c>
      <c r="I25" s="315">
        <f>'Input - Customer Data'!$O24</f>
        <v>6313.738627508037</v>
      </c>
      <c r="J25" s="315">
        <f>'Input - Customer Data'!$O25</f>
        <v>6344.627639103465</v>
      </c>
    </row>
    <row r="26" spans="2:10" ht="12.75">
      <c r="B26" s="240"/>
      <c r="C26" s="167" t="s">
        <v>79</v>
      </c>
      <c r="D26" s="315">
        <f>'Bridge&amp;Test Year Class Forecast'!$B124</f>
        <v>2480513.1</v>
      </c>
      <c r="E26" s="315">
        <f>'Bridge&amp;Test Year Class Forecast'!$B125</f>
        <v>2298862.4</v>
      </c>
      <c r="F26" s="315">
        <f>'Bridge&amp;Test Year Class Forecast'!$B126</f>
        <v>2321450.5</v>
      </c>
      <c r="G26" s="315">
        <f>'Bridge&amp;Test Year Class Forecast'!$B127</f>
        <v>2315541.1</v>
      </c>
      <c r="H26" s="315">
        <f>'Bridge&amp;Test Year Class Forecast'!$B128</f>
        <v>2315417.4</v>
      </c>
      <c r="I26" s="315">
        <f>'Bridge&amp;Test Year Class Forecast'!$B129</f>
        <v>2482154</v>
      </c>
      <c r="J26" s="315">
        <f>'Bridge&amp;Test Year Class Forecast'!$B130</f>
        <v>2494298</v>
      </c>
    </row>
    <row r="27" spans="2:10" ht="12.75">
      <c r="B27" s="240"/>
      <c r="C27" s="167" t="s">
        <v>80</v>
      </c>
      <c r="D27" s="315">
        <f>'Bridge&amp;Test Year Class Forecast'!$C124</f>
        <v>6215</v>
      </c>
      <c r="E27" s="315">
        <f>'Bridge&amp;Test Year Class Forecast'!$C125</f>
        <v>6235</v>
      </c>
      <c r="F27" s="315">
        <f>'Bridge&amp;Test Year Class Forecast'!$C126</f>
        <v>6235</v>
      </c>
      <c r="G27" s="315">
        <f>'Bridge&amp;Test Year Class Forecast'!$C127</f>
        <v>6232</v>
      </c>
      <c r="H27" s="315">
        <f>'Bridge&amp;Test Year Class Forecast'!$C128</f>
        <v>6232</v>
      </c>
      <c r="I27" s="315">
        <f>'Bridge&amp;Test Year Class Forecast'!$C129</f>
        <v>6618</v>
      </c>
      <c r="J27" s="315">
        <f>'Bridge&amp;Test Year Class Forecast'!$C130</f>
        <v>6650</v>
      </c>
    </row>
    <row r="28" spans="2:10" ht="12.75">
      <c r="B28" s="240"/>
      <c r="C28" s="167"/>
      <c r="D28" s="167"/>
      <c r="E28" s="167"/>
      <c r="F28" s="315"/>
      <c r="G28" s="315"/>
      <c r="H28" s="315"/>
      <c r="I28" s="315"/>
      <c r="J28" s="316"/>
    </row>
    <row r="29" spans="2:10" ht="12.75">
      <c r="B29" s="240" t="s">
        <v>81</v>
      </c>
      <c r="C29" s="240" t="s">
        <v>110</v>
      </c>
      <c r="D29" s="317">
        <f>D5+D9+D13+D17+D21+D25</f>
        <v>29732.33333333333</v>
      </c>
      <c r="E29" s="317">
        <f aca="true" t="shared" si="0" ref="E29:J29">E5+E9+E13+E17+E21+E25</f>
        <v>29993.333333333332</v>
      </c>
      <c r="F29" s="317">
        <f t="shared" si="0"/>
        <v>30201.16666666667</v>
      </c>
      <c r="G29" s="317">
        <f t="shared" si="0"/>
        <v>30424</v>
      </c>
      <c r="H29" s="317">
        <f t="shared" si="0"/>
        <v>30675.75</v>
      </c>
      <c r="I29" s="317">
        <f t="shared" si="0"/>
        <v>30898.292290937177</v>
      </c>
      <c r="J29" s="317">
        <f t="shared" si="0"/>
        <v>31123.111476984403</v>
      </c>
    </row>
    <row r="30" spans="2:10" ht="12.75">
      <c r="B30" s="240"/>
      <c r="C30" s="240" t="s">
        <v>79</v>
      </c>
      <c r="D30" s="317">
        <f>D6+D10+D14+D18+D22+D26</f>
        <v>442156093.7520001</v>
      </c>
      <c r="E30" s="317">
        <f aca="true" t="shared" si="1" ref="E30:J30">E6+E10+E14+E18+E22+E26</f>
        <v>443646927.6549999</v>
      </c>
      <c r="F30" s="317">
        <f t="shared" si="1"/>
        <v>437147765.026</v>
      </c>
      <c r="G30" s="317">
        <f t="shared" si="1"/>
        <v>440328981.03999996</v>
      </c>
      <c r="H30" s="317">
        <f t="shared" si="1"/>
        <v>445112009.66400003</v>
      </c>
      <c r="I30" s="317">
        <f t="shared" si="1"/>
        <v>442131029.40723455</v>
      </c>
      <c r="J30" s="317">
        <f t="shared" si="1"/>
        <v>443557719.5783125</v>
      </c>
    </row>
    <row r="31" spans="2:10" ht="12.75">
      <c r="B31" s="240"/>
      <c r="C31" s="240" t="s">
        <v>80</v>
      </c>
      <c r="D31" s="317">
        <f>D7+D11+D15+D19+D23+D27</f>
        <v>461759.08408</v>
      </c>
      <c r="E31" s="317">
        <f aca="true" t="shared" si="2" ref="E31:J31">E7+E11+E15+E19+E23+E27</f>
        <v>450729.41176999995</v>
      </c>
      <c r="F31" s="317">
        <f t="shared" si="2"/>
        <v>432843.67704999994</v>
      </c>
      <c r="G31" s="317">
        <f t="shared" si="2"/>
        <v>435583.51749</v>
      </c>
      <c r="H31" s="317">
        <f t="shared" si="2"/>
        <v>428681.4543</v>
      </c>
      <c r="I31" s="317">
        <f t="shared" si="2"/>
        <v>449774.4116926996</v>
      </c>
      <c r="J31" s="317">
        <f t="shared" si="2"/>
        <v>451237.53428261617</v>
      </c>
    </row>
    <row r="34" ht="15.75" customHeight="1"/>
  </sheetData>
  <sheetProtection/>
  <mergeCells count="1">
    <mergeCell ref="B3:J3"/>
  </mergeCells>
  <printOp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5"/>
  <dimension ref="A3:I49"/>
  <sheetViews>
    <sheetView showGridLines="0" zoomScalePageLayoutView="0" workbookViewId="0" topLeftCell="A1">
      <selection activeCell="E23" sqref="E23:E31"/>
    </sheetView>
  </sheetViews>
  <sheetFormatPr defaultColWidth="9.33203125" defaultRowHeight="12.75"/>
  <cols>
    <col min="1" max="5" width="18.83203125" style="12" customWidth="1"/>
    <col min="6" max="6" width="20.83203125" style="12" bestFit="1" customWidth="1"/>
    <col min="7" max="10" width="18.83203125" style="12" customWidth="1"/>
    <col min="11" max="16384" width="9.33203125" style="12" customWidth="1"/>
  </cols>
  <sheetData>
    <row r="3" spans="1:9" ht="15.75" customHeight="1">
      <c r="A3" s="778" t="s">
        <v>164</v>
      </c>
      <c r="B3" s="755"/>
      <c r="C3" s="755"/>
      <c r="D3" s="755"/>
      <c r="E3" s="755"/>
      <c r="F3" s="755"/>
      <c r="G3" s="755"/>
      <c r="H3" s="250"/>
      <c r="I3" s="250"/>
    </row>
    <row r="4" spans="1:7" ht="25.5">
      <c r="A4" s="244" t="s">
        <v>78</v>
      </c>
      <c r="B4" s="244" t="s">
        <v>133</v>
      </c>
      <c r="C4" s="244" t="s">
        <v>158</v>
      </c>
      <c r="D4" s="244" t="s">
        <v>202</v>
      </c>
      <c r="E4" s="244" t="s">
        <v>158</v>
      </c>
      <c r="F4" s="249" t="s">
        <v>203</v>
      </c>
      <c r="G4" s="244"/>
    </row>
    <row r="5" spans="1:7" ht="12.75">
      <c r="A5" s="318"/>
      <c r="B5" s="319" t="s">
        <v>59</v>
      </c>
      <c r="C5" s="319"/>
      <c r="D5" s="319" t="s">
        <v>59</v>
      </c>
      <c r="E5" s="319"/>
      <c r="F5" s="320"/>
      <c r="G5" s="325"/>
    </row>
    <row r="6" spans="1:7" ht="12.75">
      <c r="A6" s="166">
        <f>'Input - Customer Data'!D6</f>
        <v>2013</v>
      </c>
      <c r="B6" s="335">
        <f>SUM('Input - Adjustments &amp; Variables'!B5:B16)</f>
        <v>454992226.09244335</v>
      </c>
      <c r="C6" s="320"/>
      <c r="D6" s="335">
        <f>SUM('Input - Adjustments &amp; Variables'!H5:H16)</f>
        <v>454992226.09244335</v>
      </c>
      <c r="E6" s="320"/>
      <c r="F6" s="336">
        <f aca="true" t="shared" si="0" ref="F6:F15">(D6-B6)/B6</f>
        <v>0</v>
      </c>
      <c r="G6" s="336">
        <f aca="true" t="shared" si="1" ref="G6:G15">IF(ABS(B6-D6)=0,0,ABS(B6-D6)/B6)</f>
        <v>0</v>
      </c>
    </row>
    <row r="7" spans="1:7" ht="12.75">
      <c r="A7" s="166">
        <f>'Input - Customer Data'!D7</f>
        <v>2014</v>
      </c>
      <c r="B7" s="335">
        <f>SUM('Input - Adjustments &amp; Variables'!B17:B28)</f>
        <v>453005451.03000003</v>
      </c>
      <c r="C7" s="336">
        <f>(B7-B6)/B6</f>
        <v>-0.004366613204594954</v>
      </c>
      <c r="D7" s="335">
        <f>SUM('Input - Adjustments &amp; Variables'!H17:H28)</f>
        <v>453005451.03000003</v>
      </c>
      <c r="E7" s="336">
        <f>(D7-D6)/D6</f>
        <v>-0.004366613204594954</v>
      </c>
      <c r="F7" s="336">
        <f t="shared" si="0"/>
        <v>0</v>
      </c>
      <c r="G7" s="336">
        <f t="shared" si="1"/>
        <v>0</v>
      </c>
    </row>
    <row r="8" spans="1:7" ht="12.75">
      <c r="A8" s="166">
        <f>'Input - Customer Data'!D8</f>
        <v>2015</v>
      </c>
      <c r="B8" s="335">
        <f>SUM('Input - Adjustments &amp; Variables'!B29:B40)</f>
        <v>455412606.55</v>
      </c>
      <c r="C8" s="336">
        <f aca="true" t="shared" si="2" ref="C8:C15">(B8-B7)/B7</f>
        <v>0.0053137451536771204</v>
      </c>
      <c r="D8" s="335">
        <f>SUM('Input - Adjustments &amp; Variables'!H29:H40)</f>
        <v>455412606.55</v>
      </c>
      <c r="E8" s="336">
        <f aca="true" t="shared" si="3" ref="E8:E15">(D8-D7)/D7</f>
        <v>0.0053137451536771204</v>
      </c>
      <c r="F8" s="336">
        <f t="shared" si="0"/>
        <v>0</v>
      </c>
      <c r="G8" s="336">
        <f t="shared" si="1"/>
        <v>0</v>
      </c>
    </row>
    <row r="9" spans="1:7" ht="12.75">
      <c r="A9" s="166">
        <f>'Input - Customer Data'!D9</f>
        <v>2016</v>
      </c>
      <c r="B9" s="335">
        <f>SUM('Input - Adjustments &amp; Variables'!B41:B52)</f>
        <v>440987678.6216054</v>
      </c>
      <c r="C9" s="336">
        <f t="shared" si="2"/>
        <v>-0.03167441507092074</v>
      </c>
      <c r="D9" s="335">
        <f>SUM('Input - Adjustments &amp; Variables'!H41:H52)</f>
        <v>440987678.6216054</v>
      </c>
      <c r="E9" s="336">
        <f t="shared" si="3"/>
        <v>-0.03167441507092074</v>
      </c>
      <c r="F9" s="336">
        <f t="shared" si="0"/>
        <v>0</v>
      </c>
      <c r="G9" s="336">
        <f t="shared" si="1"/>
        <v>0</v>
      </c>
    </row>
    <row r="10" spans="1:7" ht="12.75">
      <c r="A10" s="166">
        <f>'Input - Customer Data'!D10</f>
        <v>2017</v>
      </c>
      <c r="B10" s="335">
        <f>SUM('Input - Adjustments &amp; Variables'!B53:B64)</f>
        <v>428225213.77720886</v>
      </c>
      <c r="C10" s="336">
        <f t="shared" si="2"/>
        <v>-0.028940638169955568</v>
      </c>
      <c r="D10" s="335">
        <f>SUM('Input - Adjustments &amp; Variables'!H53:H64)</f>
        <v>428225213.77720886</v>
      </c>
      <c r="E10" s="336">
        <f t="shared" si="3"/>
        <v>-0.028940638169955568</v>
      </c>
      <c r="F10" s="336">
        <f t="shared" si="0"/>
        <v>0</v>
      </c>
      <c r="G10" s="336">
        <f t="shared" si="1"/>
        <v>0</v>
      </c>
    </row>
    <row r="11" spans="1:7" ht="12.75">
      <c r="A11" s="166">
        <f>'Input - Customer Data'!D11</f>
        <v>2018</v>
      </c>
      <c r="B11" s="335">
        <f>SUM('Input - Adjustments &amp; Variables'!B65:B76)</f>
        <v>450271296.015299</v>
      </c>
      <c r="C11" s="336">
        <f t="shared" si="2"/>
        <v>0.0514824478540864</v>
      </c>
      <c r="D11" s="335">
        <f>SUM('Input - Adjustments &amp; Variables'!H65:H76)</f>
        <v>450271296.015299</v>
      </c>
      <c r="E11" s="336">
        <f t="shared" si="3"/>
        <v>0.0514824478540864</v>
      </c>
      <c r="F11" s="336">
        <f t="shared" si="0"/>
        <v>0</v>
      </c>
      <c r="G11" s="336">
        <f t="shared" si="1"/>
        <v>0</v>
      </c>
    </row>
    <row r="12" spans="1:7" ht="12.75">
      <c r="A12" s="166">
        <f>'Input - Customer Data'!D12</f>
        <v>2019</v>
      </c>
      <c r="B12" s="335">
        <f>SUM('Input - Adjustments &amp; Variables'!B77:B88)</f>
        <v>453888186.39901006</v>
      </c>
      <c r="C12" s="336">
        <f t="shared" si="2"/>
        <v>0.008032691436738059</v>
      </c>
      <c r="D12" s="335">
        <f>SUM('Input - Adjustments &amp; Variables'!H77:H88)</f>
        <v>453888186.39901006</v>
      </c>
      <c r="E12" s="336">
        <f t="shared" si="3"/>
        <v>0.008032691436738059</v>
      </c>
      <c r="F12" s="336">
        <f t="shared" si="0"/>
        <v>0</v>
      </c>
      <c r="G12" s="336">
        <f t="shared" si="1"/>
        <v>0</v>
      </c>
    </row>
    <row r="13" spans="1:7" ht="12.75">
      <c r="A13" s="166">
        <f>'Input - Customer Data'!D13</f>
        <v>2020</v>
      </c>
      <c r="B13" s="335">
        <f>SUM('Input - Adjustments &amp; Variables'!B89:B100)</f>
        <v>450797958.112</v>
      </c>
      <c r="C13" s="336">
        <f t="shared" si="2"/>
        <v>-0.006808347032618017</v>
      </c>
      <c r="D13" s="335">
        <f>SUM('Input - Adjustments &amp; Variables'!H89:H100)</f>
        <v>450797958.112</v>
      </c>
      <c r="E13" s="336">
        <f t="shared" si="3"/>
        <v>-0.006808347032618017</v>
      </c>
      <c r="F13" s="336">
        <f t="shared" si="0"/>
        <v>0</v>
      </c>
      <c r="G13" s="336">
        <f t="shared" si="1"/>
        <v>0</v>
      </c>
    </row>
    <row r="14" spans="1:7" ht="12.75">
      <c r="A14" s="166">
        <f>'Input - Customer Data'!D14</f>
        <v>2021</v>
      </c>
      <c r="B14" s="335">
        <f>SUM('Input - Adjustments &amp; Variables'!B101:B112)</f>
        <v>457450104.7155</v>
      </c>
      <c r="C14" s="336">
        <f t="shared" si="2"/>
        <v>0.01475638139835428</v>
      </c>
      <c r="D14" s="335">
        <f>SUM('Input - Adjustments &amp; Variables'!H101:H112)</f>
        <v>457450104.7155</v>
      </c>
      <c r="E14" s="336">
        <f t="shared" si="3"/>
        <v>0.01475638139835428</v>
      </c>
      <c r="F14" s="336">
        <f t="shared" si="0"/>
        <v>0</v>
      </c>
      <c r="G14" s="336">
        <f t="shared" si="1"/>
        <v>0</v>
      </c>
    </row>
    <row r="15" spans="1:7" ht="12.75">
      <c r="A15" s="166">
        <f>'Input - Customer Data'!D15</f>
        <v>2022</v>
      </c>
      <c r="B15" s="335">
        <f>SUM('Input - Adjustments &amp; Variables'!B113:B124)</f>
        <v>460636970.19469994</v>
      </c>
      <c r="C15" s="336">
        <f t="shared" si="2"/>
        <v>0.006966585965002543</v>
      </c>
      <c r="D15" s="335">
        <f>SUM('Input - Adjustments &amp; Variables'!H113:H124)</f>
        <v>460636970.19469994</v>
      </c>
      <c r="E15" s="336">
        <f t="shared" si="3"/>
        <v>0.006966585965002543</v>
      </c>
      <c r="F15" s="336">
        <f t="shared" si="0"/>
        <v>0</v>
      </c>
      <c r="G15" s="336">
        <f t="shared" si="1"/>
        <v>0</v>
      </c>
    </row>
    <row r="16" spans="2:7" ht="12.75">
      <c r="B16" s="321"/>
      <c r="C16" s="321"/>
      <c r="F16" s="12" t="e">
        <f>GEOMEAN(F7:F14)</f>
        <v>#NUM!</v>
      </c>
      <c r="G16" s="323"/>
    </row>
    <row r="17" spans="6:7" ht="12.75">
      <c r="F17" s="326"/>
      <c r="G17" s="323"/>
    </row>
    <row r="19" spans="1:7" ht="15.75">
      <c r="A19" s="778" t="s">
        <v>163</v>
      </c>
      <c r="B19" s="755"/>
      <c r="C19" s="755"/>
      <c r="D19" s="755"/>
      <c r="E19" s="755"/>
      <c r="F19" s="755"/>
      <c r="G19" s="755"/>
    </row>
    <row r="20" spans="1:7" ht="25.5">
      <c r="A20" s="244" t="s">
        <v>78</v>
      </c>
      <c r="B20" s="244" t="s">
        <v>204</v>
      </c>
      <c r="C20" s="244" t="s">
        <v>158</v>
      </c>
      <c r="D20" s="244" t="s">
        <v>201</v>
      </c>
      <c r="E20" s="244" t="s">
        <v>158</v>
      </c>
      <c r="F20" s="249" t="s">
        <v>205</v>
      </c>
      <c r="G20" s="244"/>
    </row>
    <row r="21" spans="1:7" ht="12.75">
      <c r="A21" s="318"/>
      <c r="B21" s="319"/>
      <c r="C21" s="319"/>
      <c r="D21" s="319"/>
      <c r="E21" s="319"/>
      <c r="F21" s="320"/>
      <c r="G21" s="325"/>
    </row>
    <row r="22" spans="1:7" ht="12.75">
      <c r="A22" s="166">
        <f>'Input - Customer Data'!D6</f>
        <v>2013</v>
      </c>
      <c r="B22" s="335">
        <f>B6</f>
        <v>454992226.09244335</v>
      </c>
      <c r="C22" s="320"/>
      <c r="D22" s="335">
        <f>'Bridge&amp;Test Year Class Forecast'!E5</f>
        <v>444205116.3869417</v>
      </c>
      <c r="E22" s="320"/>
      <c r="F22" s="336">
        <f aca="true" t="shared" si="4" ref="F22:F31">(D22-B22)/B22</f>
        <v>-0.023708338487765716</v>
      </c>
      <c r="G22" s="336">
        <f aca="true" t="shared" si="5" ref="G22:G31">IF(ABS(B22-D22)=0,0,ABS(B22-D22)/B22)</f>
        <v>0.023708338487765716</v>
      </c>
    </row>
    <row r="23" spans="1:7" ht="12.75">
      <c r="A23" s="166">
        <f>'Input - Customer Data'!D7</f>
        <v>2014</v>
      </c>
      <c r="B23" s="335">
        <f aca="true" t="shared" si="6" ref="B23:B31">B7</f>
        <v>453005451.03000003</v>
      </c>
      <c r="C23" s="336">
        <f aca="true" t="shared" si="7" ref="C23:C31">(B23-B22)/B22</f>
        <v>-0.004366613204594954</v>
      </c>
      <c r="D23" s="335">
        <f>'Bridge&amp;Test Year Class Forecast'!E6</f>
        <v>449537052.00079477</v>
      </c>
      <c r="E23" s="336">
        <f aca="true" t="shared" si="8" ref="E23:E31">(D23-D22)/D22</f>
        <v>0.012003318775843439</v>
      </c>
      <c r="F23" s="336">
        <f t="shared" si="4"/>
        <v>-0.007656417867200388</v>
      </c>
      <c r="G23" s="336">
        <f t="shared" si="5"/>
        <v>0.007656417867200388</v>
      </c>
    </row>
    <row r="24" spans="1:7" ht="12.75">
      <c r="A24" s="166">
        <f>'Input - Customer Data'!D8</f>
        <v>2015</v>
      </c>
      <c r="B24" s="335">
        <f t="shared" si="6"/>
        <v>455412606.55</v>
      </c>
      <c r="C24" s="336">
        <f t="shared" si="7"/>
        <v>0.0053137451536771204</v>
      </c>
      <c r="D24" s="335">
        <f>'Bridge&amp;Test Year Class Forecast'!E7</f>
        <v>446519571.9864564</v>
      </c>
      <c r="E24" s="336">
        <f t="shared" si="8"/>
        <v>-0.006712416698263704</v>
      </c>
      <c r="F24" s="336">
        <f t="shared" si="4"/>
        <v>-0.01952742290318493</v>
      </c>
      <c r="G24" s="336">
        <f t="shared" si="5"/>
        <v>0.01952742290318493</v>
      </c>
    </row>
    <row r="25" spans="1:7" ht="12.75">
      <c r="A25" s="166">
        <f>'Input - Customer Data'!D9</f>
        <v>2016</v>
      </c>
      <c r="B25" s="335">
        <f t="shared" si="6"/>
        <v>440987678.6216054</v>
      </c>
      <c r="C25" s="336">
        <f t="shared" si="7"/>
        <v>-0.03167441507092074</v>
      </c>
      <c r="D25" s="335">
        <f>'Bridge&amp;Test Year Class Forecast'!E8</f>
        <v>450254486.9273633</v>
      </c>
      <c r="E25" s="336">
        <f t="shared" si="8"/>
        <v>0.008364504436594256</v>
      </c>
      <c r="F25" s="336">
        <f t="shared" si="4"/>
        <v>0.021013757878050314</v>
      </c>
      <c r="G25" s="336">
        <f t="shared" si="5"/>
        <v>0.021013757878050314</v>
      </c>
    </row>
    <row r="26" spans="1:7" ht="12.75">
      <c r="A26" s="166">
        <f>'Input - Customer Data'!D10</f>
        <v>2017</v>
      </c>
      <c r="B26" s="335">
        <f t="shared" si="6"/>
        <v>428225213.77720886</v>
      </c>
      <c r="C26" s="336">
        <f t="shared" si="7"/>
        <v>-0.028940638169955568</v>
      </c>
      <c r="D26" s="335">
        <f>'Bridge&amp;Test Year Class Forecast'!E9</f>
        <v>444373758.3125505</v>
      </c>
      <c r="E26" s="336">
        <f t="shared" si="8"/>
        <v>-0.013060899525830805</v>
      </c>
      <c r="F26" s="336">
        <f t="shared" si="4"/>
        <v>0.03771040101282584</v>
      </c>
      <c r="G26" s="336">
        <f t="shared" si="5"/>
        <v>0.03771040101282584</v>
      </c>
    </row>
    <row r="27" spans="1:7" ht="12.75">
      <c r="A27" s="166">
        <f>'Input - Customer Data'!D11</f>
        <v>2018</v>
      </c>
      <c r="B27" s="335">
        <f t="shared" si="6"/>
        <v>450271296.015299</v>
      </c>
      <c r="C27" s="336">
        <f t="shared" si="7"/>
        <v>0.0514824478540864</v>
      </c>
      <c r="D27" s="335">
        <f>'Bridge&amp;Test Year Class Forecast'!E10</f>
        <v>457201766.7681932</v>
      </c>
      <c r="E27" s="336">
        <f t="shared" si="8"/>
        <v>0.028867610239532</v>
      </c>
      <c r="F27" s="336">
        <f t="shared" si="4"/>
        <v>0.015391766728693903</v>
      </c>
      <c r="G27" s="336">
        <f t="shared" si="5"/>
        <v>0.015391766728693903</v>
      </c>
    </row>
    <row r="28" spans="1:7" ht="12.75">
      <c r="A28" s="166">
        <f>'Input - Customer Data'!D12</f>
        <v>2019</v>
      </c>
      <c r="B28" s="335">
        <f t="shared" si="6"/>
        <v>453888186.39901006</v>
      </c>
      <c r="C28" s="336">
        <f t="shared" si="7"/>
        <v>0.008032691436738059</v>
      </c>
      <c r="D28" s="335">
        <f>'Bridge&amp;Test Year Class Forecast'!E11</f>
        <v>454714655.8398123</v>
      </c>
      <c r="E28" s="336">
        <f t="shared" si="8"/>
        <v>-0.005439854150086655</v>
      </c>
      <c r="F28" s="336">
        <f t="shared" si="4"/>
        <v>0.0018208657232503356</v>
      </c>
      <c r="G28" s="336">
        <f t="shared" si="5"/>
        <v>0.0018208657232503356</v>
      </c>
    </row>
    <row r="29" spans="1:7" ht="12.75">
      <c r="A29" s="166">
        <f>'Input - Customer Data'!D13</f>
        <v>2020</v>
      </c>
      <c r="B29" s="335">
        <f t="shared" si="6"/>
        <v>450797958.112</v>
      </c>
      <c r="C29" s="336">
        <f t="shared" si="7"/>
        <v>-0.006808347032618017</v>
      </c>
      <c r="D29" s="335">
        <f>'Bridge&amp;Test Year Class Forecast'!E12</f>
        <v>454586102.7924016</v>
      </c>
      <c r="E29" s="336">
        <f t="shared" si="8"/>
        <v>-0.0002827114669819524</v>
      </c>
      <c r="F29" s="336">
        <f t="shared" si="4"/>
        <v>0.008403198400158825</v>
      </c>
      <c r="G29" s="336">
        <f t="shared" si="5"/>
        <v>0.008403198400158825</v>
      </c>
    </row>
    <row r="30" spans="1:7" ht="12.75">
      <c r="A30" s="166">
        <f>'Input - Customer Data'!D14</f>
        <v>2021</v>
      </c>
      <c r="B30" s="335">
        <f t="shared" si="6"/>
        <v>457450104.7155</v>
      </c>
      <c r="C30" s="336">
        <f t="shared" si="7"/>
        <v>0.01475638139835428</v>
      </c>
      <c r="D30" s="335">
        <f>'Bridge&amp;Test Year Class Forecast'!E13</f>
        <v>448864670.82426304</v>
      </c>
      <c r="E30" s="336">
        <f t="shared" si="8"/>
        <v>-0.012586024810246815</v>
      </c>
      <c r="F30" s="336">
        <f t="shared" si="4"/>
        <v>-0.018768022572814718</v>
      </c>
      <c r="G30" s="336">
        <f t="shared" si="5"/>
        <v>0.018768022572814718</v>
      </c>
    </row>
    <row r="31" spans="1:7" ht="12.75">
      <c r="A31" s="166">
        <f>'Input - Customer Data'!D15</f>
        <v>2022</v>
      </c>
      <c r="B31" s="335">
        <f t="shared" si="6"/>
        <v>460636970.19469994</v>
      </c>
      <c r="C31" s="336">
        <f t="shared" si="7"/>
        <v>0.006966585965002543</v>
      </c>
      <c r="D31" s="335">
        <f>'Bridge&amp;Test Year Class Forecast'!E14</f>
        <v>455410501.92018205</v>
      </c>
      <c r="E31" s="336">
        <f t="shared" si="8"/>
        <v>0.014583083769766768</v>
      </c>
      <c r="F31" s="336">
        <f t="shared" si="4"/>
        <v>-0.011346176300848788</v>
      </c>
      <c r="G31" s="336">
        <f t="shared" si="5"/>
        <v>0.011346176300848788</v>
      </c>
    </row>
    <row r="32" spans="2:7" ht="12.75">
      <c r="B32" s="321"/>
      <c r="C32" s="321"/>
      <c r="D32" s="322"/>
      <c r="F32" s="326" t="s">
        <v>160</v>
      </c>
      <c r="G32" s="323">
        <f>AVERAGE(G22:G31)</f>
        <v>0.016534636787479372</v>
      </c>
    </row>
    <row r="33" spans="6:7" ht="12.75">
      <c r="F33" s="326" t="s">
        <v>159</v>
      </c>
      <c r="G33" s="323">
        <f>MEDIAN(G22:G31)</f>
        <v>0.01707989465075431</v>
      </c>
    </row>
    <row r="34" ht="12.75">
      <c r="A34" s="324"/>
    </row>
    <row r="35" ht="12.75">
      <c r="A35" s="324"/>
    </row>
    <row r="36" ht="12.75">
      <c r="A36" s="324"/>
    </row>
    <row r="37" spans="1:7" ht="38.25">
      <c r="A37" s="476" t="s">
        <v>206</v>
      </c>
      <c r="B37" s="476" t="s">
        <v>207</v>
      </c>
      <c r="C37" s="476" t="s">
        <v>208</v>
      </c>
      <c r="D37" s="476" t="s">
        <v>209</v>
      </c>
      <c r="E37" s="477" t="s">
        <v>210</v>
      </c>
      <c r="F37" s="477" t="s">
        <v>211</v>
      </c>
      <c r="G37" s="477" t="s">
        <v>212</v>
      </c>
    </row>
    <row r="38" spans="1:7" ht="18.75">
      <c r="A38" s="476" t="s">
        <v>213</v>
      </c>
      <c r="B38" s="476" t="s">
        <v>215</v>
      </c>
      <c r="C38" s="476" t="s">
        <v>216</v>
      </c>
      <c r="D38" s="476" t="s">
        <v>217</v>
      </c>
      <c r="E38" s="476" t="s">
        <v>218</v>
      </c>
      <c r="F38" s="476" t="s">
        <v>219</v>
      </c>
      <c r="G38" s="476" t="s">
        <v>220</v>
      </c>
    </row>
    <row r="39" spans="1:7" ht="12.75">
      <c r="A39" s="476">
        <v>1</v>
      </c>
      <c r="B39" s="475">
        <v>29814695.499999996</v>
      </c>
      <c r="C39" s="478">
        <v>29720954.15614887</v>
      </c>
      <c r="D39" s="479">
        <f>B39-C39</f>
        <v>93741.34385112673</v>
      </c>
      <c r="E39" s="479">
        <f>ABS(B39-C39)</f>
        <v>93741.34385112673</v>
      </c>
      <c r="F39" s="479">
        <f>D39^2</f>
        <v>8787439547.015175</v>
      </c>
      <c r="G39" s="480">
        <f>ABS((B39-C39)/B39)</f>
        <v>0.0031441321898164863</v>
      </c>
    </row>
    <row r="40" spans="1:7" ht="12.75">
      <c r="A40" s="476">
        <v>2</v>
      </c>
      <c r="B40" s="475">
        <v>30200533.82011605</v>
      </c>
      <c r="C40" s="478">
        <v>29974902.408596374</v>
      </c>
      <c r="D40" s="479">
        <f aca="true" t="shared" si="9" ref="D40:D48">B40-C40</f>
        <v>225631.41151967645</v>
      </c>
      <c r="E40" s="479">
        <f aca="true" t="shared" si="10" ref="E40:E48">ABS(B40-C40)</f>
        <v>225631.41151967645</v>
      </c>
      <c r="F40" s="479">
        <f aca="true" t="shared" si="11" ref="F40:F48">D40^2</f>
        <v>50909533864.36158</v>
      </c>
      <c r="G40" s="480">
        <f aca="true" t="shared" si="12" ref="G40:G48">ABS((B40-C40)/B40)</f>
        <v>0.00747110673154351</v>
      </c>
    </row>
    <row r="41" spans="1:7" ht="12.75">
      <c r="A41" s="476">
        <v>3</v>
      </c>
      <c r="B41" s="475">
        <v>30345586.566731136</v>
      </c>
      <c r="C41" s="478">
        <v>29782056.61291672</v>
      </c>
      <c r="D41" s="479">
        <f t="shared" si="9"/>
        <v>563529.9538144171</v>
      </c>
      <c r="E41" s="479">
        <f t="shared" si="10"/>
        <v>563529.9538144171</v>
      </c>
      <c r="F41" s="479">
        <f t="shared" si="11"/>
        <v>317566008846.0791</v>
      </c>
      <c r="G41" s="480">
        <f t="shared" si="12"/>
        <v>0.018570408997538822</v>
      </c>
    </row>
    <row r="42" spans="1:7" ht="12.75">
      <c r="A42" s="476">
        <v>4</v>
      </c>
      <c r="B42" s="475">
        <v>30098957.098646037</v>
      </c>
      <c r="C42" s="478">
        <v>29840077.076609813</v>
      </c>
      <c r="D42" s="479">
        <f t="shared" si="9"/>
        <v>258880.0220362246</v>
      </c>
      <c r="E42" s="479">
        <f t="shared" si="10"/>
        <v>258880.0220362246</v>
      </c>
      <c r="F42" s="479">
        <f t="shared" si="11"/>
        <v>67018865809.476135</v>
      </c>
      <c r="G42" s="480">
        <f t="shared" si="12"/>
        <v>0.008600963189115612</v>
      </c>
    </row>
    <row r="43" spans="1:7" ht="12.75">
      <c r="A43" s="476">
        <v>5</v>
      </c>
      <c r="B43" s="475">
        <v>30311722.959381044</v>
      </c>
      <c r="C43" s="478">
        <v>29442446.4632916</v>
      </c>
      <c r="D43" s="479">
        <f t="shared" si="9"/>
        <v>869276.4960894436</v>
      </c>
      <c r="E43" s="479">
        <f t="shared" si="10"/>
        <v>869276.4960894436</v>
      </c>
      <c r="F43" s="479">
        <f t="shared" si="11"/>
        <v>755641626653.5404</v>
      </c>
      <c r="G43" s="480">
        <f t="shared" si="12"/>
        <v>0.028677897896279596</v>
      </c>
    </row>
    <row r="44" spans="1:7" ht="12.75">
      <c r="A44" s="476">
        <v>6</v>
      </c>
      <c r="B44" s="475">
        <v>30091478.346228234</v>
      </c>
      <c r="C44" s="478">
        <v>30243327.40977512</v>
      </c>
      <c r="D44" s="479">
        <f t="shared" si="9"/>
        <v>-151849.0635468848</v>
      </c>
      <c r="E44" s="479">
        <f t="shared" si="10"/>
        <v>151849.0635468848</v>
      </c>
      <c r="F44" s="479">
        <f t="shared" si="11"/>
        <v>23058138100.06586</v>
      </c>
      <c r="G44" s="480">
        <f t="shared" si="12"/>
        <v>0.005046248037392223</v>
      </c>
    </row>
    <row r="45" spans="1:7" ht="12.75">
      <c r="A45" s="476">
        <v>7</v>
      </c>
      <c r="B45" s="475">
        <v>30301350.396518376</v>
      </c>
      <c r="C45" s="478">
        <v>30138225.78876619</v>
      </c>
      <c r="D45" s="479">
        <f t="shared" si="9"/>
        <v>163124.60775218531</v>
      </c>
      <c r="E45" s="479">
        <f t="shared" si="10"/>
        <v>163124.60775218531</v>
      </c>
      <c r="F45" s="479">
        <f t="shared" si="11"/>
        <v>26609637654.304317</v>
      </c>
      <c r="G45" s="480">
        <f t="shared" si="12"/>
        <v>0.005383410495491591</v>
      </c>
    </row>
    <row r="46" spans="1:7" ht="12.75">
      <c r="A46" s="476">
        <v>8</v>
      </c>
      <c r="B46" s="475">
        <v>30157452.240000002</v>
      </c>
      <c r="C46" s="478">
        <v>30476269.16241253</v>
      </c>
      <c r="D46" s="479">
        <f t="shared" si="9"/>
        <v>-318816.9224125296</v>
      </c>
      <c r="E46" s="479">
        <f t="shared" si="10"/>
        <v>318816.9224125296</v>
      </c>
      <c r="F46" s="479">
        <f t="shared" si="11"/>
        <v>101644230016.59691</v>
      </c>
      <c r="G46" s="480">
        <f t="shared" si="12"/>
        <v>0.010571745911269644</v>
      </c>
    </row>
    <row r="47" spans="1:7" ht="12.75">
      <c r="A47" s="476">
        <v>9</v>
      </c>
      <c r="B47" s="475">
        <v>29896471.900000002</v>
      </c>
      <c r="C47" s="478">
        <v>30222148.144213807</v>
      </c>
      <c r="D47" s="479">
        <f t="shared" si="9"/>
        <v>-325676.2442138046</v>
      </c>
      <c r="E47" s="479">
        <f t="shared" si="10"/>
        <v>325676.2442138046</v>
      </c>
      <c r="F47" s="479">
        <f t="shared" si="11"/>
        <v>106065016045.2097</v>
      </c>
      <c r="G47" s="480">
        <f t="shared" si="12"/>
        <v>0.010893467473458117</v>
      </c>
    </row>
    <row r="48" spans="1:7" ht="12.75">
      <c r="A48" s="476">
        <v>10</v>
      </c>
      <c r="B48" s="475">
        <v>29672838.790000003</v>
      </c>
      <c r="C48" s="478">
        <v>31427034.1538949</v>
      </c>
      <c r="D48" s="479">
        <f t="shared" si="9"/>
        <v>-1754195.3638948984</v>
      </c>
      <c r="E48" s="479">
        <f t="shared" si="10"/>
        <v>1754195.3638948984</v>
      </c>
      <c r="F48" s="479">
        <f t="shared" si="11"/>
        <v>3077201374710.355</v>
      </c>
      <c r="G48" s="480">
        <f t="shared" si="12"/>
        <v>0.05911788138336387</v>
      </c>
    </row>
    <row r="49" spans="1:7" ht="12.75">
      <c r="A49" s="476"/>
      <c r="B49" s="474" t="s">
        <v>214</v>
      </c>
      <c r="C49" s="481"/>
      <c r="D49" s="482">
        <f>SUM(D39:D48)</f>
        <v>-376353.75900504366</v>
      </c>
      <c r="E49" s="482">
        <f>SUM(E39:E48)</f>
        <v>4724721.429131191</v>
      </c>
      <c r="F49" s="482">
        <f>SUM(F39:F48)</f>
        <v>4534501871247.004</v>
      </c>
      <c r="G49" s="482">
        <f>SUM(G39:G48)</f>
        <v>0.15747726230526948</v>
      </c>
    </row>
  </sheetData>
  <sheetProtection/>
  <mergeCells count="2">
    <mergeCell ref="A19:G19"/>
    <mergeCell ref="A3:G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B2:T117"/>
  <sheetViews>
    <sheetView showGridLines="0" zoomScalePageLayoutView="0" workbookViewId="0" topLeftCell="A31">
      <selection activeCell="K63" sqref="K63"/>
    </sheetView>
  </sheetViews>
  <sheetFormatPr defaultColWidth="10.5" defaultRowHeight="12.75"/>
  <cols>
    <col min="1" max="1" width="15.33203125" style="144" customWidth="1"/>
    <col min="2" max="2" width="27.33203125" style="144" customWidth="1"/>
    <col min="3" max="8" width="13.16015625" style="144" customWidth="1"/>
    <col min="9" max="9" width="14.5" style="144" bestFit="1" customWidth="1"/>
    <col min="10" max="12" width="13.16015625" style="144" customWidth="1"/>
    <col min="13" max="13" width="9.83203125" style="144" customWidth="1"/>
    <col min="14" max="14" width="6.5" style="144" bestFit="1" customWidth="1"/>
    <col min="15" max="16" width="11.33203125" style="144" bestFit="1" customWidth="1"/>
    <col min="17" max="18" width="10.5" style="144" customWidth="1"/>
    <col min="19" max="20" width="1.83203125" style="144" bestFit="1" customWidth="1"/>
    <col min="21" max="16384" width="10.5" style="144" customWidth="1"/>
  </cols>
  <sheetData>
    <row r="2" ht="23.25">
      <c r="B2" s="157" t="s">
        <v>111</v>
      </c>
    </row>
    <row r="3" spans="2:7" ht="20.25">
      <c r="B3" s="786" t="s">
        <v>172</v>
      </c>
      <c r="C3" s="786"/>
      <c r="D3" s="786"/>
      <c r="E3" s="786"/>
      <c r="F3" s="786"/>
      <c r="G3" s="786"/>
    </row>
    <row r="4" spans="2:6" ht="12.75">
      <c r="B4" s="169"/>
      <c r="C4" s="173" t="s">
        <v>59</v>
      </c>
      <c r="D4" s="173"/>
      <c r="E4" s="173"/>
      <c r="F4" s="173"/>
    </row>
    <row r="5" spans="2:6" ht="15.75" customHeight="1">
      <c r="B5" s="787" t="s">
        <v>62</v>
      </c>
      <c r="C5" s="787"/>
      <c r="D5" s="787"/>
      <c r="E5" s="787"/>
      <c r="F5" s="787"/>
    </row>
    <row r="6" spans="2:6" ht="12.75">
      <c r="B6" s="455" t="s">
        <v>78</v>
      </c>
      <c r="C6" s="305" t="s">
        <v>128</v>
      </c>
      <c r="D6" s="305" t="s">
        <v>127</v>
      </c>
      <c r="E6" s="305" t="s">
        <v>79</v>
      </c>
      <c r="F6" s="305" t="s">
        <v>127</v>
      </c>
    </row>
    <row r="7" spans="2:6" ht="12.75">
      <c r="B7" s="459">
        <f>'Bridge&amp;Test Year Class Forecast'!A5</f>
        <v>2013</v>
      </c>
      <c r="C7" s="458">
        <f>'Input - Customer Data'!E6</f>
        <v>19927.25</v>
      </c>
      <c r="D7" s="457"/>
      <c r="E7" s="458">
        <f>'Bridge&amp;Test Year Class Forecast'!B5</f>
        <v>194595055.7587184</v>
      </c>
      <c r="F7" s="458"/>
    </row>
    <row r="8" spans="2:6" ht="12.75">
      <c r="B8" s="459">
        <f>'Input - Customer Data'!D7</f>
        <v>2014</v>
      </c>
      <c r="C8" s="458">
        <f>'Input - Customer Data'!E7</f>
        <v>20032.333333333332</v>
      </c>
      <c r="D8" s="675">
        <f>(C8-C7)/C7</f>
        <v>0.005273348471732533</v>
      </c>
      <c r="E8" s="458">
        <f>'Bridge&amp;Test Year Class Forecast'!B6</f>
        <v>193810675.42821345</v>
      </c>
      <c r="F8" s="457">
        <f aca="true" t="shared" si="0" ref="F8:F15">(E8-E7)/E7</f>
        <v>-0.00403083381253797</v>
      </c>
    </row>
    <row r="9" spans="2:6" ht="12.75">
      <c r="B9" s="459">
        <f>'Input - Customer Data'!D8</f>
        <v>2015</v>
      </c>
      <c r="C9" s="458">
        <f>'Input - Customer Data'!E8</f>
        <v>20134.916666666668</v>
      </c>
      <c r="D9" s="675">
        <f aca="true" t="shared" si="1" ref="D9:D18">(C9-C8)/C8</f>
        <v>0.005120887897898519</v>
      </c>
      <c r="E9" s="458">
        <f>'Bridge&amp;Test Year Class Forecast'!B7</f>
        <v>185320983.53799996</v>
      </c>
      <c r="F9" s="457">
        <f t="shared" si="0"/>
        <v>-0.043804046766030856</v>
      </c>
    </row>
    <row r="10" spans="2:6" ht="12.75">
      <c r="B10" s="459">
        <f>'Input - Customer Data'!D9</f>
        <v>2016</v>
      </c>
      <c r="C10" s="458">
        <f>'Input - Customer Data'!E9</f>
        <v>20269.166666666668</v>
      </c>
      <c r="D10" s="675">
        <f t="shared" si="1"/>
        <v>0.006667522007789122</v>
      </c>
      <c r="E10" s="458">
        <f>'Bridge&amp;Test Year Class Forecast'!B8</f>
        <v>179123216.213</v>
      </c>
      <c r="F10" s="457">
        <f t="shared" si="0"/>
        <v>-0.03344341912436003</v>
      </c>
    </row>
    <row r="11" spans="2:6" ht="12.75">
      <c r="B11" s="459">
        <f>'Input - Customer Data'!D10</f>
        <v>2017</v>
      </c>
      <c r="C11" s="458">
        <f>'Input - Customer Data'!E10</f>
        <v>20518</v>
      </c>
      <c r="D11" s="675">
        <f t="shared" si="1"/>
        <v>0.012276446162068763</v>
      </c>
      <c r="E11" s="458">
        <f>'Bridge&amp;Test Year Class Forecast'!B9</f>
        <v>175230053.39799997</v>
      </c>
      <c r="F11" s="457">
        <f t="shared" si="0"/>
        <v>-0.02173455176447127</v>
      </c>
    </row>
    <row r="12" spans="2:6" ht="12.75">
      <c r="B12" s="459">
        <f>'Input - Customer Data'!D11</f>
        <v>2018</v>
      </c>
      <c r="C12" s="458">
        <f>'Input - Customer Data'!E11</f>
        <v>20697.333333333332</v>
      </c>
      <c r="D12" s="675">
        <f t="shared" si="1"/>
        <v>0.00874029307599825</v>
      </c>
      <c r="E12" s="458">
        <f>'Bridge&amp;Test Year Class Forecast'!B10</f>
        <v>189038322.37500003</v>
      </c>
      <c r="F12" s="457">
        <f t="shared" si="0"/>
        <v>0.07880080333958091</v>
      </c>
    </row>
    <row r="13" spans="2:6" ht="12.75">
      <c r="B13" s="459">
        <f>'Input - Customer Data'!D12</f>
        <v>2019</v>
      </c>
      <c r="C13" s="458">
        <f>'Input - Customer Data'!E12</f>
        <v>20873.333333333332</v>
      </c>
      <c r="D13" s="675">
        <f t="shared" si="1"/>
        <v>0.008503510919281067</v>
      </c>
      <c r="E13" s="458">
        <f>'Bridge&amp;Test Year Class Forecast'!B11</f>
        <v>188724158.96599996</v>
      </c>
      <c r="F13" s="457">
        <f t="shared" si="0"/>
        <v>-0.0016619032852865417</v>
      </c>
    </row>
    <row r="14" spans="2:6" ht="12.75">
      <c r="B14" s="459">
        <f>'Input - Customer Data'!D13</f>
        <v>2020</v>
      </c>
      <c r="C14" s="458">
        <f>'Input - Customer Data'!E13</f>
        <v>21063.5</v>
      </c>
      <c r="D14" s="675">
        <f t="shared" si="1"/>
        <v>0.009110507824976105</v>
      </c>
      <c r="E14" s="458">
        <f>'Bridge&amp;Test Year Class Forecast'!B12</f>
        <v>195030079.061</v>
      </c>
      <c r="F14" s="457">
        <f t="shared" si="0"/>
        <v>0.033413422688168326</v>
      </c>
    </row>
    <row r="15" spans="2:6" ht="12.75">
      <c r="B15" s="459">
        <f>'Input - Customer Data'!D14</f>
        <v>2021</v>
      </c>
      <c r="C15" s="458">
        <f>'Input - Customer Data'!E14</f>
        <v>21279</v>
      </c>
      <c r="D15" s="675">
        <f t="shared" si="1"/>
        <v>0.010230968262634414</v>
      </c>
      <c r="E15" s="458">
        <f>'Bridge&amp;Test Year Class Forecast'!B13</f>
        <v>195812266.30999997</v>
      </c>
      <c r="F15" s="457">
        <f t="shared" si="0"/>
        <v>0.004010598020397339</v>
      </c>
    </row>
    <row r="16" spans="2:6" ht="12.75">
      <c r="B16" s="459">
        <f>'Input - Customer Data'!D15</f>
        <v>2022</v>
      </c>
      <c r="C16" s="458">
        <f>'Input - Customer Data'!E15</f>
        <v>21510.333333333332</v>
      </c>
      <c r="D16" s="675">
        <f t="shared" si="1"/>
        <v>0.01087143819415067</v>
      </c>
      <c r="E16" s="458">
        <f>'Bridge&amp;Test Year Class Forecast'!B14</f>
        <v>198504570.42700002</v>
      </c>
      <c r="F16" s="457">
        <f>(E16-E15)/E15</f>
        <v>0.013749415027645536</v>
      </c>
    </row>
    <row r="17" spans="2:6" ht="12.75">
      <c r="B17" s="487" t="str">
        <f>'Input - Customer Data'!D24</f>
        <v>2023</v>
      </c>
      <c r="C17" s="458">
        <f>'Input - Customer Data'!E24</f>
        <v>21693.818578541075</v>
      </c>
      <c r="D17" s="675">
        <f t="shared" si="1"/>
        <v>0.008530097714636826</v>
      </c>
      <c r="E17" s="458">
        <f>'Bridge&amp;Test Year Class Forecast'!G22</f>
        <v>192599398.1170233</v>
      </c>
      <c r="F17" s="457">
        <f>(E17-E15)/E15</f>
        <v>-0.016407900554555835</v>
      </c>
    </row>
    <row r="18" spans="2:20" ht="12.75">
      <c r="B18" s="487" t="str">
        <f>'Input - Customer Data'!D25</f>
        <v>2024</v>
      </c>
      <c r="C18" s="458">
        <f>'Input - Customer Data'!E25</f>
        <v>21878.868970819633</v>
      </c>
      <c r="D18" s="675">
        <f t="shared" si="1"/>
        <v>0.008530097714636746</v>
      </c>
      <c r="E18" s="458">
        <f>'Bridge&amp;Test Year Class Forecast'!G23</f>
        <v>193221398.14720958</v>
      </c>
      <c r="F18" s="457">
        <f>(E18-E16)/E16</f>
        <v>-0.026614864677553186</v>
      </c>
      <c r="S18" s="144" t="s">
        <v>59</v>
      </c>
      <c r="T18" s="144" t="s">
        <v>59</v>
      </c>
    </row>
    <row r="20" spans="3:6" ht="12.75">
      <c r="C20" s="173"/>
      <c r="D20" s="173"/>
      <c r="E20" s="173"/>
      <c r="F20" s="173"/>
    </row>
    <row r="21" spans="2:6" ht="15.75">
      <c r="B21" s="787" t="s">
        <v>100</v>
      </c>
      <c r="C21" s="787"/>
      <c r="D21" s="787"/>
      <c r="E21" s="787"/>
      <c r="F21" s="787"/>
    </row>
    <row r="22" spans="2:6" ht="12.75">
      <c r="B22" s="455" t="s">
        <v>78</v>
      </c>
      <c r="C22" s="305" t="s">
        <v>128</v>
      </c>
      <c r="D22" s="305" t="s">
        <v>127</v>
      </c>
      <c r="E22" s="305" t="s">
        <v>79</v>
      </c>
      <c r="F22" s="305" t="s">
        <v>127</v>
      </c>
    </row>
    <row r="23" spans="2:6" ht="12.75">
      <c r="B23" s="456">
        <f>B7</f>
        <v>2013</v>
      </c>
      <c r="C23" s="202">
        <f>'Input - Customer Data'!G6</f>
        <v>2499.1666666666665</v>
      </c>
      <c r="D23" s="202"/>
      <c r="E23" s="202">
        <f>'Bridge&amp;Test Year Class Forecast'!B29</f>
        <v>65659946.47047887</v>
      </c>
      <c r="F23" s="202"/>
    </row>
    <row r="24" spans="2:6" ht="12.75">
      <c r="B24" s="456">
        <f aca="true" t="shared" si="2" ref="B24:B34">B8</f>
        <v>2014</v>
      </c>
      <c r="C24" s="202">
        <f>'Input - Customer Data'!G7</f>
        <v>2531</v>
      </c>
      <c r="D24" s="675">
        <f aca="true" t="shared" si="3" ref="D24:D34">(C24-C23)/C23</f>
        <v>0.012737579193064416</v>
      </c>
      <c r="E24" s="202">
        <f>'Bridge&amp;Test Year Class Forecast'!B30</f>
        <v>67910428</v>
      </c>
      <c r="F24" s="206">
        <f aca="true" t="shared" si="4" ref="F24:F34">(E24-E23)/E23</f>
        <v>0.03427479994265546</v>
      </c>
    </row>
    <row r="25" spans="2:6" ht="12.75">
      <c r="B25" s="456">
        <f t="shared" si="2"/>
        <v>2015</v>
      </c>
      <c r="C25" s="202">
        <f>'Input - Customer Data'!G8</f>
        <v>2526.1666666666665</v>
      </c>
      <c r="D25" s="675">
        <f t="shared" si="3"/>
        <v>-0.0019096536283419536</v>
      </c>
      <c r="E25" s="202">
        <f>'Bridge&amp;Test Year Class Forecast'!B31</f>
        <v>65575774.618999995</v>
      </c>
      <c r="F25" s="206">
        <f t="shared" si="4"/>
        <v>-0.03437842242725969</v>
      </c>
    </row>
    <row r="26" spans="2:6" ht="12.75">
      <c r="B26" s="456">
        <f t="shared" si="2"/>
        <v>2016</v>
      </c>
      <c r="C26" s="202">
        <f>'Input - Customer Data'!G9</f>
        <v>2545.8333333333335</v>
      </c>
      <c r="D26" s="675">
        <f t="shared" si="3"/>
        <v>0.007785181764201479</v>
      </c>
      <c r="E26" s="202">
        <f>'Bridge&amp;Test Year Class Forecast'!B32</f>
        <v>65361600.17899999</v>
      </c>
      <c r="F26" s="206">
        <f t="shared" si="4"/>
        <v>-0.0032660603895931705</v>
      </c>
    </row>
    <row r="27" spans="2:6" ht="12.75">
      <c r="B27" s="456">
        <f t="shared" si="2"/>
        <v>2017</v>
      </c>
      <c r="C27" s="202">
        <f>'Input - Customer Data'!G10</f>
        <v>2578.6363636363635</v>
      </c>
      <c r="D27" s="675">
        <f t="shared" si="3"/>
        <v>0.01288498735307235</v>
      </c>
      <c r="E27" s="202">
        <f>'Bridge&amp;Test Year Class Forecast'!B33</f>
        <v>67751219.376</v>
      </c>
      <c r="F27" s="206">
        <f t="shared" si="4"/>
        <v>0.03655998614562334</v>
      </c>
    </row>
    <row r="28" spans="2:6" ht="12.75">
      <c r="B28" s="456">
        <f t="shared" si="2"/>
        <v>2018</v>
      </c>
      <c r="C28" s="202">
        <f>'Input - Customer Data'!G11</f>
        <v>2577.8333333333335</v>
      </c>
      <c r="D28" s="675">
        <f t="shared" si="3"/>
        <v>-0.0003114166519770951</v>
      </c>
      <c r="E28" s="202">
        <f>'Bridge&amp;Test Year Class Forecast'!B34</f>
        <v>71822559.907</v>
      </c>
      <c r="F28" s="206">
        <f t="shared" si="4"/>
        <v>0.06009250561831546</v>
      </c>
    </row>
    <row r="29" spans="2:6" ht="12.75">
      <c r="B29" s="456">
        <f t="shared" si="2"/>
        <v>2019</v>
      </c>
      <c r="C29" s="202">
        <f>'Input - Customer Data'!G12</f>
        <v>2587</v>
      </c>
      <c r="D29" s="675">
        <f t="shared" si="3"/>
        <v>0.0035559578457360244</v>
      </c>
      <c r="E29" s="202">
        <f>'Bridge&amp;Test Year Class Forecast'!B35</f>
        <v>72750960.34200001</v>
      </c>
      <c r="F29" s="206">
        <f t="shared" si="4"/>
        <v>0.012926306667461434</v>
      </c>
    </row>
    <row r="30" spans="2:6" ht="12.75">
      <c r="B30" s="456">
        <f t="shared" si="2"/>
        <v>2020</v>
      </c>
      <c r="C30" s="202">
        <f>'Input - Customer Data'!G13</f>
        <v>2609.9166666666665</v>
      </c>
      <c r="D30" s="675">
        <f t="shared" si="3"/>
        <v>0.008858394536786439</v>
      </c>
      <c r="E30" s="202">
        <f>'Bridge&amp;Test Year Class Forecast'!B36</f>
        <v>68092748.37</v>
      </c>
      <c r="F30" s="206">
        <f t="shared" si="4"/>
        <v>-0.06402955988624608</v>
      </c>
    </row>
    <row r="31" spans="2:6" ht="12.75">
      <c r="B31" s="456">
        <f t="shared" si="2"/>
        <v>2021</v>
      </c>
      <c r="C31" s="202">
        <f>'Input - Customer Data'!G14</f>
        <v>2622.25</v>
      </c>
      <c r="D31" s="675">
        <f t="shared" si="3"/>
        <v>0.004725565950381616</v>
      </c>
      <c r="E31" s="202">
        <f>'Bridge&amp;Test Year Class Forecast'!B37</f>
        <v>69561352.27299999</v>
      </c>
      <c r="F31" s="206">
        <f t="shared" si="4"/>
        <v>0.02156769903044497</v>
      </c>
    </row>
    <row r="32" spans="2:6" ht="12.75">
      <c r="B32" s="456">
        <f t="shared" si="2"/>
        <v>2022</v>
      </c>
      <c r="C32" s="202">
        <f>'Input - Customer Data'!G15</f>
        <v>2654.0833333333335</v>
      </c>
      <c r="D32" s="675">
        <f t="shared" si="3"/>
        <v>0.012139701909937453</v>
      </c>
      <c r="E32" s="202">
        <f>'Bridge&amp;Test Year Class Forecast'!B38</f>
        <v>73619512.518</v>
      </c>
      <c r="F32" s="206">
        <f t="shared" si="4"/>
        <v>0.05833929491585202</v>
      </c>
    </row>
    <row r="33" spans="2:6" ht="12.75">
      <c r="B33" s="456" t="str">
        <f t="shared" si="2"/>
        <v>2023</v>
      </c>
      <c r="C33" s="202">
        <f>'Input - Customer Data'!G24</f>
        <v>2671.8784866122232</v>
      </c>
      <c r="D33" s="675">
        <f t="shared" si="3"/>
        <v>0.006704820852983675</v>
      </c>
      <c r="E33" s="202">
        <f>'Bridge&amp;Test Year Class Forecast'!G46</f>
        <v>69955931.4315023</v>
      </c>
      <c r="F33" s="206">
        <f t="shared" si="4"/>
        <v>-0.04976372378996617</v>
      </c>
    </row>
    <row r="34" spans="2:6" ht="12.75">
      <c r="B34" s="456" t="str">
        <f t="shared" si="2"/>
        <v>2024</v>
      </c>
      <c r="C34" s="202">
        <f>'Input - Customer Data'!G25</f>
        <v>2689.7929532058993</v>
      </c>
      <c r="D34" s="675">
        <f t="shared" si="3"/>
        <v>0.0067048208529836475</v>
      </c>
      <c r="E34" s="202">
        <f>'Bridge&amp;Test Year Class Forecast'!G47</f>
        <v>70181854.21157072</v>
      </c>
      <c r="F34" s="206">
        <f t="shared" si="4"/>
        <v>0.0032295014224725284</v>
      </c>
    </row>
    <row r="36" spans="3:9" ht="13.5" thickBot="1">
      <c r="C36" s="173"/>
      <c r="D36" s="173"/>
      <c r="E36" s="173"/>
      <c r="F36" s="173"/>
      <c r="G36" s="173"/>
      <c r="H36" s="173"/>
      <c r="I36" s="169"/>
    </row>
    <row r="37" spans="2:8" ht="15.75">
      <c r="B37" s="738" t="s">
        <v>125</v>
      </c>
      <c r="C37" s="739"/>
      <c r="D37" s="739"/>
      <c r="E37" s="739"/>
      <c r="F37" s="739"/>
      <c r="G37" s="739"/>
      <c r="H37" s="740"/>
    </row>
    <row r="38" spans="2:8" ht="12.75">
      <c r="B38" s="455" t="s">
        <v>78</v>
      </c>
      <c r="C38" s="305" t="s">
        <v>128</v>
      </c>
      <c r="D38" s="305" t="s">
        <v>127</v>
      </c>
      <c r="E38" s="305" t="s">
        <v>79</v>
      </c>
      <c r="F38" s="305" t="s">
        <v>127</v>
      </c>
      <c r="G38" s="305" t="s">
        <v>80</v>
      </c>
      <c r="H38" s="305" t="s">
        <v>127</v>
      </c>
    </row>
    <row r="39" spans="2:8" ht="12.75">
      <c r="B39" s="459">
        <f>B23</f>
        <v>2013</v>
      </c>
      <c r="C39" s="458">
        <f>'Input - Customer Data'!I6</f>
        <v>270.8333333333333</v>
      </c>
      <c r="D39" s="458"/>
      <c r="E39" s="458">
        <f>'Bridge&amp;Test Year Class Forecast'!B53</f>
        <v>171169775.99999997</v>
      </c>
      <c r="F39" s="458"/>
      <c r="G39" s="458">
        <f>'Bridge&amp;Test Year Class Forecast'!K53</f>
        <v>476638.55048000003</v>
      </c>
      <c r="H39" s="458"/>
    </row>
    <row r="40" spans="2:8" ht="12.75">
      <c r="B40" s="459">
        <f aca="true" t="shared" si="5" ref="B40:B50">B24</f>
        <v>2014</v>
      </c>
      <c r="C40" s="458">
        <f>'Input - Customer Data'!I7</f>
        <v>235.66666666666666</v>
      </c>
      <c r="D40" s="675">
        <f aca="true" t="shared" si="6" ref="D40:D50">(C40-C39)/C39</f>
        <v>-0.12984615384615383</v>
      </c>
      <c r="E40" s="458">
        <f>'Bridge&amp;Test Year Class Forecast'!B54</f>
        <v>168755215.00000006</v>
      </c>
      <c r="F40" s="675">
        <f aca="true" t="shared" si="7" ref="F40:F49">(E40-E39)/E39</f>
        <v>-0.014106234502520533</v>
      </c>
      <c r="G40" s="458">
        <f>'Bridge&amp;Test Year Class Forecast'!K54</f>
        <v>459991.31669666676</v>
      </c>
      <c r="H40" s="675">
        <f aca="true" t="shared" si="8" ref="H40:H49">(G40-G39)/G39</f>
        <v>-0.03492632680795255</v>
      </c>
    </row>
    <row r="41" spans="2:8" ht="12.75">
      <c r="B41" s="459">
        <f t="shared" si="5"/>
        <v>2015</v>
      </c>
      <c r="C41" s="458">
        <f>'Input - Customer Data'!I8</f>
        <v>235.66666666666666</v>
      </c>
      <c r="D41" s="675">
        <f t="shared" si="6"/>
        <v>0</v>
      </c>
      <c r="E41" s="458">
        <f>'Bridge&amp;Test Year Class Forecast'!B55</f>
        <v>176163146.00000006</v>
      </c>
      <c r="F41" s="675">
        <f t="shared" si="7"/>
        <v>0.04389749377522939</v>
      </c>
      <c r="G41" s="458">
        <f>'Bridge&amp;Test Year Class Forecast'!K55</f>
        <v>460418.41745999997</v>
      </c>
      <c r="H41" s="675">
        <f t="shared" si="8"/>
        <v>0.0009284974473003993</v>
      </c>
    </row>
    <row r="42" spans="2:8" ht="12.75">
      <c r="B42" s="459">
        <f t="shared" si="5"/>
        <v>2016</v>
      </c>
      <c r="C42" s="458">
        <f>'Input - Customer Data'!I9</f>
        <v>233.83333333333334</v>
      </c>
      <c r="D42" s="675">
        <f t="shared" si="6"/>
        <v>-0.007779349363507699</v>
      </c>
      <c r="E42" s="458">
        <f>'Bridge&amp;Test Year Class Forecast'!B56</f>
        <v>178404939.04</v>
      </c>
      <c r="F42" s="675">
        <f t="shared" si="7"/>
        <v>0.012725664197663291</v>
      </c>
      <c r="G42" s="458">
        <f>'Bridge&amp;Test Year Class Forecast'!K56</f>
        <v>497479.4147300001</v>
      </c>
      <c r="H42" s="675">
        <f t="shared" si="8"/>
        <v>0.08049416761921753</v>
      </c>
    </row>
    <row r="43" spans="2:8" ht="12.75">
      <c r="B43" s="459">
        <f t="shared" si="5"/>
        <v>2017</v>
      </c>
      <c r="C43" s="458">
        <f>'Input - Customer Data'!I10</f>
        <v>199.8181818181818</v>
      </c>
      <c r="D43" s="675">
        <f t="shared" si="6"/>
        <v>-0.1454675046977257</v>
      </c>
      <c r="E43" s="458">
        <f>'Bridge&amp;Test Year Class Forecast'!B57</f>
        <v>172094364.784</v>
      </c>
      <c r="F43" s="675">
        <f t="shared" si="7"/>
        <v>-0.035372194794366624</v>
      </c>
      <c r="G43" s="458">
        <f>'Bridge&amp;Test Year Class Forecast'!K57</f>
        <v>439035.3609600001</v>
      </c>
      <c r="H43" s="675">
        <f t="shared" si="8"/>
        <v>-0.11748034599928056</v>
      </c>
    </row>
    <row r="44" spans="2:8" ht="12.75">
      <c r="B44" s="459">
        <f t="shared" si="5"/>
        <v>2018</v>
      </c>
      <c r="C44" s="458">
        <f>'Input - Customer Data'!I11</f>
        <v>190.5</v>
      </c>
      <c r="D44" s="675">
        <f t="shared" si="6"/>
        <v>-0.04663330300272973</v>
      </c>
      <c r="E44" s="458">
        <f>'Bridge&amp;Test Year Class Forecast'!B58</f>
        <v>178565971.013</v>
      </c>
      <c r="F44" s="675">
        <f t="shared" si="7"/>
        <v>0.03760498629413391</v>
      </c>
      <c r="G44" s="458">
        <f>'Bridge&amp;Test Year Class Forecast'!K58</f>
        <v>455528.08408</v>
      </c>
      <c r="H44" s="675">
        <f t="shared" si="8"/>
        <v>0.037565819491023986</v>
      </c>
    </row>
    <row r="45" spans="2:8" ht="12.75">
      <c r="B45" s="459">
        <f t="shared" si="5"/>
        <v>2019</v>
      </c>
      <c r="C45" s="458">
        <f>'Input - Customer Data'!I12</f>
        <v>193.75</v>
      </c>
      <c r="D45" s="675">
        <f t="shared" si="6"/>
        <v>0.01706036745406824</v>
      </c>
      <c r="E45" s="458">
        <f>'Bridge&amp;Test Year Class Forecast'!B59</f>
        <v>179642751.9</v>
      </c>
      <c r="F45" s="675">
        <f t="shared" si="7"/>
        <v>0.006030157262839304</v>
      </c>
      <c r="G45" s="458">
        <f>'Bridge&amp;Test Year Class Forecast'!K59</f>
        <v>444478.41176999995</v>
      </c>
      <c r="H45" s="675">
        <f t="shared" si="8"/>
        <v>-0.024256841007544785</v>
      </c>
    </row>
    <row r="46" spans="2:8" ht="12.75">
      <c r="B46" s="459">
        <f t="shared" si="5"/>
        <v>2020</v>
      </c>
      <c r="C46" s="458">
        <f>'Input - Customer Data'!I13</f>
        <v>183.41666666666666</v>
      </c>
      <c r="D46" s="675">
        <f t="shared" si="6"/>
        <v>-0.053333333333333385</v>
      </c>
      <c r="E46" s="458">
        <f>'Bridge&amp;Test Year Class Forecast'!B60</f>
        <v>171472845.8</v>
      </c>
      <c r="F46" s="675">
        <f t="shared" si="7"/>
        <v>-0.04547862918815593</v>
      </c>
      <c r="G46" s="458">
        <f>'Bridge&amp;Test Year Class Forecast'!K60</f>
        <v>426592.67704999994</v>
      </c>
      <c r="H46" s="675">
        <f t="shared" si="8"/>
        <v>-0.040239827731510094</v>
      </c>
    </row>
    <row r="47" spans="2:8" ht="12.75">
      <c r="B47" s="459">
        <f t="shared" si="5"/>
        <v>2021</v>
      </c>
      <c r="C47" s="458">
        <f>'Input - Customer Data'!I14</f>
        <v>181.58333333333334</v>
      </c>
      <c r="D47" s="675">
        <f t="shared" si="6"/>
        <v>-0.009995456610631429</v>
      </c>
      <c r="E47" s="458">
        <f>'Bridge&amp;Test Year Class Forecast'!B61</f>
        <v>172409862.634</v>
      </c>
      <c r="F47" s="675">
        <f t="shared" si="7"/>
        <v>0.005464520225510781</v>
      </c>
      <c r="G47" s="458">
        <f>'Bridge&amp;Test Year Class Forecast'!K61</f>
        <v>429335.51749</v>
      </c>
      <c r="H47" s="675">
        <f t="shared" si="8"/>
        <v>0.006429647266726466</v>
      </c>
    </row>
    <row r="48" spans="2:8" ht="12.75">
      <c r="B48" s="459">
        <f t="shared" si="5"/>
        <v>2022</v>
      </c>
      <c r="C48" s="458">
        <f>'Input - Customer Data'!I15</f>
        <v>170.91666666666666</v>
      </c>
      <c r="D48" s="675">
        <f t="shared" si="6"/>
        <v>-0.05874254245066554</v>
      </c>
      <c r="E48" s="458">
        <f>'Bridge&amp;Test Year Class Forecast'!B62</f>
        <v>170442714.49999997</v>
      </c>
      <c r="F48" s="675">
        <f t="shared" si="7"/>
        <v>-0.011409719281407877</v>
      </c>
      <c r="G48" s="458">
        <f>'Bridge&amp;Test Year Class Forecast'!K62</f>
        <v>422433.4543</v>
      </c>
      <c r="H48" s="675">
        <f t="shared" si="8"/>
        <v>-0.016076152353644436</v>
      </c>
    </row>
    <row r="49" spans="2:8" ht="12.75">
      <c r="B49" s="459" t="str">
        <f t="shared" si="5"/>
        <v>2023</v>
      </c>
      <c r="C49" s="458">
        <f>'Input - Customer Data'!I24</f>
        <v>162.39450750401514</v>
      </c>
      <c r="D49" s="675">
        <f t="shared" si="6"/>
        <v>-0.04986148705598159</v>
      </c>
      <c r="E49" s="458">
        <f>'Bridge&amp;Test Year Class Forecast'!G70</f>
        <v>176868613.1636885</v>
      </c>
      <c r="F49" s="675">
        <f t="shared" si="7"/>
        <v>0.037701222270128426</v>
      </c>
      <c r="G49" s="458">
        <f>'Bridge&amp;Test Year Class Forecast'!K63</f>
        <v>443140.4116926996</v>
      </c>
      <c r="H49" s="675">
        <f t="shared" si="8"/>
        <v>0.04901827064575745</v>
      </c>
    </row>
    <row r="50" spans="2:8" ht="12.75">
      <c r="B50" s="459" t="str">
        <f t="shared" si="5"/>
        <v>2024</v>
      </c>
      <c r="C50" s="458">
        <f>'Input - Customer Data'!I25</f>
        <v>154.2972758701412</v>
      </c>
      <c r="D50" s="675">
        <f t="shared" si="6"/>
        <v>-0.04986148705598153</v>
      </c>
      <c r="E50" s="458">
        <f>'Bridge&amp;Test Year Class Forecast'!G71</f>
        <v>177439810.60149136</v>
      </c>
      <c r="F50" s="675">
        <f>(E50-E49)/E49</f>
        <v>0.0032295014224723913</v>
      </c>
      <c r="G50" s="458">
        <f>'Bridge&amp;Test Year Class Forecast'!K64</f>
        <v>444571.53428261617</v>
      </c>
      <c r="H50" s="675">
        <f>(G50-G49)/G49</f>
        <v>0.003229501422472388</v>
      </c>
    </row>
    <row r="52" ht="13.5" thickBot="1"/>
    <row r="53" spans="2:8" ht="15.75" customHeight="1">
      <c r="B53" s="738" t="s">
        <v>184</v>
      </c>
      <c r="C53" s="739"/>
      <c r="D53" s="739"/>
      <c r="E53" s="739"/>
      <c r="F53" s="739"/>
      <c r="G53" s="739"/>
      <c r="H53" s="740"/>
    </row>
    <row r="54" spans="2:8" ht="13.5" thickBot="1">
      <c r="B54" s="355" t="s">
        <v>78</v>
      </c>
      <c r="C54" s="358" t="s">
        <v>128</v>
      </c>
      <c r="D54" s="358" t="s">
        <v>127</v>
      </c>
      <c r="E54" s="358" t="s">
        <v>79</v>
      </c>
      <c r="F54" s="358" t="s">
        <v>127</v>
      </c>
      <c r="G54" s="358" t="s">
        <v>80</v>
      </c>
      <c r="H54" s="359" t="s">
        <v>127</v>
      </c>
    </row>
    <row r="55" spans="2:8" ht="12.75">
      <c r="B55" s="339">
        <f>B39</f>
        <v>2013</v>
      </c>
      <c r="C55" s="207">
        <f>'Input - Customer Data'!K6</f>
        <v>58</v>
      </c>
      <c r="D55" s="208"/>
      <c r="E55" s="208">
        <f>'Bridge&amp;Test Year Class Forecast'!B77</f>
        <v>290220.44745927386</v>
      </c>
      <c r="F55" s="208"/>
      <c r="G55" s="208">
        <f>'Bridge&amp;Test Year Class Forecast'!C77</f>
        <v>0</v>
      </c>
      <c r="H55" s="209"/>
    </row>
    <row r="56" spans="2:8" ht="12.75">
      <c r="B56" s="340">
        <f aca="true" t="shared" si="9" ref="B56:B66">B40</f>
        <v>2014</v>
      </c>
      <c r="C56" s="205">
        <f>'Input - Customer Data'!K7</f>
        <v>57</v>
      </c>
      <c r="D56" s="676">
        <f>(C56-C55)/C55</f>
        <v>-0.017241379310344827</v>
      </c>
      <c r="E56" s="202">
        <f>'Bridge&amp;Test Year Class Forecast'!B78</f>
        <v>287774.77200719935</v>
      </c>
      <c r="F56" s="676">
        <f>(E56-E55)/E55</f>
        <v>-0.008426957760850739</v>
      </c>
      <c r="G56" s="202">
        <f>'Bridge&amp;Test Year Class Forecast'!C78</f>
        <v>0</v>
      </c>
      <c r="H56" s="328" t="e">
        <f>(G56-G55)/G55</f>
        <v>#DIV/0!</v>
      </c>
    </row>
    <row r="57" spans="2:8" ht="12.75">
      <c r="B57" s="340">
        <f t="shared" si="9"/>
        <v>2015</v>
      </c>
      <c r="C57" s="205">
        <f>'Input - Customer Data'!K8</f>
        <v>57</v>
      </c>
      <c r="D57" s="676">
        <f aca="true" t="shared" si="10" ref="D57:D64">(C57-C56)/C56</f>
        <v>0</v>
      </c>
      <c r="E57" s="202">
        <f>'Bridge&amp;Test Year Class Forecast'!B79</f>
        <v>287774.772</v>
      </c>
      <c r="F57" s="676">
        <f aca="true" t="shared" si="11" ref="F57:F64">(E57-E56)/E56</f>
        <v>-2.5017329636668756E-11</v>
      </c>
      <c r="G57" s="202">
        <f>'Bridge&amp;Test Year Class Forecast'!C79</f>
        <v>0</v>
      </c>
      <c r="H57" s="328" t="e">
        <f aca="true" t="shared" si="12" ref="H57:H64">(G57-G56)/G56</f>
        <v>#DIV/0!</v>
      </c>
    </row>
    <row r="58" spans="2:8" ht="12.75">
      <c r="B58" s="340">
        <f t="shared" si="9"/>
        <v>2016</v>
      </c>
      <c r="C58" s="205">
        <f>'Input - Customer Data'!K9</f>
        <v>56.583333333333336</v>
      </c>
      <c r="D58" s="676">
        <f t="shared" si="10"/>
        <v>-0.007309941520467795</v>
      </c>
      <c r="E58" s="202">
        <f>'Bridge&amp;Test Year Class Forecast'!B80</f>
        <v>277131.966</v>
      </c>
      <c r="F58" s="676">
        <f t="shared" si="11"/>
        <v>-0.03698310983285214</v>
      </c>
      <c r="G58" s="202">
        <f>'Bridge&amp;Test Year Class Forecast'!C80</f>
        <v>0</v>
      </c>
      <c r="H58" s="328" t="e">
        <f t="shared" si="12"/>
        <v>#DIV/0!</v>
      </c>
    </row>
    <row r="59" spans="2:8" ht="12.75">
      <c r="B59" s="340">
        <f t="shared" si="9"/>
        <v>2017</v>
      </c>
      <c r="C59" s="205">
        <f>'Input - Customer Data'!K10</f>
        <v>54.18181818181818</v>
      </c>
      <c r="D59" s="676">
        <f t="shared" si="10"/>
        <v>-0.042442093988485814</v>
      </c>
      <c r="E59" s="202">
        <f>'Bridge&amp;Test Year Class Forecast'!B81</f>
        <v>261752.327</v>
      </c>
      <c r="F59" s="676">
        <f t="shared" si="11"/>
        <v>-0.055495723651020554</v>
      </c>
      <c r="G59" s="202">
        <f>'Bridge&amp;Test Year Class Forecast'!C81</f>
        <v>0</v>
      </c>
      <c r="H59" s="328" t="e">
        <f t="shared" si="12"/>
        <v>#DIV/0!</v>
      </c>
    </row>
    <row r="60" spans="2:8" ht="12.75">
      <c r="B60" s="340">
        <f t="shared" si="9"/>
        <v>2018</v>
      </c>
      <c r="C60" s="205">
        <f>'Input - Customer Data'!K11</f>
        <v>52.833333333333336</v>
      </c>
      <c r="D60" s="676">
        <f t="shared" si="10"/>
        <v>-0.024888143176733702</v>
      </c>
      <c r="E60" s="202">
        <f>'Bridge&amp;Test Year Class Forecast'!B82</f>
        <v>241032.331</v>
      </c>
      <c r="F60" s="676">
        <f t="shared" si="11"/>
        <v>-0.0791587843266814</v>
      </c>
      <c r="G60" s="202">
        <f>'Bridge&amp;Test Year Class Forecast'!C82</f>
        <v>0</v>
      </c>
      <c r="H60" s="328" t="e">
        <f t="shared" si="12"/>
        <v>#DIV/0!</v>
      </c>
    </row>
    <row r="61" spans="2:8" ht="12.75">
      <c r="B61" s="340">
        <f t="shared" si="9"/>
        <v>2019</v>
      </c>
      <c r="C61" s="205">
        <f>'Input - Customer Data'!K12</f>
        <v>50.333333333333336</v>
      </c>
      <c r="D61" s="676">
        <f t="shared" si="10"/>
        <v>-0.0473186119873817</v>
      </c>
      <c r="E61" s="202">
        <f>'Bridge&amp;Test Year Class Forecast'!B83</f>
        <v>222616.579</v>
      </c>
      <c r="F61" s="676">
        <f t="shared" si="11"/>
        <v>-0.07640365889337894</v>
      </c>
      <c r="G61" s="202">
        <f>'Bridge&amp;Test Year Class Forecast'!C83</f>
        <v>0</v>
      </c>
      <c r="H61" s="328" t="e">
        <f t="shared" si="12"/>
        <v>#DIV/0!</v>
      </c>
    </row>
    <row r="62" spans="2:8" ht="12.75">
      <c r="B62" s="340">
        <f t="shared" si="9"/>
        <v>2020</v>
      </c>
      <c r="C62" s="205">
        <f>'Input - Customer Data'!K13</f>
        <v>50</v>
      </c>
      <c r="D62" s="676">
        <f t="shared" si="10"/>
        <v>-0.0066225165562914376</v>
      </c>
      <c r="E62" s="202">
        <f>'Bridge&amp;Test Year Class Forecast'!B84</f>
        <v>223044.18</v>
      </c>
      <c r="F62" s="676">
        <f t="shared" si="11"/>
        <v>0.0019207958451288353</v>
      </c>
      <c r="G62" s="202">
        <f>'Bridge&amp;Test Year Class Forecast'!C84</f>
        <v>0</v>
      </c>
      <c r="H62" s="328" t="e">
        <f t="shared" si="12"/>
        <v>#DIV/0!</v>
      </c>
    </row>
    <row r="63" spans="2:8" ht="12.75">
      <c r="B63" s="340">
        <f t="shared" si="9"/>
        <v>2021</v>
      </c>
      <c r="C63" s="205">
        <f>'Input - Customer Data'!K14</f>
        <v>49.75</v>
      </c>
      <c r="D63" s="676">
        <f t="shared" si="10"/>
        <v>-0.005</v>
      </c>
      <c r="E63" s="202">
        <f>'Bridge&amp;Test Year Class Forecast'!B85</f>
        <v>222382.693</v>
      </c>
      <c r="F63" s="676">
        <f t="shared" si="11"/>
        <v>-0.0029657218583331504</v>
      </c>
      <c r="G63" s="202">
        <f>'Bridge&amp;Test Year Class Forecast'!C85</f>
        <v>0</v>
      </c>
      <c r="H63" s="328" t="e">
        <f t="shared" si="12"/>
        <v>#DIV/0!</v>
      </c>
    </row>
    <row r="64" spans="2:8" ht="12.75">
      <c r="B64" s="340">
        <f t="shared" si="9"/>
        <v>2022</v>
      </c>
      <c r="C64" s="205">
        <f>'Input - Customer Data'!K15</f>
        <v>49</v>
      </c>
      <c r="D64" s="676">
        <f t="shared" si="10"/>
        <v>-0.01507537688442211</v>
      </c>
      <c r="E64" s="202">
        <f>'Bridge&amp;Test Year Class Forecast'!B86</f>
        <v>222218.772</v>
      </c>
      <c r="F64" s="676">
        <f t="shared" si="11"/>
        <v>-0.000737112217631082</v>
      </c>
      <c r="G64" s="202">
        <f>'Bridge&amp;Test Year Class Forecast'!C86</f>
        <v>0</v>
      </c>
      <c r="H64" s="328" t="e">
        <f t="shared" si="12"/>
        <v>#DIV/0!</v>
      </c>
    </row>
    <row r="65" spans="2:8" ht="12.75">
      <c r="B65" s="341" t="str">
        <f t="shared" si="9"/>
        <v>2023</v>
      </c>
      <c r="C65" s="205">
        <f>'Input - Customer Data'!K19</f>
        <v>48.09048984164403</v>
      </c>
      <c r="D65" s="677">
        <f>(C65-C64)/C64</f>
        <v>-0.018561431803183082</v>
      </c>
      <c r="E65" s="210">
        <f>'Bridge&amp;Test Year Class Forecast'!B87</f>
        <v>217683.69502040817</v>
      </c>
      <c r="F65" s="677">
        <f>(E65-E64)/E64</f>
        <v>-0.0204081632653061</v>
      </c>
      <c r="G65" s="210">
        <f>'Bridge&amp;Test Year Class Forecast'!C88</f>
        <v>0</v>
      </c>
      <c r="H65" s="329" t="e">
        <f>(G65-G64)/G64</f>
        <v>#DIV/0!</v>
      </c>
    </row>
    <row r="66" spans="2:8" ht="12.75">
      <c r="B66" s="341" t="str">
        <f t="shared" si="9"/>
        <v>2024</v>
      </c>
      <c r="C66" s="205">
        <f>'Input - Customer Data'!K20</f>
        <v>47.197861494066686</v>
      </c>
      <c r="D66" s="677">
        <f>(C66-C65)/C65</f>
        <v>-0.018561431803183055</v>
      </c>
      <c r="E66" s="210">
        <f>'Bridge&amp;Test Year Class Forecast'!B88</f>
        <v>213148.61804081633</v>
      </c>
      <c r="F66" s="677">
        <f>(E66-E65)/E65</f>
        <v>-0.020833333333333308</v>
      </c>
      <c r="G66" s="210">
        <f>'Bridge&amp;Test Year Class Forecast'!C89</f>
        <v>0</v>
      </c>
      <c r="H66" s="329" t="e">
        <f>(G66-G65)/G65</f>
        <v>#DIV/0!</v>
      </c>
    </row>
    <row r="70" spans="2:8" ht="13.5" thickBot="1">
      <c r="B70" s="149"/>
      <c r="C70" s="151" t="s">
        <v>59</v>
      </c>
      <c r="D70" s="151"/>
      <c r="E70" s="151"/>
      <c r="F70" s="151"/>
      <c r="G70" s="151"/>
      <c r="H70" s="151"/>
    </row>
    <row r="71" spans="2:8" ht="15.75" customHeight="1">
      <c r="B71" s="738" t="s">
        <v>178</v>
      </c>
      <c r="C71" s="739"/>
      <c r="D71" s="739"/>
      <c r="E71" s="739"/>
      <c r="F71" s="739"/>
      <c r="G71" s="739"/>
      <c r="H71" s="740"/>
    </row>
    <row r="72" spans="2:8" ht="13.5" thickBot="1">
      <c r="B72" s="356" t="s">
        <v>78</v>
      </c>
      <c r="C72" s="327" t="s">
        <v>128</v>
      </c>
      <c r="D72" s="327" t="s">
        <v>127</v>
      </c>
      <c r="E72" s="327" t="s">
        <v>79</v>
      </c>
      <c r="F72" s="327" t="s">
        <v>127</v>
      </c>
      <c r="G72" s="327" t="s">
        <v>80</v>
      </c>
      <c r="H72" s="357" t="s">
        <v>127</v>
      </c>
    </row>
    <row r="73" spans="2:8" ht="12.75">
      <c r="B73" s="339">
        <f aca="true" t="shared" si="13" ref="B73:B84">B39</f>
        <v>2013</v>
      </c>
      <c r="C73" s="207">
        <f>'Input - Customer Data'!M6</f>
        <v>8.833333333333334</v>
      </c>
      <c r="D73" s="208"/>
      <c r="E73" s="207">
        <f>'Bridge&amp;Test Year Class Forecast'!B98</f>
        <v>14674.095</v>
      </c>
      <c r="F73" s="208"/>
      <c r="G73" s="207">
        <f>'Bridge&amp;Test Year Class Forecast'!C98</f>
        <v>19</v>
      </c>
      <c r="H73" s="209"/>
    </row>
    <row r="74" spans="2:8" ht="12.75">
      <c r="B74" s="340">
        <f t="shared" si="13"/>
        <v>2014</v>
      </c>
      <c r="C74" s="205">
        <f>'Input - Customer Data'!M7</f>
        <v>8</v>
      </c>
      <c r="D74" s="676">
        <f>(C74-C73)/C73</f>
        <v>-0.0943396226415095</v>
      </c>
      <c r="E74" s="205">
        <f>'Bridge&amp;Test Year Class Forecast'!B99</f>
        <v>14674.095</v>
      </c>
      <c r="F74" s="676">
        <f>(E74-E73)/E73</f>
        <v>0</v>
      </c>
      <c r="G74" s="205">
        <f>'Bridge&amp;Test Year Class Forecast'!C99</f>
        <v>16</v>
      </c>
      <c r="H74" s="678">
        <f>(G74-G73)/G73</f>
        <v>-0.15789473684210525</v>
      </c>
    </row>
    <row r="75" spans="2:8" ht="12.75">
      <c r="B75" s="340">
        <f t="shared" si="13"/>
        <v>2015</v>
      </c>
      <c r="C75" s="205">
        <f>'Input - Customer Data'!M8</f>
        <v>8</v>
      </c>
      <c r="D75" s="676">
        <f aca="true" t="shared" si="14" ref="D75:D82">(C75-C74)/C74</f>
        <v>0</v>
      </c>
      <c r="E75" s="205">
        <f>'Bridge&amp;Test Year Class Forecast'!B100</f>
        <v>11495.824000000002</v>
      </c>
      <c r="F75" s="676">
        <f aca="true" t="shared" si="15" ref="F75:F82">(E75-E74)/E74</f>
        <v>-0.216590597239557</v>
      </c>
      <c r="G75" s="205">
        <f>'Bridge&amp;Test Year Class Forecast'!C100</f>
        <v>16</v>
      </c>
      <c r="H75" s="678">
        <f aca="true" t="shared" si="16" ref="H75:H82">(G75-G74)/G74</f>
        <v>0</v>
      </c>
    </row>
    <row r="76" spans="2:8" ht="12.75">
      <c r="B76" s="340">
        <f t="shared" si="13"/>
        <v>2016</v>
      </c>
      <c r="C76" s="205">
        <f>'Input - Customer Data'!M9</f>
        <v>7.916666666666667</v>
      </c>
      <c r="D76" s="676">
        <f t="shared" si="14"/>
        <v>-0.01041666666666663</v>
      </c>
      <c r="E76" s="205">
        <f>'Bridge&amp;Test Year Class Forecast'!B101</f>
        <v>6019.398</v>
      </c>
      <c r="F76" s="676">
        <f t="shared" si="15"/>
        <v>-0.476383946031185</v>
      </c>
      <c r="G76" s="205">
        <f>'Bridge&amp;Test Year Class Forecast'!C101</f>
        <v>16</v>
      </c>
      <c r="H76" s="678">
        <f t="shared" si="16"/>
        <v>0</v>
      </c>
    </row>
    <row r="77" spans="2:8" ht="12.75">
      <c r="B77" s="340">
        <f t="shared" si="13"/>
        <v>2017</v>
      </c>
      <c r="C77" s="205">
        <f>'Input - Customer Data'!M10</f>
        <v>8</v>
      </c>
      <c r="D77" s="676">
        <f t="shared" si="14"/>
        <v>0.010526315789473646</v>
      </c>
      <c r="E77" s="205">
        <f>'Bridge&amp;Test Year Class Forecast'!B102</f>
        <v>7857.688999999999</v>
      </c>
      <c r="F77" s="676">
        <f t="shared" si="15"/>
        <v>0.30539449293766574</v>
      </c>
      <c r="G77" s="205">
        <f>'Bridge&amp;Test Year Class Forecast'!C102</f>
        <v>16</v>
      </c>
      <c r="H77" s="678">
        <f t="shared" si="16"/>
        <v>0</v>
      </c>
    </row>
    <row r="78" spans="2:8" ht="12.75">
      <c r="B78" s="340">
        <f t="shared" si="13"/>
        <v>2018</v>
      </c>
      <c r="C78" s="205">
        <f>'Input - Customer Data'!M11</f>
        <v>9.333333333333334</v>
      </c>
      <c r="D78" s="676">
        <f t="shared" si="14"/>
        <v>0.16666666666666674</v>
      </c>
      <c r="E78" s="205">
        <f>'Bridge&amp;Test Year Class Forecast'!B103</f>
        <v>7695.026000000001</v>
      </c>
      <c r="F78" s="676">
        <f t="shared" si="15"/>
        <v>-0.02070112472000338</v>
      </c>
      <c r="G78" s="205">
        <f>'Bridge&amp;Test Year Class Forecast'!C103</f>
        <v>16</v>
      </c>
      <c r="H78" s="678">
        <f t="shared" si="16"/>
        <v>0</v>
      </c>
    </row>
    <row r="79" spans="2:8" ht="12.75">
      <c r="B79" s="340">
        <f t="shared" si="13"/>
        <v>2019</v>
      </c>
      <c r="C79" s="205">
        <f>'Input - Customer Data'!M12</f>
        <v>9</v>
      </c>
      <c r="D79" s="676">
        <f t="shared" si="14"/>
        <v>-0.035714285714285775</v>
      </c>
      <c r="E79" s="205">
        <f>'Bridge&amp;Test Year Class Forecast'!B104</f>
        <v>7577.467999999999</v>
      </c>
      <c r="F79" s="676">
        <f t="shared" si="15"/>
        <v>-0.0152771413637851</v>
      </c>
      <c r="G79" s="205">
        <f>'Bridge&amp;Test Year Class Forecast'!C104</f>
        <v>16</v>
      </c>
      <c r="H79" s="678">
        <f t="shared" si="16"/>
        <v>0</v>
      </c>
    </row>
    <row r="80" spans="2:8" ht="12.75">
      <c r="B80" s="340">
        <f t="shared" si="13"/>
        <v>2020</v>
      </c>
      <c r="C80" s="205">
        <f>'Input - Customer Data'!M13</f>
        <v>8.916666666666666</v>
      </c>
      <c r="D80" s="676">
        <f t="shared" si="14"/>
        <v>-0.009259259259259325</v>
      </c>
      <c r="E80" s="205">
        <f>'Bridge&amp;Test Year Class Forecast'!B105</f>
        <v>7597.115</v>
      </c>
      <c r="F80" s="676">
        <f t="shared" si="15"/>
        <v>0.002592818603787023</v>
      </c>
      <c r="G80" s="205">
        <f>'Bridge&amp;Test Year Class Forecast'!C105</f>
        <v>16</v>
      </c>
      <c r="H80" s="678">
        <f t="shared" si="16"/>
        <v>0</v>
      </c>
    </row>
    <row r="81" spans="2:8" ht="12.75">
      <c r="B81" s="340">
        <f t="shared" si="13"/>
        <v>2021</v>
      </c>
      <c r="C81" s="205">
        <f>'Input - Customer Data'!M14</f>
        <v>8.416666666666666</v>
      </c>
      <c r="D81" s="676">
        <f t="shared" si="14"/>
        <v>-0.05607476635514019</v>
      </c>
      <c r="E81" s="205">
        <f>'Bridge&amp;Test Year Class Forecast'!B106</f>
        <v>7576.029999999998</v>
      </c>
      <c r="F81" s="676">
        <f t="shared" si="15"/>
        <v>-0.0027753956600633078</v>
      </c>
      <c r="G81" s="205">
        <f>'Bridge&amp;Test Year Class Forecast'!C106</f>
        <v>16</v>
      </c>
      <c r="H81" s="678">
        <f t="shared" si="16"/>
        <v>0</v>
      </c>
    </row>
    <row r="82" spans="2:8" ht="12.75">
      <c r="B82" s="340">
        <f t="shared" si="13"/>
        <v>2022</v>
      </c>
      <c r="C82" s="205">
        <f>'Input - Customer Data'!M15</f>
        <v>8.416666666666666</v>
      </c>
      <c r="D82" s="676">
        <f t="shared" si="14"/>
        <v>0</v>
      </c>
      <c r="E82" s="205">
        <f>'Bridge&amp;Test Year Class Forecast'!B107</f>
        <v>7576.047</v>
      </c>
      <c r="F82" s="676">
        <f t="shared" si="15"/>
        <v>2.24391930887871E-06</v>
      </c>
      <c r="G82" s="205">
        <f>'Bridge&amp;Test Year Class Forecast'!C107</f>
        <v>16</v>
      </c>
      <c r="H82" s="678">
        <f t="shared" si="16"/>
        <v>0</v>
      </c>
    </row>
    <row r="83" spans="2:8" ht="12.75">
      <c r="B83" s="341" t="str">
        <f t="shared" si="13"/>
        <v>2023</v>
      </c>
      <c r="C83" s="203">
        <f>'Input - Customer Data'!M19</f>
        <v>8.371600930182808</v>
      </c>
      <c r="D83" s="677">
        <f>(C83-C82)/C82</f>
        <v>-0.005354344928775212</v>
      </c>
      <c r="E83" s="203">
        <f>'Bridge&amp;Test Year Class Forecast'!B108</f>
        <v>7249</v>
      </c>
      <c r="F83" s="677">
        <f>(E83-E82)/E82</f>
        <v>-0.043168554788532806</v>
      </c>
      <c r="G83" s="203">
        <f>'Bridge&amp;Test Year Class Forecast'!C108</f>
        <v>16</v>
      </c>
      <c r="H83" s="679">
        <f>(G83-G82)/G82</f>
        <v>0</v>
      </c>
    </row>
    <row r="84" spans="2:8" ht="12.75">
      <c r="B84" s="341" t="str">
        <f t="shared" si="13"/>
        <v>2024</v>
      </c>
      <c r="C84" s="203">
        <f>'Input - Customer Data'!M20</f>
        <v>8.326776491196554</v>
      </c>
      <c r="D84" s="677">
        <f>(C84-C83)/C83</f>
        <v>-0.005354344928775164</v>
      </c>
      <c r="E84" s="203">
        <f>'Bridge&amp;Test Year Class Forecast'!B109</f>
        <v>7210</v>
      </c>
      <c r="F84" s="677">
        <f>(E84-E83)/E83</f>
        <v>-0.00538005242102359</v>
      </c>
      <c r="G84" s="203">
        <f>'Bridge&amp;Test Year Class Forecast'!C109</f>
        <v>16</v>
      </c>
      <c r="H84" s="679">
        <f>(G84-G83)/G83</f>
        <v>0</v>
      </c>
    </row>
    <row r="86" spans="2:6" ht="13.5" thickBot="1">
      <c r="B86" s="169"/>
      <c r="C86" s="173"/>
      <c r="D86" s="173"/>
      <c r="E86" s="173"/>
      <c r="F86" s="169"/>
    </row>
    <row r="87" spans="2:8" ht="15.75" customHeight="1">
      <c r="B87" s="738"/>
      <c r="C87" s="739"/>
      <c r="D87" s="739"/>
      <c r="E87" s="739"/>
      <c r="F87" s="739"/>
      <c r="G87" s="739"/>
      <c r="H87" s="740"/>
    </row>
    <row r="88" spans="2:8" ht="13.5" thickBot="1">
      <c r="B88" s="356" t="s">
        <v>78</v>
      </c>
      <c r="C88" s="327" t="s">
        <v>128</v>
      </c>
      <c r="D88" s="327" t="s">
        <v>127</v>
      </c>
      <c r="E88" s="327" t="s">
        <v>79</v>
      </c>
      <c r="F88" s="327" t="s">
        <v>127</v>
      </c>
      <c r="G88" s="327" t="s">
        <v>80</v>
      </c>
      <c r="H88" s="357" t="s">
        <v>127</v>
      </c>
    </row>
    <row r="89" spans="2:8" ht="12.75">
      <c r="B89" s="339">
        <f aca="true" t="shared" si="17" ref="B89:B100">B55</f>
        <v>2013</v>
      </c>
      <c r="C89" s="207"/>
      <c r="D89" s="208"/>
      <c r="E89" s="207"/>
      <c r="F89" s="208"/>
      <c r="G89" s="207"/>
      <c r="H89" s="209"/>
    </row>
    <row r="90" spans="2:8" ht="12.75">
      <c r="B90" s="340">
        <f t="shared" si="17"/>
        <v>2014</v>
      </c>
      <c r="C90" s="205"/>
      <c r="D90" s="206"/>
      <c r="E90" s="205"/>
      <c r="F90" s="206"/>
      <c r="G90" s="205"/>
      <c r="H90" s="328"/>
    </row>
    <row r="91" spans="2:8" ht="12.75">
      <c r="B91" s="340">
        <f t="shared" si="17"/>
        <v>2015</v>
      </c>
      <c r="C91" s="205"/>
      <c r="D91" s="206"/>
      <c r="E91" s="205"/>
      <c r="F91" s="206"/>
      <c r="G91" s="205"/>
      <c r="H91" s="328"/>
    </row>
    <row r="92" spans="2:8" ht="12.75">
      <c r="B92" s="340">
        <f t="shared" si="17"/>
        <v>2016</v>
      </c>
      <c r="C92" s="205"/>
      <c r="D92" s="206"/>
      <c r="E92" s="205"/>
      <c r="F92" s="206"/>
      <c r="G92" s="205"/>
      <c r="H92" s="328"/>
    </row>
    <row r="93" spans="2:8" ht="12.75">
      <c r="B93" s="340">
        <f t="shared" si="17"/>
        <v>2017</v>
      </c>
      <c r="C93" s="205"/>
      <c r="D93" s="206"/>
      <c r="E93" s="205"/>
      <c r="F93" s="206"/>
      <c r="G93" s="205"/>
      <c r="H93" s="328"/>
    </row>
    <row r="94" spans="2:8" ht="12.75">
      <c r="B94" s="340">
        <f t="shared" si="17"/>
        <v>2018</v>
      </c>
      <c r="C94" s="205"/>
      <c r="D94" s="206"/>
      <c r="E94" s="205"/>
      <c r="F94" s="206"/>
      <c r="G94" s="205"/>
      <c r="H94" s="328"/>
    </row>
    <row r="95" spans="2:8" ht="12.75">
      <c r="B95" s="340">
        <f t="shared" si="17"/>
        <v>2019</v>
      </c>
      <c r="C95" s="205"/>
      <c r="D95" s="206"/>
      <c r="E95" s="205"/>
      <c r="F95" s="206"/>
      <c r="G95" s="205"/>
      <c r="H95" s="328"/>
    </row>
    <row r="96" spans="2:8" ht="12.75">
      <c r="B96" s="340">
        <f t="shared" si="17"/>
        <v>2020</v>
      </c>
      <c r="C96" s="205"/>
      <c r="D96" s="206"/>
      <c r="E96" s="205"/>
      <c r="F96" s="206"/>
      <c r="G96" s="205"/>
      <c r="H96" s="328"/>
    </row>
    <row r="97" spans="2:8" ht="12.75">
      <c r="B97" s="340">
        <f t="shared" si="17"/>
        <v>2021</v>
      </c>
      <c r="C97" s="205"/>
      <c r="D97" s="206"/>
      <c r="E97" s="205"/>
      <c r="F97" s="206"/>
      <c r="G97" s="205"/>
      <c r="H97" s="328"/>
    </row>
    <row r="98" spans="2:8" ht="12.75">
      <c r="B98" s="340">
        <f t="shared" si="17"/>
        <v>2022</v>
      </c>
      <c r="C98" s="205"/>
      <c r="D98" s="206"/>
      <c r="E98" s="205"/>
      <c r="F98" s="206"/>
      <c r="G98" s="205"/>
      <c r="H98" s="328"/>
    </row>
    <row r="99" spans="2:8" ht="12.75">
      <c r="B99" s="340" t="str">
        <f t="shared" si="17"/>
        <v>2023</v>
      </c>
      <c r="C99" s="203"/>
      <c r="D99" s="204"/>
      <c r="E99" s="203"/>
      <c r="F99" s="204"/>
      <c r="G99" s="203"/>
      <c r="H99" s="329"/>
    </row>
    <row r="100" spans="2:8" ht="13.5" thickBot="1">
      <c r="B100" s="340" t="str">
        <f t="shared" si="17"/>
        <v>2024</v>
      </c>
      <c r="C100" s="352"/>
      <c r="D100" s="353"/>
      <c r="E100" s="352"/>
      <c r="F100" s="353"/>
      <c r="G100" s="352"/>
      <c r="H100" s="354"/>
    </row>
    <row r="102" ht="13.5" thickBot="1"/>
    <row r="103" spans="2:10" ht="15.75" customHeight="1" thickBot="1">
      <c r="B103" s="783" t="s">
        <v>126</v>
      </c>
      <c r="C103" s="784"/>
      <c r="D103" s="784"/>
      <c r="E103" s="784"/>
      <c r="F103" s="784"/>
      <c r="G103" s="784"/>
      <c r="H103" s="784"/>
      <c r="I103" s="784"/>
      <c r="J103" s="785"/>
    </row>
    <row r="104" spans="2:10" ht="12.75">
      <c r="B104" s="364"/>
      <c r="C104" s="367" t="s">
        <v>62</v>
      </c>
      <c r="D104" s="364" t="s">
        <v>100</v>
      </c>
      <c r="E104" s="779" t="s">
        <v>125</v>
      </c>
      <c r="F104" s="780"/>
      <c r="G104" s="779" t="s">
        <v>184</v>
      </c>
      <c r="H104" s="780"/>
      <c r="I104" s="781" t="s">
        <v>178</v>
      </c>
      <c r="J104" s="782"/>
    </row>
    <row r="105" spans="2:10" ht="12.75">
      <c r="B105" s="370" t="s">
        <v>78</v>
      </c>
      <c r="C105" s="368" t="s">
        <v>174</v>
      </c>
      <c r="D105" s="365" t="s">
        <v>174</v>
      </c>
      <c r="E105" s="361" t="s">
        <v>174</v>
      </c>
      <c r="F105" s="360" t="s">
        <v>175</v>
      </c>
      <c r="G105" s="361" t="s">
        <v>174</v>
      </c>
      <c r="H105" s="360" t="s">
        <v>175</v>
      </c>
      <c r="I105" s="362" t="s">
        <v>176</v>
      </c>
      <c r="J105" s="360" t="s">
        <v>177</v>
      </c>
    </row>
    <row r="106" spans="2:10" ht="12.75">
      <c r="B106" s="371">
        <f>B89</f>
        <v>2013</v>
      </c>
      <c r="C106" s="369">
        <f>'Bridge&amp;Test Year Class Forecast'!G5</f>
        <v>9533.755551254944</v>
      </c>
      <c r="D106" s="366">
        <f>'Bridge&amp;Test Year Class Forecast'!G29</f>
        <v>25649.853244868897</v>
      </c>
      <c r="E106" s="205">
        <f>'Bridge&amp;Test Year Class Forecast'!G53</f>
        <v>617027.538504801</v>
      </c>
      <c r="F106" s="201">
        <f>'Bridge&amp;Test Year Class Forecast'!K53/'Input - Customer Data'!I6</f>
        <v>1759.8961863876925</v>
      </c>
      <c r="G106" s="205">
        <f>'Bridge&amp;Test Year Class Forecast'!B77/'Input - Customer Data'!K6</f>
        <v>5003.800818263342</v>
      </c>
      <c r="H106" s="201">
        <f>'Bridge&amp;Test Year Class Forecast'!C77/'Input - Customer Data'!K6</f>
        <v>0</v>
      </c>
      <c r="I106" s="363">
        <f>'Bridge&amp;Test Year Class Forecast'!E98</f>
        <v>1661.2183018867922</v>
      </c>
      <c r="J106" s="201">
        <f>'Bridge&amp;Test Year Class Forecast'!F98</f>
        <v>2.150943396226415</v>
      </c>
    </row>
    <row r="107" spans="2:10" ht="12.75">
      <c r="B107" s="371">
        <f aca="true" t="shared" si="18" ref="B107:B117">B90</f>
        <v>2014</v>
      </c>
      <c r="C107" s="369">
        <f>'Bridge&amp;Test Year Class Forecast'!G6</f>
        <v>9600.817673594891</v>
      </c>
      <c r="D107" s="366">
        <f>'Bridge&amp;Test Year Class Forecast'!G30</f>
        <v>26626.028204540326</v>
      </c>
      <c r="E107" s="205">
        <f>'Bridge&amp;Test Year Class Forecast'!G54</f>
        <v>710593.300806326</v>
      </c>
      <c r="F107" s="201">
        <f>'Bridge&amp;Test Year Class Forecast'!K54/'Input - Customer Data'!I7</f>
        <v>1951.872630961811</v>
      </c>
      <c r="G107" s="205">
        <f>'Bridge&amp;Test Year Class Forecast'!B78/'Input - Customer Data'!K7</f>
        <v>5048.68021065262</v>
      </c>
      <c r="H107" s="201">
        <f>'Bridge&amp;Test Year Class Forecast'!C78/'Input - Customer Data'!K7</f>
        <v>0</v>
      </c>
      <c r="I107" s="363">
        <f>'Bridge&amp;Test Year Class Forecast'!E99</f>
        <v>1834.261875</v>
      </c>
      <c r="J107" s="201">
        <f>'Bridge&amp;Test Year Class Forecast'!F99</f>
        <v>2</v>
      </c>
    </row>
    <row r="108" spans="2:10" ht="12.75">
      <c r="B108" s="371">
        <f t="shared" si="18"/>
        <v>2015</v>
      </c>
      <c r="C108" s="369">
        <f>'Bridge&amp;Test Year Class Forecast'!G7</f>
        <v>9024.231156636815</v>
      </c>
      <c r="D108" s="366">
        <f>'Bridge&amp;Test Year Class Forecast'!G31</f>
        <v>25451.704982177544</v>
      </c>
      <c r="E108" s="205">
        <f>'Bridge&amp;Test Year Class Forecast'!G55</f>
        <v>732912.8730471112</v>
      </c>
      <c r="F108" s="201">
        <f>'Bridge&amp;Test Year Class Forecast'!K55/'Input - Customer Data'!I8</f>
        <v>1953.6849397171145</v>
      </c>
      <c r="G108" s="205">
        <f>'Bridge&amp;Test Year Class Forecast'!B79/'Input - Customer Data'!K8</f>
        <v>5048.680210526316</v>
      </c>
      <c r="H108" s="201">
        <f>'Bridge&amp;Test Year Class Forecast'!C79/'Input - Customer Data'!K8</f>
        <v>0</v>
      </c>
      <c r="I108" s="363">
        <f>'Bridge&amp;Test Year Class Forecast'!E100</f>
        <v>1436.9780000000003</v>
      </c>
      <c r="J108" s="201">
        <f>'Bridge&amp;Test Year Class Forecast'!F100</f>
        <v>2</v>
      </c>
    </row>
    <row r="109" spans="2:10" ht="12.75">
      <c r="B109" s="371">
        <f t="shared" si="18"/>
        <v>2016</v>
      </c>
      <c r="C109" s="369">
        <f>'Bridge&amp;Test Year Class Forecast'!G8</f>
        <v>9022.929808436671</v>
      </c>
      <c r="D109" s="366">
        <f>'Bridge&amp;Test Year Class Forecast'!G32</f>
        <v>26213.457159941117</v>
      </c>
      <c r="E109" s="205">
        <f>'Bridge&amp;Test Year Class Forecast'!G56</f>
        <v>778990.294653891</v>
      </c>
      <c r="F109" s="201">
        <f>'Bridge&amp;Test Year Class Forecast'!K56/'Input - Customer Data'!I9</f>
        <v>2127.4957151674985</v>
      </c>
      <c r="G109" s="205">
        <f>'Bridge&amp;Test Year Class Forecast'!B80/'Input - Customer Data'!K9</f>
        <v>4897.766703976436</v>
      </c>
      <c r="H109" s="201">
        <f>'Bridge&amp;Test Year Class Forecast'!C80/'Input - Customer Data'!K9</f>
        <v>0</v>
      </c>
      <c r="I109" s="363">
        <f>'Bridge&amp;Test Year Class Forecast'!E101</f>
        <v>760.3450105263158</v>
      </c>
      <c r="J109" s="201">
        <f>'Bridge&amp;Test Year Class Forecast'!F101</f>
        <v>2.0210526315789474</v>
      </c>
    </row>
    <row r="110" spans="2:10" ht="12.75">
      <c r="B110" s="371">
        <f t="shared" si="18"/>
        <v>2017</v>
      </c>
      <c r="C110" s="369">
        <f>'Bridge&amp;Test Year Class Forecast'!G9</f>
        <v>8862.367140127568</v>
      </c>
      <c r="D110" s="366">
        <f>'Bridge&amp;Test Year Class Forecast'!G33</f>
        <v>27264.85440879767</v>
      </c>
      <c r="E110" s="205">
        <f>'Bridge&amp;Test Year Class Forecast'!G57</f>
        <v>893733.0460475769</v>
      </c>
      <c r="F110" s="201">
        <f>'Bridge&amp;Test Year Class Forecast'!K57/'Input - Customer Data'!I10</f>
        <v>2197.1742359235673</v>
      </c>
      <c r="G110" s="205">
        <f>'Bridge&amp;Test Year Class Forecast'!B81/'Input - Customer Data'!K10</f>
        <v>4830.999323825504</v>
      </c>
      <c r="H110" s="201">
        <f>'Bridge&amp;Test Year Class Forecast'!C81/'Input - Customer Data'!K10</f>
        <v>0</v>
      </c>
      <c r="I110" s="363">
        <f>'Bridge&amp;Test Year Class Forecast'!E102</f>
        <v>982.2111249999999</v>
      </c>
      <c r="J110" s="201">
        <f>'Bridge&amp;Test Year Class Forecast'!F102</f>
        <v>2</v>
      </c>
    </row>
    <row r="111" spans="2:10" ht="12.75">
      <c r="B111" s="371">
        <f t="shared" si="18"/>
        <v>2018</v>
      </c>
      <c r="C111" s="369">
        <f>'Bridge&amp;Test Year Class Forecast'!G10</f>
        <v>9274.042846217533</v>
      </c>
      <c r="D111" s="366">
        <f>'Bridge&amp;Test Year Class Forecast'!G34</f>
        <v>28290.438738583893</v>
      </c>
      <c r="E111" s="205">
        <f>'Bridge&amp;Test Year Class Forecast'!G58</f>
        <v>951781.7154042772</v>
      </c>
      <c r="F111" s="201">
        <f>'Bridge&amp;Test Year Class Forecast'!K58/'Input - Customer Data'!I11</f>
        <v>2391.2235384776905</v>
      </c>
      <c r="G111" s="205">
        <f>'Bridge&amp;Test Year Class Forecast'!B82/'Input - Customer Data'!K11</f>
        <v>4562.126138801262</v>
      </c>
      <c r="H111" s="201">
        <f>'Bridge&amp;Test Year Class Forecast'!C82/'Input - Customer Data'!K11</f>
        <v>0</v>
      </c>
      <c r="I111" s="363">
        <f>'Bridge&amp;Test Year Class Forecast'!E103</f>
        <v>824.4670714285714</v>
      </c>
      <c r="J111" s="201">
        <f>'Bridge&amp;Test Year Class Forecast'!F103</f>
        <v>1.7142857142857142</v>
      </c>
    </row>
    <row r="112" spans="2:10" ht="12.75">
      <c r="B112" s="371">
        <f t="shared" si="18"/>
        <v>2019</v>
      </c>
      <c r="C112" s="369">
        <f>'Bridge&amp;Test Year Class Forecast'!G11</f>
        <v>9057.863317704108</v>
      </c>
      <c r="D112" s="366">
        <f>'Bridge&amp;Test Year Class Forecast'!G35</f>
        <v>28172.953255516153</v>
      </c>
      <c r="E112" s="205">
        <f>'Bridge&amp;Test Year Class Forecast'!G59</f>
        <v>928876.6824741424</v>
      </c>
      <c r="F112" s="201">
        <f>'Bridge&amp;Test Year Class Forecast'!K59/'Input - Customer Data'!I12</f>
        <v>2294.082125264516</v>
      </c>
      <c r="G112" s="205">
        <f>'Bridge&amp;Test Year Class Forecast'!B83/'Input - Customer Data'!K12</f>
        <v>4422.845940397351</v>
      </c>
      <c r="H112" s="201">
        <f>'Bridge&amp;Test Year Class Forecast'!C83/'Input - Customer Data'!K12</f>
        <v>0</v>
      </c>
      <c r="I112" s="363">
        <f>'Bridge&amp;Test Year Class Forecast'!E104</f>
        <v>841.9408888888888</v>
      </c>
      <c r="J112" s="201">
        <f>'Bridge&amp;Test Year Class Forecast'!F104</f>
        <v>1.7777777777777777</v>
      </c>
    </row>
    <row r="113" spans="2:10" ht="12.75">
      <c r="B113" s="371">
        <f t="shared" si="18"/>
        <v>2020</v>
      </c>
      <c r="C113" s="369">
        <f>'Bridge&amp;Test Year Class Forecast'!G12</f>
        <v>9242.396518132819</v>
      </c>
      <c r="D113" s="366">
        <f>'Bridge&amp;Test Year Class Forecast'!G36</f>
        <v>26309.248153835768</v>
      </c>
      <c r="E113" s="205">
        <f>'Bridge&amp;Test Year Class Forecast'!G60</f>
        <v>942737.4801099352</v>
      </c>
      <c r="F113" s="201">
        <f>'Bridge&amp;Test Year Class Forecast'!K60/'Input - Customer Data'!I13</f>
        <v>2325.811960290777</v>
      </c>
      <c r="G113" s="205">
        <f>'Bridge&amp;Test Year Class Forecast'!B84/'Input - Customer Data'!K13</f>
        <v>4460.8836</v>
      </c>
      <c r="H113" s="201">
        <f>'Bridge&amp;Test Year Class Forecast'!C84/'Input - Customer Data'!K13</f>
        <v>0</v>
      </c>
      <c r="I113" s="363">
        <f>'Bridge&amp;Test Year Class Forecast'!E105</f>
        <v>852.0128971962617</v>
      </c>
      <c r="J113" s="201">
        <f>'Bridge&amp;Test Year Class Forecast'!F105</f>
        <v>1.7943925233644862</v>
      </c>
    </row>
    <row r="114" spans="2:10" ht="12.75">
      <c r="B114" s="371">
        <f t="shared" si="18"/>
        <v>2021</v>
      </c>
      <c r="C114" s="369">
        <f>'Bridge&amp;Test Year Class Forecast'!G13</f>
        <v>8932.323562746273</v>
      </c>
      <c r="D114" s="366">
        <f>'Bridge&amp;Test Year Class Forecast'!G37</f>
        <v>26029.487365180594</v>
      </c>
      <c r="E114" s="205">
        <f>'Bridge&amp;Test Year Class Forecast'!G61</f>
        <v>931660.7825992247</v>
      </c>
      <c r="F114" s="201">
        <f>'Bridge&amp;Test Year Class Forecast'!K61/'Input - Customer Data'!I14</f>
        <v>2364.399362037632</v>
      </c>
      <c r="G114" s="205">
        <f>'Bridge&amp;Test Year Class Forecast'!B85/'Input - Customer Data'!K14</f>
        <v>4470.003879396985</v>
      </c>
      <c r="H114" s="201">
        <f>'Bridge&amp;Test Year Class Forecast'!C85/'Input - Customer Data'!K14</f>
        <v>0</v>
      </c>
      <c r="I114" s="363">
        <f>'Bridge&amp;Test Year Class Forecast'!E106</f>
        <v>900.1223762376236</v>
      </c>
      <c r="J114" s="201">
        <f>'Bridge&amp;Test Year Class Forecast'!F106</f>
        <v>1.9009900990099011</v>
      </c>
    </row>
    <row r="115" spans="2:10" ht="12.75">
      <c r="B115" s="371">
        <f t="shared" si="18"/>
        <v>2022</v>
      </c>
      <c r="C115" s="369">
        <f>'Bridge&amp;Test Year Class Forecast'!G14</f>
        <v>9046.46186949025</v>
      </c>
      <c r="D115" s="366">
        <f>'Bridge&amp;Test Year Class Forecast'!G38</f>
        <v>27423.484272581834</v>
      </c>
      <c r="E115" s="205">
        <f>'Bridge&amp;Test Year Class Forecast'!G62</f>
        <v>985912.2851999283</v>
      </c>
      <c r="F115" s="201">
        <f>'Bridge&amp;Test Year Class Forecast'!K62/'Input - Customer Data'!I15</f>
        <v>2471.575549293028</v>
      </c>
      <c r="G115" s="205">
        <f>'Bridge&amp;Test Year Class Forecast'!B86/'Input - Customer Data'!K15</f>
        <v>4535.076979591837</v>
      </c>
      <c r="H115" s="201">
        <f>'Bridge&amp;Test Year Class Forecast'!C86/'Input - Customer Data'!K15</f>
        <v>0</v>
      </c>
      <c r="I115" s="363">
        <f>'Bridge&amp;Test Year Class Forecast'!E107</f>
        <v>900.124396039604</v>
      </c>
      <c r="J115" s="201">
        <f>'Bridge&amp;Test Year Class Forecast'!F107</f>
        <v>1.9009900990099011</v>
      </c>
    </row>
    <row r="116" spans="2:10" ht="12.75">
      <c r="B116" s="372" t="str">
        <f t="shared" si="18"/>
        <v>2023</v>
      </c>
      <c r="C116" s="369">
        <f>'Bridge&amp;Test Year Class Forecast'!G15</f>
        <v>8878.077292834803</v>
      </c>
      <c r="D116" s="366">
        <f>'Bridge&amp;Test Year Class Forecast'!G39</f>
        <v>26182.302743940312</v>
      </c>
      <c r="E116" s="205">
        <f>'Bridge&amp;Test Year Class Forecast'!G63</f>
        <v>1089129.280799817</v>
      </c>
      <c r="F116" s="201">
        <f>'Bridge&amp;Test Year Class Forecast'!K63/'Input - Customer Data'!I24</f>
        <v>2728.7894061425886</v>
      </c>
      <c r="G116" s="205">
        <f>'Bridge&amp;Test Year Class Forecast'!B87/'Input - Customer Data'!K19</f>
        <v>4526.543516965899</v>
      </c>
      <c r="H116" s="201">
        <f>'Bridge&amp;Test Year Class Forecast'!C87/'Input - Customer Data'!K19</f>
        <v>0</v>
      </c>
      <c r="I116" s="363">
        <f>'Bridge&amp;Test Year Class Forecast'!E108</f>
        <v>865.9036736766316</v>
      </c>
      <c r="J116" s="201">
        <f>'Bridge&amp;Test Year Class Forecast'!F108</f>
        <v>1.9112234485896131</v>
      </c>
    </row>
    <row r="117" spans="2:10" ht="13.5" thickBot="1">
      <c r="B117" s="505" t="str">
        <f t="shared" si="18"/>
        <v>2024</v>
      </c>
      <c r="C117" s="506">
        <f>'Bridge&amp;Test Year Class Forecast'!G16</f>
        <v>8831.416212826794</v>
      </c>
      <c r="D117" s="507">
        <f>'Bridge&amp;Test Year Class Forecast'!G40</f>
        <v>26091.91689937423</v>
      </c>
      <c r="E117" s="508">
        <f>'Bridge&amp;Test Year Class Forecast'!G64</f>
        <v>1149986.6708653187</v>
      </c>
      <c r="F117" s="509">
        <f>'Bridge&amp;Test Year Class Forecast'!K64/'Input - Customer Data'!I25</f>
        <v>2881.26625551558</v>
      </c>
      <c r="G117" s="508">
        <f>'Bridge&amp;Test Year Class Forecast'!B88/'Input - Customer Data'!K20</f>
        <v>4516.065162562748</v>
      </c>
      <c r="H117" s="509">
        <f>'Bridge&amp;Test Year Class Forecast'!C88/'Input - Customer Data'!K20</f>
        <v>0</v>
      </c>
      <c r="I117" s="510">
        <f>'Bridge&amp;Test Year Class Forecast'!E109</f>
        <v>865.8812936341859</v>
      </c>
      <c r="J117" s="509">
        <f>'Bridge&amp;Test Year Class Forecast'!F109</f>
        <v>1.921511886012063</v>
      </c>
    </row>
  </sheetData>
  <sheetProtection/>
  <mergeCells count="11">
    <mergeCell ref="B71:H71"/>
    <mergeCell ref="B87:H87"/>
    <mergeCell ref="E104:F104"/>
    <mergeCell ref="G104:H104"/>
    <mergeCell ref="I104:J104"/>
    <mergeCell ref="B103:J103"/>
    <mergeCell ref="B3:G3"/>
    <mergeCell ref="B5:F5"/>
    <mergeCell ref="B21:F21"/>
    <mergeCell ref="B37:H37"/>
    <mergeCell ref="B53:H5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6"/>
  <dimension ref="B2:M50"/>
  <sheetViews>
    <sheetView showGridLines="0" zoomScale="115" zoomScaleNormal="115" zoomScalePageLayoutView="0" workbookViewId="0" topLeftCell="A5">
      <selection activeCell="N24" sqref="N24"/>
    </sheetView>
  </sheetViews>
  <sheetFormatPr defaultColWidth="10.5" defaultRowHeight="12.75"/>
  <cols>
    <col min="1" max="1" width="15.33203125" style="144" customWidth="1"/>
    <col min="2" max="2" width="35.33203125" style="144" bestFit="1" customWidth="1"/>
    <col min="3" max="3" width="11" style="144" bestFit="1" customWidth="1"/>
    <col min="4" max="6" width="14" style="144" bestFit="1" customWidth="1"/>
    <col min="7" max="7" width="12.66015625" style="168" bestFit="1" customWidth="1"/>
    <col min="8" max="8" width="14" style="144" bestFit="1" customWidth="1"/>
    <col min="9" max="9" width="13.5" style="168" bestFit="1" customWidth="1"/>
    <col min="10" max="10" width="14" style="144" bestFit="1" customWidth="1"/>
    <col min="11" max="11" width="14.66015625" style="168" bestFit="1" customWidth="1"/>
    <col min="12" max="12" width="14" style="144" bestFit="1" customWidth="1"/>
    <col min="13" max="15" width="13.16015625" style="144" customWidth="1"/>
    <col min="16" max="16" width="9.83203125" style="144" customWidth="1"/>
    <col min="17" max="17" width="6.5" style="144" customWidth="1"/>
    <col min="18" max="19" width="11.33203125" style="144" customWidth="1"/>
    <col min="20" max="21" width="10.5" style="144" customWidth="1"/>
    <col min="22" max="23" width="1.83203125" style="144" customWidth="1"/>
    <col min="24" max="16384" width="10.5" style="144" customWidth="1"/>
  </cols>
  <sheetData>
    <row r="2" spans="2:12" ht="23.25">
      <c r="B2" s="788" t="s">
        <v>111</v>
      </c>
      <c r="C2" s="788"/>
      <c r="D2" s="788"/>
      <c r="E2" s="788"/>
      <c r="F2" s="788"/>
      <c r="G2" s="788"/>
      <c r="H2" s="788"/>
      <c r="I2" s="788"/>
      <c r="J2" s="788"/>
      <c r="K2" s="788"/>
      <c r="L2" s="788"/>
    </row>
    <row r="4" spans="2:13" s="159" customFormat="1" ht="24">
      <c r="B4" s="473"/>
      <c r="C4" s="472" t="s">
        <v>78</v>
      </c>
      <c r="D4" s="471" t="s">
        <v>197</v>
      </c>
      <c r="E4" s="472">
        <v>2014</v>
      </c>
      <c r="F4" s="472">
        <v>2015</v>
      </c>
      <c r="G4" s="489" t="s">
        <v>198</v>
      </c>
      <c r="H4" s="472">
        <v>2016</v>
      </c>
      <c r="I4" s="489" t="s">
        <v>198</v>
      </c>
      <c r="J4" s="472">
        <v>2017</v>
      </c>
      <c r="K4" s="489" t="s">
        <v>198</v>
      </c>
      <c r="L4" s="472">
        <v>2018</v>
      </c>
      <c r="M4" s="489" t="s">
        <v>198</v>
      </c>
    </row>
    <row r="5" spans="2:13" ht="12.75">
      <c r="B5" s="473" t="s">
        <v>62</v>
      </c>
      <c r="C5" s="470" t="s">
        <v>192</v>
      </c>
      <c r="D5" s="469">
        <v>14.56</v>
      </c>
      <c r="E5" s="469">
        <v>14.56</v>
      </c>
      <c r="F5" s="469">
        <v>14.77</v>
      </c>
      <c r="G5" s="490">
        <f>F5-E5</f>
        <v>0.20999999999999908</v>
      </c>
      <c r="H5" s="469">
        <v>18.25</v>
      </c>
      <c r="I5" s="490">
        <f>H5-F5</f>
        <v>3.4800000000000004</v>
      </c>
      <c r="J5" s="469">
        <v>21.87</v>
      </c>
      <c r="K5" s="490">
        <f>J5-H5</f>
        <v>3.620000000000001</v>
      </c>
      <c r="L5" s="469">
        <v>27.84</v>
      </c>
      <c r="M5" s="490">
        <f>L5-J5</f>
        <v>5.969999999999999</v>
      </c>
    </row>
    <row r="6" spans="2:13" ht="12.75">
      <c r="B6" s="473"/>
      <c r="C6" s="470" t="s">
        <v>193</v>
      </c>
      <c r="D6" s="468">
        <v>0.0136</v>
      </c>
      <c r="E6" s="468">
        <v>0.0136</v>
      </c>
      <c r="F6" s="468">
        <v>0.0138</v>
      </c>
      <c r="G6" s="490">
        <f>F6-E6</f>
        <v>0.00020000000000000052</v>
      </c>
      <c r="H6" s="468">
        <v>0.0106</v>
      </c>
      <c r="I6" s="490">
        <f>H6-F6</f>
        <v>-0.0031999999999999997</v>
      </c>
      <c r="J6" s="468">
        <v>0.0072</v>
      </c>
      <c r="K6" s="490">
        <f>J6-H6</f>
        <v>-0.0034000000000000002</v>
      </c>
      <c r="L6" s="468">
        <v>0.006423829706007961</v>
      </c>
      <c r="M6" s="490">
        <f>L6-J6</f>
        <v>-0.0007761702939920387</v>
      </c>
    </row>
    <row r="7" spans="2:13" ht="12.75">
      <c r="B7" s="473"/>
      <c r="C7" s="467"/>
      <c r="D7" s="466"/>
      <c r="E7" s="467"/>
      <c r="F7" s="467"/>
      <c r="G7" s="491"/>
      <c r="H7" s="467"/>
      <c r="I7" s="491"/>
      <c r="J7" s="467"/>
      <c r="K7" s="491"/>
      <c r="L7" s="467"/>
      <c r="M7" s="491"/>
    </row>
    <row r="8" spans="2:13" ht="12.75">
      <c r="B8" s="473"/>
      <c r="C8" s="470" t="s">
        <v>110</v>
      </c>
      <c r="D8" s="465">
        <v>2048</v>
      </c>
      <c r="E8" s="465">
        <v>1809</v>
      </c>
      <c r="F8" s="465">
        <v>1884</v>
      </c>
      <c r="G8" s="492">
        <f>F8-E8</f>
        <v>75</v>
      </c>
      <c r="H8" s="465">
        <v>1965</v>
      </c>
      <c r="I8" s="492">
        <f>H8-F8</f>
        <v>81</v>
      </c>
      <c r="J8" s="465">
        <v>2040</v>
      </c>
      <c r="K8" s="492">
        <f>J8-H8</f>
        <v>75</v>
      </c>
      <c r="L8" s="465">
        <v>2100</v>
      </c>
      <c r="M8" s="492">
        <f>L8-J8</f>
        <v>60</v>
      </c>
    </row>
    <row r="9" spans="2:13" ht="12.75">
      <c r="B9" s="473"/>
      <c r="C9" s="470" t="s">
        <v>79</v>
      </c>
      <c r="D9" s="465">
        <v>22293395.2049276</v>
      </c>
      <c r="E9" s="465">
        <v>19479913</v>
      </c>
      <c r="F9" s="465">
        <v>19377540</v>
      </c>
      <c r="G9" s="493">
        <f>F9-E9</f>
        <v>-102373</v>
      </c>
      <c r="H9" s="465">
        <v>19268403</v>
      </c>
      <c r="I9" s="492">
        <f>H9-F9</f>
        <v>-109137</v>
      </c>
      <c r="J9" s="465">
        <v>21046899.584874082</v>
      </c>
      <c r="K9" s="492">
        <f>J9-H9</f>
        <v>1778496.5848740824</v>
      </c>
      <c r="L9" s="465">
        <v>21429449.158378918</v>
      </c>
      <c r="M9" s="492">
        <f>L9-J9</f>
        <v>382549.57350483537</v>
      </c>
    </row>
    <row r="10" spans="2:13" ht="12.75">
      <c r="B10" s="473"/>
      <c r="C10" s="464" t="s">
        <v>194</v>
      </c>
      <c r="D10" s="483">
        <f>(D8*D5*12)+(D6*D9)</f>
        <v>661016.7347870154</v>
      </c>
      <c r="E10" s="483">
        <f aca="true" t="shared" si="0" ref="E10:L10">(E8*E5*12)+(E6*E9)</f>
        <v>580995.2967999999</v>
      </c>
      <c r="F10" s="483">
        <f t="shared" si="0"/>
        <v>601330.212</v>
      </c>
      <c r="G10" s="494">
        <f>F10-E10</f>
        <v>20334.915200000163</v>
      </c>
      <c r="H10" s="483">
        <f t="shared" si="0"/>
        <v>634580.0718</v>
      </c>
      <c r="I10" s="494">
        <f>H10-F10</f>
        <v>33249.85979999998</v>
      </c>
      <c r="J10" s="483">
        <f t="shared" si="0"/>
        <v>686915.2770110935</v>
      </c>
      <c r="K10" s="494">
        <f>J10-H10</f>
        <v>52335.20521109342</v>
      </c>
      <c r="L10" s="483">
        <f t="shared" si="0"/>
        <v>839227.1320869818</v>
      </c>
      <c r="M10" s="494">
        <f>L10-J10</f>
        <v>152311.85507588834</v>
      </c>
    </row>
    <row r="11" spans="2:13" ht="12.75">
      <c r="B11" s="473"/>
      <c r="C11" s="463"/>
      <c r="D11" s="463"/>
      <c r="E11" s="462">
        <f>(E10-D10)/D10</f>
        <v>-0.1210581121108817</v>
      </c>
      <c r="F11" s="462">
        <f>(F10-E10)/E10</f>
        <v>0.03500013737116394</v>
      </c>
      <c r="G11" s="495">
        <f>F11-E11</f>
        <v>0.15605824948204564</v>
      </c>
      <c r="H11" s="462">
        <f>(H10-F10)/F10</f>
        <v>0.05529384543878526</v>
      </c>
      <c r="I11" s="495">
        <f>H11-F11</f>
        <v>0.02029370806762132</v>
      </c>
      <c r="J11" s="462">
        <f>(J10-H10)/H10</f>
        <v>0.08247218520846941</v>
      </c>
      <c r="K11" s="495">
        <f>J11-H11</f>
        <v>0.027178339769684152</v>
      </c>
      <c r="L11" s="462">
        <f>(L10-J10)/J10</f>
        <v>0.2217331018442738</v>
      </c>
      <c r="M11" s="495">
        <f>L11-J11</f>
        <v>0.1392609166358044</v>
      </c>
    </row>
    <row r="12" spans="2:13" ht="12.75">
      <c r="B12" s="473"/>
      <c r="C12" s="467"/>
      <c r="D12" s="467"/>
      <c r="E12" s="467"/>
      <c r="F12" s="467"/>
      <c r="G12" s="491"/>
      <c r="H12" s="467"/>
      <c r="I12" s="491"/>
      <c r="J12" s="467"/>
      <c r="K12" s="491"/>
      <c r="L12" s="467"/>
      <c r="M12" s="491"/>
    </row>
    <row r="13" spans="2:13" ht="12.75">
      <c r="B13" s="473" t="s">
        <v>61</v>
      </c>
      <c r="C13" s="470" t="s">
        <v>192</v>
      </c>
      <c r="D13" s="469">
        <v>16.98</v>
      </c>
      <c r="E13" s="469">
        <v>16.98</v>
      </c>
      <c r="F13" s="469">
        <v>17.23</v>
      </c>
      <c r="G13" s="490">
        <f>F13-E13</f>
        <v>0.25</v>
      </c>
      <c r="H13" s="469">
        <v>17.57</v>
      </c>
      <c r="I13" s="490">
        <f>H13-F13</f>
        <v>0.33999999999999986</v>
      </c>
      <c r="J13" s="469">
        <v>17.9</v>
      </c>
      <c r="K13" s="490">
        <f>J13-H13</f>
        <v>0.3299999999999983</v>
      </c>
      <c r="L13" s="469">
        <v>21.11</v>
      </c>
      <c r="M13" s="490">
        <f>L13-J13</f>
        <v>3.210000000000001</v>
      </c>
    </row>
    <row r="14" spans="2:13" ht="12.75">
      <c r="B14" s="473"/>
      <c r="C14" s="470" t="s">
        <v>193</v>
      </c>
      <c r="D14" s="468">
        <v>0.014</v>
      </c>
      <c r="E14" s="468">
        <v>0.014</v>
      </c>
      <c r="F14" s="468">
        <v>0.0142</v>
      </c>
      <c r="G14" s="490">
        <f>F14-E14</f>
        <v>0.00020000000000000052</v>
      </c>
      <c r="H14" s="468">
        <v>0.0145</v>
      </c>
      <c r="I14" s="490">
        <f>H14-F14</f>
        <v>0.0002999999999999999</v>
      </c>
      <c r="J14" s="468">
        <v>0.0148</v>
      </c>
      <c r="K14" s="490">
        <f>J14-H14</f>
        <v>0.0002999999999999999</v>
      </c>
      <c r="L14" s="468">
        <v>0.017608743079166406</v>
      </c>
      <c r="M14" s="490">
        <f>L14-J14</f>
        <v>0.002808743079166405</v>
      </c>
    </row>
    <row r="15" spans="2:13" ht="12.75">
      <c r="B15" s="473"/>
      <c r="C15" s="467"/>
      <c r="D15" s="467"/>
      <c r="E15" s="467"/>
      <c r="F15" s="467"/>
      <c r="G15" s="491"/>
      <c r="H15" s="467"/>
      <c r="I15" s="491"/>
      <c r="J15" s="467"/>
      <c r="K15" s="491"/>
      <c r="L15" s="467"/>
      <c r="M15" s="491"/>
    </row>
    <row r="16" spans="2:13" ht="12.75">
      <c r="B16" s="473"/>
      <c r="C16" s="470" t="s">
        <v>110</v>
      </c>
      <c r="D16" s="465">
        <v>168</v>
      </c>
      <c r="E16" s="465">
        <v>165</v>
      </c>
      <c r="F16" s="465">
        <v>165</v>
      </c>
      <c r="G16" s="492">
        <f>F16-E16</f>
        <v>0</v>
      </c>
      <c r="H16" s="465">
        <v>161</v>
      </c>
      <c r="I16" s="492">
        <f>H16-F16</f>
        <v>-4</v>
      </c>
      <c r="J16" s="465">
        <v>168.11285944901528</v>
      </c>
      <c r="K16" s="492">
        <f>J16-H16</f>
        <v>7.112859449015275</v>
      </c>
      <c r="L16" s="465">
        <v>172.11285944901528</v>
      </c>
      <c r="M16" s="492">
        <f>L16-J16</f>
        <v>4</v>
      </c>
    </row>
    <row r="17" spans="2:13" ht="12.75">
      <c r="B17" s="473"/>
      <c r="C17" s="470" t="s">
        <v>79</v>
      </c>
      <c r="D17" s="465">
        <v>5055559.355604123</v>
      </c>
      <c r="E17" s="465">
        <v>4699450</v>
      </c>
      <c r="F17" s="465">
        <v>4594197</v>
      </c>
      <c r="G17" s="493">
        <f>F17-E17</f>
        <v>-105253</v>
      </c>
      <c r="H17" s="465">
        <v>4547781</v>
      </c>
      <c r="I17" s="492">
        <f>H17-F17</f>
        <v>-46416</v>
      </c>
      <c r="J17" s="465">
        <v>4942548.218270334</v>
      </c>
      <c r="K17" s="492">
        <f>J17-H17</f>
        <v>394767.2182703344</v>
      </c>
      <c r="L17" s="465">
        <v>4515362.833637483</v>
      </c>
      <c r="M17" s="492">
        <f>L17-J17</f>
        <v>-427185.384632851</v>
      </c>
    </row>
    <row r="18" spans="2:13" ht="12.75">
      <c r="B18" s="473"/>
      <c r="C18" s="464" t="s">
        <v>194</v>
      </c>
      <c r="D18" s="483">
        <f>(D16*D13*12)+(D14*D17)</f>
        <v>105009.51097845772</v>
      </c>
      <c r="E18" s="483">
        <f aca="true" t="shared" si="1" ref="E18:L18">(E16*E13*12)+(E14*E17)</f>
        <v>99412.70000000001</v>
      </c>
      <c r="F18" s="483">
        <f t="shared" si="1"/>
        <v>99352.99740000001</v>
      </c>
      <c r="G18" s="494">
        <f>F18-E18</f>
        <v>-59.70260000000417</v>
      </c>
      <c r="H18" s="483">
        <f t="shared" si="1"/>
        <v>99888.06450000001</v>
      </c>
      <c r="I18" s="494">
        <f>H18-F18</f>
        <v>535.0671000000002</v>
      </c>
      <c r="J18" s="483">
        <f t="shared" si="1"/>
        <v>109260.35584004942</v>
      </c>
      <c r="K18" s="494">
        <f>J18-H18</f>
        <v>9372.291340049414</v>
      </c>
      <c r="L18" s="483">
        <f t="shared" si="1"/>
        <v>123109.49360236379</v>
      </c>
      <c r="M18" s="494">
        <f>L18-J18</f>
        <v>13849.137762314363</v>
      </c>
    </row>
    <row r="19" spans="2:13" ht="12.75">
      <c r="B19" s="473"/>
      <c r="C19" s="463"/>
      <c r="D19" s="463"/>
      <c r="E19" s="462">
        <f>(E18-D18)/D18</f>
        <v>-0.053298133914801996</v>
      </c>
      <c r="F19" s="462">
        <f>(F18-E18)/E18</f>
        <v>-0.0006005530480512466</v>
      </c>
      <c r="G19" s="495">
        <f>F19-E19</f>
        <v>0.05269758086675075</v>
      </c>
      <c r="H19" s="462">
        <f>(H18-F18)/F18</f>
        <v>0.005385515424822001</v>
      </c>
      <c r="I19" s="495">
        <f>H19-F19</f>
        <v>0.005986068472873247</v>
      </c>
      <c r="J19" s="462">
        <f>(J18-H18)/H18</f>
        <v>0.09382794017446813</v>
      </c>
      <c r="K19" s="495">
        <f>J19-H19</f>
        <v>0.08844242474964613</v>
      </c>
      <c r="L19" s="462">
        <f>(L18-J18)/J18</f>
        <v>0.12675354803519648</v>
      </c>
      <c r="M19" s="495">
        <f>L19-J19</f>
        <v>0.032925607860728345</v>
      </c>
    </row>
    <row r="20" spans="2:13" ht="12.75">
      <c r="B20" s="473"/>
      <c r="C20" s="467"/>
      <c r="D20" s="467"/>
      <c r="E20" s="467"/>
      <c r="F20" s="467"/>
      <c r="G20" s="491"/>
      <c r="H20" s="467"/>
      <c r="I20" s="491"/>
      <c r="J20" s="467"/>
      <c r="K20" s="491"/>
      <c r="L20" s="467"/>
      <c r="M20" s="491"/>
    </row>
    <row r="21" spans="2:13" ht="12.75">
      <c r="B21" s="473" t="s">
        <v>195</v>
      </c>
      <c r="C21" s="470" t="s">
        <v>192</v>
      </c>
      <c r="D21" s="469">
        <v>189.25</v>
      </c>
      <c r="E21" s="469">
        <v>189.25</v>
      </c>
      <c r="F21" s="469">
        <v>191.99</v>
      </c>
      <c r="G21" s="490">
        <f>F21-E21</f>
        <v>2.740000000000009</v>
      </c>
      <c r="H21" s="469">
        <v>195.73</v>
      </c>
      <c r="I21" s="490">
        <f>H21-F21</f>
        <v>3.7399999999999807</v>
      </c>
      <c r="J21" s="469">
        <v>199.45</v>
      </c>
      <c r="K21" s="490">
        <f>J21-H21</f>
        <v>3.719999999999999</v>
      </c>
      <c r="L21" s="469">
        <v>199.45</v>
      </c>
      <c r="M21" s="490">
        <f>L21-J21</f>
        <v>0</v>
      </c>
    </row>
    <row r="22" spans="2:13" ht="12.75">
      <c r="B22" s="473"/>
      <c r="C22" s="470" t="s">
        <v>193</v>
      </c>
      <c r="D22" s="468">
        <v>3.5066</v>
      </c>
      <c r="E22" s="468">
        <v>3.5066</v>
      </c>
      <c r="F22" s="468">
        <v>3.5574</v>
      </c>
      <c r="G22" s="490">
        <f>F22-E22</f>
        <v>0.050799999999999734</v>
      </c>
      <c r="H22" s="468">
        <v>3.6268</v>
      </c>
      <c r="I22" s="490">
        <f>H22-F22</f>
        <v>0.0693999999999999</v>
      </c>
      <c r="J22" s="468">
        <v>3.6957</v>
      </c>
      <c r="K22" s="490">
        <f>J22-H22</f>
        <v>0.06890000000000018</v>
      </c>
      <c r="L22" s="468">
        <v>4.238686419427185</v>
      </c>
      <c r="M22" s="490">
        <f>L22-J22</f>
        <v>0.542986419427185</v>
      </c>
    </row>
    <row r="23" spans="2:13" ht="12.75">
      <c r="B23" s="473"/>
      <c r="C23" s="467"/>
      <c r="D23" s="467"/>
      <c r="E23" s="467"/>
      <c r="F23" s="467"/>
      <c r="G23" s="491"/>
      <c r="H23" s="467"/>
      <c r="I23" s="491"/>
      <c r="J23" s="467"/>
      <c r="K23" s="491"/>
      <c r="L23" s="467"/>
      <c r="M23" s="491"/>
    </row>
    <row r="24" spans="2:13" ht="12.75">
      <c r="B24" s="473"/>
      <c r="C24" s="470" t="s">
        <v>110</v>
      </c>
      <c r="D24" s="465">
        <v>11</v>
      </c>
      <c r="E24" s="465">
        <v>11</v>
      </c>
      <c r="F24" s="465">
        <v>11</v>
      </c>
      <c r="G24" s="492">
        <f>F24-E24</f>
        <v>0</v>
      </c>
      <c r="H24" s="465">
        <v>11</v>
      </c>
      <c r="I24" s="492">
        <f>H24-F24</f>
        <v>0</v>
      </c>
      <c r="J24" s="465">
        <v>9</v>
      </c>
      <c r="K24" s="492">
        <f>J24-H24</f>
        <v>-2</v>
      </c>
      <c r="L24" s="465">
        <v>9</v>
      </c>
      <c r="M24" s="492">
        <f>L24-J24</f>
        <v>0</v>
      </c>
    </row>
    <row r="25" spans="2:13" ht="12.75">
      <c r="B25" s="473"/>
      <c r="C25" s="470" t="s">
        <v>79</v>
      </c>
      <c r="D25" s="465">
        <v>4276255.790817857</v>
      </c>
      <c r="E25" s="465">
        <v>4189855</v>
      </c>
      <c r="F25" s="465">
        <v>4316369</v>
      </c>
      <c r="G25" s="493">
        <f>F25-E25</f>
        <v>126514</v>
      </c>
      <c r="H25" s="465">
        <v>4242389</v>
      </c>
      <c r="I25" s="492">
        <f>H25-F25</f>
        <v>-73980</v>
      </c>
      <c r="J25" s="465">
        <v>3657935.675934597</v>
      </c>
      <c r="K25" s="492">
        <f>J25-H25</f>
        <v>-584453.3240654031</v>
      </c>
      <c r="L25" s="465">
        <v>3657813.5906478674</v>
      </c>
      <c r="M25" s="492">
        <f>L25-J25</f>
        <v>-122.08528672950342</v>
      </c>
    </row>
    <row r="26" spans="2:13" ht="12.75">
      <c r="B26" s="473"/>
      <c r="C26" s="470" t="s">
        <v>80</v>
      </c>
      <c r="D26" s="465">
        <v>12633.157923440625</v>
      </c>
      <c r="E26" s="465">
        <v>18735</v>
      </c>
      <c r="F26" s="465">
        <v>12238</v>
      </c>
      <c r="G26" s="493">
        <f>F26-E26</f>
        <v>-6497</v>
      </c>
      <c r="H26" s="465">
        <v>12058</v>
      </c>
      <c r="I26" s="493">
        <f>H26-F26</f>
        <v>-180</v>
      </c>
      <c r="J26" s="465">
        <v>12700.709899802026</v>
      </c>
      <c r="K26" s="493">
        <f>J26-H26</f>
        <v>642.7098998020265</v>
      </c>
      <c r="L26" s="465">
        <v>12771.10690290418</v>
      </c>
      <c r="M26" s="493">
        <f>L26-J26</f>
        <v>70.39700310215267</v>
      </c>
    </row>
    <row r="27" spans="2:13" ht="12.75">
      <c r="B27" s="473"/>
      <c r="C27" s="464" t="s">
        <v>194</v>
      </c>
      <c r="D27" s="483">
        <f>(D24*D21*12)+(D22*D26)</f>
        <v>69280.4315743369</v>
      </c>
      <c r="E27" s="483">
        <f>(E24*E21*12)+(E22*E26)</f>
        <v>90677.151</v>
      </c>
      <c r="F27" s="483">
        <f>(F24*F21*12)+(F22*F26)</f>
        <v>68878.1412</v>
      </c>
      <c r="G27" s="494">
        <f>F27-E27</f>
        <v>-21799.0098</v>
      </c>
      <c r="H27" s="483">
        <f>(H24*H21*12)+(H22*H26)</f>
        <v>69568.31439999999</v>
      </c>
      <c r="I27" s="494">
        <f>H27-F27</f>
        <v>690.1731999999902</v>
      </c>
      <c r="J27" s="483">
        <f>(J24*J21*12)+(J22*J26)</f>
        <v>68478.61357669835</v>
      </c>
      <c r="K27" s="494">
        <f>J27-H27</f>
        <v>-1089.7008233016386</v>
      </c>
      <c r="L27" s="483">
        <f>(L24*L21*12)+(L22*L26)</f>
        <v>75673.31739039271</v>
      </c>
      <c r="M27" s="494">
        <f>L27-J27</f>
        <v>7194.703813694359</v>
      </c>
    </row>
    <row r="28" spans="2:13" ht="12.75">
      <c r="B28" s="473"/>
      <c r="C28" s="463"/>
      <c r="D28" s="463"/>
      <c r="E28" s="462">
        <f>(E27-D27)/D27</f>
        <v>0.3088421786562449</v>
      </c>
      <c r="F28" s="462">
        <f>(F27-E27)/E27</f>
        <v>-0.2404024559615906</v>
      </c>
      <c r="G28" s="495">
        <f>F28-E28</f>
        <v>-0.5492446346178355</v>
      </c>
      <c r="H28" s="462">
        <f>(H27-F27)/F27</f>
        <v>0.010020206526711413</v>
      </c>
      <c r="I28" s="495">
        <f>H28-F28</f>
        <v>0.25042266248830203</v>
      </c>
      <c r="J28" s="462">
        <f>(J27-H27)/H27</f>
        <v>-0.015663751992554226</v>
      </c>
      <c r="K28" s="495">
        <f>J28-H28</f>
        <v>-0.025683958519265637</v>
      </c>
      <c r="L28" s="462">
        <f>(L27-J27)/J27</f>
        <v>0.10506497485723844</v>
      </c>
      <c r="M28" s="495">
        <f>L28-J28</f>
        <v>0.12072872684979266</v>
      </c>
    </row>
    <row r="29" spans="2:13" ht="12.75">
      <c r="B29" s="473"/>
      <c r="C29" s="467"/>
      <c r="D29" s="467"/>
      <c r="E29" s="467"/>
      <c r="F29" s="467"/>
      <c r="G29" s="491"/>
      <c r="H29" s="467"/>
      <c r="I29" s="491"/>
      <c r="J29" s="467"/>
      <c r="K29" s="491"/>
      <c r="L29" s="467"/>
      <c r="M29" s="491"/>
    </row>
    <row r="30" spans="2:13" ht="12.75">
      <c r="B30" s="473" t="s">
        <v>185</v>
      </c>
      <c r="C30" s="470" t="s">
        <v>192</v>
      </c>
      <c r="D30" s="469">
        <v>20.08</v>
      </c>
      <c r="E30" s="469">
        <v>20.08</v>
      </c>
      <c r="F30" s="469">
        <v>20.37</v>
      </c>
      <c r="G30" s="490">
        <f>F30-E30</f>
        <v>0.2900000000000027</v>
      </c>
      <c r="H30" s="469">
        <v>20.77</v>
      </c>
      <c r="I30" s="490">
        <f>H30-F30</f>
        <v>0.3999999999999986</v>
      </c>
      <c r="J30" s="469">
        <v>21.16</v>
      </c>
      <c r="K30" s="490">
        <f>J30-H30</f>
        <v>0.39000000000000057</v>
      </c>
      <c r="L30" s="469">
        <v>21.16</v>
      </c>
      <c r="M30" s="490">
        <f>L30-J30</f>
        <v>0</v>
      </c>
    </row>
    <row r="31" spans="2:13" ht="12.75">
      <c r="B31" s="461"/>
      <c r="C31" s="470" t="s">
        <v>193</v>
      </c>
      <c r="D31" s="468">
        <v>0.0052</v>
      </c>
      <c r="E31" s="468">
        <v>0.0052</v>
      </c>
      <c r="F31" s="468">
        <v>0.0053</v>
      </c>
      <c r="G31" s="490">
        <f>F31-E31</f>
        <v>0.00010000000000000026</v>
      </c>
      <c r="H31" s="468">
        <v>0.0054</v>
      </c>
      <c r="I31" s="490">
        <f>H31-F31</f>
        <v>0.00010000000000000026</v>
      </c>
      <c r="J31" s="468">
        <v>0.0055</v>
      </c>
      <c r="K31" s="490">
        <f>J31-H31</f>
        <v>9.99999999999994E-05</v>
      </c>
      <c r="L31" s="468">
        <v>0.014541149171779545</v>
      </c>
      <c r="M31" s="490">
        <f>L31-J31</f>
        <v>0.009041149171779546</v>
      </c>
    </row>
    <row r="32" spans="2:13" ht="12.75">
      <c r="B32" s="473"/>
      <c r="C32" s="467"/>
      <c r="D32" s="467"/>
      <c r="E32" s="467"/>
      <c r="F32" s="467"/>
      <c r="G32" s="491"/>
      <c r="H32" s="467"/>
      <c r="I32" s="491"/>
      <c r="J32" s="467"/>
      <c r="K32" s="491"/>
      <c r="L32" s="467"/>
      <c r="M32" s="491"/>
    </row>
    <row r="33" spans="2:13" ht="12.75">
      <c r="B33" s="473"/>
      <c r="C33" s="470" t="s">
        <v>110</v>
      </c>
      <c r="D33" s="465">
        <v>20</v>
      </c>
      <c r="E33" s="465">
        <v>18</v>
      </c>
      <c r="F33" s="465">
        <v>18</v>
      </c>
      <c r="G33" s="492">
        <f>F33-E33</f>
        <v>0</v>
      </c>
      <c r="H33" s="465">
        <v>17</v>
      </c>
      <c r="I33" s="492">
        <f>H33-F33</f>
        <v>-1</v>
      </c>
      <c r="J33" s="465">
        <v>17.445308933623444</v>
      </c>
      <c r="K33" s="492">
        <f>J33-H33</f>
        <v>0.44530893362344415</v>
      </c>
      <c r="L33" s="465">
        <v>17.390788787974966</v>
      </c>
      <c r="M33" s="492">
        <f>L33-J33</f>
        <v>-0.05452014564847829</v>
      </c>
    </row>
    <row r="34" spans="2:13" ht="12.75">
      <c r="B34" s="473"/>
      <c r="C34" s="470" t="s">
        <v>79</v>
      </c>
      <c r="D34" s="465">
        <v>91445.6518780918</v>
      </c>
      <c r="E34" s="465">
        <v>89075</v>
      </c>
      <c r="F34" s="465">
        <v>94284</v>
      </c>
      <c r="G34" s="493">
        <f>F34-E34</f>
        <v>5209</v>
      </c>
      <c r="H34" s="465">
        <v>93284</v>
      </c>
      <c r="I34" s="492">
        <f>H34-F34</f>
        <v>-1000</v>
      </c>
      <c r="J34" s="465">
        <v>82356.48390840163</v>
      </c>
      <c r="K34" s="492">
        <f>J34-H34</f>
        <v>-10927.516091598372</v>
      </c>
      <c r="L34" s="465">
        <v>82356.48390840163</v>
      </c>
      <c r="M34" s="492">
        <f>L34-J34</f>
        <v>0</v>
      </c>
    </row>
    <row r="35" spans="2:13" ht="12.75">
      <c r="B35" s="473"/>
      <c r="C35" s="464" t="s">
        <v>194</v>
      </c>
      <c r="D35" s="483">
        <f aca="true" t="shared" si="2" ref="D35:L35">(D33*D30*12)+(D31*D34)</f>
        <v>5294.717389766077</v>
      </c>
      <c r="E35" s="483">
        <f t="shared" si="2"/>
        <v>4800.469999999998</v>
      </c>
      <c r="F35" s="483">
        <f t="shared" si="2"/>
        <v>4899.6252</v>
      </c>
      <c r="G35" s="494">
        <f>F35-E35</f>
        <v>99.15520000000197</v>
      </c>
      <c r="H35" s="483">
        <f t="shared" si="2"/>
        <v>4740.8135999999995</v>
      </c>
      <c r="I35" s="494">
        <f>H35-F35</f>
        <v>-158.8116000000009</v>
      </c>
      <c r="J35" s="483">
        <f t="shared" si="2"/>
        <v>4882.673505921874</v>
      </c>
      <c r="K35" s="494">
        <f>J35-H35</f>
        <v>141.8599059218741</v>
      </c>
      <c r="L35" s="483">
        <f t="shared" si="2"/>
        <v>5613.427006817933</v>
      </c>
      <c r="M35" s="494">
        <f>L35-J35</f>
        <v>730.7535008960594</v>
      </c>
    </row>
    <row r="36" spans="2:13" ht="12.75">
      <c r="B36" s="473"/>
      <c r="C36" s="463"/>
      <c r="D36" s="463"/>
      <c r="E36" s="462">
        <f>(E35-D35)/D35</f>
        <v>-0.09334726546904791</v>
      </c>
      <c r="F36" s="462">
        <f>(F35-E35)/E35</f>
        <v>0.020655310834147907</v>
      </c>
      <c r="G36" s="495">
        <f>F36-E36</f>
        <v>0.11400257630319582</v>
      </c>
      <c r="H36" s="462">
        <f>(H35-F35)/F35</f>
        <v>-0.032413009876755654</v>
      </c>
      <c r="I36" s="495">
        <f>H36-F36</f>
        <v>-0.05306832071090356</v>
      </c>
      <c r="J36" s="462">
        <f>(J35-H35)/H35</f>
        <v>0.029923114024536655</v>
      </c>
      <c r="K36" s="495">
        <f>J36-H36</f>
        <v>0.06233612390129231</v>
      </c>
      <c r="L36" s="462">
        <f>(L35-J35)/J35</f>
        <v>0.1496625772765221</v>
      </c>
      <c r="M36" s="495">
        <f>L36-J36</f>
        <v>0.11973946325198545</v>
      </c>
    </row>
    <row r="37" spans="2:13" ht="12.75">
      <c r="B37" s="473"/>
      <c r="C37" s="467"/>
      <c r="D37" s="467"/>
      <c r="E37" s="467"/>
      <c r="F37" s="467"/>
      <c r="G37" s="491"/>
      <c r="H37" s="467"/>
      <c r="I37" s="491"/>
      <c r="J37" s="467"/>
      <c r="K37" s="491"/>
      <c r="L37" s="467"/>
      <c r="M37" s="491"/>
    </row>
    <row r="38" spans="2:13" ht="12.75">
      <c r="B38" s="473" t="s">
        <v>196</v>
      </c>
      <c r="C38" s="470" t="s">
        <v>192</v>
      </c>
      <c r="D38" s="469">
        <v>1.88</v>
      </c>
      <c r="E38" s="469">
        <v>1.88</v>
      </c>
      <c r="F38" s="469">
        <v>1.91</v>
      </c>
      <c r="G38" s="490">
        <f>F38-E38</f>
        <v>0.030000000000000027</v>
      </c>
      <c r="H38" s="469">
        <v>1.95</v>
      </c>
      <c r="I38" s="490">
        <f>H38-F38</f>
        <v>0.040000000000000036</v>
      </c>
      <c r="J38" s="469">
        <v>1.99</v>
      </c>
      <c r="K38" s="490">
        <f>J38-H38</f>
        <v>0.040000000000000036</v>
      </c>
      <c r="L38" s="469">
        <v>2</v>
      </c>
      <c r="M38" s="490">
        <f>L38-J38</f>
        <v>0.010000000000000009</v>
      </c>
    </row>
    <row r="39" spans="2:13" ht="12.75">
      <c r="B39" s="473"/>
      <c r="C39" s="470" t="s">
        <v>193</v>
      </c>
      <c r="D39" s="468">
        <v>7.6728</v>
      </c>
      <c r="E39" s="468">
        <v>7.6728</v>
      </c>
      <c r="F39" s="468">
        <v>7.7841</v>
      </c>
      <c r="G39" s="490">
        <f>F39-E39</f>
        <v>0.11129999999999995</v>
      </c>
      <c r="H39" s="468">
        <v>7.9359</v>
      </c>
      <c r="I39" s="490">
        <f>H39-F39</f>
        <v>0.1518000000000006</v>
      </c>
      <c r="J39" s="468">
        <v>8.0867</v>
      </c>
      <c r="K39" s="490">
        <f>J39-H39</f>
        <v>0.15080000000000027</v>
      </c>
      <c r="L39" s="468">
        <v>18.185684855411964</v>
      </c>
      <c r="M39" s="490">
        <f>L39-J39</f>
        <v>10.098984855411963</v>
      </c>
    </row>
    <row r="40" spans="2:13" ht="12.75">
      <c r="B40" s="473"/>
      <c r="C40" s="467"/>
      <c r="D40" s="467"/>
      <c r="E40" s="467"/>
      <c r="F40" s="467"/>
      <c r="G40" s="491"/>
      <c r="H40" s="467"/>
      <c r="I40" s="491"/>
      <c r="J40" s="467"/>
      <c r="K40" s="491"/>
      <c r="L40" s="467"/>
      <c r="M40" s="491"/>
    </row>
    <row r="41" spans="2:13" ht="12.75">
      <c r="B41" s="467"/>
      <c r="C41" s="470" t="s">
        <v>110</v>
      </c>
      <c r="D41" s="465">
        <v>425</v>
      </c>
      <c r="E41" s="465">
        <v>409</v>
      </c>
      <c r="F41" s="465">
        <v>451</v>
      </c>
      <c r="G41" s="492">
        <f>F41-E41</f>
        <v>42</v>
      </c>
      <c r="H41" s="465">
        <v>558</v>
      </c>
      <c r="I41" s="492">
        <f>H41-F41</f>
        <v>107</v>
      </c>
      <c r="J41" s="465">
        <v>516.8949823361019</v>
      </c>
      <c r="K41" s="492">
        <f>J41-H41</f>
        <v>-41.10501766389814</v>
      </c>
      <c r="L41" s="465">
        <v>529.5944950728227</v>
      </c>
      <c r="M41" s="492">
        <f>L41-J41</f>
        <v>12.699512736720862</v>
      </c>
    </row>
    <row r="42" spans="2:13" ht="12.75">
      <c r="B42" s="467"/>
      <c r="C42" s="470" t="s">
        <v>79</v>
      </c>
      <c r="D42" s="465">
        <v>382523.6140996839</v>
      </c>
      <c r="E42" s="465">
        <v>359464</v>
      </c>
      <c r="F42" s="465">
        <v>373173</v>
      </c>
      <c r="G42" s="493">
        <f>F42-E42</f>
        <v>13709</v>
      </c>
      <c r="H42" s="465">
        <v>321015</v>
      </c>
      <c r="I42" s="492">
        <f>H42-F42</f>
        <v>-52158</v>
      </c>
      <c r="J42" s="465">
        <v>206615</v>
      </c>
      <c r="K42" s="492">
        <f>J42-H42</f>
        <v>-114400</v>
      </c>
      <c r="L42" s="465">
        <v>207000</v>
      </c>
      <c r="M42" s="492">
        <f>L42-J42</f>
        <v>385</v>
      </c>
    </row>
    <row r="43" spans="2:13" ht="12.75">
      <c r="B43" s="467"/>
      <c r="C43" s="470" t="s">
        <v>80</v>
      </c>
      <c r="D43" s="465">
        <v>1022.5771588352969</v>
      </c>
      <c r="E43" s="465">
        <v>1003</v>
      </c>
      <c r="F43" s="465">
        <v>1050</v>
      </c>
      <c r="G43" s="493">
        <f>F43-E43</f>
        <v>47</v>
      </c>
      <c r="H43" s="465">
        <v>917</v>
      </c>
      <c r="I43" s="493">
        <f>H43-F43</f>
        <v>-133</v>
      </c>
      <c r="J43" s="465">
        <v>590</v>
      </c>
      <c r="K43" s="493">
        <f>J43-H43</f>
        <v>-327</v>
      </c>
      <c r="L43" s="465">
        <v>605</v>
      </c>
      <c r="M43" s="493">
        <f>L43-J43</f>
        <v>15</v>
      </c>
    </row>
    <row r="44" spans="2:13" ht="12.75">
      <c r="B44" s="467"/>
      <c r="C44" s="464" t="s">
        <v>194</v>
      </c>
      <c r="D44" s="483">
        <f>(D41*D38*12)+(D39*D43)</f>
        <v>17434.030024311465</v>
      </c>
      <c r="E44" s="483">
        <f>(E41*E38*12)+(E39*E43)</f>
        <v>16922.858399999997</v>
      </c>
      <c r="F44" s="483">
        <f>(F41*F38*12)+(F39*F43)</f>
        <v>18510.225</v>
      </c>
      <c r="G44" s="494">
        <f>F44-E44</f>
        <v>1587.3666000000012</v>
      </c>
      <c r="H44" s="483">
        <f>(H41*H38*12)+(H39*H43)</f>
        <v>20334.420299999998</v>
      </c>
      <c r="I44" s="494">
        <f>H44-F44</f>
        <v>1824.1952999999994</v>
      </c>
      <c r="J44" s="483">
        <f>(J41*J38*12)+(J39*J43)</f>
        <v>17114.60517818611</v>
      </c>
      <c r="K44" s="494">
        <f>J44-H44</f>
        <v>-3219.8151218138883</v>
      </c>
      <c r="L44" s="483">
        <f>(L41*L38*12)+(L39*L43)</f>
        <v>23712.607219271984</v>
      </c>
      <c r="M44" s="494">
        <f>L44-J44</f>
        <v>6598.002041085874</v>
      </c>
    </row>
    <row r="45" spans="2:13" ht="12.75">
      <c r="B45" s="467"/>
      <c r="C45" s="463"/>
      <c r="D45" s="463"/>
      <c r="E45" s="462">
        <f>(E44-D44)/D44</f>
        <v>-0.02932033635359395</v>
      </c>
      <c r="F45" s="462">
        <f>(F44-E44)/E44</f>
        <v>0.09380014667025763</v>
      </c>
      <c r="G45" s="495">
        <f>F45-E45</f>
        <v>0.12312048302385158</v>
      </c>
      <c r="H45" s="462">
        <f>(H44-F44)/F44</f>
        <v>0.09855068212298876</v>
      </c>
      <c r="I45" s="495">
        <f>H45-F45</f>
        <v>0.0047505354527311305</v>
      </c>
      <c r="J45" s="462">
        <f>(J44-H44)/H44</f>
        <v>-0.15834309876116254</v>
      </c>
      <c r="K45" s="495">
        <f>J45-H45</f>
        <v>-0.25689378088415127</v>
      </c>
      <c r="L45" s="462">
        <f>(L44-J44)/J44</f>
        <v>0.3855187994342714</v>
      </c>
      <c r="M45" s="495">
        <f>L45-J45</f>
        <v>0.543861898195434</v>
      </c>
    </row>
    <row r="46" spans="2:13" ht="12.75">
      <c r="B46" s="467"/>
      <c r="C46" s="467"/>
      <c r="D46" s="467"/>
      <c r="E46" s="467"/>
      <c r="F46" s="467"/>
      <c r="G46" s="491"/>
      <c r="H46" s="467"/>
      <c r="I46" s="491"/>
      <c r="J46" s="467"/>
      <c r="K46" s="491"/>
      <c r="L46" s="467"/>
      <c r="M46" s="491"/>
    </row>
    <row r="47" spans="2:13" ht="12.75">
      <c r="B47" s="473" t="s">
        <v>81</v>
      </c>
      <c r="C47" s="472" t="s">
        <v>110</v>
      </c>
      <c r="D47" s="460">
        <f>D8+D16+D24+D33+D41</f>
        <v>2672</v>
      </c>
      <c r="E47" s="460">
        <f aca="true" t="shared" si="3" ref="E47:L47">E8+E16+E24+E33+E41</f>
        <v>2412</v>
      </c>
      <c r="F47" s="460">
        <f t="shared" si="3"/>
        <v>2529</v>
      </c>
      <c r="G47" s="492">
        <f>F47-E47</f>
        <v>117</v>
      </c>
      <c r="H47" s="460">
        <f t="shared" si="3"/>
        <v>2712</v>
      </c>
      <c r="I47" s="492">
        <f>H47-F47</f>
        <v>183</v>
      </c>
      <c r="J47" s="460">
        <f t="shared" si="3"/>
        <v>2751.4531507187403</v>
      </c>
      <c r="K47" s="492">
        <f>J47-H47</f>
        <v>39.45315071874029</v>
      </c>
      <c r="L47" s="460">
        <f t="shared" si="3"/>
        <v>2828.0981433098127</v>
      </c>
      <c r="M47" s="492">
        <f>L47-J47</f>
        <v>76.64499259107242</v>
      </c>
    </row>
    <row r="48" spans="2:13" ht="12.75">
      <c r="B48" s="473"/>
      <c r="C48" s="472" t="s">
        <v>79</v>
      </c>
      <c r="D48" s="460">
        <f aca="true" t="shared" si="4" ref="D48:L48">D9+D17+D25+D34+D42</f>
        <v>32099179.61732736</v>
      </c>
      <c r="E48" s="460">
        <f t="shared" si="4"/>
        <v>28817757</v>
      </c>
      <c r="F48" s="460">
        <f t="shared" si="4"/>
        <v>28755563</v>
      </c>
      <c r="G48" s="493">
        <f>F48-E48</f>
        <v>-62194</v>
      </c>
      <c r="H48" s="460">
        <f t="shared" si="4"/>
        <v>28472872</v>
      </c>
      <c r="I48" s="493">
        <f>H48-F48</f>
        <v>-282691</v>
      </c>
      <c r="J48" s="460">
        <f t="shared" si="4"/>
        <v>29936354.962987415</v>
      </c>
      <c r="K48" s="493">
        <f>J48-H48</f>
        <v>1463482.9629874155</v>
      </c>
      <c r="L48" s="460">
        <f t="shared" si="4"/>
        <v>29891982.06657267</v>
      </c>
      <c r="M48" s="493">
        <f>L48-J48</f>
        <v>-44372.8964147456</v>
      </c>
    </row>
    <row r="49" spans="2:13" ht="12.75">
      <c r="B49" s="473"/>
      <c r="C49" s="472" t="s">
        <v>80</v>
      </c>
      <c r="D49" s="460">
        <f aca="true" t="shared" si="5" ref="D49:J49">D26+D43</f>
        <v>13655.735082275922</v>
      </c>
      <c r="E49" s="460">
        <f t="shared" si="5"/>
        <v>19738</v>
      </c>
      <c r="F49" s="460">
        <f t="shared" si="5"/>
        <v>13288</v>
      </c>
      <c r="G49" s="493">
        <f>F49-E49</f>
        <v>-6450</v>
      </c>
      <c r="H49" s="460">
        <f t="shared" si="5"/>
        <v>12975</v>
      </c>
      <c r="I49" s="493">
        <f>H49-F49</f>
        <v>-313</v>
      </c>
      <c r="J49" s="460">
        <f t="shared" si="5"/>
        <v>13290.709899802026</v>
      </c>
      <c r="K49" s="493">
        <f>J49-H49</f>
        <v>315.7098998020265</v>
      </c>
      <c r="L49" s="460">
        <f>L26+L43</f>
        <v>13376.10690290418</v>
      </c>
      <c r="M49" s="493">
        <f>L49-J49</f>
        <v>85.39700310215267</v>
      </c>
    </row>
    <row r="50" spans="2:13" ht="12.75">
      <c r="B50" s="473"/>
      <c r="C50" s="488"/>
      <c r="D50" s="496">
        <f>D10+D18+D27+D35+D44</f>
        <v>858035.4247538876</v>
      </c>
      <c r="E50" s="496">
        <f aca="true" t="shared" si="6" ref="E50:L50">E10+E18+E27+E35+E44</f>
        <v>792808.4761999998</v>
      </c>
      <c r="F50" s="496">
        <f t="shared" si="6"/>
        <v>792971.2008</v>
      </c>
      <c r="G50" s="497">
        <f>F50-E50</f>
        <v>162.72460000019055</v>
      </c>
      <c r="H50" s="496">
        <f t="shared" si="6"/>
        <v>829111.6846</v>
      </c>
      <c r="I50" s="497">
        <f>H50-F50</f>
        <v>36140.483800000045</v>
      </c>
      <c r="J50" s="496">
        <f t="shared" si="6"/>
        <v>886651.5251119492</v>
      </c>
      <c r="K50" s="497">
        <f>J50-H50</f>
        <v>57539.84051194915</v>
      </c>
      <c r="L50" s="496">
        <f t="shared" si="6"/>
        <v>1067335.9773058281</v>
      </c>
      <c r="M50" s="497">
        <f>L50-J50</f>
        <v>180684.45219387894</v>
      </c>
    </row>
  </sheetData>
  <sheetProtection/>
  <mergeCells count="1">
    <mergeCell ref="B2:L2"/>
  </mergeCells>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sheetPr codeName="Sheet10"/>
  <dimension ref="A2:V76"/>
  <sheetViews>
    <sheetView zoomScalePageLayoutView="0" workbookViewId="0" topLeftCell="A1">
      <selection activeCell="H3" sqref="H3:O15"/>
    </sheetView>
  </sheetViews>
  <sheetFormatPr defaultColWidth="9.33203125" defaultRowHeight="12.75"/>
  <cols>
    <col min="1" max="1" width="43.83203125" style="660" customWidth="1"/>
    <col min="2" max="4" width="14.5" style="647" bestFit="1" customWidth="1"/>
    <col min="5" max="5" width="17.16015625" style="647" customWidth="1"/>
    <col min="6" max="11" width="14.5" style="647" bestFit="1" customWidth="1"/>
    <col min="12" max="12" width="13" style="12" bestFit="1" customWidth="1"/>
    <col min="13" max="19" width="14.5" style="12" bestFit="1" customWidth="1"/>
    <col min="20" max="20" width="5.5" style="12" bestFit="1" customWidth="1"/>
    <col min="21" max="22" width="14.5" style="12" bestFit="1" customWidth="1"/>
    <col min="23" max="31" width="9.33203125" style="12" customWidth="1"/>
    <col min="32" max="33" width="14.16015625" style="12" bestFit="1" customWidth="1"/>
    <col min="34" max="34" width="11.66015625" style="12" bestFit="1" customWidth="1"/>
    <col min="35" max="37" width="14.16015625" style="12" bestFit="1" customWidth="1"/>
    <col min="38" max="38" width="11.66015625" style="12" bestFit="1" customWidth="1"/>
    <col min="39" max="42" width="14.16015625" style="12" bestFit="1" customWidth="1"/>
    <col min="43" max="44" width="12.83203125" style="12" bestFit="1" customWidth="1"/>
    <col min="45" max="16384" width="9.33203125" style="12" customWidth="1"/>
  </cols>
  <sheetData>
    <row r="1" ht="13.5" thickBot="1"/>
    <row r="2" spans="1:15" ht="16.5" thickTop="1">
      <c r="A2" s="661" t="s">
        <v>260</v>
      </c>
      <c r="B2" s="651">
        <v>2013</v>
      </c>
      <c r="C2" s="651">
        <v>2014</v>
      </c>
      <c r="D2" s="651">
        <v>2015</v>
      </c>
      <c r="E2" s="651">
        <v>2016</v>
      </c>
      <c r="F2" s="651">
        <v>2017</v>
      </c>
      <c r="G2" s="651">
        <v>2018</v>
      </c>
      <c r="H2" s="651">
        <v>2019</v>
      </c>
      <c r="I2" s="651">
        <v>2020</v>
      </c>
      <c r="J2" s="651">
        <v>2021</v>
      </c>
      <c r="K2" s="651">
        <v>2022</v>
      </c>
      <c r="L2" s="666" t="s">
        <v>263</v>
      </c>
      <c r="M2" s="666" t="s">
        <v>264</v>
      </c>
      <c r="N2" s="666" t="s">
        <v>265</v>
      </c>
      <c r="O2" s="666" t="s">
        <v>266</v>
      </c>
    </row>
    <row r="3" spans="1:15" ht="12.75">
      <c r="A3" s="650" t="s">
        <v>76</v>
      </c>
      <c r="B3" s="656">
        <f>'Input - Customer Data'!D32</f>
        <v>45827933.03</v>
      </c>
      <c r="C3" s="656">
        <f>'Input - Customer Data'!D44</f>
        <v>48560155.92</v>
      </c>
      <c r="D3" s="656">
        <f>'Input - Customer Data'!D56</f>
        <v>48032768.75</v>
      </c>
      <c r="E3" s="656">
        <f>'Input - Customer Data'!D68</f>
        <v>44182306.67243714</v>
      </c>
      <c r="F3" s="656">
        <f>'Input - Customer Data'!D80</f>
        <v>41870353.92880271</v>
      </c>
      <c r="G3" s="656">
        <f>'Input - Customer Data'!D92</f>
        <v>45303345.130447</v>
      </c>
      <c r="H3" s="656">
        <f>'Input - Customer Data'!D104</f>
        <v>46360880.991009995</v>
      </c>
      <c r="I3" s="656">
        <f>'Input - Customer Data'!D116</f>
        <v>43447689.20199999</v>
      </c>
      <c r="J3" s="656">
        <f>'Input - Customer Data'!D128</f>
        <v>43527338.929699995</v>
      </c>
      <c r="K3" s="656">
        <f>'Input - Customer Data'!D140</f>
        <v>47203417.384799995</v>
      </c>
      <c r="L3" s="667">
        <f>AVERAGE(B3:K3)</f>
        <v>45431618.993919685</v>
      </c>
      <c r="M3" s="667">
        <f>I3-L3</f>
        <v>-1983929.7919196934</v>
      </c>
      <c r="N3" s="667">
        <f>J3-L3</f>
        <v>-1904280.0642196909</v>
      </c>
      <c r="O3" s="667">
        <f>K3-L3</f>
        <v>1771798.390880309</v>
      </c>
    </row>
    <row r="4" spans="1:15" ht="12.75">
      <c r="A4" s="650" t="s">
        <v>75</v>
      </c>
      <c r="B4" s="656">
        <f>'Input - Customer Data'!D33</f>
        <v>41082657.47661409</v>
      </c>
      <c r="C4" s="656">
        <f>'Input - Customer Data'!D45</f>
        <v>43502029.07</v>
      </c>
      <c r="D4" s="656">
        <f>'Input - Customer Data'!D57</f>
        <v>47536664.53</v>
      </c>
      <c r="E4" s="656">
        <f>'Input - Customer Data'!D69</f>
        <v>40734589.01369439</v>
      </c>
      <c r="F4" s="656">
        <f>'Input - Customer Data'!D81</f>
        <v>36769365.05034043</v>
      </c>
      <c r="G4" s="656">
        <f>'Input - Customer Data'!D93</f>
        <v>38010441.551727</v>
      </c>
      <c r="H4" s="656">
        <f>'Input - Customer Data'!D105</f>
        <v>40126452.14</v>
      </c>
      <c r="I4" s="656">
        <f>'Input - Customer Data'!D117</f>
        <v>41046123.789</v>
      </c>
      <c r="J4" s="656">
        <f>'Input - Customer Data'!D129</f>
        <v>41279330.5436</v>
      </c>
      <c r="K4" s="656">
        <f>'Input - Customer Data'!D141</f>
        <v>41797636.53990001</v>
      </c>
      <c r="L4" s="667">
        <f aca="true" t="shared" si="0" ref="L4:L14">AVERAGE(B4:K4)</f>
        <v>41188528.97048759</v>
      </c>
      <c r="M4" s="667">
        <f aca="true" t="shared" si="1" ref="M4:M14">I4-L4</f>
        <v>-142405.18148759007</v>
      </c>
      <c r="N4" s="667">
        <f aca="true" t="shared" si="2" ref="N4:N14">J4-L4</f>
        <v>90801.57311241329</v>
      </c>
      <c r="O4" s="667">
        <f aca="true" t="shared" si="3" ref="O4:O14">K4-L4</f>
        <v>609107.5694124252</v>
      </c>
    </row>
    <row r="5" spans="1:15" ht="12.75">
      <c r="A5" s="650" t="s">
        <v>74</v>
      </c>
      <c r="B5" s="656">
        <f>'Input - Customer Data'!D34</f>
        <v>42975875.27200193</v>
      </c>
      <c r="C5" s="656">
        <f>'Input - Customer Data'!D46</f>
        <v>44749295.58</v>
      </c>
      <c r="D5" s="656">
        <f>'Input - Customer Data'!D58</f>
        <v>43095042.19</v>
      </c>
      <c r="E5" s="656">
        <f>'Input - Customer Data'!D70</f>
        <v>39051917.365899414</v>
      </c>
      <c r="F5" s="656">
        <f>'Input - Customer Data'!D82</f>
        <v>40358686.70367118</v>
      </c>
      <c r="G5" s="656">
        <f>'Input - Customer Data'!D94</f>
        <v>40822738.38310101</v>
      </c>
      <c r="H5" s="656">
        <f>'Input - Customer Data'!D106</f>
        <v>41742642.984000005</v>
      </c>
      <c r="I5" s="656">
        <f>'Input - Customer Data'!D118</f>
        <v>39146163.179</v>
      </c>
      <c r="J5" s="656">
        <f>'Input - Customer Data'!D130</f>
        <v>40171238.9648</v>
      </c>
      <c r="K5" s="656">
        <f>'Input - Customer Data'!D142</f>
        <v>42551682.3739</v>
      </c>
      <c r="L5" s="667">
        <f t="shared" si="0"/>
        <v>41466528.29963736</v>
      </c>
      <c r="M5" s="667">
        <f t="shared" si="1"/>
        <v>-2320365.1206373647</v>
      </c>
      <c r="N5" s="667">
        <f t="shared" si="2"/>
        <v>-1295289.3348373622</v>
      </c>
      <c r="O5" s="667">
        <f t="shared" si="3"/>
        <v>1085154.074262634</v>
      </c>
    </row>
    <row r="6" spans="1:15" ht="12.75">
      <c r="A6" s="650" t="s">
        <v>73</v>
      </c>
      <c r="B6" s="656">
        <f>'Input - Customer Data'!D35</f>
        <v>36308877.8110785</v>
      </c>
      <c r="C6" s="656">
        <f>'Input - Customer Data'!D47</f>
        <v>36703501.6</v>
      </c>
      <c r="D6" s="656">
        <f>'Input - Customer Data'!D59</f>
        <v>34966161.03</v>
      </c>
      <c r="E6" s="656">
        <f>'Input - Customer Data'!D71</f>
        <v>35582403.037717596</v>
      </c>
      <c r="F6" s="656">
        <f>'Input - Customer Data'!D83</f>
        <v>32359460.055404257</v>
      </c>
      <c r="G6" s="656">
        <f>'Input - Customer Data'!D95</f>
        <v>37268114.37110101</v>
      </c>
      <c r="H6" s="656">
        <f>'Input - Customer Data'!D107</f>
        <v>36007111.135000005</v>
      </c>
      <c r="I6" s="656">
        <f>'Input - Customer Data'!D119</f>
        <v>33162781.871000007</v>
      </c>
      <c r="J6" s="656">
        <f>'Input - Customer Data'!D131</f>
        <v>34273201.967099994</v>
      </c>
      <c r="K6" s="656">
        <f>'Input - Customer Data'!D143</f>
        <v>36094613.055</v>
      </c>
      <c r="L6" s="667">
        <f t="shared" si="0"/>
        <v>35272622.59334013</v>
      </c>
      <c r="M6" s="667">
        <f t="shared" si="1"/>
        <v>-2109840.722340122</v>
      </c>
      <c r="N6" s="667">
        <f t="shared" si="2"/>
        <v>-999420.6262401342</v>
      </c>
      <c r="O6" s="667">
        <f t="shared" si="3"/>
        <v>821990.461659871</v>
      </c>
    </row>
    <row r="7" spans="1:15" ht="12.75">
      <c r="A7" s="650" t="s">
        <v>72</v>
      </c>
      <c r="B7" s="656">
        <f>'Input - Customer Data'!D36</f>
        <v>34245332.76808478</v>
      </c>
      <c r="C7" s="656">
        <f>'Input - Customer Data'!D48</f>
        <v>33120207.87</v>
      </c>
      <c r="D7" s="656">
        <f>'Input - Customer Data'!D60</f>
        <v>32451518.59</v>
      </c>
      <c r="E7" s="656">
        <f>'Input - Customer Data'!D72</f>
        <v>32158070.062147</v>
      </c>
      <c r="F7" s="656">
        <f>'Input - Customer Data'!D84</f>
        <v>32466960.156876206</v>
      </c>
      <c r="G7" s="656">
        <f>'Input - Customer Data'!D96</f>
        <v>33661736.0785</v>
      </c>
      <c r="H7" s="656">
        <f>'Input - Customer Data'!D108</f>
        <v>33884250.907</v>
      </c>
      <c r="I7" s="656">
        <f>'Input - Customer Data'!D120</f>
        <v>33144752.307000004</v>
      </c>
      <c r="J7" s="656">
        <f>'Input - Customer Data'!D132</f>
        <v>33543165.898700003</v>
      </c>
      <c r="K7" s="656">
        <f>'Input - Customer Data'!D144</f>
        <v>34287485.0159</v>
      </c>
      <c r="L7" s="667">
        <f t="shared" si="0"/>
        <v>33296347.965420805</v>
      </c>
      <c r="M7" s="667">
        <f t="shared" si="1"/>
        <v>-151595.65842080116</v>
      </c>
      <c r="N7" s="667">
        <f t="shared" si="2"/>
        <v>246817.93327919766</v>
      </c>
      <c r="O7" s="667">
        <f t="shared" si="3"/>
        <v>991137.050479196</v>
      </c>
    </row>
    <row r="8" spans="1:15" ht="12.75">
      <c r="A8" s="650" t="s">
        <v>71</v>
      </c>
      <c r="B8" s="656">
        <f>'Input - Customer Data'!D37</f>
        <v>33534201.495923758</v>
      </c>
      <c r="C8" s="656">
        <f>'Input - Customer Data'!D49</f>
        <v>31986696.49</v>
      </c>
      <c r="D8" s="656">
        <f>'Input - Customer Data'!D61</f>
        <v>31428888.54</v>
      </c>
      <c r="E8" s="656">
        <f>'Input - Customer Data'!D73</f>
        <v>32230294.531470016</v>
      </c>
      <c r="F8" s="656">
        <f>'Input - Customer Data'!D85</f>
        <v>31942168.662241776</v>
      </c>
      <c r="G8" s="656">
        <f>'Input - Customer Data'!D97</f>
        <v>33150240.258909997</v>
      </c>
      <c r="H8" s="656">
        <f>'Input - Customer Data'!D109</f>
        <v>32413450.978</v>
      </c>
      <c r="I8" s="656">
        <f>'Input - Customer Data'!D121</f>
        <v>34594857.988000005</v>
      </c>
      <c r="J8" s="656">
        <f>'Input - Customer Data'!D133</f>
        <v>37512786.45989999</v>
      </c>
      <c r="K8" s="656">
        <f>'Input - Customer Data'!D145</f>
        <v>34727203.90410001</v>
      </c>
      <c r="L8" s="667">
        <f t="shared" si="0"/>
        <v>33352078.93085455</v>
      </c>
      <c r="M8" s="667">
        <f t="shared" si="1"/>
        <v>1242779.057145454</v>
      </c>
      <c r="N8" s="667">
        <f t="shared" si="2"/>
        <v>4160707.5290454403</v>
      </c>
      <c r="O8" s="667">
        <f t="shared" si="3"/>
        <v>1375124.9732454568</v>
      </c>
    </row>
    <row r="9" spans="1:15" ht="12.75">
      <c r="A9" s="650" t="s">
        <v>70</v>
      </c>
      <c r="B9" s="656">
        <f>'Input - Customer Data'!D38</f>
        <v>34321062.79874033</v>
      </c>
      <c r="C9" s="656">
        <f>'Input - Customer Data'!D50</f>
        <v>33114324.39</v>
      </c>
      <c r="D9" s="656">
        <f>'Input - Customer Data'!D62</f>
        <v>34059070.67</v>
      </c>
      <c r="E9" s="656">
        <f>'Input - Customer Data'!D74</f>
        <v>36050965.38800774</v>
      </c>
      <c r="F9" s="656">
        <f>'Input - Customer Data'!D86</f>
        <v>34485256.861729205</v>
      </c>
      <c r="G9" s="656">
        <f>'Input - Customer Data'!D98</f>
        <v>36985443.746902004</v>
      </c>
      <c r="H9" s="656">
        <f>'Input - Customer Data'!D110</f>
        <v>37948386.16900001</v>
      </c>
      <c r="I9" s="656">
        <f>'Input - Customer Data'!D122</f>
        <v>40573552.657000005</v>
      </c>
      <c r="J9" s="656">
        <f>'Input - Customer Data'!D134</f>
        <v>38597541.411</v>
      </c>
      <c r="K9" s="656">
        <f>'Input - Customer Data'!D146</f>
        <v>36965339.7436</v>
      </c>
      <c r="L9" s="667">
        <f t="shared" si="0"/>
        <v>36310094.38359793</v>
      </c>
      <c r="M9" s="667">
        <f t="shared" si="1"/>
        <v>4263458.2734020725</v>
      </c>
      <c r="N9" s="667">
        <f t="shared" si="2"/>
        <v>2287447.0274020657</v>
      </c>
      <c r="O9" s="667">
        <f t="shared" si="3"/>
        <v>655245.3600020707</v>
      </c>
    </row>
    <row r="10" spans="1:15" ht="12.75">
      <c r="A10" s="650" t="s">
        <v>69</v>
      </c>
      <c r="B10" s="656">
        <f>'Input - Customer Data'!D39</f>
        <v>34126512.26</v>
      </c>
      <c r="C10" s="656">
        <f>'Input - Customer Data'!D51</f>
        <v>32996892.32</v>
      </c>
      <c r="D10" s="656">
        <f>'Input - Customer Data'!D63</f>
        <v>34233108.6</v>
      </c>
      <c r="E10" s="656">
        <f>'Input - Customer Data'!D75</f>
        <v>38144563.04270793</v>
      </c>
      <c r="F10" s="656">
        <f>'Input - Customer Data'!D87</f>
        <v>33750093.26521856</v>
      </c>
      <c r="G10" s="656">
        <f>'Input - Customer Data'!D99</f>
        <v>37978825.404948</v>
      </c>
      <c r="H10" s="656">
        <f>'Input - Customer Data'!D111</f>
        <v>35859378.324999996</v>
      </c>
      <c r="I10" s="681">
        <f>'Input - Customer Data'!D123</f>
        <v>38203279.18799999</v>
      </c>
      <c r="J10" s="656">
        <f>'Input - Customer Data'!D135</f>
        <v>40059213.5992</v>
      </c>
      <c r="K10" s="656">
        <f>'Input - Customer Data'!D147</f>
        <v>38942955.5937</v>
      </c>
      <c r="L10" s="667">
        <f t="shared" si="0"/>
        <v>36429482.15987745</v>
      </c>
      <c r="M10" s="667">
        <f t="shared" si="1"/>
        <v>1773797.0281225443</v>
      </c>
      <c r="N10" s="667">
        <f t="shared" si="2"/>
        <v>3629731.4393225536</v>
      </c>
      <c r="O10" s="667">
        <f t="shared" si="3"/>
        <v>2513473.43382255</v>
      </c>
    </row>
    <row r="11" spans="1:15" ht="12.75">
      <c r="A11" s="650" t="s">
        <v>68</v>
      </c>
      <c r="B11" s="656">
        <f>'Input - Customer Data'!D40</f>
        <v>32127846.8</v>
      </c>
      <c r="C11" s="656">
        <f>'Input - Customer Data'!D52</f>
        <v>31808440.35</v>
      </c>
      <c r="D11" s="656">
        <f>'Input - Customer Data'!D64</f>
        <v>33226978.69</v>
      </c>
      <c r="E11" s="656">
        <f>'Input - Customer Data'!D76</f>
        <v>32958786.127098646</v>
      </c>
      <c r="F11" s="656">
        <f>'Input - Customer Data'!D88</f>
        <v>32126296.99355706</v>
      </c>
      <c r="G11" s="656">
        <f>'Input - Customer Data'!D100</f>
        <v>33668646.682027996</v>
      </c>
      <c r="H11" s="656">
        <f>'Input - Customer Data'!D112</f>
        <v>32309083.065000005</v>
      </c>
      <c r="I11" s="656">
        <f>'Input - Customer Data'!D124</f>
        <v>32819205.606000002</v>
      </c>
      <c r="J11" s="656">
        <f>'Input - Customer Data'!D136</f>
        <v>34178604.9412</v>
      </c>
      <c r="K11" s="656">
        <f>'Input - Customer Data'!D148</f>
        <v>34315274.0672</v>
      </c>
      <c r="L11" s="667">
        <f t="shared" si="0"/>
        <v>32953916.332208373</v>
      </c>
      <c r="M11" s="667">
        <f t="shared" si="1"/>
        <v>-134710.72620837018</v>
      </c>
      <c r="N11" s="667">
        <f t="shared" si="2"/>
        <v>1224688.6089916304</v>
      </c>
      <c r="O11" s="667">
        <f t="shared" si="3"/>
        <v>1361357.734991625</v>
      </c>
    </row>
    <row r="12" spans="1:15" ht="12.75">
      <c r="A12" s="650" t="s">
        <v>67</v>
      </c>
      <c r="B12" s="656">
        <f>'Input - Customer Data'!D41</f>
        <v>35018158.9</v>
      </c>
      <c r="C12" s="656">
        <f>'Input - Customer Data'!D53</f>
        <v>34772519.56</v>
      </c>
      <c r="D12" s="656">
        <f>'Input - Customer Data'!D65</f>
        <v>38729355</v>
      </c>
      <c r="E12" s="656">
        <f>'Input - Customer Data'!D77</f>
        <v>33427318.886247583</v>
      </c>
      <c r="F12" s="656">
        <f>'Input - Customer Data'!D89</f>
        <v>32454033.777102515</v>
      </c>
      <c r="G12" s="656">
        <f>'Input - Customer Data'!D101</f>
        <v>32878906.859995</v>
      </c>
      <c r="H12" s="656">
        <f>'Input - Customer Data'!D113</f>
        <v>34937472.141</v>
      </c>
      <c r="I12" s="656">
        <f>'Input - Customer Data'!D125</f>
        <v>35693648.401</v>
      </c>
      <c r="J12" s="656">
        <f>'Input - Customer Data'!D137</f>
        <v>34477682.714700006</v>
      </c>
      <c r="K12" s="656">
        <f>'Input - Customer Data'!D149</f>
        <v>34341915.194199994</v>
      </c>
      <c r="L12" s="667">
        <f t="shared" si="0"/>
        <v>34673101.1434245</v>
      </c>
      <c r="M12" s="667">
        <f t="shared" si="1"/>
        <v>1020547.257575497</v>
      </c>
      <c r="N12" s="667">
        <f t="shared" si="2"/>
        <v>-195418.42872449756</v>
      </c>
      <c r="O12" s="667">
        <f t="shared" si="3"/>
        <v>-331185.9492245093</v>
      </c>
    </row>
    <row r="13" spans="1:15" ht="12.75">
      <c r="A13" s="650" t="s">
        <v>66</v>
      </c>
      <c r="B13" s="656">
        <f>'Input - Customer Data'!D42</f>
        <v>39153191.85</v>
      </c>
      <c r="C13" s="656">
        <f>'Input - Customer Data'!D54</f>
        <v>39442096.3</v>
      </c>
      <c r="D13" s="656">
        <f>'Input - Customer Data'!D66</f>
        <v>35403758.38</v>
      </c>
      <c r="E13" s="656">
        <f>'Input - Customer Data'!D78</f>
        <v>34938643.68800774</v>
      </c>
      <c r="F13" s="681">
        <f>'Input - Customer Data'!D90</f>
        <v>37086665.36184913</v>
      </c>
      <c r="G13" s="656">
        <f>'Input - Customer Data'!D102</f>
        <v>39246375.131524995</v>
      </c>
      <c r="H13" s="656">
        <f>'Input - Customer Data'!D114</f>
        <v>40083049.746</v>
      </c>
      <c r="I13" s="656">
        <f>'Input - Customer Data'!D126</f>
        <v>36622836.334</v>
      </c>
      <c r="J13" s="656">
        <f>'Input - Customer Data'!D138</f>
        <v>38088839.1656</v>
      </c>
      <c r="K13" s="656">
        <f>'Input - Customer Data'!D150</f>
        <v>37142391.188200004</v>
      </c>
      <c r="L13" s="667">
        <f t="shared" si="0"/>
        <v>37720784.71451818</v>
      </c>
      <c r="M13" s="667">
        <f t="shared" si="1"/>
        <v>-1097948.380518183</v>
      </c>
      <c r="N13" s="667">
        <f t="shared" si="2"/>
        <v>368054.45108181983</v>
      </c>
      <c r="O13" s="667">
        <f t="shared" si="3"/>
        <v>-578393.5263181776</v>
      </c>
    </row>
    <row r="14" spans="1:15" ht="12.75">
      <c r="A14" s="650" t="s">
        <v>65</v>
      </c>
      <c r="B14" s="656">
        <f>'Input - Customer Data'!D43</f>
        <v>46270575.63</v>
      </c>
      <c r="C14" s="656">
        <f>'Input - Customer Data'!D55</f>
        <v>42249291.58</v>
      </c>
      <c r="D14" s="656">
        <f>'Input - Customer Data'!D67</f>
        <v>42249291.58</v>
      </c>
      <c r="E14" s="656">
        <f>'Input - Customer Data'!D79</f>
        <v>41527820.80617021</v>
      </c>
      <c r="F14" s="681">
        <f>'Input - Customer Data'!D91</f>
        <v>42555872.96041586</v>
      </c>
      <c r="G14" s="656">
        <f>'Input - Customer Data'!D103</f>
        <v>41296482.416115</v>
      </c>
      <c r="H14" s="656">
        <f>'Input - Customer Data'!D115</f>
        <v>42216027.818</v>
      </c>
      <c r="I14" s="656">
        <f>'Input - Customer Data'!D127</f>
        <v>42343067.589999996</v>
      </c>
      <c r="J14" s="656">
        <f>'Input - Customer Data'!D139</f>
        <v>41741160.11999999</v>
      </c>
      <c r="K14" s="656">
        <f>'Input - Customer Data'!D151</f>
        <v>42267056.1342</v>
      </c>
      <c r="L14" s="667">
        <f t="shared" si="0"/>
        <v>42471664.6634901</v>
      </c>
      <c r="M14" s="667">
        <f t="shared" si="1"/>
        <v>-128597.07349010557</v>
      </c>
      <c r="N14" s="667">
        <f t="shared" si="2"/>
        <v>-730504.5434901118</v>
      </c>
      <c r="O14" s="667">
        <f t="shared" si="3"/>
        <v>-204608.52929010242</v>
      </c>
    </row>
    <row r="15" spans="1:15" ht="13.5" thickBot="1">
      <c r="A15" s="652"/>
      <c r="B15" s="657">
        <f aca="true" t="shared" si="4" ref="B15:J15">SUM(B3:B14)</f>
        <v>454992226.09244335</v>
      </c>
      <c r="C15" s="657">
        <f t="shared" si="4"/>
        <v>453005451.03000003</v>
      </c>
      <c r="D15" s="657">
        <f t="shared" si="4"/>
        <v>455412606.55</v>
      </c>
      <c r="E15" s="657">
        <f t="shared" si="4"/>
        <v>440987678.6216054</v>
      </c>
      <c r="F15" s="657">
        <f t="shared" si="4"/>
        <v>428225213.77720886</v>
      </c>
      <c r="G15" s="657">
        <f t="shared" si="4"/>
        <v>450271296.015299</v>
      </c>
      <c r="H15" s="657">
        <f t="shared" si="4"/>
        <v>453888186.39901006</v>
      </c>
      <c r="I15" s="657">
        <f t="shared" si="4"/>
        <v>450797958.112</v>
      </c>
      <c r="J15" s="657">
        <f t="shared" si="4"/>
        <v>457450104.7155</v>
      </c>
      <c r="K15" s="657">
        <f>SUM(K3:K14)</f>
        <v>460636970.19469994</v>
      </c>
      <c r="L15" s="657">
        <f>SUM(L2:L14)</f>
        <v>450566769.1507767</v>
      </c>
      <c r="M15" s="657">
        <f>SUM(M2:M14)</f>
        <v>231188.9612233378</v>
      </c>
      <c r="N15" s="657">
        <f>SUM(N2:N14)</f>
        <v>6883335.564723324</v>
      </c>
      <c r="O15" s="657">
        <f>SUM(O2:O14)</f>
        <v>10070201.043923348</v>
      </c>
    </row>
    <row r="16" spans="1:11" ht="14.25" thickBot="1" thickTop="1">
      <c r="A16" s="662"/>
      <c r="B16" s="648"/>
      <c r="C16" s="648"/>
      <c r="D16" s="648"/>
      <c r="E16" s="648"/>
      <c r="F16" s="648"/>
      <c r="G16" s="648"/>
      <c r="H16" s="648"/>
      <c r="I16" s="648"/>
      <c r="J16" s="648"/>
      <c r="K16" s="648"/>
    </row>
    <row r="17" spans="1:11" ht="16.5" thickTop="1">
      <c r="A17" s="661" t="s">
        <v>262</v>
      </c>
      <c r="B17" s="649">
        <v>2013</v>
      </c>
      <c r="C17" s="649">
        <v>2014</v>
      </c>
      <c r="D17" s="649">
        <v>2015</v>
      </c>
      <c r="E17" s="649">
        <v>2016</v>
      </c>
      <c r="F17" s="649">
        <v>2017</v>
      </c>
      <c r="G17" s="649">
        <v>2018</v>
      </c>
      <c r="H17" s="649">
        <v>2019</v>
      </c>
      <c r="I17" s="649">
        <v>2020</v>
      </c>
      <c r="J17" s="649">
        <v>2021</v>
      </c>
      <c r="K17" s="649">
        <v>2022</v>
      </c>
    </row>
    <row r="18" spans="1:11" ht="12.75">
      <c r="A18" s="663" t="s">
        <v>250</v>
      </c>
      <c r="B18" s="653">
        <v>436666604</v>
      </c>
      <c r="C18" s="653">
        <v>435737607</v>
      </c>
      <c r="D18" s="653">
        <v>430497706</v>
      </c>
      <c r="E18" s="653">
        <v>423340221</v>
      </c>
      <c r="F18" s="653">
        <v>415790203</v>
      </c>
      <c r="G18" s="653">
        <v>442080065</v>
      </c>
      <c r="H18" s="653">
        <v>443657476</v>
      </c>
      <c r="I18" s="653">
        <v>437158928</v>
      </c>
      <c r="J18" s="653">
        <v>440328981</v>
      </c>
      <c r="K18" s="653">
        <v>445112009</v>
      </c>
    </row>
    <row r="19" spans="1:11" ht="12.75">
      <c r="A19" s="663" t="s">
        <v>251</v>
      </c>
      <c r="B19" s="654">
        <v>33953355</v>
      </c>
      <c r="C19" s="654">
        <v>33369663</v>
      </c>
      <c r="D19" s="654">
        <v>27949404</v>
      </c>
      <c r="E19" s="654">
        <v>17049299</v>
      </c>
      <c r="F19" s="654">
        <v>10112983</v>
      </c>
      <c r="G19" s="654">
        <v>26075623</v>
      </c>
      <c r="H19" s="654">
        <v>25804889</v>
      </c>
      <c r="I19" s="654">
        <v>39775431</v>
      </c>
      <c r="J19" s="654">
        <v>35936747</v>
      </c>
      <c r="K19" s="653">
        <v>32035695</v>
      </c>
    </row>
    <row r="20" spans="1:11" ht="12.75">
      <c r="A20" s="663" t="s">
        <v>252</v>
      </c>
      <c r="B20" s="655">
        <v>669182</v>
      </c>
      <c r="C20" s="655">
        <v>833981</v>
      </c>
      <c r="D20" s="655">
        <v>999109</v>
      </c>
      <c r="E20" s="655">
        <v>1937098</v>
      </c>
      <c r="F20" s="655">
        <v>1654815</v>
      </c>
      <c r="G20" s="655">
        <f>2486848</f>
        <v>2486848</v>
      </c>
      <c r="H20" s="655">
        <v>2499758</v>
      </c>
      <c r="I20" s="655">
        <v>2624710</v>
      </c>
      <c r="J20" s="655">
        <v>2436280</v>
      </c>
      <c r="K20" s="655">
        <v>2314938</v>
      </c>
    </row>
    <row r="21" spans="1:11" ht="12.75">
      <c r="A21" s="663" t="s">
        <v>253</v>
      </c>
      <c r="B21" s="655"/>
      <c r="C21" s="655">
        <v>2679047</v>
      </c>
      <c r="D21" s="655">
        <v>2686757</v>
      </c>
      <c r="E21" s="655">
        <v>2530476</v>
      </c>
      <c r="F21" s="655">
        <v>2322028</v>
      </c>
      <c r="G21" s="655">
        <v>84933</v>
      </c>
      <c r="H21" s="655"/>
      <c r="I21" s="655"/>
      <c r="J21" s="655"/>
      <c r="K21" s="655"/>
    </row>
    <row r="22" spans="1:11" ht="12.75">
      <c r="A22" s="663" t="s">
        <v>254</v>
      </c>
      <c r="B22" s="653">
        <f>B18+B19-B20+B21</f>
        <v>469950777</v>
      </c>
      <c r="C22" s="653">
        <f aca="true" t="shared" si="5" ref="C22:K22">C18+C19-C20+C21</f>
        <v>470952336</v>
      </c>
      <c r="D22" s="653">
        <f t="shared" si="5"/>
        <v>460134758</v>
      </c>
      <c r="E22" s="653">
        <f t="shared" si="5"/>
        <v>440982898</v>
      </c>
      <c r="F22" s="653">
        <f t="shared" si="5"/>
        <v>426570399</v>
      </c>
      <c r="G22" s="653">
        <f t="shared" si="5"/>
        <v>465753773</v>
      </c>
      <c r="H22" s="653">
        <f t="shared" si="5"/>
        <v>466962607</v>
      </c>
      <c r="I22" s="653">
        <f t="shared" si="5"/>
        <v>474309649</v>
      </c>
      <c r="J22" s="653">
        <f t="shared" si="5"/>
        <v>473829448</v>
      </c>
      <c r="K22" s="653">
        <f t="shared" si="5"/>
        <v>474832766</v>
      </c>
    </row>
    <row r="23" spans="1:11" ht="12.75">
      <c r="A23" s="663" t="s">
        <v>261</v>
      </c>
      <c r="B23" s="659">
        <f aca="true" t="shared" si="6" ref="B23:J23">B15-B22</f>
        <v>-14958550.907556653</v>
      </c>
      <c r="C23" s="659">
        <f t="shared" si="6"/>
        <v>-17946884.96999997</v>
      </c>
      <c r="D23" s="659">
        <f t="shared" si="6"/>
        <v>-4722151.449999988</v>
      </c>
      <c r="E23" s="659">
        <f t="shared" si="6"/>
        <v>4780.621605396271</v>
      </c>
      <c r="F23" s="659">
        <f t="shared" si="6"/>
        <v>1654814.7772088647</v>
      </c>
      <c r="G23" s="659">
        <f t="shared" si="6"/>
        <v>-15482476.984700978</v>
      </c>
      <c r="H23" s="659">
        <f t="shared" si="6"/>
        <v>-13074420.600989938</v>
      </c>
      <c r="I23" s="659">
        <f t="shared" si="6"/>
        <v>-23511690.88800001</v>
      </c>
      <c r="J23" s="659">
        <f t="shared" si="6"/>
        <v>-16379343.284500003</v>
      </c>
      <c r="K23" s="659">
        <f>K15-K22</f>
        <v>-14195795.805300057</v>
      </c>
    </row>
    <row r="25" ht="13.5" thickBot="1"/>
    <row r="26" spans="1:11" ht="16.5" thickTop="1">
      <c r="A26" s="661" t="s">
        <v>259</v>
      </c>
      <c r="B26" s="577">
        <v>2013</v>
      </c>
      <c r="C26" s="577">
        <v>2014</v>
      </c>
      <c r="D26" s="577">
        <v>2015</v>
      </c>
      <c r="E26" s="577">
        <v>2016</v>
      </c>
      <c r="F26" s="577">
        <v>2017</v>
      </c>
      <c r="G26" s="577">
        <v>2018</v>
      </c>
      <c r="H26" s="577">
        <v>2019</v>
      </c>
      <c r="I26" s="577">
        <v>2020</v>
      </c>
      <c r="J26" s="577">
        <v>2021</v>
      </c>
      <c r="K26" s="577">
        <v>2022</v>
      </c>
    </row>
    <row r="27" spans="1:11" ht="12.75">
      <c r="A27" s="587" t="s">
        <v>62</v>
      </c>
      <c r="B27" s="589"/>
      <c r="C27" s="589"/>
      <c r="D27" s="590"/>
      <c r="E27" s="589"/>
      <c r="F27" s="589"/>
      <c r="G27" s="589"/>
      <c r="H27" s="589"/>
      <c r="I27" s="589"/>
      <c r="J27" s="589"/>
      <c r="K27" s="589"/>
    </row>
    <row r="28" spans="1:11" ht="12.75">
      <c r="A28" s="591" t="s">
        <v>235</v>
      </c>
      <c r="B28" s="592">
        <v>194642137.95027003</v>
      </c>
      <c r="C28" s="592">
        <v>193528854.22821346</v>
      </c>
      <c r="D28" s="592">
        <v>188956241.82560697</v>
      </c>
      <c r="E28" s="592">
        <v>179260363.41184992</v>
      </c>
      <c r="F28" s="592">
        <v>175230053.39799997</v>
      </c>
      <c r="G28" s="592">
        <v>189038322.37500003</v>
      </c>
      <c r="H28" s="592">
        <v>188724158.96599996</v>
      </c>
      <c r="I28" s="592">
        <v>195030079.061</v>
      </c>
      <c r="J28" s="592">
        <v>195689166.52664977</v>
      </c>
      <c r="K28" s="592">
        <v>198353265.3598433</v>
      </c>
    </row>
    <row r="29" spans="1:11" ht="12.75">
      <c r="A29" s="591"/>
      <c r="B29" s="594"/>
      <c r="C29" s="594"/>
      <c r="D29" s="595"/>
      <c r="E29" s="594"/>
      <c r="F29" s="594"/>
      <c r="G29" s="594"/>
      <c r="H29" s="594"/>
      <c r="I29" s="594"/>
      <c r="J29" s="594"/>
      <c r="K29" s="594"/>
    </row>
    <row r="30" spans="1:11" ht="12.75">
      <c r="A30" s="587" t="s">
        <v>61</v>
      </c>
      <c r="B30" s="594"/>
      <c r="C30" s="594"/>
      <c r="D30" s="595"/>
      <c r="E30" s="594"/>
      <c r="F30" s="594"/>
      <c r="G30" s="594"/>
      <c r="H30" s="594"/>
      <c r="I30" s="594"/>
      <c r="J30" s="594"/>
      <c r="K30" s="594"/>
    </row>
    <row r="31" spans="1:11" ht="12.75">
      <c r="A31" s="591" t="s">
        <v>235</v>
      </c>
      <c r="B31" s="592">
        <v>65332254.52157471</v>
      </c>
      <c r="C31" s="592">
        <v>67617018.0789414</v>
      </c>
      <c r="D31" s="592">
        <v>66434815.70195502</v>
      </c>
      <c r="E31" s="592">
        <v>65187474.84071499</v>
      </c>
      <c r="F31" s="592">
        <v>67751219.376</v>
      </c>
      <c r="G31" s="592">
        <v>71822559.907</v>
      </c>
      <c r="H31" s="592">
        <v>72750960.34200001</v>
      </c>
      <c r="I31" s="592">
        <v>68092748.37</v>
      </c>
      <c r="J31" s="592">
        <v>69116365.74255574</v>
      </c>
      <c r="K31" s="592">
        <v>73827872.62204798</v>
      </c>
    </row>
    <row r="32" spans="1:11" ht="12.75">
      <c r="A32" s="591"/>
      <c r="B32" s="594"/>
      <c r="C32" s="594"/>
      <c r="D32" s="595"/>
      <c r="E32" s="594"/>
      <c r="F32" s="594"/>
      <c r="G32" s="594"/>
      <c r="H32" s="594"/>
      <c r="I32" s="594"/>
      <c r="J32" s="594"/>
      <c r="K32" s="594"/>
    </row>
    <row r="33" spans="1:11" ht="12.75">
      <c r="A33" s="587" t="s">
        <v>60</v>
      </c>
      <c r="B33" s="594"/>
      <c r="C33" s="594"/>
      <c r="D33" s="595"/>
      <c r="E33" s="594"/>
      <c r="F33" s="594"/>
      <c r="G33" s="594"/>
      <c r="H33" s="594"/>
      <c r="I33" s="594"/>
      <c r="J33" s="594"/>
      <c r="K33" s="594"/>
    </row>
    <row r="34" spans="1:22" ht="12.75">
      <c r="A34" s="591" t="s">
        <v>235</v>
      </c>
      <c r="B34" s="592">
        <v>170762457.782065</v>
      </c>
      <c r="C34" s="592">
        <v>170816517.64071962</v>
      </c>
      <c r="D34" s="592">
        <v>176860410.99111214</v>
      </c>
      <c r="E34" s="592">
        <v>178050371.82</v>
      </c>
      <c r="F34" s="592">
        <v>170266639.984</v>
      </c>
      <c r="G34" s="592">
        <v>176342001.12716234</v>
      </c>
      <c r="H34" s="592">
        <v>176955186.20000002</v>
      </c>
      <c r="I34" s="592">
        <v>169551637.1</v>
      </c>
      <c r="J34" s="592">
        <v>170970059.69838515</v>
      </c>
      <c r="K34" s="592">
        <v>169570095.45526996</v>
      </c>
      <c r="M34" s="672"/>
      <c r="N34" s="672"/>
      <c r="O34" s="672"/>
      <c r="P34" s="672"/>
      <c r="Q34" s="672"/>
      <c r="R34" s="672"/>
      <c r="S34" s="672"/>
      <c r="T34" s="672"/>
      <c r="U34" s="672"/>
      <c r="V34" s="672"/>
    </row>
    <row r="35" spans="1:22" ht="12.75">
      <c r="A35" s="591" t="s">
        <v>237</v>
      </c>
      <c r="B35" s="607">
        <v>476638.55048000003</v>
      </c>
      <c r="C35" s="607">
        <v>446786.5496167</v>
      </c>
      <c r="D35" s="607">
        <v>460418.41745999997</v>
      </c>
      <c r="E35" s="607">
        <v>497479.41473</v>
      </c>
      <c r="F35" s="592">
        <v>378111.58761000005</v>
      </c>
      <c r="G35" s="592">
        <v>391902.0592</v>
      </c>
      <c r="H35" s="592">
        <v>380989.52070000005</v>
      </c>
      <c r="I35" s="592">
        <v>362623.34987000003</v>
      </c>
      <c r="J35" s="592">
        <v>362511.4174</v>
      </c>
      <c r="K35" s="592">
        <v>358372.95999999996</v>
      </c>
      <c r="M35" s="672"/>
      <c r="N35" s="672"/>
      <c r="O35" s="672"/>
      <c r="P35" s="672"/>
      <c r="Q35" s="672"/>
      <c r="R35" s="672"/>
      <c r="S35" s="672"/>
      <c r="T35" s="672"/>
      <c r="U35" s="672"/>
      <c r="V35" s="672"/>
    </row>
    <row r="36" spans="1:11" ht="12.75">
      <c r="A36" s="596"/>
      <c r="B36" s="594"/>
      <c r="C36" s="594"/>
      <c r="D36" s="595"/>
      <c r="E36" s="594"/>
      <c r="F36" s="594"/>
      <c r="G36" s="594"/>
      <c r="H36" s="594"/>
      <c r="I36" s="594"/>
      <c r="J36" s="594"/>
      <c r="K36" s="594"/>
    </row>
    <row r="37" spans="1:11" ht="12.75">
      <c r="A37" s="587" t="s">
        <v>184</v>
      </c>
      <c r="B37" s="594"/>
      <c r="C37" s="594"/>
      <c r="D37" s="595"/>
      <c r="E37" s="594"/>
      <c r="F37" s="594"/>
      <c r="G37" s="594"/>
      <c r="H37" s="594"/>
      <c r="I37" s="594"/>
      <c r="J37" s="594"/>
      <c r="K37" s="594"/>
    </row>
    <row r="38" spans="1:11" ht="12.75">
      <c r="A38" s="591" t="s">
        <v>235</v>
      </c>
      <c r="B38" s="592">
        <v>304006.03583370004</v>
      </c>
      <c r="C38" s="592">
        <v>288532.0067956</v>
      </c>
      <c r="D38" s="592">
        <v>286286.7720072619</v>
      </c>
      <c r="E38" s="592">
        <v>290831.6299805079</v>
      </c>
      <c r="F38" s="592">
        <v>275586.3631633832</v>
      </c>
      <c r="G38" s="592">
        <v>261752.327</v>
      </c>
      <c r="H38" s="592">
        <v>241032.331</v>
      </c>
      <c r="I38" s="592">
        <v>222616.579</v>
      </c>
      <c r="J38" s="592">
        <v>223044.18</v>
      </c>
      <c r="K38" s="592">
        <v>222218.79958928408</v>
      </c>
    </row>
    <row r="39" spans="1:11" ht="12.75">
      <c r="A39" s="591" t="s">
        <v>237</v>
      </c>
      <c r="B39" s="592"/>
      <c r="C39" s="592"/>
      <c r="D39" s="592"/>
      <c r="E39" s="592"/>
      <c r="F39" s="592"/>
      <c r="G39" s="592"/>
      <c r="H39" s="592"/>
      <c r="I39" s="592"/>
      <c r="J39" s="592"/>
      <c r="K39" s="592"/>
    </row>
    <row r="40" spans="1:11" ht="12.75">
      <c r="A40" s="596"/>
      <c r="B40" s="594"/>
      <c r="C40" s="594"/>
      <c r="D40" s="595"/>
      <c r="E40" s="594"/>
      <c r="F40" s="594"/>
      <c r="G40" s="594"/>
      <c r="H40" s="594"/>
      <c r="I40" s="594"/>
      <c r="J40" s="594"/>
      <c r="K40" s="594"/>
    </row>
    <row r="41" spans="1:11" ht="12.75">
      <c r="A41" s="587" t="s">
        <v>238</v>
      </c>
      <c r="B41" s="594"/>
      <c r="C41" s="594"/>
      <c r="D41" s="595"/>
      <c r="E41" s="594"/>
      <c r="F41" s="594"/>
      <c r="G41" s="594"/>
      <c r="H41" s="594"/>
      <c r="I41" s="594"/>
      <c r="J41" s="594"/>
      <c r="K41" s="594"/>
    </row>
    <row r="42" spans="1:11" ht="12.75">
      <c r="A42" s="591" t="s">
        <v>235</v>
      </c>
      <c r="B42" s="592">
        <v>17010.977810300003</v>
      </c>
      <c r="C42" s="592">
        <v>16247.492</v>
      </c>
      <c r="D42" s="592">
        <v>13309.65781723245</v>
      </c>
      <c r="E42" s="592">
        <v>7843.399232876698</v>
      </c>
      <c r="F42" s="592">
        <v>7857.688999999999</v>
      </c>
      <c r="G42" s="592">
        <v>7705.8060000000005</v>
      </c>
      <c r="H42" s="592">
        <v>7599.157999999999</v>
      </c>
      <c r="I42" s="592">
        <v>7596.805</v>
      </c>
      <c r="J42" s="592">
        <v>7576.029999999998</v>
      </c>
      <c r="K42" s="592">
        <v>7596.659033790721</v>
      </c>
    </row>
    <row r="43" spans="1:11" ht="12.75">
      <c r="A43" s="591" t="s">
        <v>237</v>
      </c>
      <c r="B43" s="592">
        <v>19.335</v>
      </c>
      <c r="C43" s="592">
        <v>16.2</v>
      </c>
      <c r="D43" s="592">
        <v>16.2</v>
      </c>
      <c r="E43" s="592">
        <v>16.2</v>
      </c>
      <c r="F43" s="592">
        <v>16.2</v>
      </c>
      <c r="G43" s="592">
        <v>16.2</v>
      </c>
      <c r="H43" s="592">
        <v>16.2</v>
      </c>
      <c r="I43" s="592">
        <v>16.2</v>
      </c>
      <c r="J43" s="592">
        <v>16.2</v>
      </c>
      <c r="K43" s="592">
        <v>16.2</v>
      </c>
    </row>
    <row r="44" spans="1:11" ht="12.75">
      <c r="A44" s="596"/>
      <c r="B44" s="594"/>
      <c r="C44" s="594"/>
      <c r="D44" s="595"/>
      <c r="E44" s="594"/>
      <c r="F44" s="594"/>
      <c r="G44" s="594"/>
      <c r="H44" s="594"/>
      <c r="I44" s="594"/>
      <c r="J44" s="594"/>
      <c r="K44" s="594"/>
    </row>
    <row r="45" spans="1:11" ht="12.75">
      <c r="A45" s="597" t="s">
        <v>239</v>
      </c>
      <c r="B45" s="594"/>
      <c r="C45" s="594"/>
      <c r="D45" s="595"/>
      <c r="E45" s="594"/>
      <c r="F45" s="594"/>
      <c r="G45" s="594"/>
      <c r="H45" s="594"/>
      <c r="I45" s="594"/>
      <c r="J45" s="594"/>
      <c r="K45" s="594"/>
    </row>
    <row r="46" spans="1:11" ht="12.75">
      <c r="A46" s="591" t="s">
        <v>235</v>
      </c>
      <c r="B46" s="592">
        <v>3798415.476342208</v>
      </c>
      <c r="C46" s="592">
        <v>3005453.561979654</v>
      </c>
      <c r="D46" s="592">
        <v>2034600.2765380219</v>
      </c>
      <c r="E46" s="592">
        <v>1723301.2869890276</v>
      </c>
      <c r="F46" s="592">
        <v>1722489.8914887905</v>
      </c>
      <c r="G46" s="592">
        <v>1582709.9350359538</v>
      </c>
      <c r="H46" s="592">
        <v>2298862.4</v>
      </c>
      <c r="I46" s="592">
        <v>2321450.5</v>
      </c>
      <c r="J46" s="592">
        <v>2315541.1</v>
      </c>
      <c r="K46" s="592">
        <v>2315417.3807523577</v>
      </c>
    </row>
    <row r="47" spans="1:11" ht="12.75">
      <c r="A47" s="591" t="s">
        <v>237</v>
      </c>
      <c r="B47" s="592">
        <v>13681.389960000002</v>
      </c>
      <c r="C47" s="592">
        <v>12827.939650000002</v>
      </c>
      <c r="D47" s="592">
        <v>8336.866306666667</v>
      </c>
      <c r="E47" s="592">
        <v>7336.568360000001</v>
      </c>
      <c r="F47" s="592">
        <v>7367.62528</v>
      </c>
      <c r="G47" s="592">
        <v>6214.851</v>
      </c>
      <c r="H47" s="592">
        <v>6235.142</v>
      </c>
      <c r="I47" s="592">
        <v>6234.516999999999</v>
      </c>
      <c r="J47" s="592">
        <v>6232.103999999998</v>
      </c>
      <c r="K47" s="592">
        <v>6232.103999999998</v>
      </c>
    </row>
    <row r="48" spans="1:11" ht="12.75">
      <c r="A48" s="596"/>
      <c r="B48" s="594"/>
      <c r="C48" s="594"/>
      <c r="D48" s="595"/>
      <c r="E48" s="594"/>
      <c r="F48" s="594"/>
      <c r="G48" s="594"/>
      <c r="H48" s="594"/>
      <c r="I48" s="594"/>
      <c r="J48" s="594"/>
      <c r="K48" s="594"/>
    </row>
    <row r="49" spans="1:11" ht="12.75">
      <c r="A49" s="597" t="s">
        <v>231</v>
      </c>
      <c r="B49" s="594"/>
      <c r="C49" s="594"/>
      <c r="D49" s="595"/>
      <c r="E49" s="594"/>
      <c r="F49" s="594"/>
      <c r="G49" s="594"/>
      <c r="H49" s="594"/>
      <c r="I49" s="594"/>
      <c r="J49" s="594"/>
      <c r="K49" s="594"/>
    </row>
    <row r="50" spans="1:11" ht="12.75">
      <c r="A50" s="591" t="s">
        <v>235</v>
      </c>
      <c r="B50" s="592"/>
      <c r="C50" s="592"/>
      <c r="D50" s="592"/>
      <c r="E50" s="592"/>
      <c r="F50" s="592"/>
      <c r="G50" s="592"/>
      <c r="H50" s="592"/>
      <c r="I50" s="592"/>
      <c r="J50" s="592"/>
      <c r="K50" s="592"/>
    </row>
    <row r="51" spans="1:11" ht="12.75">
      <c r="A51" s="591" t="s">
        <v>237</v>
      </c>
      <c r="B51" s="592"/>
      <c r="C51" s="592"/>
      <c r="D51" s="592"/>
      <c r="E51" s="592"/>
      <c r="F51" s="592"/>
      <c r="G51" s="592"/>
      <c r="H51" s="592"/>
      <c r="I51" s="592"/>
      <c r="J51" s="592"/>
      <c r="K51" s="592"/>
    </row>
    <row r="52" spans="1:11" ht="12.75">
      <c r="A52" s="591"/>
      <c r="B52" s="594"/>
      <c r="C52" s="594"/>
      <c r="D52" s="595"/>
      <c r="E52" s="594"/>
      <c r="F52" s="594"/>
      <c r="G52" s="594"/>
      <c r="H52" s="594"/>
      <c r="I52" s="594"/>
      <c r="J52" s="594"/>
      <c r="K52" s="594"/>
    </row>
    <row r="53" spans="1:11" ht="12.75">
      <c r="A53" s="597" t="s">
        <v>81</v>
      </c>
      <c r="B53" s="594"/>
      <c r="C53" s="594"/>
      <c r="D53" s="595"/>
      <c r="E53" s="594"/>
      <c r="F53" s="594"/>
      <c r="G53" s="594"/>
      <c r="H53" s="594"/>
      <c r="I53" s="594"/>
      <c r="J53" s="594"/>
      <c r="K53" s="594"/>
    </row>
    <row r="54" spans="1:11" ht="12.75">
      <c r="A54" s="591" t="s">
        <v>235</v>
      </c>
      <c r="B54" s="598">
        <f aca="true" t="shared" si="7" ref="B54:K54">B28+B31+B34+B38+B42+B46</f>
        <v>434856282.74389595</v>
      </c>
      <c r="C54" s="598">
        <f t="shared" si="7"/>
        <v>435272623.0086497</v>
      </c>
      <c r="D54" s="598">
        <f t="shared" si="7"/>
        <v>434585665.2250367</v>
      </c>
      <c r="E54" s="598">
        <f t="shared" si="7"/>
        <v>424520186.3887673</v>
      </c>
      <c r="F54" s="598">
        <f t="shared" si="7"/>
        <v>415253846.7016522</v>
      </c>
      <c r="G54" s="598">
        <f t="shared" si="7"/>
        <v>439055051.47719836</v>
      </c>
      <c r="H54" s="598">
        <f t="shared" si="7"/>
        <v>440977799.39699996</v>
      </c>
      <c r="I54" s="598">
        <f t="shared" si="7"/>
        <v>435226128.415</v>
      </c>
      <c r="J54" s="598">
        <f t="shared" si="7"/>
        <v>438321753.2775907</v>
      </c>
      <c r="K54" s="598">
        <f t="shared" si="7"/>
        <v>444296466.27653664</v>
      </c>
    </row>
    <row r="55" spans="1:11" ht="12.75">
      <c r="A55" s="591" t="s">
        <v>237</v>
      </c>
      <c r="B55" s="598">
        <f aca="true" t="shared" si="8" ref="B55:K55">B35+B43+B47</f>
        <v>490339.27544000006</v>
      </c>
      <c r="C55" s="598">
        <f t="shared" si="8"/>
        <v>459630.6892667</v>
      </c>
      <c r="D55" s="598">
        <f t="shared" si="8"/>
        <v>468771.4837666667</v>
      </c>
      <c r="E55" s="598">
        <f t="shared" si="8"/>
        <v>504832.18309</v>
      </c>
      <c r="F55" s="598">
        <f t="shared" si="8"/>
        <v>385495.41289000004</v>
      </c>
      <c r="G55" s="598">
        <f t="shared" si="8"/>
        <v>398133.11020000005</v>
      </c>
      <c r="H55" s="598">
        <f t="shared" si="8"/>
        <v>387240.86270000006</v>
      </c>
      <c r="I55" s="598">
        <f t="shared" si="8"/>
        <v>368874.06687000004</v>
      </c>
      <c r="J55" s="598">
        <f t="shared" si="8"/>
        <v>368759.7214</v>
      </c>
      <c r="K55" s="598">
        <f t="shared" si="8"/>
        <v>364621.26399999997</v>
      </c>
    </row>
    <row r="56" spans="1:11" ht="12.75">
      <c r="A56" s="664"/>
      <c r="B56" s="224"/>
      <c r="C56" s="148"/>
      <c r="D56" s="148"/>
      <c r="E56" s="148"/>
      <c r="F56" s="147"/>
      <c r="G56" s="147"/>
      <c r="H56" s="147"/>
      <c r="I56" s="147"/>
      <c r="J56" s="147"/>
      <c r="K56" s="147"/>
    </row>
    <row r="57" spans="1:11" ht="13.5" thickBot="1">
      <c r="A57" s="662"/>
      <c r="B57"/>
      <c r="C57"/>
      <c r="D57"/>
      <c r="E57" s="12" t="s">
        <v>258</v>
      </c>
      <c r="F57"/>
      <c r="G57"/>
      <c r="H57"/>
      <c r="I57"/>
      <c r="J57"/>
      <c r="K57"/>
    </row>
    <row r="58" spans="1:11" ht="16.5" thickTop="1">
      <c r="A58" s="661" t="s">
        <v>255</v>
      </c>
      <c r="B58" s="624">
        <v>2013</v>
      </c>
      <c r="C58" s="624">
        <v>2014</v>
      </c>
      <c r="D58" s="624">
        <v>2015</v>
      </c>
      <c r="E58" s="624">
        <v>2016</v>
      </c>
      <c r="F58" s="624">
        <v>2017</v>
      </c>
      <c r="G58" s="624">
        <v>2018</v>
      </c>
      <c r="H58" s="624">
        <v>2019</v>
      </c>
      <c r="I58" s="624">
        <v>2020</v>
      </c>
      <c r="J58" s="624">
        <v>2021</v>
      </c>
      <c r="K58" s="624">
        <v>2022</v>
      </c>
    </row>
    <row r="59" spans="1:11" ht="12.75">
      <c r="A59" s="632" t="s">
        <v>62</v>
      </c>
      <c r="B59" s="633">
        <v>194595056</v>
      </c>
      <c r="C59" s="633">
        <v>193810737</v>
      </c>
      <c r="D59" s="634">
        <v>185320983</v>
      </c>
      <c r="E59" s="634">
        <v>179123216</v>
      </c>
      <c r="F59" s="634">
        <v>175230053</v>
      </c>
      <c r="G59" s="634">
        <v>189038321</v>
      </c>
      <c r="H59" s="634">
        <v>188724159</v>
      </c>
      <c r="I59" s="634">
        <v>195030079</v>
      </c>
      <c r="J59" s="633">
        <v>195812264</v>
      </c>
      <c r="K59" s="633">
        <v>198504573</v>
      </c>
    </row>
    <row r="60" spans="1:11" ht="12.75">
      <c r="A60" s="632" t="s">
        <v>61</v>
      </c>
      <c r="B60" s="633">
        <v>65659946</v>
      </c>
      <c r="C60" s="633">
        <v>67910428</v>
      </c>
      <c r="D60" s="634">
        <v>65575776</v>
      </c>
      <c r="E60" s="634">
        <v>65361599</v>
      </c>
      <c r="F60" s="634">
        <v>67751218</v>
      </c>
      <c r="G60" s="634">
        <v>71822559</v>
      </c>
      <c r="H60" s="634">
        <v>72750960</v>
      </c>
      <c r="I60" s="634">
        <v>68092748</v>
      </c>
      <c r="J60" s="633">
        <v>69561352</v>
      </c>
      <c r="K60" s="633">
        <v>73619513</v>
      </c>
    </row>
    <row r="61" spans="1:11" ht="12.75">
      <c r="A61" s="632" t="s">
        <v>60</v>
      </c>
      <c r="B61" s="633">
        <v>171169776</v>
      </c>
      <c r="C61" s="633">
        <v>168755215</v>
      </c>
      <c r="D61" s="634">
        <v>176163146</v>
      </c>
      <c r="E61" s="634">
        <v>178404938</v>
      </c>
      <c r="F61" s="634">
        <v>172094364</v>
      </c>
      <c r="G61" s="634">
        <v>178565970</v>
      </c>
      <c r="H61" s="634">
        <v>179642752</v>
      </c>
      <c r="I61" s="634">
        <v>171472845</v>
      </c>
      <c r="J61" s="633">
        <v>172409864</v>
      </c>
      <c r="K61" s="633">
        <v>170442714</v>
      </c>
    </row>
    <row r="62" spans="1:11" ht="12.75">
      <c r="A62" s="632" t="s">
        <v>184</v>
      </c>
      <c r="B62" s="633">
        <v>293679</v>
      </c>
      <c r="C62" s="633">
        <v>4958778</v>
      </c>
      <c r="D62" s="634">
        <v>287775</v>
      </c>
      <c r="E62" s="634">
        <v>277131</v>
      </c>
      <c r="F62" s="634">
        <v>261752</v>
      </c>
      <c r="G62" s="634">
        <v>241032</v>
      </c>
      <c r="H62" s="634">
        <v>222617</v>
      </c>
      <c r="I62" s="634">
        <v>223044</v>
      </c>
      <c r="J62" s="633">
        <v>222383</v>
      </c>
      <c r="K62" s="633">
        <v>222219</v>
      </c>
    </row>
    <row r="63" spans="1:11" ht="12.75">
      <c r="A63" s="632" t="s">
        <v>229</v>
      </c>
      <c r="B63" s="633">
        <v>13565</v>
      </c>
      <c r="C63" s="633">
        <v>14674</v>
      </c>
      <c r="D63" s="634">
        <v>11496</v>
      </c>
      <c r="E63" s="634">
        <v>6019</v>
      </c>
      <c r="F63" s="634">
        <v>7857</v>
      </c>
      <c r="G63" s="634">
        <v>16599</v>
      </c>
      <c r="H63" s="634">
        <v>18126</v>
      </c>
      <c r="I63" s="634">
        <v>18762</v>
      </c>
      <c r="J63" s="634">
        <v>7576</v>
      </c>
      <c r="K63" s="633">
        <v>7576</v>
      </c>
    </row>
    <row r="64" spans="1:11" ht="12.75">
      <c r="A64" s="632" t="s">
        <v>230</v>
      </c>
      <c r="B64" s="633">
        <v>4934528</v>
      </c>
      <c r="C64" s="633">
        <v>287775</v>
      </c>
      <c r="D64" s="634">
        <v>3138531</v>
      </c>
      <c r="E64" s="634">
        <v>2697790</v>
      </c>
      <c r="F64" s="634">
        <v>2766984</v>
      </c>
      <c r="G64" s="634">
        <v>2480513</v>
      </c>
      <c r="H64" s="634">
        <v>2298862</v>
      </c>
      <c r="I64" s="634">
        <v>2321450</v>
      </c>
      <c r="J64" s="634">
        <v>2315541</v>
      </c>
      <c r="K64" s="633">
        <v>2315418</v>
      </c>
    </row>
    <row r="65" spans="1:11" ht="12.75">
      <c r="A65" s="632" t="s">
        <v>231</v>
      </c>
      <c r="B65" s="633"/>
      <c r="C65" s="633"/>
      <c r="D65" s="634"/>
      <c r="E65" s="634"/>
      <c r="F65" s="634"/>
      <c r="G65" s="634"/>
      <c r="H65" s="634"/>
      <c r="I65" s="634"/>
      <c r="J65" s="634"/>
      <c r="K65" s="633"/>
    </row>
    <row r="66" spans="1:11" ht="12.75">
      <c r="A66" s="665" t="s">
        <v>81</v>
      </c>
      <c r="B66" s="635">
        <f>SUM(B59:B65)</f>
        <v>436666550</v>
      </c>
      <c r="C66" s="635">
        <f>SUM(C59:C65)</f>
        <v>435737607</v>
      </c>
      <c r="D66" s="635">
        <f aca="true" t="shared" si="9" ref="D66:K66">SUM(D59:D65)</f>
        <v>430497707</v>
      </c>
      <c r="E66" s="635">
        <f t="shared" si="9"/>
        <v>425870693</v>
      </c>
      <c r="F66" s="635">
        <f t="shared" si="9"/>
        <v>418112228</v>
      </c>
      <c r="G66" s="635">
        <f t="shared" si="9"/>
        <v>442164994</v>
      </c>
      <c r="H66" s="635">
        <f t="shared" si="9"/>
        <v>443657476</v>
      </c>
      <c r="I66" s="635">
        <f t="shared" si="9"/>
        <v>437158928</v>
      </c>
      <c r="J66" s="635">
        <f t="shared" si="9"/>
        <v>440328980</v>
      </c>
      <c r="K66" s="635">
        <f t="shared" si="9"/>
        <v>445112013</v>
      </c>
    </row>
    <row r="67" spans="1:11" ht="12.75">
      <c r="A67" s="146"/>
      <c r="B67" s="636"/>
      <c r="C67" s="636"/>
      <c r="D67" s="636"/>
      <c r="E67" s="642"/>
      <c r="F67" s="642"/>
      <c r="G67" s="636"/>
      <c r="H67" s="636"/>
      <c r="I67" s="636"/>
      <c r="J67" s="636"/>
      <c r="K67" s="636"/>
    </row>
    <row r="68" spans="1:11" ht="12.75">
      <c r="A68" s="665" t="s">
        <v>256</v>
      </c>
      <c r="B68" s="637"/>
      <c r="C68" s="637"/>
      <c r="D68" s="637"/>
      <c r="E68" s="637"/>
      <c r="F68" s="637"/>
      <c r="G68" s="637"/>
      <c r="H68" s="637"/>
      <c r="I68" s="637"/>
      <c r="J68" s="637"/>
      <c r="K68" s="637"/>
    </row>
    <row r="69" spans="1:11" ht="12.75">
      <c r="A69" s="632" t="s">
        <v>62</v>
      </c>
      <c r="B69" s="658">
        <f aca="true" t="shared" si="10" ref="B69:K69">B28-B59</f>
        <v>47081.95027002692</v>
      </c>
      <c r="C69" s="658">
        <f t="shared" si="10"/>
        <v>-281882.77178654075</v>
      </c>
      <c r="D69" s="658">
        <f t="shared" si="10"/>
        <v>3635258.825606972</v>
      </c>
      <c r="E69" s="658">
        <f t="shared" si="10"/>
        <v>137147.41184991598</v>
      </c>
      <c r="F69" s="658">
        <f t="shared" si="10"/>
        <v>0.39799997210502625</v>
      </c>
      <c r="G69" s="658">
        <f t="shared" si="10"/>
        <v>1.3750000298023224</v>
      </c>
      <c r="H69" s="658">
        <f t="shared" si="10"/>
        <v>-0.03400003910064697</v>
      </c>
      <c r="I69" s="658">
        <f t="shared" si="10"/>
        <v>0.06099998950958252</v>
      </c>
      <c r="J69" s="658">
        <f t="shared" si="10"/>
        <v>-123097.47335022688</v>
      </c>
      <c r="K69" s="658">
        <f t="shared" si="10"/>
        <v>-151307.6401566863</v>
      </c>
    </row>
    <row r="70" spans="1:11" ht="12.75">
      <c r="A70" s="632" t="s">
        <v>61</v>
      </c>
      <c r="B70" s="658">
        <f aca="true" t="shared" si="11" ref="B70:K70">B31-B60</f>
        <v>-327691.4784252867</v>
      </c>
      <c r="C70" s="658">
        <f t="shared" si="11"/>
        <v>-293409.9210585952</v>
      </c>
      <c r="D70" s="658">
        <f t="shared" si="11"/>
        <v>859039.7019550204</v>
      </c>
      <c r="E70" s="658">
        <f t="shared" si="11"/>
        <v>-174124.1592850089</v>
      </c>
      <c r="F70" s="658">
        <f t="shared" si="11"/>
        <v>1.376000002026558</v>
      </c>
      <c r="G70" s="658">
        <f t="shared" si="11"/>
        <v>0.9070000052452087</v>
      </c>
      <c r="H70" s="658">
        <f t="shared" si="11"/>
        <v>0.34200000762939453</v>
      </c>
      <c r="I70" s="658">
        <f t="shared" si="11"/>
        <v>0.3700000047683716</v>
      </c>
      <c r="J70" s="658">
        <f t="shared" si="11"/>
        <v>-444986.2574442625</v>
      </c>
      <c r="K70" s="658">
        <f t="shared" si="11"/>
        <v>208359.62204797566</v>
      </c>
    </row>
    <row r="71" spans="1:11" ht="12.75">
      <c r="A71" s="632" t="s">
        <v>60</v>
      </c>
      <c r="B71" s="658">
        <f>B34-B61</f>
        <v>-407318.2179349959</v>
      </c>
      <c r="C71" s="658">
        <f>C34-C61</f>
        <v>2061302.6407196224</v>
      </c>
      <c r="D71" s="658">
        <f>D34-D61</f>
        <v>697264.9911121428</v>
      </c>
      <c r="E71" s="658">
        <f aca="true" t="shared" si="12" ref="E71:K71">(E34+E50)-E61</f>
        <v>-354566.18000000715</v>
      </c>
      <c r="F71" s="658">
        <f t="shared" si="12"/>
        <v>-1827724.0160000026</v>
      </c>
      <c r="G71" s="658">
        <f t="shared" si="12"/>
        <v>-2223968.8728376627</v>
      </c>
      <c r="H71" s="658">
        <f t="shared" si="12"/>
        <v>-2687565.799999982</v>
      </c>
      <c r="I71" s="658">
        <f t="shared" si="12"/>
        <v>-1921207.900000006</v>
      </c>
      <c r="J71" s="658">
        <f t="shared" si="12"/>
        <v>-1439804.3016148508</v>
      </c>
      <c r="K71" s="658">
        <f t="shared" si="12"/>
        <v>-872618.5447300375</v>
      </c>
    </row>
    <row r="72" spans="1:11" ht="12.75">
      <c r="A72" s="632" t="s">
        <v>184</v>
      </c>
      <c r="B72" s="658">
        <f aca="true" t="shared" si="13" ref="B72:K72">B38-B62</f>
        <v>10327.035833700036</v>
      </c>
      <c r="C72" s="658">
        <f t="shared" si="13"/>
        <v>-4670245.9932044</v>
      </c>
      <c r="D72" s="658">
        <f t="shared" si="13"/>
        <v>-1488.2279927380732</v>
      </c>
      <c r="E72" s="658">
        <f t="shared" si="13"/>
        <v>13700.629980507889</v>
      </c>
      <c r="F72" s="658">
        <f t="shared" si="13"/>
        <v>13834.363163383212</v>
      </c>
      <c r="G72" s="658">
        <f t="shared" si="13"/>
        <v>20720.32699999999</v>
      </c>
      <c r="H72" s="658">
        <f t="shared" si="13"/>
        <v>18415.331000000006</v>
      </c>
      <c r="I72" s="658">
        <f t="shared" si="13"/>
        <v>-427.4210000000021</v>
      </c>
      <c r="J72" s="658">
        <f t="shared" si="13"/>
        <v>661.179999999993</v>
      </c>
      <c r="K72" s="658">
        <f t="shared" si="13"/>
        <v>-0.20041071591549553</v>
      </c>
    </row>
    <row r="73" spans="1:11" ht="12.75">
      <c r="A73" s="632" t="s">
        <v>229</v>
      </c>
      <c r="B73" s="658">
        <f aca="true" t="shared" si="14" ref="B73:K73">B42-B63</f>
        <v>3445.9778103000026</v>
      </c>
      <c r="C73" s="658">
        <f t="shared" si="14"/>
        <v>1573.4920000000002</v>
      </c>
      <c r="D73" s="658">
        <f t="shared" si="14"/>
        <v>1813.6578172324498</v>
      </c>
      <c r="E73" s="658">
        <f t="shared" si="14"/>
        <v>1824.399232876698</v>
      </c>
      <c r="F73" s="658">
        <f t="shared" si="14"/>
        <v>0.6889999999993961</v>
      </c>
      <c r="G73" s="658">
        <f t="shared" si="14"/>
        <v>-8893.194</v>
      </c>
      <c r="H73" s="658">
        <f t="shared" si="14"/>
        <v>-10526.842</v>
      </c>
      <c r="I73" s="658">
        <f t="shared" si="14"/>
        <v>-11165.195</v>
      </c>
      <c r="J73" s="658">
        <f t="shared" si="14"/>
        <v>0.029999999997926352</v>
      </c>
      <c r="K73" s="658">
        <f t="shared" si="14"/>
        <v>20.65903379072097</v>
      </c>
    </row>
    <row r="74" spans="1:11" ht="12.75">
      <c r="A74" s="632" t="s">
        <v>230</v>
      </c>
      <c r="B74" s="658">
        <f aca="true" t="shared" si="15" ref="B74:K74">B46-B64</f>
        <v>-1136112.5236577918</v>
      </c>
      <c r="C74" s="658">
        <f t="shared" si="15"/>
        <v>2717678.561979654</v>
      </c>
      <c r="D74" s="658">
        <f t="shared" si="15"/>
        <v>-1103930.7234619781</v>
      </c>
      <c r="E74" s="658">
        <f t="shared" si="15"/>
        <v>-974488.7130109724</v>
      </c>
      <c r="F74" s="658">
        <f t="shared" si="15"/>
        <v>-1044494.1085112095</v>
      </c>
      <c r="G74" s="658">
        <f t="shared" si="15"/>
        <v>-897803.0649640462</v>
      </c>
      <c r="H74" s="658">
        <f t="shared" si="15"/>
        <v>0.39999999990686774</v>
      </c>
      <c r="I74" s="658">
        <f t="shared" si="15"/>
        <v>0.5</v>
      </c>
      <c r="J74" s="658">
        <f t="shared" si="15"/>
        <v>0.10000000009313226</v>
      </c>
      <c r="K74" s="658">
        <f t="shared" si="15"/>
        <v>-0.6192476423457265</v>
      </c>
    </row>
    <row r="75" spans="1:11" ht="12.75">
      <c r="A75" s="632" t="s">
        <v>231</v>
      </c>
      <c r="B75" s="658"/>
      <c r="C75" s="658"/>
      <c r="D75" s="658"/>
      <c r="E75" s="658"/>
      <c r="F75" s="658"/>
      <c r="G75" s="658"/>
      <c r="H75" s="658"/>
      <c r="I75" s="658"/>
      <c r="J75" s="658"/>
      <c r="K75" s="658"/>
    </row>
    <row r="76" spans="1:11" ht="12.75">
      <c r="A76" s="665" t="s">
        <v>257</v>
      </c>
      <c r="B76" s="635">
        <f>SUM(B69:B75)</f>
        <v>-1810267.2561040474</v>
      </c>
      <c r="C76" s="635">
        <f aca="true" t="shared" si="16" ref="C76:K76">SUM(C69:C75)</f>
        <v>-464983.99135025963</v>
      </c>
      <c r="D76" s="635">
        <f t="shared" si="16"/>
        <v>4087958.225036652</v>
      </c>
      <c r="E76" s="635">
        <f t="shared" si="16"/>
        <v>-1350506.6112326877</v>
      </c>
      <c r="F76" s="635">
        <f t="shared" si="16"/>
        <v>-2858381.298347855</v>
      </c>
      <c r="G76" s="635">
        <f t="shared" si="16"/>
        <v>-3109942.522801674</v>
      </c>
      <c r="H76" s="635">
        <f t="shared" si="16"/>
        <v>-2679676.6030000136</v>
      </c>
      <c r="I76" s="635">
        <f t="shared" si="16"/>
        <v>-1932799.5850000118</v>
      </c>
      <c r="J76" s="635">
        <f t="shared" si="16"/>
        <v>-2007226.72240934</v>
      </c>
      <c r="K76" s="635">
        <f t="shared" si="16"/>
        <v>-815546.7234633156</v>
      </c>
    </row>
  </sheetData>
  <sheetProtection/>
  <printOptions/>
  <pageMargins left="0.7" right="0.7" top="0.75" bottom="0.75" header="0.3" footer="0.3"/>
  <pageSetup orientation="portrait" r:id="rId2"/>
  <drawing r:id="rId1"/>
</worksheet>
</file>

<file path=xl/worksheets/sheet16.xml><?xml version="1.0" encoding="utf-8"?>
<worksheet xmlns="http://schemas.openxmlformats.org/spreadsheetml/2006/main" xmlns:r="http://schemas.openxmlformats.org/officeDocument/2006/relationships">
  <sheetPr codeName="Sheet13">
    <tabColor theme="4" tint="0.5999900102615356"/>
  </sheetPr>
  <dimension ref="A2:G25"/>
  <sheetViews>
    <sheetView zoomScalePageLayoutView="0" workbookViewId="0" topLeftCell="A1">
      <selection activeCell="A5" sqref="A5"/>
    </sheetView>
  </sheetViews>
  <sheetFormatPr defaultColWidth="9.33203125" defaultRowHeight="12.75"/>
  <cols>
    <col min="1" max="1" width="9.5" style="12" bestFit="1" customWidth="1"/>
    <col min="2" max="2" width="11.83203125" style="668" bestFit="1" customWidth="1"/>
    <col min="3" max="3" width="13.5" style="668" bestFit="1" customWidth="1"/>
    <col min="4" max="4" width="21.66015625" style="668" bestFit="1" customWidth="1"/>
    <col min="5" max="6" width="11.66015625" style="668" bestFit="1" customWidth="1"/>
    <col min="7" max="7" width="13.33203125" style="668" bestFit="1" customWidth="1"/>
    <col min="8" max="16384" width="9.33203125" style="12" customWidth="1"/>
  </cols>
  <sheetData>
    <row r="2" spans="2:7" ht="12.75">
      <c r="B2" s="668" t="s">
        <v>62</v>
      </c>
      <c r="C2" s="668" t="s">
        <v>269</v>
      </c>
      <c r="D2" s="668" t="s">
        <v>270</v>
      </c>
      <c r="E2" s="668" t="s">
        <v>184</v>
      </c>
      <c r="F2" s="668" t="s">
        <v>229</v>
      </c>
      <c r="G2" s="668" t="s">
        <v>230</v>
      </c>
    </row>
    <row r="3" spans="1:7" ht="12.75">
      <c r="A3" s="12" t="s">
        <v>59</v>
      </c>
      <c r="B3" s="668" t="s">
        <v>268</v>
      </c>
      <c r="C3" s="668" t="s">
        <v>268</v>
      </c>
      <c r="D3" s="668" t="s">
        <v>268</v>
      </c>
      <c r="E3" s="668" t="s">
        <v>268</v>
      </c>
      <c r="F3" s="668" t="s">
        <v>268</v>
      </c>
      <c r="G3" s="668" t="s">
        <v>241</v>
      </c>
    </row>
    <row r="5" spans="1:7" ht="12.75">
      <c r="A5" s="12" t="s">
        <v>267</v>
      </c>
      <c r="B5" s="669">
        <v>20749</v>
      </c>
      <c r="C5" s="669">
        <v>2593</v>
      </c>
      <c r="D5" s="669">
        <v>193</v>
      </c>
      <c r="E5" s="669">
        <v>53</v>
      </c>
      <c r="F5" s="669">
        <v>8</v>
      </c>
      <c r="G5" s="669">
        <v>6196</v>
      </c>
    </row>
    <row r="6" spans="1:7" ht="12.75">
      <c r="A6" s="12">
        <v>2018</v>
      </c>
      <c r="B6" s="669">
        <v>20697.333333333332</v>
      </c>
      <c r="C6" s="669">
        <v>2577.8333333333335</v>
      </c>
      <c r="D6" s="669">
        <v>190.5</v>
      </c>
      <c r="E6" s="669">
        <v>52.833333333333336</v>
      </c>
      <c r="F6" s="669">
        <v>9.333333333333334</v>
      </c>
      <c r="G6" s="669">
        <v>6204.5</v>
      </c>
    </row>
    <row r="7" spans="1:7" ht="12.75">
      <c r="A7" s="12">
        <v>2019</v>
      </c>
      <c r="B7" s="669">
        <v>20873.333333333332</v>
      </c>
      <c r="C7" s="669">
        <v>2587</v>
      </c>
      <c r="D7" s="669">
        <v>193.75</v>
      </c>
      <c r="E7" s="669">
        <v>50.333333333333336</v>
      </c>
      <c r="F7" s="669">
        <v>9</v>
      </c>
      <c r="G7" s="669">
        <v>6279.916666666667</v>
      </c>
    </row>
    <row r="8" spans="1:7" ht="12.75">
      <c r="A8" s="12">
        <v>2020</v>
      </c>
      <c r="B8" s="669">
        <v>21063.5</v>
      </c>
      <c r="C8" s="669">
        <v>2609.9166666666665</v>
      </c>
      <c r="D8" s="669">
        <v>183.41666666666666</v>
      </c>
      <c r="E8" s="669">
        <v>50</v>
      </c>
      <c r="F8" s="669">
        <v>8.916666666666666</v>
      </c>
      <c r="G8" s="669">
        <v>6285.416666666667</v>
      </c>
    </row>
    <row r="9" spans="1:7" ht="12.75">
      <c r="A9" s="12">
        <v>2021</v>
      </c>
      <c r="B9" s="669">
        <v>21279</v>
      </c>
      <c r="C9" s="669">
        <v>2622.25</v>
      </c>
      <c r="D9" s="669">
        <v>181.58333333333334</v>
      </c>
      <c r="E9" s="669">
        <v>49.75</v>
      </c>
      <c r="F9" s="669">
        <v>8.416666666666666</v>
      </c>
      <c r="G9" s="669">
        <v>6283</v>
      </c>
    </row>
    <row r="10" spans="1:7" ht="12.75">
      <c r="A10" s="12">
        <v>2022</v>
      </c>
      <c r="B10" s="669">
        <v>21510.333333333332</v>
      </c>
      <c r="C10" s="669">
        <v>2654.0833333333335</v>
      </c>
      <c r="D10" s="669">
        <v>170.91666666666666</v>
      </c>
      <c r="E10" s="669">
        <v>49</v>
      </c>
      <c r="F10" s="669">
        <v>8.416666666666666</v>
      </c>
      <c r="G10" s="669">
        <v>6283</v>
      </c>
    </row>
    <row r="11" spans="1:7" ht="12.75">
      <c r="A11" s="12">
        <v>2023</v>
      </c>
      <c r="B11" s="669">
        <v>21693.818578541075</v>
      </c>
      <c r="C11" s="669">
        <v>2671.8784866122232</v>
      </c>
      <c r="D11" s="669">
        <v>162.39450750401514</v>
      </c>
      <c r="E11" s="669">
        <v>48.09048984164403</v>
      </c>
      <c r="F11" s="669">
        <v>8.371600930182808</v>
      </c>
      <c r="G11" s="669">
        <v>6313.738627508037</v>
      </c>
    </row>
    <row r="12" spans="1:7" ht="12.75">
      <c r="A12" s="12">
        <v>2024</v>
      </c>
      <c r="B12" s="669">
        <v>21878.868970819633</v>
      </c>
      <c r="C12" s="669">
        <v>2689.7929532058993</v>
      </c>
      <c r="D12" s="669">
        <v>154.2972758701412</v>
      </c>
      <c r="E12" s="669">
        <v>47.197861494066686</v>
      </c>
      <c r="F12" s="669">
        <v>8.326776491196554</v>
      </c>
      <c r="G12" s="669">
        <v>6344.627639103465</v>
      </c>
    </row>
    <row r="14" ht="12.75">
      <c r="A14" s="12" t="s">
        <v>271</v>
      </c>
    </row>
    <row r="16" spans="1:7" ht="12.75">
      <c r="A16" s="12">
        <v>2018</v>
      </c>
      <c r="B16" s="670">
        <f aca="true" t="shared" si="0" ref="B16:G20">B6-B5</f>
        <v>-51.66666666666788</v>
      </c>
      <c r="C16" s="670">
        <f t="shared" si="0"/>
        <v>-15.166666666666515</v>
      </c>
      <c r="D16" s="670">
        <f t="shared" si="0"/>
        <v>-2.5</v>
      </c>
      <c r="E16" s="669">
        <f t="shared" si="0"/>
        <v>-0.1666666666666643</v>
      </c>
      <c r="F16" s="669">
        <f t="shared" si="0"/>
        <v>1.333333333333334</v>
      </c>
      <c r="G16" s="669">
        <f t="shared" si="0"/>
        <v>8.5</v>
      </c>
    </row>
    <row r="17" spans="1:7" ht="12.75">
      <c r="A17" s="12">
        <v>2019</v>
      </c>
      <c r="B17" s="669">
        <f t="shared" si="0"/>
        <v>176</v>
      </c>
      <c r="C17" s="669">
        <f t="shared" si="0"/>
        <v>9.166666666666515</v>
      </c>
      <c r="D17" s="669">
        <f t="shared" si="0"/>
        <v>3.25</v>
      </c>
      <c r="E17" s="670">
        <f t="shared" si="0"/>
        <v>-2.5</v>
      </c>
      <c r="F17" s="669">
        <f t="shared" si="0"/>
        <v>-0.3333333333333339</v>
      </c>
      <c r="G17" s="669">
        <f t="shared" si="0"/>
        <v>75.41666666666697</v>
      </c>
    </row>
    <row r="18" spans="1:7" ht="12.75">
      <c r="A18" s="12">
        <v>2020</v>
      </c>
      <c r="B18" s="669">
        <f t="shared" si="0"/>
        <v>190.16666666666788</v>
      </c>
      <c r="C18" s="669">
        <f t="shared" si="0"/>
        <v>22.916666666666515</v>
      </c>
      <c r="D18" s="670">
        <f t="shared" si="0"/>
        <v>-10.333333333333343</v>
      </c>
      <c r="E18" s="669">
        <f t="shared" si="0"/>
        <v>-0.3333333333333357</v>
      </c>
      <c r="F18" s="669">
        <f t="shared" si="0"/>
        <v>-0.08333333333333393</v>
      </c>
      <c r="G18" s="669">
        <f t="shared" si="0"/>
        <v>5.5</v>
      </c>
    </row>
    <row r="19" spans="1:7" ht="12.75">
      <c r="A19" s="12">
        <v>2021</v>
      </c>
      <c r="B19" s="669">
        <f t="shared" si="0"/>
        <v>215.5</v>
      </c>
      <c r="C19" s="669">
        <f t="shared" si="0"/>
        <v>12.333333333333485</v>
      </c>
      <c r="D19" s="669">
        <f t="shared" si="0"/>
        <v>-1.8333333333333144</v>
      </c>
      <c r="E19" s="669">
        <f t="shared" si="0"/>
        <v>-0.25</v>
      </c>
      <c r="F19" s="670">
        <f t="shared" si="0"/>
        <v>-0.5</v>
      </c>
      <c r="G19" s="670">
        <f t="shared" si="0"/>
        <v>-2.41666666666697</v>
      </c>
    </row>
    <row r="20" spans="1:7" ht="12.75">
      <c r="A20" s="12">
        <v>2022</v>
      </c>
      <c r="B20" s="669">
        <f t="shared" si="0"/>
        <v>231.33333333333212</v>
      </c>
      <c r="C20" s="669">
        <f t="shared" si="0"/>
        <v>31.833333333333485</v>
      </c>
      <c r="D20" s="670">
        <f t="shared" si="0"/>
        <v>-10.666666666666686</v>
      </c>
      <c r="E20" s="670">
        <f t="shared" si="0"/>
        <v>-0.75</v>
      </c>
      <c r="F20" s="669">
        <f t="shared" si="0"/>
        <v>0</v>
      </c>
      <c r="G20" s="669">
        <f t="shared" si="0"/>
        <v>0</v>
      </c>
    </row>
    <row r="21" spans="2:7" ht="12.75">
      <c r="B21" s="671">
        <f aca="true" t="shared" si="1" ref="B21:G21">SUM(B16:B20)</f>
        <v>761.3333333333321</v>
      </c>
      <c r="C21" s="671">
        <f t="shared" si="1"/>
        <v>61.083333333333485</v>
      </c>
      <c r="D21" s="671">
        <f t="shared" si="1"/>
        <v>-22.083333333333343</v>
      </c>
      <c r="E21" s="671">
        <f t="shared" si="1"/>
        <v>-4</v>
      </c>
      <c r="F21" s="671">
        <f t="shared" si="1"/>
        <v>0.4166666666666661</v>
      </c>
      <c r="G21" s="671">
        <f t="shared" si="1"/>
        <v>87</v>
      </c>
    </row>
    <row r="23" spans="1:7" ht="12.75">
      <c r="A23" s="12">
        <v>2023</v>
      </c>
      <c r="B23" s="669">
        <f aca="true" t="shared" si="2" ref="B23:G24">B11-B10</f>
        <v>183.485245207743</v>
      </c>
      <c r="C23" s="669">
        <f t="shared" si="2"/>
        <v>17.795153278889757</v>
      </c>
      <c r="D23" s="669">
        <f t="shared" si="2"/>
        <v>-8.52215916265152</v>
      </c>
      <c r="E23" s="669">
        <f t="shared" si="2"/>
        <v>-0.909510158355971</v>
      </c>
      <c r="F23" s="669">
        <f t="shared" si="2"/>
        <v>-0.04506573648385803</v>
      </c>
      <c r="G23" s="669">
        <f t="shared" si="2"/>
        <v>30.738627508037098</v>
      </c>
    </row>
    <row r="24" spans="1:7" ht="12.75">
      <c r="A24" s="12">
        <v>2024</v>
      </c>
      <c r="B24" s="669">
        <f t="shared" si="2"/>
        <v>185.0503922785574</v>
      </c>
      <c r="C24" s="669">
        <f t="shared" si="2"/>
        <v>17.914466593676025</v>
      </c>
      <c r="D24" s="669">
        <f t="shared" si="2"/>
        <v>-8.097231633873946</v>
      </c>
      <c r="E24" s="669">
        <f t="shared" si="2"/>
        <v>-0.8926283475773431</v>
      </c>
      <c r="F24" s="669">
        <f t="shared" si="2"/>
        <v>-0.04482443898625377</v>
      </c>
      <c r="G24" s="669">
        <f t="shared" si="2"/>
        <v>30.8890115954282</v>
      </c>
    </row>
    <row r="25" spans="2:7" ht="12.75">
      <c r="B25" s="671">
        <f aca="true" t="shared" si="3" ref="B25:G25">SUM(B23:B24)</f>
        <v>368.5356374863004</v>
      </c>
      <c r="C25" s="671">
        <f t="shared" si="3"/>
        <v>35.70961987256578</v>
      </c>
      <c r="D25" s="671">
        <f t="shared" si="3"/>
        <v>-16.619390796525465</v>
      </c>
      <c r="E25" s="671">
        <f t="shared" si="3"/>
        <v>-1.8021385059333141</v>
      </c>
      <c r="F25" s="671">
        <f t="shared" si="3"/>
        <v>-0.0898901754701118</v>
      </c>
      <c r="G25" s="671">
        <f t="shared" si="3"/>
        <v>61.6276391034653</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tabColor theme="4" tint="0.5999900102615356"/>
  </sheetPr>
  <dimension ref="A3:V136"/>
  <sheetViews>
    <sheetView showGridLines="0" zoomScalePageLayoutView="0" workbookViewId="0" topLeftCell="A4">
      <selection activeCell="M25" sqref="M25"/>
    </sheetView>
  </sheetViews>
  <sheetFormatPr defaultColWidth="9.33203125" defaultRowHeight="12.75"/>
  <cols>
    <col min="1" max="1" width="28.33203125" style="146" bestFit="1" customWidth="1"/>
    <col min="2" max="2" width="18" style="145" customWidth="1"/>
    <col min="3" max="7" width="16.5" style="231" customWidth="1"/>
    <col min="8" max="8" width="18" style="145" customWidth="1"/>
    <col min="9" max="9" width="6.33203125" style="151" customWidth="1"/>
    <col min="10" max="16" width="17" style="145" customWidth="1"/>
    <col min="17" max="17" width="4.16015625" style="144" customWidth="1"/>
    <col min="18" max="18" width="5.66015625" style="144" customWidth="1"/>
    <col min="19" max="19" width="9.33203125" style="144" customWidth="1"/>
    <col min="20" max="20" width="10" style="144" bestFit="1" customWidth="1"/>
    <col min="21" max="16384" width="9.33203125" style="144" customWidth="1"/>
  </cols>
  <sheetData>
    <row r="2" ht="13.5" thickBot="1"/>
    <row r="3" spans="1:16" ht="22.5" customHeight="1">
      <c r="A3" s="702" t="s">
        <v>134</v>
      </c>
      <c r="B3" s="703"/>
      <c r="C3" s="703"/>
      <c r="D3" s="703"/>
      <c r="E3" s="703"/>
      <c r="F3" s="703"/>
      <c r="G3" s="703"/>
      <c r="H3" s="704"/>
      <c r="I3" s="218"/>
      <c r="J3" s="702" t="s">
        <v>97</v>
      </c>
      <c r="K3" s="703"/>
      <c r="L3" s="703"/>
      <c r="M3" s="703"/>
      <c r="N3" s="703"/>
      <c r="O3" s="703"/>
      <c r="P3" s="704"/>
    </row>
    <row r="4" spans="1:22" ht="33.75">
      <c r="A4" s="219"/>
      <c r="B4" s="215" t="s">
        <v>96</v>
      </c>
      <c r="C4" s="215" t="s">
        <v>95</v>
      </c>
      <c r="D4" s="215" t="s">
        <v>162</v>
      </c>
      <c r="E4" s="215" t="s">
        <v>161</v>
      </c>
      <c r="F4" s="215" t="s">
        <v>161</v>
      </c>
      <c r="G4" s="215" t="s">
        <v>161</v>
      </c>
      <c r="H4" s="215" t="s">
        <v>94</v>
      </c>
      <c r="I4" s="214"/>
      <c r="J4" s="215" t="s">
        <v>50</v>
      </c>
      <c r="K4" s="215" t="s">
        <v>51</v>
      </c>
      <c r="L4" s="215" t="s">
        <v>188</v>
      </c>
      <c r="M4" s="215" t="s">
        <v>228</v>
      </c>
      <c r="N4" s="215" t="s">
        <v>93</v>
      </c>
      <c r="O4" s="215" t="s">
        <v>187</v>
      </c>
      <c r="P4" s="215" t="s">
        <v>187</v>
      </c>
      <c r="Q4" s="169"/>
      <c r="S4" s="215" t="s">
        <v>245</v>
      </c>
      <c r="T4" s="215" t="s">
        <v>245</v>
      </c>
      <c r="U4" s="215" t="s">
        <v>246</v>
      </c>
      <c r="V4" s="215" t="s">
        <v>246</v>
      </c>
    </row>
    <row r="5" spans="1:22" ht="12.75">
      <c r="A5" s="220">
        <v>41275</v>
      </c>
      <c r="B5" s="165">
        <v>45827933.03</v>
      </c>
      <c r="C5" s="390"/>
      <c r="D5" s="391"/>
      <c r="E5" s="391"/>
      <c r="F5" s="391"/>
      <c r="G5" s="391"/>
      <c r="H5" s="165">
        <v>45827933.03</v>
      </c>
      <c r="I5" s="164"/>
      <c r="J5" s="392">
        <v>624.4000000000001</v>
      </c>
      <c r="K5" s="392">
        <v>0</v>
      </c>
      <c r="L5" s="392">
        <v>31</v>
      </c>
      <c r="M5" s="392">
        <v>0</v>
      </c>
      <c r="N5" s="379">
        <v>22638</v>
      </c>
      <c r="O5" s="392"/>
      <c r="P5" s="392"/>
      <c r="S5" s="392">
        <v>672.8</v>
      </c>
      <c r="T5" s="392">
        <v>0</v>
      </c>
      <c r="U5" s="392">
        <v>624.4000000000001</v>
      </c>
      <c r="V5" s="392">
        <v>0</v>
      </c>
    </row>
    <row r="6" spans="1:22" ht="12.75">
      <c r="A6" s="220">
        <v>41306</v>
      </c>
      <c r="B6" s="165">
        <v>41082657.47661409</v>
      </c>
      <c r="C6" s="390"/>
      <c r="D6" s="391"/>
      <c r="E6" s="391"/>
      <c r="F6" s="391"/>
      <c r="G6" s="391"/>
      <c r="H6" s="165">
        <v>41082657.47661409</v>
      </c>
      <c r="I6" s="164"/>
      <c r="J6" s="392">
        <v>631.4999999999999</v>
      </c>
      <c r="K6" s="392">
        <v>0</v>
      </c>
      <c r="L6" s="392">
        <v>28</v>
      </c>
      <c r="M6" s="392">
        <v>0</v>
      </c>
      <c r="N6" s="379">
        <v>22642</v>
      </c>
      <c r="O6" s="392"/>
      <c r="P6" s="392"/>
      <c r="S6" s="392">
        <v>673</v>
      </c>
      <c r="T6" s="392">
        <v>0</v>
      </c>
      <c r="U6" s="392">
        <v>631.4999999999999</v>
      </c>
      <c r="V6" s="392">
        <v>0</v>
      </c>
    </row>
    <row r="7" spans="1:22" ht="12.75">
      <c r="A7" s="220">
        <v>41334</v>
      </c>
      <c r="B7" s="165">
        <v>42975875.27200193</v>
      </c>
      <c r="C7" s="390"/>
      <c r="D7" s="391"/>
      <c r="E7" s="391"/>
      <c r="F7" s="391"/>
      <c r="G7" s="391"/>
      <c r="H7" s="165">
        <v>42975875.27200193</v>
      </c>
      <c r="I7" s="164"/>
      <c r="J7" s="392">
        <v>554.8</v>
      </c>
      <c r="K7" s="392">
        <v>0</v>
      </c>
      <c r="L7" s="392">
        <v>31</v>
      </c>
      <c r="M7" s="392">
        <v>0</v>
      </c>
      <c r="N7" s="379">
        <v>22644</v>
      </c>
      <c r="O7" s="392"/>
      <c r="P7" s="392"/>
      <c r="S7" s="392">
        <v>609.9999999999999</v>
      </c>
      <c r="T7" s="392">
        <v>0</v>
      </c>
      <c r="U7" s="392">
        <v>554.8</v>
      </c>
      <c r="V7" s="392">
        <v>0</v>
      </c>
    </row>
    <row r="8" spans="1:22" ht="12.75">
      <c r="A8" s="220">
        <v>41365</v>
      </c>
      <c r="B8" s="165">
        <v>36308877.8110785</v>
      </c>
      <c r="C8" s="390"/>
      <c r="D8" s="391"/>
      <c r="E8" s="391"/>
      <c r="F8" s="391"/>
      <c r="G8" s="391"/>
      <c r="H8" s="165">
        <v>36308877.8110785</v>
      </c>
      <c r="I8" s="164"/>
      <c r="J8" s="392">
        <v>358.6</v>
      </c>
      <c r="K8" s="392">
        <v>0</v>
      </c>
      <c r="L8" s="392">
        <v>30</v>
      </c>
      <c r="M8" s="392">
        <v>1</v>
      </c>
      <c r="N8" s="379">
        <v>22650</v>
      </c>
      <c r="O8" s="392"/>
      <c r="P8" s="392"/>
      <c r="S8" s="392">
        <v>405.50000000000006</v>
      </c>
      <c r="T8" s="392">
        <v>0</v>
      </c>
      <c r="U8" s="392">
        <v>358.6</v>
      </c>
      <c r="V8" s="392">
        <v>0</v>
      </c>
    </row>
    <row r="9" spans="1:22" ht="12.75">
      <c r="A9" s="220">
        <v>41395</v>
      </c>
      <c r="B9" s="165">
        <v>34245332.76808478</v>
      </c>
      <c r="C9" s="390"/>
      <c r="D9" s="391"/>
      <c r="E9" s="391"/>
      <c r="F9" s="391"/>
      <c r="G9" s="391"/>
      <c r="H9" s="165">
        <v>34245332.76808478</v>
      </c>
      <c r="I9" s="164"/>
      <c r="J9" s="392">
        <v>109.10000000000001</v>
      </c>
      <c r="K9" s="392">
        <v>23.1</v>
      </c>
      <c r="L9" s="392">
        <v>31</v>
      </c>
      <c r="M9" s="392">
        <v>1</v>
      </c>
      <c r="N9" s="379">
        <v>22772</v>
      </c>
      <c r="O9" s="392"/>
      <c r="P9" s="392"/>
      <c r="S9" s="392">
        <v>179.49999999999997</v>
      </c>
      <c r="T9" s="392">
        <v>9.200000000000001</v>
      </c>
      <c r="U9" s="392">
        <v>109.10000000000001</v>
      </c>
      <c r="V9" s="392">
        <v>23.1</v>
      </c>
    </row>
    <row r="10" spans="1:22" ht="12.75">
      <c r="A10" s="220">
        <v>41426</v>
      </c>
      <c r="B10" s="165">
        <v>33534201.495923758</v>
      </c>
      <c r="C10" s="390"/>
      <c r="D10" s="391"/>
      <c r="E10" s="391"/>
      <c r="F10" s="391"/>
      <c r="G10" s="391"/>
      <c r="H10" s="165">
        <v>33534201.495923758</v>
      </c>
      <c r="I10" s="164"/>
      <c r="J10" s="392">
        <v>32.99999999999999</v>
      </c>
      <c r="K10" s="392">
        <v>59.6</v>
      </c>
      <c r="L10" s="392">
        <v>30</v>
      </c>
      <c r="M10" s="392">
        <v>1</v>
      </c>
      <c r="N10" s="379">
        <v>22689</v>
      </c>
      <c r="O10" s="392"/>
      <c r="P10" s="392"/>
      <c r="S10" s="392">
        <v>86.5</v>
      </c>
      <c r="T10" s="392">
        <v>23.400000000000002</v>
      </c>
      <c r="U10" s="392">
        <v>32.99999999999999</v>
      </c>
      <c r="V10" s="392">
        <v>59.6</v>
      </c>
    </row>
    <row r="11" spans="1:22" ht="12.75">
      <c r="A11" s="220">
        <v>41456</v>
      </c>
      <c r="B11" s="165">
        <v>34321062.79874033</v>
      </c>
      <c r="C11" s="390"/>
      <c r="D11" s="391"/>
      <c r="E11" s="391"/>
      <c r="F11" s="391"/>
      <c r="G11" s="391"/>
      <c r="H11" s="165">
        <v>34321062.79874033</v>
      </c>
      <c r="I11" s="164"/>
      <c r="J11" s="392">
        <v>1.2999999999999998</v>
      </c>
      <c r="K11" s="392">
        <v>120.80000000000003</v>
      </c>
      <c r="L11" s="392">
        <v>31</v>
      </c>
      <c r="M11" s="392">
        <v>0</v>
      </c>
      <c r="N11" s="379">
        <v>22690</v>
      </c>
      <c r="O11" s="392"/>
      <c r="P11" s="392"/>
      <c r="S11" s="392">
        <v>25.300000000000004</v>
      </c>
      <c r="T11" s="392">
        <v>70.70000000000002</v>
      </c>
      <c r="U11" s="392">
        <v>1.2999999999999998</v>
      </c>
      <c r="V11" s="392">
        <v>120.80000000000003</v>
      </c>
    </row>
    <row r="12" spans="1:22" ht="12.75">
      <c r="A12" s="220">
        <v>41487</v>
      </c>
      <c r="B12" s="165">
        <v>34126512.26</v>
      </c>
      <c r="C12" s="390"/>
      <c r="D12" s="391"/>
      <c r="E12" s="391"/>
      <c r="F12" s="391"/>
      <c r="G12" s="391"/>
      <c r="H12" s="165">
        <v>34126512.26</v>
      </c>
      <c r="I12" s="164"/>
      <c r="J12" s="392">
        <v>4.4</v>
      </c>
      <c r="K12" s="392">
        <v>93.79999999999998</v>
      </c>
      <c r="L12" s="392">
        <v>31</v>
      </c>
      <c r="M12" s="392">
        <v>0</v>
      </c>
      <c r="N12" s="379">
        <v>22703</v>
      </c>
      <c r="O12" s="392"/>
      <c r="P12" s="392"/>
      <c r="S12" s="392">
        <v>35.2</v>
      </c>
      <c r="T12" s="392">
        <v>35.2</v>
      </c>
      <c r="U12" s="392">
        <v>4.4</v>
      </c>
      <c r="V12" s="392">
        <v>93.79999999999998</v>
      </c>
    </row>
    <row r="13" spans="1:22" ht="12.75">
      <c r="A13" s="220">
        <v>41518</v>
      </c>
      <c r="B13" s="165">
        <v>32127846.8</v>
      </c>
      <c r="C13" s="390"/>
      <c r="D13" s="391"/>
      <c r="E13" s="391"/>
      <c r="F13" s="391"/>
      <c r="G13" s="391"/>
      <c r="H13" s="165">
        <v>32127846.8</v>
      </c>
      <c r="I13" s="164"/>
      <c r="J13" s="392">
        <v>82.99999999999999</v>
      </c>
      <c r="K13" s="392">
        <v>28.099999999999998</v>
      </c>
      <c r="L13" s="392">
        <v>30</v>
      </c>
      <c r="M13" s="392">
        <v>1</v>
      </c>
      <c r="N13" s="379">
        <v>22715</v>
      </c>
      <c r="O13" s="392"/>
      <c r="P13" s="392"/>
      <c r="S13" s="392">
        <v>140.20000000000002</v>
      </c>
      <c r="T13" s="392">
        <v>17</v>
      </c>
      <c r="U13" s="392">
        <v>82.99999999999999</v>
      </c>
      <c r="V13" s="392">
        <v>28.099999999999998</v>
      </c>
    </row>
    <row r="14" spans="1:22" ht="12.75">
      <c r="A14" s="220">
        <v>41548</v>
      </c>
      <c r="B14" s="165">
        <v>35018158.9</v>
      </c>
      <c r="C14" s="390"/>
      <c r="D14" s="391"/>
      <c r="E14" s="391"/>
      <c r="F14" s="391"/>
      <c r="G14" s="391"/>
      <c r="H14" s="165">
        <v>35018158.9</v>
      </c>
      <c r="I14" s="164"/>
      <c r="J14" s="392">
        <v>208.5</v>
      </c>
      <c r="K14" s="392">
        <v>0.4</v>
      </c>
      <c r="L14" s="392">
        <v>31</v>
      </c>
      <c r="M14" s="392">
        <v>1</v>
      </c>
      <c r="N14" s="379">
        <v>22733</v>
      </c>
      <c r="O14" s="392"/>
      <c r="P14" s="392"/>
      <c r="S14" s="392">
        <v>255.70000000000002</v>
      </c>
      <c r="T14" s="392">
        <v>0</v>
      </c>
      <c r="U14" s="392">
        <v>208.5</v>
      </c>
      <c r="V14" s="392">
        <v>0.4</v>
      </c>
    </row>
    <row r="15" spans="1:22" ht="12.75">
      <c r="A15" s="220">
        <v>41579</v>
      </c>
      <c r="B15" s="165">
        <v>39153191.85</v>
      </c>
      <c r="C15" s="390"/>
      <c r="D15" s="391"/>
      <c r="E15" s="391"/>
      <c r="F15" s="391"/>
      <c r="G15" s="391"/>
      <c r="H15" s="165">
        <v>39153191.85</v>
      </c>
      <c r="I15" s="164"/>
      <c r="J15" s="392">
        <v>478.20000000000005</v>
      </c>
      <c r="K15" s="392">
        <v>0</v>
      </c>
      <c r="L15" s="392">
        <v>30</v>
      </c>
      <c r="M15" s="392">
        <v>1</v>
      </c>
      <c r="N15" s="379">
        <v>22739</v>
      </c>
      <c r="O15" s="392"/>
      <c r="P15" s="392"/>
      <c r="S15" s="392">
        <v>499.1000000000001</v>
      </c>
      <c r="T15" s="392">
        <v>0</v>
      </c>
      <c r="U15" s="392">
        <v>478.20000000000005</v>
      </c>
      <c r="V15" s="392">
        <v>0</v>
      </c>
    </row>
    <row r="16" spans="1:22" ht="12.75">
      <c r="A16" s="220">
        <v>41609</v>
      </c>
      <c r="B16" s="165">
        <v>46270575.63</v>
      </c>
      <c r="C16" s="390"/>
      <c r="D16" s="391"/>
      <c r="E16" s="391"/>
      <c r="F16" s="391"/>
      <c r="G16" s="391"/>
      <c r="H16" s="165">
        <v>46270575.63</v>
      </c>
      <c r="I16" s="164"/>
      <c r="J16" s="392">
        <v>687.9</v>
      </c>
      <c r="K16" s="392">
        <v>0</v>
      </c>
      <c r="L16" s="392">
        <v>31</v>
      </c>
      <c r="M16" s="392">
        <v>0</v>
      </c>
      <c r="N16" s="379">
        <v>22752</v>
      </c>
      <c r="O16" s="392"/>
      <c r="P16" s="392"/>
      <c r="S16" s="392">
        <v>741.1999999999997</v>
      </c>
      <c r="T16" s="392">
        <v>0</v>
      </c>
      <c r="U16" s="392">
        <v>687.9</v>
      </c>
      <c r="V16" s="392">
        <v>0</v>
      </c>
    </row>
    <row r="17" spans="1:22" ht="12.75">
      <c r="A17" s="220">
        <v>41640</v>
      </c>
      <c r="B17" s="165">
        <v>48560155.92</v>
      </c>
      <c r="C17" s="390"/>
      <c r="D17" s="391"/>
      <c r="E17" s="391"/>
      <c r="F17" s="391"/>
      <c r="G17" s="391"/>
      <c r="H17" s="165">
        <v>48560155.92</v>
      </c>
      <c r="I17" s="164"/>
      <c r="J17" s="392">
        <v>825.9000000000001</v>
      </c>
      <c r="K17" s="392">
        <v>0</v>
      </c>
      <c r="L17" s="392">
        <v>31</v>
      </c>
      <c r="M17" s="392">
        <v>0</v>
      </c>
      <c r="N17" s="379">
        <v>22761</v>
      </c>
      <c r="O17" s="392"/>
      <c r="P17" s="392"/>
      <c r="S17" s="392">
        <v>841.3000000000001</v>
      </c>
      <c r="T17" s="392">
        <v>0</v>
      </c>
      <c r="U17" s="392">
        <v>825.9000000000001</v>
      </c>
      <c r="V17" s="392">
        <v>0</v>
      </c>
    </row>
    <row r="18" spans="1:22" ht="12.75">
      <c r="A18" s="220">
        <v>41671</v>
      </c>
      <c r="B18" s="165">
        <v>43502029.07</v>
      </c>
      <c r="C18" s="390"/>
      <c r="D18" s="391"/>
      <c r="E18" s="391"/>
      <c r="F18" s="391"/>
      <c r="G18" s="391"/>
      <c r="H18" s="165">
        <v>43502029.07</v>
      </c>
      <c r="I18" s="164"/>
      <c r="J18" s="392">
        <v>737.0999999999999</v>
      </c>
      <c r="K18" s="392">
        <v>0</v>
      </c>
      <c r="L18" s="392">
        <v>29</v>
      </c>
      <c r="M18" s="392">
        <v>0</v>
      </c>
      <c r="N18" s="379">
        <v>22761</v>
      </c>
      <c r="O18" s="392"/>
      <c r="P18" s="392"/>
      <c r="S18" s="392">
        <v>794.4999999999999</v>
      </c>
      <c r="T18" s="392">
        <v>0</v>
      </c>
      <c r="U18" s="392">
        <v>737.0999999999999</v>
      </c>
      <c r="V18" s="392">
        <v>0</v>
      </c>
    </row>
    <row r="19" spans="1:22" ht="12.75">
      <c r="A19" s="220">
        <v>41699</v>
      </c>
      <c r="B19" s="165">
        <v>44749295.58</v>
      </c>
      <c r="C19" s="390"/>
      <c r="D19" s="391"/>
      <c r="E19" s="391"/>
      <c r="F19" s="391"/>
      <c r="G19" s="391"/>
      <c r="H19" s="165">
        <v>44749295.58</v>
      </c>
      <c r="I19" s="164"/>
      <c r="J19" s="392">
        <v>690.6</v>
      </c>
      <c r="K19" s="392">
        <v>0</v>
      </c>
      <c r="L19" s="392">
        <v>31</v>
      </c>
      <c r="M19" s="392">
        <v>0</v>
      </c>
      <c r="N19" s="379">
        <v>22775</v>
      </c>
      <c r="O19" s="392"/>
      <c r="P19" s="392"/>
      <c r="S19" s="392">
        <v>777.6999999999998</v>
      </c>
      <c r="T19" s="392">
        <v>0</v>
      </c>
      <c r="U19" s="392">
        <v>690.6</v>
      </c>
      <c r="V19" s="392">
        <v>0</v>
      </c>
    </row>
    <row r="20" spans="1:22" ht="12.75">
      <c r="A20" s="220">
        <v>41730</v>
      </c>
      <c r="B20" s="165">
        <v>36703501.6</v>
      </c>
      <c r="C20" s="390"/>
      <c r="D20" s="391"/>
      <c r="E20" s="391"/>
      <c r="F20" s="391"/>
      <c r="G20" s="391"/>
      <c r="H20" s="165">
        <v>36703501.6</v>
      </c>
      <c r="I20" s="164"/>
      <c r="J20" s="392">
        <v>356.90000000000003</v>
      </c>
      <c r="K20" s="392">
        <v>0</v>
      </c>
      <c r="L20" s="392">
        <v>30</v>
      </c>
      <c r="M20" s="392">
        <v>1</v>
      </c>
      <c r="N20" s="379">
        <v>22776</v>
      </c>
      <c r="O20" s="392"/>
      <c r="P20" s="392"/>
      <c r="S20" s="392">
        <v>418.00000000000006</v>
      </c>
      <c r="T20" s="392">
        <v>0</v>
      </c>
      <c r="U20" s="392">
        <v>356.90000000000003</v>
      </c>
      <c r="V20" s="392">
        <v>0</v>
      </c>
    </row>
    <row r="21" spans="1:22" ht="12.75">
      <c r="A21" s="220">
        <v>41760</v>
      </c>
      <c r="B21" s="165">
        <v>33120207.87</v>
      </c>
      <c r="C21" s="390"/>
      <c r="D21" s="391"/>
      <c r="E21" s="391"/>
      <c r="F21" s="391"/>
      <c r="G21" s="391"/>
      <c r="H21" s="165">
        <v>33120207.87</v>
      </c>
      <c r="I21" s="164"/>
      <c r="J21" s="392">
        <v>132.10000000000005</v>
      </c>
      <c r="K21" s="392">
        <v>11.9</v>
      </c>
      <c r="L21" s="392">
        <v>31</v>
      </c>
      <c r="M21" s="392">
        <v>1</v>
      </c>
      <c r="N21" s="379">
        <v>22781</v>
      </c>
      <c r="O21" s="392"/>
      <c r="P21" s="392"/>
      <c r="S21" s="392">
        <v>211.69999999999993</v>
      </c>
      <c r="T21" s="392">
        <v>2.2</v>
      </c>
      <c r="U21" s="392">
        <v>132.10000000000005</v>
      </c>
      <c r="V21" s="392">
        <v>11.9</v>
      </c>
    </row>
    <row r="22" spans="1:22" ht="12.75">
      <c r="A22" s="220">
        <v>41791</v>
      </c>
      <c r="B22" s="165">
        <v>31986696.49</v>
      </c>
      <c r="C22" s="390"/>
      <c r="D22" s="391"/>
      <c r="E22" s="391"/>
      <c r="F22" s="391"/>
      <c r="G22" s="391"/>
      <c r="H22" s="165">
        <v>31986696.49</v>
      </c>
      <c r="I22" s="164"/>
      <c r="J22" s="392">
        <v>14.1</v>
      </c>
      <c r="K22" s="392">
        <v>68.1</v>
      </c>
      <c r="L22" s="392">
        <v>30</v>
      </c>
      <c r="M22" s="392">
        <v>1</v>
      </c>
      <c r="N22" s="379">
        <v>22777</v>
      </c>
      <c r="O22" s="392"/>
      <c r="P22" s="392"/>
      <c r="S22" s="392">
        <v>65.39999999999999</v>
      </c>
      <c r="T22" s="392">
        <v>27</v>
      </c>
      <c r="U22" s="392">
        <v>14.1</v>
      </c>
      <c r="V22" s="392">
        <v>68.1</v>
      </c>
    </row>
    <row r="23" spans="1:22" ht="12.75">
      <c r="A23" s="220">
        <v>41821</v>
      </c>
      <c r="B23" s="165">
        <v>33114324.39</v>
      </c>
      <c r="C23" s="390"/>
      <c r="D23" s="391"/>
      <c r="E23" s="391"/>
      <c r="F23" s="391"/>
      <c r="G23" s="391"/>
      <c r="H23" s="165">
        <v>33114324.39</v>
      </c>
      <c r="I23" s="164"/>
      <c r="J23" s="392">
        <v>4</v>
      </c>
      <c r="K23" s="392">
        <v>71</v>
      </c>
      <c r="L23" s="392">
        <v>31</v>
      </c>
      <c r="M23" s="392">
        <v>0</v>
      </c>
      <c r="N23" s="379">
        <v>22798</v>
      </c>
      <c r="O23" s="392"/>
      <c r="P23" s="392"/>
      <c r="S23" s="392">
        <v>67.39999999999999</v>
      </c>
      <c r="T23" s="392">
        <v>15.8</v>
      </c>
      <c r="U23" s="392">
        <v>4</v>
      </c>
      <c r="V23" s="392">
        <v>71</v>
      </c>
    </row>
    <row r="24" spans="1:22" ht="12.75">
      <c r="A24" s="220">
        <v>41852</v>
      </c>
      <c r="B24" s="165">
        <v>32996892.32</v>
      </c>
      <c r="C24" s="390"/>
      <c r="D24" s="391"/>
      <c r="E24" s="391"/>
      <c r="F24" s="391"/>
      <c r="G24" s="391"/>
      <c r="H24" s="165">
        <v>32996892.32</v>
      </c>
      <c r="I24" s="164"/>
      <c r="J24" s="392">
        <v>8.799999999999999</v>
      </c>
      <c r="K24" s="392">
        <v>81.79999999999998</v>
      </c>
      <c r="L24" s="392">
        <v>31</v>
      </c>
      <c r="M24" s="392">
        <v>0</v>
      </c>
      <c r="N24" s="379">
        <v>22810</v>
      </c>
      <c r="O24" s="392"/>
      <c r="P24" s="392"/>
      <c r="S24" s="392">
        <v>45.1</v>
      </c>
      <c r="T24" s="392">
        <v>19.299999999999997</v>
      </c>
      <c r="U24" s="392">
        <v>8.799999999999999</v>
      </c>
      <c r="V24" s="392">
        <v>81.79999999999998</v>
      </c>
    </row>
    <row r="25" spans="1:22" ht="12.75">
      <c r="A25" s="220">
        <v>41883</v>
      </c>
      <c r="B25" s="165">
        <v>31808440.35</v>
      </c>
      <c r="C25" s="390"/>
      <c r="D25" s="391"/>
      <c r="E25" s="391"/>
      <c r="F25" s="391"/>
      <c r="G25" s="391"/>
      <c r="H25" s="165">
        <v>31808440.35</v>
      </c>
      <c r="I25" s="164"/>
      <c r="J25" s="392">
        <v>69.70000000000002</v>
      </c>
      <c r="K25" s="392">
        <v>30.099999999999998</v>
      </c>
      <c r="L25" s="392">
        <v>30</v>
      </c>
      <c r="M25" s="392">
        <v>1</v>
      </c>
      <c r="N25" s="379">
        <v>22817</v>
      </c>
      <c r="O25" s="392"/>
      <c r="P25" s="392"/>
      <c r="S25" s="392">
        <v>112.5</v>
      </c>
      <c r="T25" s="392">
        <v>14.899999999999999</v>
      </c>
      <c r="U25" s="392">
        <v>69.70000000000002</v>
      </c>
      <c r="V25" s="392">
        <v>30.099999999999998</v>
      </c>
    </row>
    <row r="26" spans="1:22" ht="12.75">
      <c r="A26" s="220">
        <v>41913</v>
      </c>
      <c r="B26" s="165">
        <v>34772519.56</v>
      </c>
      <c r="C26" s="390"/>
      <c r="D26" s="391"/>
      <c r="E26" s="391"/>
      <c r="F26" s="391"/>
      <c r="G26" s="391"/>
      <c r="H26" s="165">
        <v>34772519.56</v>
      </c>
      <c r="I26" s="164"/>
      <c r="J26" s="392">
        <v>224.30000000000004</v>
      </c>
      <c r="K26" s="392">
        <v>1.3</v>
      </c>
      <c r="L26" s="392">
        <v>31</v>
      </c>
      <c r="M26" s="392">
        <v>1</v>
      </c>
      <c r="N26" s="379">
        <v>22832</v>
      </c>
      <c r="O26" s="392"/>
      <c r="P26" s="392"/>
      <c r="S26" s="392">
        <v>270.8</v>
      </c>
      <c r="T26" s="392">
        <v>0.3</v>
      </c>
      <c r="U26" s="392">
        <v>224.30000000000004</v>
      </c>
      <c r="V26" s="392">
        <v>1.3</v>
      </c>
    </row>
    <row r="27" spans="1:22" ht="12.75">
      <c r="A27" s="220">
        <v>41944</v>
      </c>
      <c r="B27" s="165">
        <v>39442096.3</v>
      </c>
      <c r="C27" s="390"/>
      <c r="D27" s="391"/>
      <c r="E27" s="391"/>
      <c r="F27" s="391"/>
      <c r="G27" s="391"/>
      <c r="H27" s="165">
        <v>39442096.3</v>
      </c>
      <c r="I27" s="164"/>
      <c r="J27" s="392">
        <v>482.1</v>
      </c>
      <c r="K27" s="392">
        <v>0</v>
      </c>
      <c r="L27" s="392">
        <v>30</v>
      </c>
      <c r="M27" s="392">
        <v>1</v>
      </c>
      <c r="N27" s="379">
        <v>22846</v>
      </c>
      <c r="O27" s="392"/>
      <c r="P27" s="392"/>
      <c r="S27" s="392">
        <v>516.2</v>
      </c>
      <c r="T27" s="392">
        <v>0</v>
      </c>
      <c r="U27" s="392">
        <v>482.1</v>
      </c>
      <c r="V27" s="392">
        <v>0</v>
      </c>
    </row>
    <row r="28" spans="1:22" ht="12.75">
      <c r="A28" s="220">
        <v>41974</v>
      </c>
      <c r="B28" s="165">
        <v>42249291.58</v>
      </c>
      <c r="C28" s="390"/>
      <c r="D28" s="391"/>
      <c r="E28" s="391"/>
      <c r="F28" s="391"/>
      <c r="G28" s="391"/>
      <c r="H28" s="165">
        <v>42249291.58</v>
      </c>
      <c r="I28" s="164"/>
      <c r="J28" s="392">
        <v>557.3</v>
      </c>
      <c r="K28" s="392">
        <v>0</v>
      </c>
      <c r="L28" s="392">
        <v>31</v>
      </c>
      <c r="M28" s="392">
        <v>0</v>
      </c>
      <c r="N28" s="379">
        <v>22854</v>
      </c>
      <c r="O28" s="392"/>
      <c r="P28" s="392"/>
      <c r="S28" s="392">
        <v>603.3</v>
      </c>
      <c r="T28" s="392">
        <v>0</v>
      </c>
      <c r="U28" s="392">
        <v>557.3</v>
      </c>
      <c r="V28" s="392">
        <v>0</v>
      </c>
    </row>
    <row r="29" spans="1:22" ht="12.75">
      <c r="A29" s="220">
        <v>42005</v>
      </c>
      <c r="B29" s="165">
        <v>48032768.75</v>
      </c>
      <c r="C29" s="390"/>
      <c r="D29" s="391"/>
      <c r="E29" s="391"/>
      <c r="F29" s="391"/>
      <c r="G29" s="391"/>
      <c r="H29" s="165">
        <v>48032768.75</v>
      </c>
      <c r="I29" s="164"/>
      <c r="J29" s="392">
        <v>792.3999999999997</v>
      </c>
      <c r="K29" s="392">
        <v>0</v>
      </c>
      <c r="L29" s="392">
        <v>31</v>
      </c>
      <c r="M29" s="392">
        <v>0</v>
      </c>
      <c r="N29" s="379">
        <v>22856</v>
      </c>
      <c r="O29" s="392"/>
      <c r="P29" s="392"/>
      <c r="S29" s="392">
        <v>860.8000000000002</v>
      </c>
      <c r="T29" s="392">
        <v>0</v>
      </c>
      <c r="U29" s="392">
        <v>792.3999999999997</v>
      </c>
      <c r="V29" s="392">
        <v>0</v>
      </c>
    </row>
    <row r="30" spans="1:22" ht="12.75">
      <c r="A30" s="220">
        <v>42036</v>
      </c>
      <c r="B30" s="165">
        <v>47536664.53</v>
      </c>
      <c r="C30" s="390"/>
      <c r="D30" s="391"/>
      <c r="E30" s="391"/>
      <c r="F30" s="391"/>
      <c r="G30" s="391"/>
      <c r="H30" s="165">
        <v>47536664.53</v>
      </c>
      <c r="I30" s="164"/>
      <c r="J30" s="392">
        <v>856.8</v>
      </c>
      <c r="K30" s="392">
        <v>0</v>
      </c>
      <c r="L30" s="392">
        <v>28</v>
      </c>
      <c r="M30" s="392">
        <v>0</v>
      </c>
      <c r="N30" s="379">
        <v>22870</v>
      </c>
      <c r="O30" s="392"/>
      <c r="P30" s="392"/>
      <c r="S30" s="392">
        <v>930.1</v>
      </c>
      <c r="T30" s="392">
        <v>0</v>
      </c>
      <c r="U30" s="392">
        <v>856.8</v>
      </c>
      <c r="V30" s="392">
        <v>0</v>
      </c>
    </row>
    <row r="31" spans="1:22" ht="12.75">
      <c r="A31" s="220">
        <v>42064</v>
      </c>
      <c r="B31" s="165">
        <v>43095042.19</v>
      </c>
      <c r="C31" s="390"/>
      <c r="D31" s="391"/>
      <c r="E31" s="391"/>
      <c r="F31" s="391"/>
      <c r="G31" s="391"/>
      <c r="H31" s="165">
        <v>43095042.19</v>
      </c>
      <c r="I31" s="164"/>
      <c r="J31" s="392">
        <v>615.4999999999999</v>
      </c>
      <c r="K31" s="392">
        <v>0</v>
      </c>
      <c r="L31" s="392">
        <v>31</v>
      </c>
      <c r="M31" s="392">
        <v>0</v>
      </c>
      <c r="N31" s="379">
        <v>22868</v>
      </c>
      <c r="O31" s="392"/>
      <c r="P31" s="392"/>
      <c r="S31" s="392">
        <v>696.8999999999999</v>
      </c>
      <c r="T31" s="392">
        <v>0</v>
      </c>
      <c r="U31" s="392">
        <v>615.4999999999999</v>
      </c>
      <c r="V31" s="392">
        <v>0</v>
      </c>
    </row>
    <row r="32" spans="1:22" ht="12.75">
      <c r="A32" s="220">
        <v>42095</v>
      </c>
      <c r="B32" s="165">
        <v>34966161.03</v>
      </c>
      <c r="C32" s="390"/>
      <c r="D32" s="391"/>
      <c r="E32" s="391"/>
      <c r="F32" s="391"/>
      <c r="G32" s="391"/>
      <c r="H32" s="165">
        <v>34966161.03</v>
      </c>
      <c r="I32" s="164"/>
      <c r="J32" s="392">
        <v>313.7</v>
      </c>
      <c r="K32" s="392">
        <v>0</v>
      </c>
      <c r="L32" s="392">
        <v>30</v>
      </c>
      <c r="M32" s="392">
        <v>1</v>
      </c>
      <c r="N32" s="379">
        <v>22862</v>
      </c>
      <c r="O32" s="392"/>
      <c r="P32" s="392"/>
      <c r="S32" s="392">
        <v>395.09999999999985</v>
      </c>
      <c r="T32" s="392">
        <v>0</v>
      </c>
      <c r="U32" s="392">
        <v>313.7</v>
      </c>
      <c r="V32" s="392">
        <v>0</v>
      </c>
    </row>
    <row r="33" spans="1:22" ht="12.75">
      <c r="A33" s="220">
        <v>42125</v>
      </c>
      <c r="B33" s="165">
        <v>32451518.59</v>
      </c>
      <c r="C33" s="390"/>
      <c r="D33" s="391"/>
      <c r="E33" s="391"/>
      <c r="F33" s="391"/>
      <c r="G33" s="391"/>
      <c r="H33" s="165">
        <v>32451518.59</v>
      </c>
      <c r="I33" s="164"/>
      <c r="J33" s="392">
        <v>89.3</v>
      </c>
      <c r="K33" s="392">
        <v>34.1</v>
      </c>
      <c r="L33" s="392">
        <v>31</v>
      </c>
      <c r="M33" s="392">
        <v>1</v>
      </c>
      <c r="N33" s="379">
        <v>22873</v>
      </c>
      <c r="O33" s="392"/>
      <c r="P33" s="392"/>
      <c r="S33" s="392">
        <v>176.8</v>
      </c>
      <c r="T33" s="392">
        <v>7.7</v>
      </c>
      <c r="U33" s="392">
        <v>89.3</v>
      </c>
      <c r="V33" s="392">
        <v>34.1</v>
      </c>
    </row>
    <row r="34" spans="1:22" ht="12.75">
      <c r="A34" s="220">
        <v>42156</v>
      </c>
      <c r="B34" s="165">
        <v>31428888.54</v>
      </c>
      <c r="C34" s="390"/>
      <c r="D34" s="391"/>
      <c r="E34" s="391"/>
      <c r="F34" s="391"/>
      <c r="G34" s="391"/>
      <c r="H34" s="165">
        <v>31428888.54</v>
      </c>
      <c r="I34" s="164"/>
      <c r="J34" s="392">
        <v>33.800000000000004</v>
      </c>
      <c r="K34" s="392">
        <v>32.3</v>
      </c>
      <c r="L34" s="392">
        <v>30</v>
      </c>
      <c r="M34" s="392">
        <v>1</v>
      </c>
      <c r="N34" s="379">
        <v>22869</v>
      </c>
      <c r="O34" s="392"/>
      <c r="P34" s="392"/>
      <c r="S34" s="392">
        <v>95.70000000000002</v>
      </c>
      <c r="T34" s="392">
        <v>0.4</v>
      </c>
      <c r="U34" s="392">
        <v>33.800000000000004</v>
      </c>
      <c r="V34" s="392">
        <v>32.3</v>
      </c>
    </row>
    <row r="35" spans="1:22" ht="12.75">
      <c r="A35" s="220">
        <v>42186</v>
      </c>
      <c r="B35" s="165">
        <v>34059070.67</v>
      </c>
      <c r="C35" s="390"/>
      <c r="D35" s="391"/>
      <c r="E35" s="391"/>
      <c r="F35" s="391"/>
      <c r="G35" s="391"/>
      <c r="H35" s="165">
        <v>34059070.67</v>
      </c>
      <c r="I35" s="164"/>
      <c r="J35" s="392">
        <v>4</v>
      </c>
      <c r="K35" s="392">
        <v>114.29999999999998</v>
      </c>
      <c r="L35" s="392">
        <v>31</v>
      </c>
      <c r="M35" s="392">
        <v>0</v>
      </c>
      <c r="N35" s="379">
        <v>22899</v>
      </c>
      <c r="O35" s="392"/>
      <c r="P35" s="392"/>
      <c r="S35" s="392">
        <v>34.1</v>
      </c>
      <c r="T35" s="392">
        <v>38.5</v>
      </c>
      <c r="U35" s="392">
        <v>4</v>
      </c>
      <c r="V35" s="392">
        <v>114.29999999999998</v>
      </c>
    </row>
    <row r="36" spans="1:22" ht="12.75">
      <c r="A36" s="220">
        <v>42217</v>
      </c>
      <c r="B36" s="165">
        <v>34233108.6</v>
      </c>
      <c r="C36" s="390"/>
      <c r="D36" s="391"/>
      <c r="E36" s="391"/>
      <c r="F36" s="391"/>
      <c r="G36" s="391"/>
      <c r="H36" s="165">
        <v>34233108.6</v>
      </c>
      <c r="I36" s="164"/>
      <c r="J36" s="392">
        <v>4.4</v>
      </c>
      <c r="K36" s="392">
        <v>88.6</v>
      </c>
      <c r="L36" s="392">
        <v>31</v>
      </c>
      <c r="M36" s="392">
        <v>0</v>
      </c>
      <c r="N36" s="379">
        <v>22925</v>
      </c>
      <c r="O36" s="392"/>
      <c r="P36" s="392"/>
      <c r="S36" s="392">
        <v>21.5</v>
      </c>
      <c r="T36" s="392">
        <v>42.50000000000001</v>
      </c>
      <c r="U36" s="392">
        <v>4.4</v>
      </c>
      <c r="V36" s="392">
        <v>88.6</v>
      </c>
    </row>
    <row r="37" spans="1:22" ht="12.75">
      <c r="A37" s="220">
        <v>42248</v>
      </c>
      <c r="B37" s="165">
        <v>33226978.69</v>
      </c>
      <c r="C37" s="390"/>
      <c r="D37" s="391"/>
      <c r="E37" s="391"/>
      <c r="F37" s="391"/>
      <c r="G37" s="391"/>
      <c r="H37" s="165">
        <v>33226978.69</v>
      </c>
      <c r="I37" s="164"/>
      <c r="J37" s="392">
        <v>31.099999999999994</v>
      </c>
      <c r="K37" s="392">
        <v>81.9</v>
      </c>
      <c r="L37" s="392">
        <v>30</v>
      </c>
      <c r="M37" s="392">
        <v>1</v>
      </c>
      <c r="N37" s="379">
        <v>22930</v>
      </c>
      <c r="O37" s="392"/>
      <c r="P37" s="392"/>
      <c r="S37" s="392">
        <v>55.8</v>
      </c>
      <c r="T37" s="392">
        <v>46.1</v>
      </c>
      <c r="U37" s="392">
        <v>31.099999999999994</v>
      </c>
      <c r="V37" s="392">
        <v>81.9</v>
      </c>
    </row>
    <row r="38" spans="1:22" ht="12.75">
      <c r="A38" s="220">
        <v>42278</v>
      </c>
      <c r="B38" s="165">
        <v>38729355</v>
      </c>
      <c r="C38" s="390"/>
      <c r="D38" s="391"/>
      <c r="E38" s="391"/>
      <c r="F38" s="391"/>
      <c r="G38" s="391"/>
      <c r="H38" s="165">
        <v>38729355</v>
      </c>
      <c r="I38" s="164"/>
      <c r="J38" s="392">
        <v>249.8</v>
      </c>
      <c r="K38" s="392">
        <v>0</v>
      </c>
      <c r="L38" s="392">
        <v>31</v>
      </c>
      <c r="M38" s="392">
        <v>1</v>
      </c>
      <c r="N38" s="379">
        <v>22975</v>
      </c>
      <c r="O38" s="392"/>
      <c r="P38" s="392"/>
      <c r="S38" s="392">
        <v>291.49999999999994</v>
      </c>
      <c r="T38" s="392">
        <v>0.4</v>
      </c>
      <c r="U38" s="392">
        <v>249.8</v>
      </c>
      <c r="V38" s="392">
        <v>0</v>
      </c>
    </row>
    <row r="39" spans="1:22" ht="12.75">
      <c r="A39" s="220">
        <v>42309</v>
      </c>
      <c r="B39" s="165">
        <v>35403758.38</v>
      </c>
      <c r="C39" s="390"/>
      <c r="D39" s="391"/>
      <c r="E39" s="391"/>
      <c r="F39" s="391"/>
      <c r="G39" s="391"/>
      <c r="H39" s="165">
        <v>35403758.38</v>
      </c>
      <c r="I39" s="164"/>
      <c r="J39" s="392">
        <v>345</v>
      </c>
      <c r="K39" s="392">
        <v>0</v>
      </c>
      <c r="L39" s="392">
        <v>30</v>
      </c>
      <c r="M39" s="392">
        <v>1</v>
      </c>
      <c r="N39" s="379">
        <v>22980</v>
      </c>
      <c r="O39" s="392"/>
      <c r="P39" s="392"/>
      <c r="S39" s="392">
        <v>364.5</v>
      </c>
      <c r="T39" s="392">
        <v>0</v>
      </c>
      <c r="U39" s="392">
        <v>345</v>
      </c>
      <c r="V39" s="392">
        <v>0</v>
      </c>
    </row>
    <row r="40" spans="1:22" ht="12.75">
      <c r="A40" s="220">
        <v>42339</v>
      </c>
      <c r="B40" s="165">
        <v>42249291.58</v>
      </c>
      <c r="C40" s="390"/>
      <c r="D40" s="391"/>
      <c r="E40" s="391"/>
      <c r="F40" s="391"/>
      <c r="G40" s="391"/>
      <c r="H40" s="165">
        <v>42249291.58</v>
      </c>
      <c r="I40" s="164"/>
      <c r="J40" s="392">
        <v>429.70000000000005</v>
      </c>
      <c r="K40" s="392">
        <v>0</v>
      </c>
      <c r="L40" s="392">
        <v>31</v>
      </c>
      <c r="M40" s="392">
        <v>0</v>
      </c>
      <c r="N40" s="379">
        <v>22854</v>
      </c>
      <c r="O40" s="392"/>
      <c r="P40" s="392"/>
      <c r="S40" s="392">
        <v>461.7</v>
      </c>
      <c r="T40" s="392">
        <v>0</v>
      </c>
      <c r="U40" s="392">
        <v>429.70000000000005</v>
      </c>
      <c r="V40" s="392">
        <v>0</v>
      </c>
    </row>
    <row r="41" spans="1:22" ht="12.75">
      <c r="A41" s="220">
        <v>42370</v>
      </c>
      <c r="B41" s="165">
        <v>44182306.67243714</v>
      </c>
      <c r="C41" s="390"/>
      <c r="D41" s="391"/>
      <c r="E41" s="391"/>
      <c r="F41" s="391"/>
      <c r="G41" s="391"/>
      <c r="H41" s="165">
        <v>44182306.67243714</v>
      </c>
      <c r="I41" s="164"/>
      <c r="J41" s="392">
        <v>670.4</v>
      </c>
      <c r="K41" s="392">
        <v>0</v>
      </c>
      <c r="L41" s="392">
        <v>31</v>
      </c>
      <c r="M41" s="392">
        <v>0</v>
      </c>
      <c r="N41" s="379">
        <v>22960</v>
      </c>
      <c r="O41" s="392"/>
      <c r="P41" s="392"/>
      <c r="S41" s="392">
        <v>708.0000000000003</v>
      </c>
      <c r="T41" s="392">
        <v>0</v>
      </c>
      <c r="U41" s="392">
        <v>670.4</v>
      </c>
      <c r="V41" s="392">
        <v>0</v>
      </c>
    </row>
    <row r="42" spans="1:22" ht="12.75">
      <c r="A42" s="220">
        <v>42401</v>
      </c>
      <c r="B42" s="165">
        <v>40734589.01369439</v>
      </c>
      <c r="C42" s="390"/>
      <c r="D42" s="391"/>
      <c r="E42" s="391"/>
      <c r="F42" s="391"/>
      <c r="G42" s="391"/>
      <c r="H42" s="165">
        <v>40734589.01369439</v>
      </c>
      <c r="I42" s="164"/>
      <c r="J42" s="392">
        <v>588.4</v>
      </c>
      <c r="K42" s="392">
        <v>0</v>
      </c>
      <c r="L42" s="392">
        <v>28</v>
      </c>
      <c r="M42" s="392">
        <v>0</v>
      </c>
      <c r="N42" s="379">
        <v>22988</v>
      </c>
      <c r="O42" s="392"/>
      <c r="P42" s="392"/>
      <c r="S42" s="392">
        <v>662.8000000000001</v>
      </c>
      <c r="T42" s="392">
        <v>0</v>
      </c>
      <c r="U42" s="392">
        <v>588.4</v>
      </c>
      <c r="V42" s="392">
        <v>0</v>
      </c>
    </row>
    <row r="43" spans="1:22" ht="12.75">
      <c r="A43" s="220">
        <v>42430</v>
      </c>
      <c r="B43" s="165">
        <v>39051917.365899414</v>
      </c>
      <c r="C43" s="390"/>
      <c r="D43" s="391"/>
      <c r="E43" s="391"/>
      <c r="F43" s="391"/>
      <c r="G43" s="391"/>
      <c r="H43" s="165">
        <v>39051917.365899414</v>
      </c>
      <c r="I43" s="164"/>
      <c r="J43" s="392">
        <v>476.0999999999998</v>
      </c>
      <c r="K43" s="392">
        <v>0</v>
      </c>
      <c r="L43" s="392">
        <v>31</v>
      </c>
      <c r="M43" s="392">
        <v>0</v>
      </c>
      <c r="N43" s="379">
        <v>23003</v>
      </c>
      <c r="O43" s="392"/>
      <c r="P43" s="392"/>
      <c r="S43" s="392">
        <v>535.3000000000001</v>
      </c>
      <c r="T43" s="392">
        <v>0</v>
      </c>
      <c r="U43" s="392">
        <v>476.0999999999998</v>
      </c>
      <c r="V43" s="392">
        <v>0</v>
      </c>
    </row>
    <row r="44" spans="1:22" ht="12.75">
      <c r="A44" s="220">
        <v>42461</v>
      </c>
      <c r="B44" s="165">
        <v>35582403.037717596</v>
      </c>
      <c r="C44" s="390"/>
      <c r="D44" s="391"/>
      <c r="E44" s="391"/>
      <c r="F44" s="391"/>
      <c r="G44" s="391"/>
      <c r="H44" s="165">
        <v>35582403.037717596</v>
      </c>
      <c r="I44" s="164"/>
      <c r="J44" s="392">
        <v>394.8</v>
      </c>
      <c r="K44" s="392">
        <v>0</v>
      </c>
      <c r="L44" s="392">
        <v>30</v>
      </c>
      <c r="M44" s="392">
        <v>1</v>
      </c>
      <c r="N44" s="379">
        <v>23007</v>
      </c>
      <c r="O44" s="392"/>
      <c r="P44" s="392"/>
      <c r="S44" s="392">
        <v>469.9000000000001</v>
      </c>
      <c r="T44" s="392">
        <v>0</v>
      </c>
      <c r="U44" s="392">
        <v>394.8</v>
      </c>
      <c r="V44" s="392">
        <v>0</v>
      </c>
    </row>
    <row r="45" spans="1:22" ht="12.75">
      <c r="A45" s="220">
        <v>42491</v>
      </c>
      <c r="B45" s="165">
        <v>32158070.062147</v>
      </c>
      <c r="C45" s="390"/>
      <c r="D45" s="391"/>
      <c r="E45" s="391"/>
      <c r="F45" s="391"/>
      <c r="G45" s="391"/>
      <c r="H45" s="165">
        <v>32158070.062147</v>
      </c>
      <c r="I45" s="164"/>
      <c r="J45" s="392">
        <v>142.50000000000003</v>
      </c>
      <c r="K45" s="392">
        <v>36.9</v>
      </c>
      <c r="L45" s="392">
        <v>31</v>
      </c>
      <c r="M45" s="392">
        <v>1</v>
      </c>
      <c r="N45" s="379">
        <v>23012</v>
      </c>
      <c r="O45" s="392"/>
      <c r="P45" s="392"/>
      <c r="S45" s="392">
        <v>212.4</v>
      </c>
      <c r="T45" s="392">
        <v>12.2</v>
      </c>
      <c r="U45" s="392">
        <v>142.50000000000003</v>
      </c>
      <c r="V45" s="392">
        <v>36.9</v>
      </c>
    </row>
    <row r="46" spans="1:22" ht="12.75">
      <c r="A46" s="220">
        <v>42522</v>
      </c>
      <c r="B46" s="165">
        <v>32230294.531470016</v>
      </c>
      <c r="C46" s="390"/>
      <c r="D46" s="391"/>
      <c r="E46" s="391"/>
      <c r="F46" s="391"/>
      <c r="G46" s="391"/>
      <c r="H46" s="165">
        <v>32230294.531470016</v>
      </c>
      <c r="I46" s="164"/>
      <c r="J46" s="392">
        <v>24.200000000000003</v>
      </c>
      <c r="K46" s="392">
        <v>83.7</v>
      </c>
      <c r="L46" s="392">
        <v>30</v>
      </c>
      <c r="M46" s="392">
        <v>1</v>
      </c>
      <c r="N46" s="379">
        <v>23028</v>
      </c>
      <c r="O46" s="392"/>
      <c r="P46" s="392"/>
      <c r="S46" s="392">
        <v>76.6</v>
      </c>
      <c r="T46" s="392">
        <v>16.5</v>
      </c>
      <c r="U46" s="392">
        <v>24.200000000000003</v>
      </c>
      <c r="V46" s="392">
        <v>83.7</v>
      </c>
    </row>
    <row r="47" spans="1:22" ht="12.75">
      <c r="A47" s="220">
        <v>42552</v>
      </c>
      <c r="B47" s="165">
        <v>36050965.38800774</v>
      </c>
      <c r="C47" s="390"/>
      <c r="D47" s="391"/>
      <c r="E47" s="391"/>
      <c r="F47" s="391"/>
      <c r="G47" s="391"/>
      <c r="H47" s="165">
        <v>36050965.38800774</v>
      </c>
      <c r="I47" s="164"/>
      <c r="J47" s="392">
        <v>0</v>
      </c>
      <c r="K47" s="392">
        <v>176.89999999999998</v>
      </c>
      <c r="L47" s="392">
        <v>31</v>
      </c>
      <c r="M47" s="392">
        <v>0</v>
      </c>
      <c r="N47" s="379">
        <v>23043</v>
      </c>
      <c r="O47" s="392"/>
      <c r="P47" s="392"/>
      <c r="S47" s="392">
        <v>13.1</v>
      </c>
      <c r="T47" s="392">
        <v>76.09999999999998</v>
      </c>
      <c r="U47" s="392">
        <v>0</v>
      </c>
      <c r="V47" s="392">
        <v>176.89999999999998</v>
      </c>
    </row>
    <row r="48" spans="1:22" ht="12.75">
      <c r="A48" s="220">
        <v>42583</v>
      </c>
      <c r="B48" s="165">
        <v>38144563.04270793</v>
      </c>
      <c r="C48" s="390"/>
      <c r="D48" s="391"/>
      <c r="E48" s="391"/>
      <c r="F48" s="391"/>
      <c r="G48" s="391"/>
      <c r="H48" s="165">
        <v>38144563.04270793</v>
      </c>
      <c r="I48" s="164"/>
      <c r="J48" s="392">
        <v>0</v>
      </c>
      <c r="K48" s="392">
        <v>195.4</v>
      </c>
      <c r="L48" s="392">
        <v>31</v>
      </c>
      <c r="M48" s="392">
        <v>0</v>
      </c>
      <c r="N48" s="379">
        <v>23076</v>
      </c>
      <c r="O48" s="392"/>
      <c r="P48" s="392"/>
      <c r="S48" s="392">
        <v>6.2</v>
      </c>
      <c r="T48" s="392">
        <v>79.9</v>
      </c>
      <c r="U48" s="392">
        <v>0</v>
      </c>
      <c r="V48" s="392">
        <v>195.4</v>
      </c>
    </row>
    <row r="49" spans="1:22" ht="12.75">
      <c r="A49" s="220">
        <v>42614</v>
      </c>
      <c r="B49" s="165">
        <v>32958786.127098646</v>
      </c>
      <c r="C49" s="390"/>
      <c r="D49" s="391"/>
      <c r="E49" s="391"/>
      <c r="F49" s="391"/>
      <c r="G49" s="391"/>
      <c r="H49" s="165">
        <v>32958786.127098646</v>
      </c>
      <c r="I49" s="164"/>
      <c r="J49" s="392">
        <v>25.900000000000006</v>
      </c>
      <c r="K49" s="392">
        <v>69.4</v>
      </c>
      <c r="L49" s="392">
        <v>30</v>
      </c>
      <c r="M49" s="392">
        <v>1</v>
      </c>
      <c r="N49" s="379">
        <v>23083</v>
      </c>
      <c r="O49" s="392"/>
      <c r="P49" s="392"/>
      <c r="S49" s="392">
        <v>56.9</v>
      </c>
      <c r="T49" s="392">
        <v>20.2</v>
      </c>
      <c r="U49" s="392">
        <v>25.900000000000006</v>
      </c>
      <c r="V49" s="392">
        <v>69.4</v>
      </c>
    </row>
    <row r="50" spans="1:22" ht="12.75">
      <c r="A50" s="220">
        <v>42644</v>
      </c>
      <c r="B50" s="165">
        <v>33427318.886247583</v>
      </c>
      <c r="C50" s="390"/>
      <c r="D50" s="391"/>
      <c r="E50" s="391"/>
      <c r="F50" s="391"/>
      <c r="G50" s="391"/>
      <c r="H50" s="165">
        <v>33427318.886247583</v>
      </c>
      <c r="I50" s="164"/>
      <c r="J50" s="392">
        <v>194.20000000000002</v>
      </c>
      <c r="K50" s="392">
        <v>4.1</v>
      </c>
      <c r="L50" s="392">
        <v>31</v>
      </c>
      <c r="M50" s="392">
        <v>1</v>
      </c>
      <c r="N50" s="379">
        <v>23094</v>
      </c>
      <c r="O50" s="392"/>
      <c r="P50" s="392"/>
      <c r="S50" s="392">
        <v>234.60000000000002</v>
      </c>
      <c r="T50" s="392">
        <v>3.2</v>
      </c>
      <c r="U50" s="392">
        <v>194.20000000000002</v>
      </c>
      <c r="V50" s="392">
        <v>4.1</v>
      </c>
    </row>
    <row r="51" spans="1:22" ht="12.75">
      <c r="A51" s="220">
        <v>42675</v>
      </c>
      <c r="B51" s="165">
        <v>34938643.68800774</v>
      </c>
      <c r="C51" s="390"/>
      <c r="D51" s="391"/>
      <c r="E51" s="391"/>
      <c r="F51" s="391"/>
      <c r="G51" s="391"/>
      <c r="H51" s="165">
        <v>34938643.68800774</v>
      </c>
      <c r="I51" s="164"/>
      <c r="J51" s="392">
        <v>337.80000000000007</v>
      </c>
      <c r="K51" s="392">
        <v>0</v>
      </c>
      <c r="L51" s="392">
        <v>30</v>
      </c>
      <c r="M51" s="392">
        <v>1</v>
      </c>
      <c r="N51" s="379">
        <v>23124</v>
      </c>
      <c r="O51" s="392"/>
      <c r="P51" s="392"/>
      <c r="S51" s="392">
        <v>370.00000000000006</v>
      </c>
      <c r="T51" s="392">
        <v>0</v>
      </c>
      <c r="U51" s="392">
        <v>337.80000000000007</v>
      </c>
      <c r="V51" s="392">
        <v>0</v>
      </c>
    </row>
    <row r="52" spans="1:22" ht="12.75">
      <c r="A52" s="220">
        <v>42705</v>
      </c>
      <c r="B52" s="165">
        <v>41527820.80617021</v>
      </c>
      <c r="C52" s="390"/>
      <c r="D52" s="391"/>
      <c r="E52" s="391"/>
      <c r="F52" s="391"/>
      <c r="G52" s="391"/>
      <c r="H52" s="165">
        <v>41527820.80617021</v>
      </c>
      <c r="I52" s="164"/>
      <c r="J52" s="392">
        <v>607.9999999999999</v>
      </c>
      <c r="K52" s="392">
        <v>0</v>
      </c>
      <c r="L52" s="392">
        <v>31</v>
      </c>
      <c r="M52" s="392">
        <v>0</v>
      </c>
      <c r="N52" s="379">
        <v>23168</v>
      </c>
      <c r="O52" s="392"/>
      <c r="P52" s="392"/>
      <c r="S52" s="392">
        <v>618.4999999999998</v>
      </c>
      <c r="T52" s="392">
        <v>0</v>
      </c>
      <c r="U52" s="392">
        <v>607.9999999999999</v>
      </c>
      <c r="V52" s="392">
        <v>0</v>
      </c>
    </row>
    <row r="53" spans="1:22" ht="12.75">
      <c r="A53" s="220">
        <v>42736</v>
      </c>
      <c r="B53" s="165">
        <v>41870353.92880271</v>
      </c>
      <c r="C53" s="390"/>
      <c r="D53" s="391"/>
      <c r="E53" s="391"/>
      <c r="F53" s="391"/>
      <c r="G53" s="391"/>
      <c r="H53" s="165">
        <v>41870353.92880271</v>
      </c>
      <c r="I53" s="164"/>
      <c r="J53" s="392">
        <v>608.9</v>
      </c>
      <c r="K53" s="392">
        <v>0</v>
      </c>
      <c r="L53" s="392">
        <v>31</v>
      </c>
      <c r="M53" s="392">
        <v>0</v>
      </c>
      <c r="N53" s="379">
        <v>23326</v>
      </c>
      <c r="O53" s="392"/>
      <c r="P53" s="392"/>
      <c r="S53" s="392">
        <v>642.6</v>
      </c>
      <c r="T53" s="392">
        <v>0</v>
      </c>
      <c r="U53" s="392">
        <v>608.9</v>
      </c>
      <c r="V53" s="392">
        <v>0</v>
      </c>
    </row>
    <row r="54" spans="1:22" ht="12.75">
      <c r="A54" s="220">
        <v>42767</v>
      </c>
      <c r="B54" s="165">
        <v>36769365.05034043</v>
      </c>
      <c r="C54" s="390"/>
      <c r="D54" s="391"/>
      <c r="E54" s="391"/>
      <c r="F54" s="391"/>
      <c r="G54" s="391"/>
      <c r="H54" s="165">
        <v>36769365.05034043</v>
      </c>
      <c r="I54" s="164"/>
      <c r="J54" s="392">
        <v>510.4</v>
      </c>
      <c r="K54" s="392">
        <v>0</v>
      </c>
      <c r="L54" s="392">
        <v>28</v>
      </c>
      <c r="M54" s="392">
        <v>0</v>
      </c>
      <c r="N54" s="379">
        <v>23199</v>
      </c>
      <c r="O54" s="392"/>
      <c r="P54" s="392"/>
      <c r="S54" s="392">
        <v>518.6000000000001</v>
      </c>
      <c r="T54" s="392">
        <v>0</v>
      </c>
      <c r="U54" s="392">
        <v>510.4</v>
      </c>
      <c r="V54" s="392">
        <v>0</v>
      </c>
    </row>
    <row r="55" spans="1:22" ht="12.75">
      <c r="A55" s="220">
        <v>42795</v>
      </c>
      <c r="B55" s="165">
        <v>40358686.70367118</v>
      </c>
      <c r="C55" s="390"/>
      <c r="D55" s="391"/>
      <c r="E55" s="391"/>
      <c r="F55" s="391"/>
      <c r="G55" s="391"/>
      <c r="H55" s="165">
        <v>40358686.70367118</v>
      </c>
      <c r="I55" s="164"/>
      <c r="J55" s="392">
        <v>574</v>
      </c>
      <c r="K55" s="392">
        <v>0</v>
      </c>
      <c r="L55" s="392">
        <v>31</v>
      </c>
      <c r="M55" s="392">
        <v>0</v>
      </c>
      <c r="N55" s="379">
        <v>23206</v>
      </c>
      <c r="O55" s="392"/>
      <c r="P55" s="392"/>
      <c r="S55" s="392">
        <v>641.2</v>
      </c>
      <c r="T55" s="392">
        <v>0</v>
      </c>
      <c r="U55" s="392">
        <v>574</v>
      </c>
      <c r="V55" s="392">
        <v>0</v>
      </c>
    </row>
    <row r="56" spans="1:22" ht="12.75">
      <c r="A56" s="220">
        <v>42826</v>
      </c>
      <c r="B56" s="165">
        <v>32359460.055404257</v>
      </c>
      <c r="C56" s="390"/>
      <c r="D56" s="391"/>
      <c r="E56" s="391"/>
      <c r="F56" s="391"/>
      <c r="G56" s="391"/>
      <c r="H56" s="165">
        <v>32359460.055404257</v>
      </c>
      <c r="I56" s="164"/>
      <c r="J56" s="392">
        <v>257.49999999999994</v>
      </c>
      <c r="K56" s="392">
        <v>0</v>
      </c>
      <c r="L56" s="392">
        <v>30</v>
      </c>
      <c r="M56" s="392">
        <v>1</v>
      </c>
      <c r="N56" s="379">
        <v>23210</v>
      </c>
      <c r="O56" s="392"/>
      <c r="P56" s="392"/>
      <c r="S56" s="392">
        <v>332.59999999999997</v>
      </c>
      <c r="T56" s="392">
        <v>0</v>
      </c>
      <c r="U56" s="392">
        <v>257.49999999999994</v>
      </c>
      <c r="V56" s="392">
        <v>0</v>
      </c>
    </row>
    <row r="57" spans="1:22" ht="12.75">
      <c r="A57" s="220">
        <v>42856</v>
      </c>
      <c r="B57" s="165">
        <v>32466960.156876206</v>
      </c>
      <c r="C57" s="390"/>
      <c r="D57" s="391"/>
      <c r="E57" s="391"/>
      <c r="F57" s="391"/>
      <c r="G57" s="391"/>
      <c r="H57" s="165">
        <v>32466960.156876206</v>
      </c>
      <c r="I57" s="164"/>
      <c r="J57" s="392">
        <v>177</v>
      </c>
      <c r="K57" s="392">
        <v>0</v>
      </c>
      <c r="L57" s="392">
        <v>31</v>
      </c>
      <c r="M57" s="392">
        <v>1</v>
      </c>
      <c r="N57" s="379">
        <v>23220</v>
      </c>
      <c r="O57" s="392"/>
      <c r="P57" s="392"/>
      <c r="S57" s="392">
        <v>242.39999999999998</v>
      </c>
      <c r="T57" s="392">
        <v>5.1</v>
      </c>
      <c r="U57" s="392">
        <v>177</v>
      </c>
      <c r="V57" s="392">
        <v>0</v>
      </c>
    </row>
    <row r="58" spans="1:22" ht="12.75">
      <c r="A58" s="220">
        <v>42887</v>
      </c>
      <c r="B58" s="165">
        <v>31942168.662241776</v>
      </c>
      <c r="C58" s="390"/>
      <c r="D58" s="391"/>
      <c r="E58" s="391"/>
      <c r="F58" s="391"/>
      <c r="G58" s="391"/>
      <c r="H58" s="165">
        <v>31942168.662241776</v>
      </c>
      <c r="I58" s="164"/>
      <c r="J58" s="392">
        <v>26.699999999999996</v>
      </c>
      <c r="K58" s="392">
        <v>9</v>
      </c>
      <c r="L58" s="392">
        <v>30</v>
      </c>
      <c r="M58" s="392">
        <v>1</v>
      </c>
      <c r="N58" s="379">
        <v>23263</v>
      </c>
      <c r="O58" s="392"/>
      <c r="P58" s="392"/>
      <c r="S58" s="392">
        <v>78.10000000000001</v>
      </c>
      <c r="T58" s="392">
        <v>21.199999999999996</v>
      </c>
      <c r="U58" s="392">
        <v>26.699999999999996</v>
      </c>
      <c r="V58" s="392">
        <v>9</v>
      </c>
    </row>
    <row r="59" spans="1:22" ht="12.75">
      <c r="A59" s="220">
        <v>42917</v>
      </c>
      <c r="B59" s="165">
        <v>34485256.861729205</v>
      </c>
      <c r="C59" s="390"/>
      <c r="D59" s="391"/>
      <c r="E59" s="391"/>
      <c r="F59" s="391"/>
      <c r="G59" s="391"/>
      <c r="H59" s="165">
        <v>34485256.861729205</v>
      </c>
      <c r="I59" s="164"/>
      <c r="J59" s="392">
        <v>0</v>
      </c>
      <c r="K59" s="392">
        <v>68.2</v>
      </c>
      <c r="L59" s="392">
        <v>31</v>
      </c>
      <c r="M59" s="392">
        <v>0</v>
      </c>
      <c r="N59" s="379">
        <v>23448</v>
      </c>
      <c r="O59" s="392"/>
      <c r="P59" s="392"/>
      <c r="S59" s="392">
        <v>8</v>
      </c>
      <c r="T59" s="392">
        <v>36</v>
      </c>
      <c r="U59" s="392">
        <v>0</v>
      </c>
      <c r="V59" s="392">
        <v>68.2</v>
      </c>
    </row>
    <row r="60" spans="1:22" ht="12.75">
      <c r="A60" s="220">
        <v>42948</v>
      </c>
      <c r="B60" s="165">
        <v>33750093.26521856</v>
      </c>
      <c r="C60" s="390"/>
      <c r="D60" s="391"/>
      <c r="E60" s="391"/>
      <c r="F60" s="391"/>
      <c r="G60" s="391"/>
      <c r="H60" s="165">
        <v>33750093.26521856</v>
      </c>
      <c r="I60" s="164"/>
      <c r="J60" s="392">
        <v>11.6</v>
      </c>
      <c r="K60" s="392">
        <v>116.49999999999999</v>
      </c>
      <c r="L60" s="392">
        <v>31</v>
      </c>
      <c r="M60" s="392">
        <v>0</v>
      </c>
      <c r="N60" s="379">
        <v>23301</v>
      </c>
      <c r="O60" s="392"/>
      <c r="P60" s="392"/>
      <c r="S60" s="392">
        <v>40.7</v>
      </c>
      <c r="T60" s="392">
        <v>27.4</v>
      </c>
      <c r="U60" s="392">
        <v>11.6</v>
      </c>
      <c r="V60" s="392">
        <v>116.49999999999999</v>
      </c>
    </row>
    <row r="61" spans="1:22" ht="12.75">
      <c r="A61" s="220">
        <v>42979</v>
      </c>
      <c r="B61" s="165">
        <v>32126296.99355706</v>
      </c>
      <c r="C61" s="390"/>
      <c r="D61" s="391"/>
      <c r="E61" s="391"/>
      <c r="F61" s="391"/>
      <c r="G61" s="391"/>
      <c r="H61" s="165">
        <v>32126296.99355706</v>
      </c>
      <c r="I61" s="164"/>
      <c r="J61" s="392">
        <v>49.1</v>
      </c>
      <c r="K61" s="392">
        <v>75.2</v>
      </c>
      <c r="L61" s="392">
        <v>30</v>
      </c>
      <c r="M61" s="392">
        <v>1</v>
      </c>
      <c r="N61" s="379">
        <v>23336</v>
      </c>
      <c r="O61" s="392"/>
      <c r="P61" s="392"/>
      <c r="S61" s="392">
        <v>96.8</v>
      </c>
      <c r="T61" s="392">
        <v>39.400000000000006</v>
      </c>
      <c r="U61" s="392">
        <v>49.1</v>
      </c>
      <c r="V61" s="392">
        <v>75.2</v>
      </c>
    </row>
    <row r="62" spans="1:22" ht="12.75">
      <c r="A62" s="220">
        <v>43009</v>
      </c>
      <c r="B62" s="165">
        <v>32454033.777102515</v>
      </c>
      <c r="C62" s="390"/>
      <c r="D62" s="391"/>
      <c r="E62" s="391"/>
      <c r="F62" s="391"/>
      <c r="G62" s="391"/>
      <c r="H62" s="165">
        <v>32454033.777102515</v>
      </c>
      <c r="I62" s="164"/>
      <c r="J62" s="392">
        <v>153.99999999999997</v>
      </c>
      <c r="K62" s="392">
        <v>71.49999999999999</v>
      </c>
      <c r="L62" s="392">
        <v>31</v>
      </c>
      <c r="M62" s="392">
        <v>1</v>
      </c>
      <c r="N62" s="379">
        <v>23342</v>
      </c>
      <c r="O62" s="392"/>
      <c r="P62" s="392"/>
      <c r="S62" s="392">
        <v>191.3</v>
      </c>
      <c r="T62" s="392">
        <v>2.6</v>
      </c>
      <c r="U62" s="392">
        <v>153.99999999999997</v>
      </c>
      <c r="V62" s="392">
        <v>71.49999999999999</v>
      </c>
    </row>
    <row r="63" spans="1:22" ht="12.75">
      <c r="A63" s="220">
        <v>43040</v>
      </c>
      <c r="B63" s="165">
        <v>37086665.36184913</v>
      </c>
      <c r="C63" s="390"/>
      <c r="D63" s="391"/>
      <c r="E63" s="391"/>
      <c r="F63" s="391"/>
      <c r="G63" s="391"/>
      <c r="H63" s="165">
        <v>37086665.36184913</v>
      </c>
      <c r="I63" s="164"/>
      <c r="J63" s="392">
        <v>414.2</v>
      </c>
      <c r="K63" s="392">
        <v>8.1</v>
      </c>
      <c r="L63" s="392">
        <v>30</v>
      </c>
      <c r="M63" s="392">
        <v>1</v>
      </c>
      <c r="N63" s="379">
        <v>23363</v>
      </c>
      <c r="O63" s="392"/>
      <c r="P63" s="392"/>
      <c r="S63" s="392">
        <v>458</v>
      </c>
      <c r="T63" s="392">
        <v>0</v>
      </c>
      <c r="U63" s="392">
        <v>414.2</v>
      </c>
      <c r="V63" s="392">
        <v>8.1</v>
      </c>
    </row>
    <row r="64" spans="1:22" ht="12.75">
      <c r="A64" s="220">
        <v>43070</v>
      </c>
      <c r="B64" s="165">
        <v>42555872.96041586</v>
      </c>
      <c r="C64" s="390"/>
      <c r="D64" s="391"/>
      <c r="E64" s="391"/>
      <c r="F64" s="391"/>
      <c r="G64" s="391"/>
      <c r="H64" s="165">
        <v>42555872.96041586</v>
      </c>
      <c r="I64" s="164"/>
      <c r="J64" s="392">
        <v>718.4999999999999</v>
      </c>
      <c r="K64" s="392">
        <v>0</v>
      </c>
      <c r="L64" s="392">
        <v>31</v>
      </c>
      <c r="M64" s="392">
        <v>0</v>
      </c>
      <c r="N64" s="379">
        <v>23373</v>
      </c>
      <c r="O64" s="392"/>
      <c r="P64" s="392"/>
      <c r="S64" s="392">
        <v>736.5</v>
      </c>
      <c r="T64" s="392">
        <v>0</v>
      </c>
      <c r="U64" s="392">
        <v>718.4999999999999</v>
      </c>
      <c r="V64" s="392">
        <v>0</v>
      </c>
    </row>
    <row r="65" spans="1:22" ht="12.75">
      <c r="A65" s="220">
        <v>43101</v>
      </c>
      <c r="B65" s="165">
        <v>45303345.130447</v>
      </c>
      <c r="C65" s="390"/>
      <c r="D65" s="391"/>
      <c r="E65" s="391"/>
      <c r="F65" s="391"/>
      <c r="G65" s="391"/>
      <c r="H65" s="165">
        <v>45303345.130447</v>
      </c>
      <c r="I65" s="164"/>
      <c r="J65" s="392">
        <v>732.2999999999998</v>
      </c>
      <c r="K65" s="392">
        <v>0</v>
      </c>
      <c r="L65" s="392">
        <v>31</v>
      </c>
      <c r="M65" s="392">
        <v>0</v>
      </c>
      <c r="N65" s="379">
        <v>23400</v>
      </c>
      <c r="O65" s="392"/>
      <c r="P65" s="392"/>
      <c r="S65" s="392">
        <v>771.1000000000001</v>
      </c>
      <c r="T65" s="392">
        <v>0</v>
      </c>
      <c r="U65" s="392">
        <v>732.2999999999998</v>
      </c>
      <c r="V65" s="392">
        <v>0</v>
      </c>
    </row>
    <row r="66" spans="1:22" ht="12.75">
      <c r="A66" s="220">
        <v>43132</v>
      </c>
      <c r="B66" s="165">
        <v>38010441.551727</v>
      </c>
      <c r="C66" s="390"/>
      <c r="D66" s="391"/>
      <c r="E66" s="391"/>
      <c r="F66" s="391"/>
      <c r="G66" s="391"/>
      <c r="H66" s="165">
        <v>38010441.551727</v>
      </c>
      <c r="I66" s="164"/>
      <c r="J66" s="392">
        <v>555.0000000000002</v>
      </c>
      <c r="K66" s="392">
        <v>0</v>
      </c>
      <c r="L66" s="392">
        <v>28</v>
      </c>
      <c r="M66" s="392">
        <v>0</v>
      </c>
      <c r="N66" s="379">
        <v>23409</v>
      </c>
      <c r="O66" s="392"/>
      <c r="P66" s="392"/>
      <c r="S66" s="392">
        <v>614.3</v>
      </c>
      <c r="T66" s="392">
        <v>0</v>
      </c>
      <c r="U66" s="392">
        <v>555.0000000000002</v>
      </c>
      <c r="V66" s="392">
        <v>0</v>
      </c>
    </row>
    <row r="67" spans="1:22" ht="12.75">
      <c r="A67" s="220">
        <v>43160</v>
      </c>
      <c r="B67" s="165">
        <v>40822738.38310101</v>
      </c>
      <c r="C67" s="390"/>
      <c r="D67" s="391"/>
      <c r="E67" s="391"/>
      <c r="F67" s="391"/>
      <c r="G67" s="391"/>
      <c r="H67" s="165">
        <v>40822738.38310101</v>
      </c>
      <c r="I67" s="164"/>
      <c r="J67" s="392">
        <v>553.9999999999999</v>
      </c>
      <c r="K67" s="392">
        <v>0</v>
      </c>
      <c r="L67" s="392">
        <v>31</v>
      </c>
      <c r="M67" s="392">
        <v>0</v>
      </c>
      <c r="N67" s="379">
        <v>23417</v>
      </c>
      <c r="O67" s="392"/>
      <c r="P67" s="392"/>
      <c r="S67" s="392">
        <v>618.4999999999998</v>
      </c>
      <c r="T67" s="392">
        <v>0</v>
      </c>
      <c r="U67" s="392">
        <v>553.9999999999999</v>
      </c>
      <c r="V67" s="392">
        <v>0</v>
      </c>
    </row>
    <row r="68" spans="1:22" ht="12.75">
      <c r="A68" s="220">
        <v>43191</v>
      </c>
      <c r="B68" s="165">
        <v>37268114.37110101</v>
      </c>
      <c r="C68" s="390"/>
      <c r="D68" s="391"/>
      <c r="E68" s="391"/>
      <c r="F68" s="391"/>
      <c r="G68" s="391"/>
      <c r="H68" s="165">
        <v>37268114.37110101</v>
      </c>
      <c r="I68" s="164"/>
      <c r="J68" s="392">
        <v>437.20000000000005</v>
      </c>
      <c r="K68" s="392">
        <v>0</v>
      </c>
      <c r="L68" s="392">
        <v>30</v>
      </c>
      <c r="M68" s="392">
        <v>1</v>
      </c>
      <c r="N68" s="379">
        <v>23441</v>
      </c>
      <c r="O68" s="392"/>
      <c r="P68" s="392"/>
      <c r="S68" s="392">
        <v>488.69999999999993</v>
      </c>
      <c r="T68" s="392">
        <v>0</v>
      </c>
      <c r="U68" s="392">
        <v>437.20000000000005</v>
      </c>
      <c r="V68" s="392">
        <v>0</v>
      </c>
    </row>
    <row r="69" spans="1:22" ht="12.75">
      <c r="A69" s="220">
        <v>43221</v>
      </c>
      <c r="B69" s="165">
        <v>33661736.0785</v>
      </c>
      <c r="C69" s="390"/>
      <c r="D69" s="391"/>
      <c r="E69" s="391"/>
      <c r="F69" s="391"/>
      <c r="G69" s="391"/>
      <c r="H69" s="165">
        <v>33661736.0785</v>
      </c>
      <c r="I69" s="164"/>
      <c r="J69" s="392">
        <v>75.3</v>
      </c>
      <c r="K69" s="392">
        <v>43.4</v>
      </c>
      <c r="L69" s="392">
        <v>31</v>
      </c>
      <c r="M69" s="392">
        <v>1</v>
      </c>
      <c r="N69" s="379">
        <v>23452</v>
      </c>
      <c r="O69" s="392"/>
      <c r="P69" s="392"/>
      <c r="S69" s="392">
        <v>153.59999999999997</v>
      </c>
      <c r="T69" s="392">
        <v>14.100000000000001</v>
      </c>
      <c r="U69" s="392">
        <v>75.3</v>
      </c>
      <c r="V69" s="392">
        <v>43.4</v>
      </c>
    </row>
    <row r="70" spans="1:22" ht="12.75">
      <c r="A70" s="220">
        <v>43252</v>
      </c>
      <c r="B70" s="165">
        <v>33150240.258909997</v>
      </c>
      <c r="C70" s="390"/>
      <c r="D70" s="391"/>
      <c r="E70" s="391"/>
      <c r="F70" s="391"/>
      <c r="G70" s="391"/>
      <c r="H70" s="165">
        <v>33150240.258909997</v>
      </c>
      <c r="I70" s="164"/>
      <c r="J70" s="392">
        <v>14.799999999999999</v>
      </c>
      <c r="K70" s="392">
        <v>60.5</v>
      </c>
      <c r="L70" s="392">
        <v>30</v>
      </c>
      <c r="M70" s="392">
        <v>1</v>
      </c>
      <c r="N70" s="379">
        <v>23438</v>
      </c>
      <c r="O70" s="392"/>
      <c r="P70" s="392"/>
      <c r="S70" s="392">
        <v>85.80000000000003</v>
      </c>
      <c r="T70" s="392">
        <v>21.1</v>
      </c>
      <c r="U70" s="392">
        <v>14.799999999999999</v>
      </c>
      <c r="V70" s="392">
        <v>60.5</v>
      </c>
    </row>
    <row r="71" spans="1:22" ht="12.75">
      <c r="A71" s="220">
        <v>43282</v>
      </c>
      <c r="B71" s="165">
        <v>36985443.746902004</v>
      </c>
      <c r="C71" s="390"/>
      <c r="D71" s="391"/>
      <c r="E71" s="391"/>
      <c r="F71" s="391"/>
      <c r="G71" s="391"/>
      <c r="H71" s="165">
        <v>36985443.746902004</v>
      </c>
      <c r="I71" s="164"/>
      <c r="J71" s="392">
        <v>0</v>
      </c>
      <c r="K71" s="392">
        <v>167.8</v>
      </c>
      <c r="L71" s="392">
        <v>31</v>
      </c>
      <c r="M71" s="392">
        <v>0</v>
      </c>
      <c r="N71" s="379">
        <v>23458</v>
      </c>
      <c r="O71" s="392"/>
      <c r="P71" s="392"/>
      <c r="S71" s="392">
        <v>10</v>
      </c>
      <c r="T71" s="392">
        <v>81.40000000000002</v>
      </c>
      <c r="U71" s="392">
        <v>0</v>
      </c>
      <c r="V71" s="392">
        <v>167.8</v>
      </c>
    </row>
    <row r="72" spans="1:22" ht="12.75">
      <c r="A72" s="220">
        <v>43313</v>
      </c>
      <c r="B72" s="165">
        <v>37978825.404948</v>
      </c>
      <c r="C72" s="390"/>
      <c r="D72" s="391"/>
      <c r="E72" s="391"/>
      <c r="F72" s="391"/>
      <c r="G72" s="391"/>
      <c r="H72" s="165">
        <v>37978825.404948</v>
      </c>
      <c r="I72" s="164"/>
      <c r="J72" s="392">
        <v>1.2</v>
      </c>
      <c r="K72" s="392">
        <v>162.4</v>
      </c>
      <c r="L72" s="392">
        <v>31</v>
      </c>
      <c r="M72" s="392">
        <v>0</v>
      </c>
      <c r="N72" s="379">
        <v>23480</v>
      </c>
      <c r="O72" s="392"/>
      <c r="P72" s="392"/>
      <c r="S72" s="392">
        <v>7.8</v>
      </c>
      <c r="T72" s="392">
        <v>87.00000000000001</v>
      </c>
      <c r="U72" s="392">
        <v>1.2</v>
      </c>
      <c r="V72" s="392">
        <v>162.4</v>
      </c>
    </row>
    <row r="73" spans="1:22" ht="12.75">
      <c r="A73" s="220">
        <v>43344</v>
      </c>
      <c r="B73" s="165">
        <v>33668646.682027996</v>
      </c>
      <c r="C73" s="390"/>
      <c r="D73" s="391"/>
      <c r="E73" s="391"/>
      <c r="F73" s="391"/>
      <c r="G73" s="391"/>
      <c r="H73" s="165">
        <v>33668646.682027996</v>
      </c>
      <c r="I73" s="164"/>
      <c r="J73" s="392">
        <v>41.39999999999999</v>
      </c>
      <c r="K73" s="392">
        <v>76.39999999999998</v>
      </c>
      <c r="L73" s="392">
        <v>30</v>
      </c>
      <c r="M73" s="392">
        <v>1</v>
      </c>
      <c r="N73" s="379">
        <v>23508</v>
      </c>
      <c r="O73" s="392"/>
      <c r="P73" s="392"/>
      <c r="S73" s="392">
        <v>97.99999999999999</v>
      </c>
      <c r="T73" s="392">
        <v>36.9</v>
      </c>
      <c r="U73" s="392">
        <v>41.39999999999999</v>
      </c>
      <c r="V73" s="392">
        <v>76.39999999999998</v>
      </c>
    </row>
    <row r="74" spans="1:22" ht="12.75">
      <c r="A74" s="220">
        <v>43374</v>
      </c>
      <c r="B74" s="165">
        <v>32878906.859995</v>
      </c>
      <c r="C74" s="390"/>
      <c r="D74" s="391"/>
      <c r="E74" s="391"/>
      <c r="F74" s="391"/>
      <c r="G74" s="391"/>
      <c r="H74" s="165">
        <v>32878906.859995</v>
      </c>
      <c r="I74" s="164"/>
      <c r="J74" s="392">
        <v>289.40000000000003</v>
      </c>
      <c r="K74" s="392">
        <v>8.2</v>
      </c>
      <c r="L74" s="392">
        <v>31</v>
      </c>
      <c r="M74" s="392">
        <v>1</v>
      </c>
      <c r="N74" s="379">
        <v>23507</v>
      </c>
      <c r="O74" s="392"/>
      <c r="P74" s="392"/>
      <c r="S74" s="392">
        <v>315.3</v>
      </c>
      <c r="T74" s="392">
        <v>10.2</v>
      </c>
      <c r="U74" s="392">
        <v>289.40000000000003</v>
      </c>
      <c r="V74" s="392">
        <v>8.2</v>
      </c>
    </row>
    <row r="75" spans="1:22" ht="12.75">
      <c r="A75" s="220">
        <v>43405</v>
      </c>
      <c r="B75" s="165">
        <v>39246375.131524995</v>
      </c>
      <c r="C75" s="390"/>
      <c r="D75" s="391"/>
      <c r="E75" s="391"/>
      <c r="F75" s="391"/>
      <c r="G75" s="391"/>
      <c r="H75" s="165">
        <v>39246375.131524995</v>
      </c>
      <c r="I75" s="164"/>
      <c r="J75" s="392">
        <v>494.1</v>
      </c>
      <c r="K75" s="392">
        <v>0</v>
      </c>
      <c r="L75" s="392">
        <v>30</v>
      </c>
      <c r="M75" s="392">
        <v>1</v>
      </c>
      <c r="N75" s="379">
        <v>23531</v>
      </c>
      <c r="O75" s="392"/>
      <c r="P75" s="392"/>
      <c r="S75" s="392">
        <v>533.2</v>
      </c>
      <c r="T75" s="392">
        <v>0</v>
      </c>
      <c r="U75" s="392">
        <v>494.1</v>
      </c>
      <c r="V75" s="392">
        <v>0</v>
      </c>
    </row>
    <row r="76" spans="1:22" ht="12.75">
      <c r="A76" s="220">
        <v>43435</v>
      </c>
      <c r="B76" s="165">
        <v>41296482.416115</v>
      </c>
      <c r="C76" s="390"/>
      <c r="D76" s="391"/>
      <c r="E76" s="391"/>
      <c r="F76" s="391"/>
      <c r="G76" s="391"/>
      <c r="H76" s="165">
        <v>41296482.416115</v>
      </c>
      <c r="I76" s="164"/>
      <c r="J76" s="392">
        <v>563.6000000000001</v>
      </c>
      <c r="K76" s="392">
        <v>0</v>
      </c>
      <c r="L76" s="392">
        <v>31</v>
      </c>
      <c r="M76" s="392">
        <v>0</v>
      </c>
      <c r="N76" s="379">
        <v>23547</v>
      </c>
      <c r="O76" s="392"/>
      <c r="P76" s="392"/>
      <c r="S76" s="392">
        <v>600.9</v>
      </c>
      <c r="T76" s="392">
        <v>0</v>
      </c>
      <c r="U76" s="392">
        <v>563.6000000000001</v>
      </c>
      <c r="V76" s="392">
        <v>0</v>
      </c>
    </row>
    <row r="77" spans="1:22" ht="12.75">
      <c r="A77" s="220">
        <v>43466</v>
      </c>
      <c r="B77" s="165">
        <v>46360880.991009995</v>
      </c>
      <c r="C77" s="390"/>
      <c r="D77" s="391"/>
      <c r="E77" s="391"/>
      <c r="F77" s="391"/>
      <c r="G77" s="391"/>
      <c r="H77" s="165">
        <v>46360880.991009995</v>
      </c>
      <c r="I77" s="164"/>
      <c r="J77" s="392">
        <v>764.5</v>
      </c>
      <c r="K77" s="392">
        <v>0</v>
      </c>
      <c r="L77" s="392">
        <v>31</v>
      </c>
      <c r="M77" s="392">
        <v>0</v>
      </c>
      <c r="N77" s="379">
        <v>23564</v>
      </c>
      <c r="O77" s="392"/>
      <c r="P77" s="392"/>
      <c r="S77" s="392">
        <v>807.4</v>
      </c>
      <c r="T77" s="392">
        <v>0</v>
      </c>
      <c r="U77" s="392">
        <v>764.5</v>
      </c>
      <c r="V77" s="392">
        <v>0</v>
      </c>
    </row>
    <row r="78" spans="1:22" ht="12.75">
      <c r="A78" s="220">
        <v>43497</v>
      </c>
      <c r="B78" s="165">
        <v>40126452.14</v>
      </c>
      <c r="C78" s="390"/>
      <c r="D78" s="391"/>
      <c r="E78" s="391"/>
      <c r="F78" s="391"/>
      <c r="G78" s="391"/>
      <c r="H78" s="165">
        <v>40126452.14</v>
      </c>
      <c r="I78" s="164"/>
      <c r="J78" s="392">
        <v>621.7000000000002</v>
      </c>
      <c r="K78" s="392">
        <v>0</v>
      </c>
      <c r="L78" s="392">
        <v>28</v>
      </c>
      <c r="M78" s="392">
        <v>0</v>
      </c>
      <c r="N78" s="379">
        <v>23584</v>
      </c>
      <c r="O78" s="392"/>
      <c r="P78" s="392"/>
      <c r="S78" s="392">
        <v>678.4999999999999</v>
      </c>
      <c r="T78" s="392">
        <v>0</v>
      </c>
      <c r="U78" s="392">
        <v>621.7000000000002</v>
      </c>
      <c r="V78" s="392">
        <v>0</v>
      </c>
    </row>
    <row r="79" spans="1:22" ht="12.75">
      <c r="A79" s="220">
        <v>43525</v>
      </c>
      <c r="B79" s="165">
        <v>41742642.984000005</v>
      </c>
      <c r="C79" s="390"/>
      <c r="D79" s="391"/>
      <c r="E79" s="391"/>
      <c r="F79" s="391"/>
      <c r="G79" s="391"/>
      <c r="H79" s="165">
        <v>41742642.984000005</v>
      </c>
      <c r="I79" s="164"/>
      <c r="J79" s="392">
        <v>593.9000000000001</v>
      </c>
      <c r="K79" s="392">
        <v>0</v>
      </c>
      <c r="L79" s="392">
        <v>31</v>
      </c>
      <c r="M79" s="392">
        <v>0</v>
      </c>
      <c r="N79" s="379">
        <v>23618</v>
      </c>
      <c r="O79" s="392"/>
      <c r="P79" s="392"/>
      <c r="S79" s="392">
        <v>672.2000000000002</v>
      </c>
      <c r="T79" s="392">
        <v>0</v>
      </c>
      <c r="U79" s="392">
        <v>593.9000000000001</v>
      </c>
      <c r="V79" s="392">
        <v>0</v>
      </c>
    </row>
    <row r="80" spans="1:22" ht="12.75">
      <c r="A80" s="220">
        <v>43556</v>
      </c>
      <c r="B80" s="165">
        <v>36007111.135000005</v>
      </c>
      <c r="C80" s="390"/>
      <c r="D80" s="391"/>
      <c r="E80" s="391"/>
      <c r="F80" s="391"/>
      <c r="G80" s="391"/>
      <c r="H80" s="165">
        <v>36007111.135000005</v>
      </c>
      <c r="I80" s="164"/>
      <c r="J80" s="392">
        <v>346.8</v>
      </c>
      <c r="K80" s="392">
        <v>0</v>
      </c>
      <c r="L80" s="392">
        <v>30</v>
      </c>
      <c r="M80" s="392">
        <v>1</v>
      </c>
      <c r="N80" s="379">
        <v>23601</v>
      </c>
      <c r="O80" s="392"/>
      <c r="P80" s="392"/>
      <c r="S80" s="392">
        <v>421.30000000000007</v>
      </c>
      <c r="T80" s="392">
        <v>0</v>
      </c>
      <c r="U80" s="392">
        <v>346.8</v>
      </c>
      <c r="V80" s="392">
        <v>0</v>
      </c>
    </row>
    <row r="81" spans="1:22" ht="12.75">
      <c r="A81" s="220">
        <v>43586</v>
      </c>
      <c r="B81" s="165">
        <v>33884250.907</v>
      </c>
      <c r="C81" s="390"/>
      <c r="D81" s="391"/>
      <c r="E81" s="391"/>
      <c r="F81" s="391"/>
      <c r="G81" s="391"/>
      <c r="H81" s="165">
        <v>33884250.907</v>
      </c>
      <c r="I81" s="164"/>
      <c r="J81" s="392">
        <v>180.99999999999997</v>
      </c>
      <c r="K81" s="392">
        <v>0</v>
      </c>
      <c r="L81" s="392">
        <v>31</v>
      </c>
      <c r="M81" s="392">
        <v>1</v>
      </c>
      <c r="N81" s="379">
        <v>23608</v>
      </c>
      <c r="O81" s="392"/>
      <c r="P81" s="392"/>
      <c r="S81" s="392">
        <v>277.3</v>
      </c>
      <c r="T81" s="392">
        <v>0</v>
      </c>
      <c r="U81" s="392">
        <v>180.99999999999997</v>
      </c>
      <c r="V81" s="392">
        <v>0</v>
      </c>
    </row>
    <row r="82" spans="1:22" ht="12.75">
      <c r="A82" s="220">
        <v>43617</v>
      </c>
      <c r="B82" s="165">
        <v>32413450.978</v>
      </c>
      <c r="C82" s="390"/>
      <c r="D82" s="391"/>
      <c r="E82" s="391"/>
      <c r="F82" s="391"/>
      <c r="G82" s="391"/>
      <c r="H82" s="165">
        <v>32413450.978</v>
      </c>
      <c r="I82" s="164"/>
      <c r="J82" s="392">
        <v>35.5</v>
      </c>
      <c r="K82" s="392">
        <v>41.300000000000004</v>
      </c>
      <c r="L82" s="392">
        <v>30</v>
      </c>
      <c r="M82" s="392">
        <v>1</v>
      </c>
      <c r="N82" s="379">
        <v>23607</v>
      </c>
      <c r="O82" s="392"/>
      <c r="P82" s="392"/>
      <c r="S82" s="392">
        <v>110.2</v>
      </c>
      <c r="T82" s="392">
        <v>5.4</v>
      </c>
      <c r="U82" s="392">
        <v>35.5</v>
      </c>
      <c r="V82" s="392">
        <v>41.300000000000004</v>
      </c>
    </row>
    <row r="83" spans="1:22" ht="12.75">
      <c r="A83" s="220">
        <v>43647</v>
      </c>
      <c r="B83" s="165">
        <v>37948386.16900001</v>
      </c>
      <c r="C83" s="390"/>
      <c r="D83" s="391"/>
      <c r="E83" s="391"/>
      <c r="F83" s="391"/>
      <c r="G83" s="391"/>
      <c r="H83" s="165">
        <v>37948386.16900001</v>
      </c>
      <c r="I83" s="164"/>
      <c r="J83" s="392">
        <v>0</v>
      </c>
      <c r="K83" s="392">
        <v>166.90000000000003</v>
      </c>
      <c r="L83" s="392">
        <v>31</v>
      </c>
      <c r="M83" s="392">
        <v>0</v>
      </c>
      <c r="N83" s="379">
        <v>23644</v>
      </c>
      <c r="O83" s="392"/>
      <c r="P83" s="392"/>
      <c r="S83" s="392">
        <v>16.2</v>
      </c>
      <c r="T83" s="392">
        <v>66.9</v>
      </c>
      <c r="U83" s="392">
        <v>0</v>
      </c>
      <c r="V83" s="392">
        <v>166.90000000000003</v>
      </c>
    </row>
    <row r="84" spans="1:22" ht="12.75">
      <c r="A84" s="220">
        <v>43678</v>
      </c>
      <c r="B84" s="165">
        <v>35859378.324999996</v>
      </c>
      <c r="C84" s="390"/>
      <c r="D84" s="391"/>
      <c r="E84" s="391"/>
      <c r="F84" s="391"/>
      <c r="G84" s="391"/>
      <c r="H84" s="165">
        <v>35859378.324999996</v>
      </c>
      <c r="I84" s="164"/>
      <c r="J84" s="392">
        <v>0.8999999999999999</v>
      </c>
      <c r="K84" s="392">
        <v>103.30000000000003</v>
      </c>
      <c r="L84" s="392">
        <v>31</v>
      </c>
      <c r="M84" s="392">
        <v>0</v>
      </c>
      <c r="N84" s="379">
        <v>23662</v>
      </c>
      <c r="O84" s="392"/>
      <c r="P84" s="392"/>
      <c r="S84" s="392">
        <v>34</v>
      </c>
      <c r="T84" s="392">
        <v>19.8</v>
      </c>
      <c r="U84" s="392">
        <v>0.8999999999999999</v>
      </c>
      <c r="V84" s="392">
        <v>103.30000000000003</v>
      </c>
    </row>
    <row r="85" spans="1:22" ht="12.75">
      <c r="A85" s="220">
        <v>43709</v>
      </c>
      <c r="B85" s="165">
        <v>32309083.065000005</v>
      </c>
      <c r="C85" s="390"/>
      <c r="D85" s="391"/>
      <c r="E85" s="391"/>
      <c r="F85" s="391"/>
      <c r="G85" s="391"/>
      <c r="H85" s="165">
        <v>32309083.065000005</v>
      </c>
      <c r="I85" s="164"/>
      <c r="J85" s="392">
        <v>38.400000000000006</v>
      </c>
      <c r="K85" s="392">
        <v>25.400000000000002</v>
      </c>
      <c r="L85" s="392">
        <v>30</v>
      </c>
      <c r="M85" s="392">
        <v>1</v>
      </c>
      <c r="N85" s="379">
        <v>23711</v>
      </c>
      <c r="O85" s="392"/>
      <c r="P85" s="392"/>
      <c r="S85" s="392">
        <v>100.5</v>
      </c>
      <c r="T85" s="392">
        <v>9</v>
      </c>
      <c r="U85" s="392">
        <v>38.400000000000006</v>
      </c>
      <c r="V85" s="392">
        <v>25.400000000000002</v>
      </c>
    </row>
    <row r="86" spans="1:22" ht="12.75">
      <c r="A86" s="220">
        <v>43739</v>
      </c>
      <c r="B86" s="165">
        <v>34937472.141</v>
      </c>
      <c r="C86" s="390"/>
      <c r="D86" s="391"/>
      <c r="E86" s="391"/>
      <c r="F86" s="391"/>
      <c r="G86" s="391"/>
      <c r="H86" s="165">
        <v>34937472.141</v>
      </c>
      <c r="I86" s="164"/>
      <c r="J86" s="392">
        <v>236.5</v>
      </c>
      <c r="K86" s="392">
        <v>5.1</v>
      </c>
      <c r="L86" s="392">
        <v>31</v>
      </c>
      <c r="M86" s="392">
        <v>1</v>
      </c>
      <c r="N86" s="379">
        <v>23734</v>
      </c>
      <c r="O86" s="392"/>
      <c r="P86" s="392"/>
      <c r="S86" s="392">
        <v>280.4</v>
      </c>
      <c r="T86" s="392">
        <v>1.4</v>
      </c>
      <c r="U86" s="392">
        <v>236.5</v>
      </c>
      <c r="V86" s="392">
        <v>5.1</v>
      </c>
    </row>
    <row r="87" spans="1:22" ht="12.75">
      <c r="A87" s="220">
        <v>43770</v>
      </c>
      <c r="B87" s="165">
        <v>40083049.746</v>
      </c>
      <c r="C87" s="390"/>
      <c r="D87" s="391"/>
      <c r="E87" s="391"/>
      <c r="F87" s="391"/>
      <c r="G87" s="391"/>
      <c r="H87" s="165">
        <v>40083049.746</v>
      </c>
      <c r="I87" s="164"/>
      <c r="J87" s="392">
        <v>513.3000000000001</v>
      </c>
      <c r="K87" s="392">
        <v>0</v>
      </c>
      <c r="L87" s="392">
        <v>30</v>
      </c>
      <c r="M87" s="392">
        <v>1</v>
      </c>
      <c r="N87" s="379">
        <v>23742</v>
      </c>
      <c r="O87" s="392"/>
      <c r="P87" s="392"/>
      <c r="S87" s="392">
        <v>518.9000000000001</v>
      </c>
      <c r="T87" s="392">
        <v>0</v>
      </c>
      <c r="U87" s="392">
        <v>513.3000000000001</v>
      </c>
      <c r="V87" s="392">
        <v>0</v>
      </c>
    </row>
    <row r="88" spans="1:22" ht="12.75">
      <c r="A88" s="220">
        <v>43800</v>
      </c>
      <c r="B88" s="165">
        <v>42216027.818</v>
      </c>
      <c r="C88" s="390"/>
      <c r="D88" s="391"/>
      <c r="E88" s="391"/>
      <c r="F88" s="391"/>
      <c r="G88" s="391"/>
      <c r="H88" s="165">
        <v>42216027.818</v>
      </c>
      <c r="I88" s="164"/>
      <c r="J88" s="392">
        <v>582.4</v>
      </c>
      <c r="K88" s="392">
        <v>0</v>
      </c>
      <c r="L88" s="392">
        <v>31</v>
      </c>
      <c r="M88" s="392">
        <v>0</v>
      </c>
      <c r="N88" s="379">
        <v>23774</v>
      </c>
      <c r="O88" s="392"/>
      <c r="P88" s="392"/>
      <c r="S88" s="392">
        <v>608.0000000000001</v>
      </c>
      <c r="T88" s="392">
        <v>0</v>
      </c>
      <c r="U88" s="392">
        <v>582.4</v>
      </c>
      <c r="V88" s="392">
        <v>0</v>
      </c>
    </row>
    <row r="89" spans="1:22" ht="12.75">
      <c r="A89" s="220">
        <v>43831</v>
      </c>
      <c r="B89" s="165">
        <v>43447689.20199999</v>
      </c>
      <c r="C89" s="390"/>
      <c r="D89" s="391"/>
      <c r="E89" s="391"/>
      <c r="F89" s="391"/>
      <c r="G89" s="391"/>
      <c r="H89" s="165">
        <v>43447689.20199999</v>
      </c>
      <c r="I89" s="164"/>
      <c r="J89" s="557">
        <v>605</v>
      </c>
      <c r="K89" s="557">
        <v>0</v>
      </c>
      <c r="L89" s="392">
        <v>31</v>
      </c>
      <c r="M89" s="392">
        <v>0</v>
      </c>
      <c r="N89" s="379">
        <v>23778</v>
      </c>
      <c r="O89" s="392"/>
      <c r="P89" s="392"/>
      <c r="S89" s="557">
        <v>642.1</v>
      </c>
      <c r="T89" s="557">
        <v>0</v>
      </c>
      <c r="U89" s="557">
        <v>605</v>
      </c>
      <c r="V89" s="557">
        <v>0</v>
      </c>
    </row>
    <row r="90" spans="1:22" ht="12.75">
      <c r="A90" s="220">
        <v>43862</v>
      </c>
      <c r="B90" s="165">
        <v>41046123.789</v>
      </c>
      <c r="C90" s="390"/>
      <c r="D90" s="391"/>
      <c r="E90" s="391"/>
      <c r="F90" s="391"/>
      <c r="G90" s="391"/>
      <c r="H90" s="165">
        <v>41046123.789</v>
      </c>
      <c r="I90" s="164"/>
      <c r="J90" s="557">
        <v>611.8</v>
      </c>
      <c r="K90" s="557">
        <v>0</v>
      </c>
      <c r="L90" s="392">
        <v>28</v>
      </c>
      <c r="M90" s="392">
        <v>0</v>
      </c>
      <c r="N90" s="379">
        <v>23804</v>
      </c>
      <c r="O90" s="392"/>
      <c r="P90" s="392"/>
      <c r="S90" s="557">
        <v>655.9000000000001</v>
      </c>
      <c r="T90" s="557">
        <v>0</v>
      </c>
      <c r="U90" s="557">
        <v>611.8</v>
      </c>
      <c r="V90" s="557">
        <v>0</v>
      </c>
    </row>
    <row r="91" spans="1:22" ht="12.75">
      <c r="A91" s="220">
        <v>43891</v>
      </c>
      <c r="B91" s="165">
        <v>39146163.179</v>
      </c>
      <c r="C91" s="390"/>
      <c r="D91" s="391"/>
      <c r="E91" s="391"/>
      <c r="F91" s="391"/>
      <c r="G91" s="391"/>
      <c r="H91" s="165">
        <v>39146163.179</v>
      </c>
      <c r="I91" s="164"/>
      <c r="J91" s="557">
        <v>458.69999999999993</v>
      </c>
      <c r="K91" s="557">
        <v>0</v>
      </c>
      <c r="L91" s="392">
        <v>31</v>
      </c>
      <c r="M91" s="392">
        <v>0</v>
      </c>
      <c r="N91" s="379">
        <v>23812</v>
      </c>
      <c r="O91" s="392"/>
      <c r="P91" s="392"/>
      <c r="S91" s="557">
        <v>536.0999999999999</v>
      </c>
      <c r="T91" s="557">
        <v>0</v>
      </c>
      <c r="U91" s="557">
        <v>458.69999999999993</v>
      </c>
      <c r="V91" s="557">
        <v>0</v>
      </c>
    </row>
    <row r="92" spans="1:22" ht="12.75">
      <c r="A92" s="220">
        <v>43922</v>
      </c>
      <c r="B92" s="165">
        <v>33162781.871000007</v>
      </c>
      <c r="C92" s="390"/>
      <c r="D92" s="391"/>
      <c r="E92" s="391"/>
      <c r="F92" s="391"/>
      <c r="G92" s="391"/>
      <c r="H92" s="165">
        <v>33162781.871000007</v>
      </c>
      <c r="I92" s="164"/>
      <c r="J92" s="557">
        <v>362.2999999999999</v>
      </c>
      <c r="K92" s="557">
        <v>0</v>
      </c>
      <c r="L92" s="392">
        <v>30</v>
      </c>
      <c r="M92" s="392">
        <v>1</v>
      </c>
      <c r="N92" s="379">
        <v>23826</v>
      </c>
      <c r="O92" s="392"/>
      <c r="P92" s="392"/>
      <c r="S92" s="557">
        <v>434.9000000000001</v>
      </c>
      <c r="T92" s="557">
        <v>0</v>
      </c>
      <c r="U92" s="557">
        <v>362.2999999999999</v>
      </c>
      <c r="V92" s="557">
        <v>0</v>
      </c>
    </row>
    <row r="93" spans="1:22" ht="12.75">
      <c r="A93" s="220">
        <v>43952</v>
      </c>
      <c r="B93" s="165">
        <v>33144752.307000004</v>
      </c>
      <c r="C93" s="390"/>
      <c r="D93" s="391"/>
      <c r="E93" s="391"/>
      <c r="F93" s="391"/>
      <c r="G93" s="391"/>
      <c r="H93" s="165">
        <v>33144752.307000004</v>
      </c>
      <c r="I93" s="164"/>
      <c r="J93" s="557">
        <v>208.09999999999997</v>
      </c>
      <c r="K93" s="557">
        <v>24.2</v>
      </c>
      <c r="L93" s="392">
        <v>31</v>
      </c>
      <c r="M93" s="392">
        <v>1</v>
      </c>
      <c r="N93" s="379">
        <v>23835</v>
      </c>
      <c r="O93" s="392"/>
      <c r="P93" s="392"/>
      <c r="S93" s="557">
        <v>264.2</v>
      </c>
      <c r="T93" s="557">
        <v>14.5</v>
      </c>
      <c r="U93" s="557">
        <v>208.09999999999997</v>
      </c>
      <c r="V93" s="557">
        <v>24.2</v>
      </c>
    </row>
    <row r="94" spans="1:22" ht="12.75">
      <c r="A94" s="220">
        <v>43983</v>
      </c>
      <c r="B94" s="165">
        <v>34594857.988000005</v>
      </c>
      <c r="C94" s="390"/>
      <c r="D94" s="391"/>
      <c r="E94" s="391"/>
      <c r="F94" s="391"/>
      <c r="G94" s="391"/>
      <c r="H94" s="165">
        <v>34594857.988000005</v>
      </c>
      <c r="I94" s="164"/>
      <c r="J94" s="557">
        <v>23.799999999999997</v>
      </c>
      <c r="K94" s="557">
        <v>97.70000000000002</v>
      </c>
      <c r="L94" s="392">
        <v>30</v>
      </c>
      <c r="M94" s="392">
        <v>1</v>
      </c>
      <c r="N94" s="379">
        <v>23849</v>
      </c>
      <c r="O94" s="392"/>
      <c r="P94" s="392"/>
      <c r="S94" s="557">
        <v>71</v>
      </c>
      <c r="T94" s="557">
        <v>28.6</v>
      </c>
      <c r="U94" s="557">
        <v>23.799999999999997</v>
      </c>
      <c r="V94" s="557">
        <v>97.70000000000002</v>
      </c>
    </row>
    <row r="95" spans="1:22" ht="12.75">
      <c r="A95" s="220">
        <v>44013</v>
      </c>
      <c r="B95" s="165">
        <v>40573552.657000005</v>
      </c>
      <c r="C95" s="390"/>
      <c r="D95" s="391"/>
      <c r="E95" s="391"/>
      <c r="F95" s="391"/>
      <c r="G95" s="391"/>
      <c r="H95" s="165">
        <v>40573552.657000005</v>
      </c>
      <c r="I95" s="164"/>
      <c r="J95" s="557">
        <v>0</v>
      </c>
      <c r="K95" s="557">
        <v>215.7</v>
      </c>
      <c r="L95" s="392">
        <v>31</v>
      </c>
      <c r="M95" s="392">
        <v>0</v>
      </c>
      <c r="N95" s="379">
        <v>23849</v>
      </c>
      <c r="O95" s="392"/>
      <c r="P95" s="392"/>
      <c r="S95" s="557">
        <v>4.5</v>
      </c>
      <c r="T95" s="557">
        <v>85.59999999999998</v>
      </c>
      <c r="U95" s="557">
        <v>0</v>
      </c>
      <c r="V95" s="557">
        <v>215.7</v>
      </c>
    </row>
    <row r="96" spans="1:22" ht="12.75">
      <c r="A96" s="220">
        <v>44044</v>
      </c>
      <c r="B96" s="165">
        <v>38203279.18799999</v>
      </c>
      <c r="C96" s="390"/>
      <c r="D96" s="391"/>
      <c r="E96" s="391"/>
      <c r="F96" s="391"/>
      <c r="G96" s="391"/>
      <c r="H96" s="165">
        <v>38203279.18799999</v>
      </c>
      <c r="I96" s="164"/>
      <c r="J96" s="557">
        <v>0.8</v>
      </c>
      <c r="K96" s="557">
        <v>126.69999999999999</v>
      </c>
      <c r="L96" s="392">
        <v>31</v>
      </c>
      <c r="M96" s="392">
        <v>0</v>
      </c>
      <c r="N96" s="379">
        <v>23863</v>
      </c>
      <c r="O96" s="392"/>
      <c r="P96" s="392"/>
      <c r="S96" s="557">
        <v>21.2</v>
      </c>
      <c r="T96" s="557">
        <v>41.1</v>
      </c>
      <c r="U96" s="557">
        <v>0.8</v>
      </c>
      <c r="V96" s="557">
        <v>126.69999999999999</v>
      </c>
    </row>
    <row r="97" spans="1:22" ht="12.75">
      <c r="A97" s="220">
        <v>44075</v>
      </c>
      <c r="B97" s="165">
        <v>32819205.606000002</v>
      </c>
      <c r="C97" s="390"/>
      <c r="D97" s="391"/>
      <c r="E97" s="391"/>
      <c r="F97" s="391"/>
      <c r="G97" s="391"/>
      <c r="H97" s="165">
        <v>32819205.606000002</v>
      </c>
      <c r="I97" s="164"/>
      <c r="J97" s="557">
        <v>69.10000000000001</v>
      </c>
      <c r="K97" s="557">
        <v>33.300000000000004</v>
      </c>
      <c r="L97" s="392">
        <v>30</v>
      </c>
      <c r="M97" s="392">
        <v>1</v>
      </c>
      <c r="N97" s="379">
        <v>23879</v>
      </c>
      <c r="O97" s="392"/>
      <c r="P97" s="392"/>
      <c r="S97" s="557">
        <v>137.59999999999997</v>
      </c>
      <c r="T97" s="557">
        <v>6.199999999999999</v>
      </c>
      <c r="U97" s="557">
        <v>69.10000000000001</v>
      </c>
      <c r="V97" s="557">
        <v>33.300000000000004</v>
      </c>
    </row>
    <row r="98" spans="1:22" ht="12.75">
      <c r="A98" s="220">
        <v>44105</v>
      </c>
      <c r="B98" s="165">
        <v>35693648.401</v>
      </c>
      <c r="C98" s="390"/>
      <c r="D98" s="391"/>
      <c r="E98" s="391"/>
      <c r="F98" s="391"/>
      <c r="G98" s="391"/>
      <c r="H98" s="165">
        <v>35693648.401</v>
      </c>
      <c r="I98" s="164"/>
      <c r="J98" s="557">
        <v>270.3</v>
      </c>
      <c r="K98" s="557">
        <v>0</v>
      </c>
      <c r="L98" s="392">
        <v>31</v>
      </c>
      <c r="M98" s="392">
        <v>1</v>
      </c>
      <c r="N98" s="379">
        <v>23905</v>
      </c>
      <c r="O98" s="392"/>
      <c r="P98" s="392"/>
      <c r="S98" s="557">
        <v>319.6000000000001</v>
      </c>
      <c r="T98" s="557">
        <v>0</v>
      </c>
      <c r="U98" s="557">
        <v>270.3</v>
      </c>
      <c r="V98" s="557">
        <v>0</v>
      </c>
    </row>
    <row r="99" spans="1:22" ht="12.75">
      <c r="A99" s="220">
        <v>44136</v>
      </c>
      <c r="B99" s="165">
        <v>36622836.334</v>
      </c>
      <c r="C99" s="390"/>
      <c r="D99" s="391"/>
      <c r="E99" s="391"/>
      <c r="F99" s="391"/>
      <c r="G99" s="391"/>
      <c r="H99" s="165">
        <v>36622836.334</v>
      </c>
      <c r="I99" s="164"/>
      <c r="J99" s="557">
        <v>334.79999999999995</v>
      </c>
      <c r="K99" s="557">
        <v>0</v>
      </c>
      <c r="L99" s="392">
        <v>30</v>
      </c>
      <c r="M99" s="392">
        <v>1</v>
      </c>
      <c r="N99" s="379">
        <v>23929</v>
      </c>
      <c r="O99" s="392"/>
      <c r="P99" s="392"/>
      <c r="S99" s="557">
        <v>355.40000000000003</v>
      </c>
      <c r="T99" s="557">
        <v>2.2</v>
      </c>
      <c r="U99" s="557">
        <v>334.79999999999995</v>
      </c>
      <c r="V99" s="557">
        <v>0</v>
      </c>
    </row>
    <row r="100" spans="1:22" ht="12.75">
      <c r="A100" s="220">
        <v>44166</v>
      </c>
      <c r="B100" s="165">
        <v>42343067.589999996</v>
      </c>
      <c r="C100" s="390"/>
      <c r="D100" s="391"/>
      <c r="E100" s="391"/>
      <c r="F100" s="391"/>
      <c r="G100" s="391"/>
      <c r="H100" s="165">
        <v>42343067.589999996</v>
      </c>
      <c r="I100" s="164"/>
      <c r="J100" s="557">
        <v>567.3</v>
      </c>
      <c r="K100" s="557">
        <v>0</v>
      </c>
      <c r="L100" s="392">
        <v>31</v>
      </c>
      <c r="M100" s="392">
        <v>0</v>
      </c>
      <c r="N100" s="379">
        <v>23953</v>
      </c>
      <c r="O100" s="392"/>
      <c r="P100" s="392"/>
      <c r="S100" s="557">
        <v>574.5</v>
      </c>
      <c r="T100" s="557">
        <v>0</v>
      </c>
      <c r="U100" s="557">
        <v>567.3</v>
      </c>
      <c r="V100" s="557">
        <v>0</v>
      </c>
    </row>
    <row r="101" spans="1:22" ht="12.75">
      <c r="A101" s="220">
        <v>44197</v>
      </c>
      <c r="B101" s="165">
        <v>43527338.929699995</v>
      </c>
      <c r="C101" s="390"/>
      <c r="D101" s="391"/>
      <c r="E101" s="391"/>
      <c r="F101" s="391"/>
      <c r="G101" s="391"/>
      <c r="H101" s="165">
        <v>43527338.929699995</v>
      </c>
      <c r="I101" s="164"/>
      <c r="J101" s="557">
        <v>621</v>
      </c>
      <c r="K101" s="557">
        <v>0</v>
      </c>
      <c r="L101" s="392">
        <v>31</v>
      </c>
      <c r="M101" s="392">
        <v>0</v>
      </c>
      <c r="N101" s="379">
        <v>23977</v>
      </c>
      <c r="O101" s="392"/>
      <c r="P101" s="392"/>
      <c r="S101" s="557">
        <v>675.3999999999999</v>
      </c>
      <c r="T101" s="557">
        <v>0</v>
      </c>
      <c r="U101" s="557">
        <v>605</v>
      </c>
      <c r="V101" s="557">
        <v>0</v>
      </c>
    </row>
    <row r="102" spans="1:22" ht="12.75">
      <c r="A102" s="220">
        <v>44228</v>
      </c>
      <c r="B102" s="165">
        <v>41279330.5436</v>
      </c>
      <c r="C102" s="390"/>
      <c r="D102" s="391"/>
      <c r="E102" s="391"/>
      <c r="F102" s="391"/>
      <c r="G102" s="391"/>
      <c r="H102" s="165">
        <v>41279330.5436</v>
      </c>
      <c r="I102" s="164"/>
      <c r="J102" s="557">
        <v>600.9</v>
      </c>
      <c r="K102" s="557">
        <v>0</v>
      </c>
      <c r="L102" s="392">
        <v>28</v>
      </c>
      <c r="M102" s="392">
        <v>0</v>
      </c>
      <c r="N102" s="379">
        <v>23994</v>
      </c>
      <c r="O102" s="392"/>
      <c r="P102" s="392"/>
      <c r="S102" s="557">
        <v>706.0999999999999</v>
      </c>
      <c r="T102" s="557">
        <v>0</v>
      </c>
      <c r="U102" s="557">
        <v>611.8</v>
      </c>
      <c r="V102" s="557">
        <v>0</v>
      </c>
    </row>
    <row r="103" spans="1:22" ht="12.75">
      <c r="A103" s="220">
        <v>44256</v>
      </c>
      <c r="B103" s="165">
        <v>40171238.9648</v>
      </c>
      <c r="C103" s="390"/>
      <c r="D103" s="391"/>
      <c r="E103" s="391"/>
      <c r="F103" s="391"/>
      <c r="G103" s="391"/>
      <c r="H103" s="165">
        <v>40171238.9648</v>
      </c>
      <c r="I103" s="164"/>
      <c r="J103" s="557">
        <v>460.7</v>
      </c>
      <c r="K103" s="557">
        <v>0</v>
      </c>
      <c r="L103" s="392">
        <v>31</v>
      </c>
      <c r="M103" s="392">
        <v>0</v>
      </c>
      <c r="N103" s="379">
        <v>24011</v>
      </c>
      <c r="O103" s="392"/>
      <c r="P103" s="392"/>
      <c r="S103" s="557">
        <v>505.4</v>
      </c>
      <c r="T103" s="557">
        <v>0</v>
      </c>
      <c r="U103" s="557">
        <v>458.69999999999993</v>
      </c>
      <c r="V103" s="557">
        <v>0</v>
      </c>
    </row>
    <row r="104" spans="1:22" ht="12.75">
      <c r="A104" s="220">
        <v>44287</v>
      </c>
      <c r="B104" s="165">
        <v>34273201.967099994</v>
      </c>
      <c r="C104" s="390"/>
      <c r="D104" s="391"/>
      <c r="E104" s="391"/>
      <c r="F104" s="391"/>
      <c r="G104" s="391"/>
      <c r="H104" s="165">
        <v>34273201.967099994</v>
      </c>
      <c r="I104" s="164"/>
      <c r="J104" s="557">
        <v>302.4</v>
      </c>
      <c r="K104" s="557">
        <v>0</v>
      </c>
      <c r="L104" s="392">
        <v>30</v>
      </c>
      <c r="M104" s="392">
        <v>1</v>
      </c>
      <c r="N104" s="379">
        <v>24032</v>
      </c>
      <c r="O104" s="392"/>
      <c r="P104" s="392"/>
      <c r="S104" s="557">
        <v>352.29999999999995</v>
      </c>
      <c r="T104" s="557">
        <v>0</v>
      </c>
      <c r="U104" s="557">
        <v>362.2999999999999</v>
      </c>
      <c r="V104" s="557">
        <v>0</v>
      </c>
    </row>
    <row r="105" spans="1:22" ht="12.75">
      <c r="A105" s="220">
        <v>44317</v>
      </c>
      <c r="B105" s="165">
        <v>33543165.898700003</v>
      </c>
      <c r="C105" s="390"/>
      <c r="D105" s="391"/>
      <c r="E105" s="391"/>
      <c r="F105" s="391"/>
      <c r="G105" s="391"/>
      <c r="H105" s="165">
        <v>33543165.898700003</v>
      </c>
      <c r="I105" s="164"/>
      <c r="J105" s="557">
        <v>164.2</v>
      </c>
      <c r="K105" s="557">
        <v>27.9</v>
      </c>
      <c r="L105" s="392">
        <v>31</v>
      </c>
      <c r="M105" s="392">
        <v>1</v>
      </c>
      <c r="N105" s="379">
        <v>24037</v>
      </c>
      <c r="O105" s="392"/>
      <c r="P105" s="392"/>
      <c r="S105" s="557">
        <v>236.3</v>
      </c>
      <c r="T105" s="557">
        <v>13.8</v>
      </c>
      <c r="U105" s="557">
        <v>208.09999999999997</v>
      </c>
      <c r="V105" s="557">
        <v>24.2</v>
      </c>
    </row>
    <row r="106" spans="1:22" ht="12.75">
      <c r="A106" s="220">
        <v>44348</v>
      </c>
      <c r="B106" s="165">
        <v>37512786.45989999</v>
      </c>
      <c r="C106" s="390"/>
      <c r="D106" s="391"/>
      <c r="E106" s="391"/>
      <c r="F106" s="391"/>
      <c r="G106" s="391"/>
      <c r="H106" s="165">
        <v>37512786.45989999</v>
      </c>
      <c r="I106" s="164"/>
      <c r="J106" s="557">
        <v>7</v>
      </c>
      <c r="K106" s="557">
        <v>122</v>
      </c>
      <c r="L106" s="392">
        <v>30</v>
      </c>
      <c r="M106" s="392">
        <v>1</v>
      </c>
      <c r="N106" s="379">
        <v>24076</v>
      </c>
      <c r="O106" s="392"/>
      <c r="P106" s="392"/>
      <c r="S106" s="557">
        <v>37.9</v>
      </c>
      <c r="T106" s="557">
        <v>46.900000000000006</v>
      </c>
      <c r="U106" s="557">
        <v>23.799999999999997</v>
      </c>
      <c r="V106" s="557">
        <v>97.70000000000002</v>
      </c>
    </row>
    <row r="107" spans="1:22" ht="12.75">
      <c r="A107" s="220">
        <v>44378</v>
      </c>
      <c r="B107" s="165">
        <v>38597541.411</v>
      </c>
      <c r="C107" s="390"/>
      <c r="D107" s="391"/>
      <c r="E107" s="391"/>
      <c r="F107" s="391"/>
      <c r="G107" s="391"/>
      <c r="H107" s="165">
        <v>38597541.411</v>
      </c>
      <c r="I107" s="164"/>
      <c r="J107" s="557">
        <v>4.4</v>
      </c>
      <c r="K107" s="557">
        <v>101.7</v>
      </c>
      <c r="L107" s="392">
        <v>31</v>
      </c>
      <c r="M107" s="392">
        <v>0</v>
      </c>
      <c r="N107" s="379">
        <v>24079</v>
      </c>
      <c r="O107" s="392"/>
      <c r="P107" s="392"/>
      <c r="S107" s="557">
        <v>31.3</v>
      </c>
      <c r="T107" s="557">
        <v>32.4</v>
      </c>
      <c r="U107" s="557">
        <v>0</v>
      </c>
      <c r="V107" s="557">
        <v>215.7</v>
      </c>
    </row>
    <row r="108" spans="1:22" ht="12.75">
      <c r="A108" s="220">
        <v>44409</v>
      </c>
      <c r="B108" s="165">
        <v>40059213.5992</v>
      </c>
      <c r="C108" s="390"/>
      <c r="D108" s="391"/>
      <c r="E108" s="391"/>
      <c r="F108" s="391"/>
      <c r="G108" s="556"/>
      <c r="H108" s="165">
        <v>40059213.5992</v>
      </c>
      <c r="I108" s="164"/>
      <c r="J108" s="557">
        <v>0</v>
      </c>
      <c r="K108" s="557">
        <v>178.5</v>
      </c>
      <c r="L108" s="392">
        <v>31</v>
      </c>
      <c r="M108" s="392">
        <v>0</v>
      </c>
      <c r="N108" s="379">
        <v>24109</v>
      </c>
      <c r="O108" s="392"/>
      <c r="P108" s="392"/>
      <c r="S108" s="557">
        <v>11.7</v>
      </c>
      <c r="T108" s="557">
        <v>86.69999999999999</v>
      </c>
      <c r="U108" s="557">
        <v>0.8</v>
      </c>
      <c r="V108" s="557">
        <v>126.69999999999999</v>
      </c>
    </row>
    <row r="109" spans="1:22" ht="12.75">
      <c r="A109" s="220">
        <v>44440</v>
      </c>
      <c r="B109" s="165">
        <v>34178604.9412</v>
      </c>
      <c r="C109" s="390"/>
      <c r="D109" s="391"/>
      <c r="E109" s="391"/>
      <c r="F109" s="391"/>
      <c r="G109" s="391"/>
      <c r="H109" s="165">
        <v>34178604.9412</v>
      </c>
      <c r="I109" s="164"/>
      <c r="J109" s="557">
        <v>35.6</v>
      </c>
      <c r="K109" s="557">
        <v>24.9</v>
      </c>
      <c r="L109" s="392">
        <v>30</v>
      </c>
      <c r="M109" s="392">
        <v>1</v>
      </c>
      <c r="N109" s="379">
        <v>24136</v>
      </c>
      <c r="O109" s="392"/>
      <c r="P109" s="392"/>
      <c r="S109" s="557">
        <v>96.2</v>
      </c>
      <c r="T109" s="557">
        <v>4.7</v>
      </c>
      <c r="U109" s="557">
        <v>69.10000000000001</v>
      </c>
      <c r="V109" s="557">
        <v>33.300000000000004</v>
      </c>
    </row>
    <row r="110" spans="1:22" ht="12.75">
      <c r="A110" s="220">
        <v>44470</v>
      </c>
      <c r="B110" s="165">
        <v>34477682.714700006</v>
      </c>
      <c r="C110" s="390"/>
      <c r="D110" s="391"/>
      <c r="E110" s="391"/>
      <c r="F110" s="391"/>
      <c r="G110" s="391"/>
      <c r="H110" s="165">
        <v>34477682.714700006</v>
      </c>
      <c r="I110" s="164"/>
      <c r="J110" s="557">
        <v>145.2</v>
      </c>
      <c r="K110" s="557">
        <v>5.6</v>
      </c>
      <c r="L110" s="392">
        <v>31</v>
      </c>
      <c r="M110" s="392">
        <v>1</v>
      </c>
      <c r="N110" s="379">
        <v>24150</v>
      </c>
      <c r="O110" s="392"/>
      <c r="P110" s="392"/>
      <c r="S110" s="557">
        <v>179.89999999999998</v>
      </c>
      <c r="T110" s="557">
        <v>5.6</v>
      </c>
      <c r="U110" s="557">
        <v>270.3</v>
      </c>
      <c r="V110" s="557">
        <v>0</v>
      </c>
    </row>
    <row r="111" spans="1:22" ht="12.75">
      <c r="A111" s="220">
        <v>44501</v>
      </c>
      <c r="B111" s="165">
        <v>38088839.1656</v>
      </c>
      <c r="C111" s="390"/>
      <c r="D111" s="391"/>
      <c r="E111" s="391"/>
      <c r="F111" s="391"/>
      <c r="G111" s="391"/>
      <c r="H111" s="165">
        <v>38088839.1656</v>
      </c>
      <c r="I111" s="164"/>
      <c r="J111" s="557">
        <v>413.7</v>
      </c>
      <c r="K111" s="557">
        <v>0</v>
      </c>
      <c r="L111" s="392">
        <v>30</v>
      </c>
      <c r="M111" s="392">
        <v>1</v>
      </c>
      <c r="N111" s="379">
        <v>24191</v>
      </c>
      <c r="O111" s="392"/>
      <c r="P111" s="392"/>
      <c r="S111" s="557">
        <v>459.7</v>
      </c>
      <c r="T111" s="557">
        <v>0</v>
      </c>
      <c r="U111" s="557">
        <v>334.79999999999995</v>
      </c>
      <c r="V111" s="557">
        <v>0</v>
      </c>
    </row>
    <row r="112" spans="1:22" ht="12.75">
      <c r="A112" s="220">
        <v>44531</v>
      </c>
      <c r="B112" s="165">
        <v>41741160.11999999</v>
      </c>
      <c r="C112" s="390"/>
      <c r="D112" s="391"/>
      <c r="E112" s="391"/>
      <c r="F112" s="391"/>
      <c r="G112" s="391"/>
      <c r="H112" s="165">
        <v>41741160.11999999</v>
      </c>
      <c r="I112" s="164"/>
      <c r="J112" s="557">
        <v>445.8</v>
      </c>
      <c r="K112" s="557">
        <v>0</v>
      </c>
      <c r="L112" s="392">
        <v>31</v>
      </c>
      <c r="M112" s="392">
        <v>0</v>
      </c>
      <c r="N112" s="379">
        <v>24202</v>
      </c>
      <c r="O112" s="392"/>
      <c r="P112" s="392"/>
      <c r="S112" s="557">
        <v>560.1</v>
      </c>
      <c r="T112" s="557">
        <v>0</v>
      </c>
      <c r="U112" s="557">
        <v>567.3</v>
      </c>
      <c r="V112" s="557">
        <v>0</v>
      </c>
    </row>
    <row r="113" spans="1:22" ht="12.75">
      <c r="A113" s="220">
        <v>44562</v>
      </c>
      <c r="B113" s="165">
        <v>47203417.384799995</v>
      </c>
      <c r="C113" s="390"/>
      <c r="D113" s="391"/>
      <c r="E113" s="391"/>
      <c r="F113" s="391"/>
      <c r="G113" s="391"/>
      <c r="H113" s="165">
        <v>47203417.384799995</v>
      </c>
      <c r="I113" s="164"/>
      <c r="J113" s="557">
        <v>737.1</v>
      </c>
      <c r="K113" s="557">
        <v>0</v>
      </c>
      <c r="L113" s="392">
        <v>31</v>
      </c>
      <c r="M113" s="392">
        <v>0</v>
      </c>
      <c r="N113" s="379">
        <v>24243</v>
      </c>
      <c r="O113" s="392"/>
      <c r="P113" s="392"/>
      <c r="S113" s="557">
        <v>856.7000000000002</v>
      </c>
      <c r="T113" s="557">
        <v>0</v>
      </c>
      <c r="U113" s="557">
        <v>737.1</v>
      </c>
      <c r="V113" s="557">
        <v>0</v>
      </c>
    </row>
    <row r="114" spans="1:22" ht="12.75">
      <c r="A114" s="220">
        <v>44593</v>
      </c>
      <c r="B114" s="165">
        <v>41797636.53990001</v>
      </c>
      <c r="C114" s="390"/>
      <c r="D114" s="391"/>
      <c r="E114" s="391"/>
      <c r="F114" s="391"/>
      <c r="G114" s="391"/>
      <c r="H114" s="165">
        <v>41797636.53990001</v>
      </c>
      <c r="I114" s="164"/>
      <c r="J114" s="557">
        <v>585.0999999999999</v>
      </c>
      <c r="K114" s="557">
        <v>0</v>
      </c>
      <c r="L114" s="392">
        <v>28</v>
      </c>
      <c r="M114" s="392">
        <v>0</v>
      </c>
      <c r="N114" s="379">
        <v>24248</v>
      </c>
      <c r="O114" s="392"/>
      <c r="P114" s="392"/>
      <c r="S114" s="557">
        <v>707.5999999999998</v>
      </c>
      <c r="T114" s="557">
        <v>0</v>
      </c>
      <c r="U114" s="557">
        <v>585.0999999999999</v>
      </c>
      <c r="V114" s="557">
        <v>0</v>
      </c>
    </row>
    <row r="115" spans="1:22" ht="12.75">
      <c r="A115" s="220">
        <v>44621</v>
      </c>
      <c r="B115" s="165">
        <v>42551682.3739</v>
      </c>
      <c r="C115" s="390"/>
      <c r="D115" s="391"/>
      <c r="E115" s="391"/>
      <c r="F115" s="391"/>
      <c r="G115" s="391"/>
      <c r="H115" s="165">
        <v>42551682.3739</v>
      </c>
      <c r="I115" s="164"/>
      <c r="J115" s="557">
        <v>523.9000000000001</v>
      </c>
      <c r="K115" s="557">
        <v>0</v>
      </c>
      <c r="L115" s="392">
        <v>31</v>
      </c>
      <c r="M115" s="392">
        <v>0</v>
      </c>
      <c r="N115" s="379">
        <v>24262</v>
      </c>
      <c r="O115" s="392"/>
      <c r="P115" s="392"/>
      <c r="S115" s="557">
        <v>592.4</v>
      </c>
      <c r="T115" s="557">
        <v>0</v>
      </c>
      <c r="U115" s="557">
        <v>523.9000000000001</v>
      </c>
      <c r="V115" s="557">
        <v>0</v>
      </c>
    </row>
    <row r="116" spans="1:22" ht="12.75">
      <c r="A116" s="220">
        <v>44652</v>
      </c>
      <c r="B116" s="165">
        <v>36094613.055</v>
      </c>
      <c r="C116" s="390"/>
      <c r="D116" s="391"/>
      <c r="E116" s="391"/>
      <c r="F116" s="391"/>
      <c r="G116" s="391"/>
      <c r="H116" s="165">
        <v>36094613.055</v>
      </c>
      <c r="I116" s="164"/>
      <c r="J116" s="557">
        <v>327.9</v>
      </c>
      <c r="K116" s="557">
        <v>0</v>
      </c>
      <c r="L116" s="392">
        <v>30</v>
      </c>
      <c r="M116" s="392">
        <v>1</v>
      </c>
      <c r="N116" s="379">
        <v>24272</v>
      </c>
      <c r="O116" s="392"/>
      <c r="P116" s="392"/>
      <c r="S116" s="557">
        <v>402.2999999999999</v>
      </c>
      <c r="T116" s="557">
        <v>0</v>
      </c>
      <c r="U116" s="557">
        <v>327.9</v>
      </c>
      <c r="V116" s="557">
        <v>0</v>
      </c>
    </row>
    <row r="117" spans="1:22" ht="12.75">
      <c r="A117" s="220">
        <v>44682</v>
      </c>
      <c r="B117" s="165">
        <v>34287485.0159</v>
      </c>
      <c r="C117" s="390"/>
      <c r="D117" s="391"/>
      <c r="E117" s="391"/>
      <c r="F117" s="391"/>
      <c r="G117" s="391"/>
      <c r="H117" s="165">
        <v>34287485.0159</v>
      </c>
      <c r="I117" s="164"/>
      <c r="J117" s="557">
        <v>98.19999999999997</v>
      </c>
      <c r="K117" s="557">
        <v>34.6</v>
      </c>
      <c r="L117" s="392">
        <v>31</v>
      </c>
      <c r="M117" s="392">
        <v>1</v>
      </c>
      <c r="N117" s="379">
        <v>24275</v>
      </c>
      <c r="O117" s="392"/>
      <c r="P117" s="392"/>
      <c r="S117" s="557">
        <v>151.9</v>
      </c>
      <c r="T117" s="557">
        <v>19.6</v>
      </c>
      <c r="U117" s="557">
        <v>98.19999999999997</v>
      </c>
      <c r="V117" s="557">
        <v>34.6</v>
      </c>
    </row>
    <row r="118" spans="1:22" ht="12.75">
      <c r="A118" s="220">
        <v>44713</v>
      </c>
      <c r="B118" s="165">
        <v>34727203.90410001</v>
      </c>
      <c r="C118" s="390"/>
      <c r="D118" s="391"/>
      <c r="E118" s="391"/>
      <c r="F118" s="391"/>
      <c r="G118" s="391"/>
      <c r="H118" s="165">
        <v>34727203.90410001</v>
      </c>
      <c r="I118" s="164"/>
      <c r="J118" s="557">
        <v>17.699999999999996</v>
      </c>
      <c r="K118" s="557">
        <v>64.2</v>
      </c>
      <c r="L118" s="392">
        <v>30</v>
      </c>
      <c r="M118" s="392">
        <v>1</v>
      </c>
      <c r="N118" s="379">
        <v>24289</v>
      </c>
      <c r="O118" s="392"/>
      <c r="P118" s="392"/>
      <c r="S118" s="557">
        <v>92.29999999999998</v>
      </c>
      <c r="T118" s="557">
        <v>19.000000000000004</v>
      </c>
      <c r="U118" s="557">
        <v>17.699999999999996</v>
      </c>
      <c r="V118" s="557">
        <v>64.2</v>
      </c>
    </row>
    <row r="119" spans="1:22" ht="12.75">
      <c r="A119" s="220">
        <v>44743</v>
      </c>
      <c r="B119" s="165">
        <v>36965339.7436</v>
      </c>
      <c r="C119" s="390"/>
      <c r="D119" s="391"/>
      <c r="E119" s="391"/>
      <c r="F119" s="391"/>
      <c r="G119" s="391"/>
      <c r="H119" s="165">
        <v>36965339.7436</v>
      </c>
      <c r="I119" s="164"/>
      <c r="J119" s="557">
        <v>0</v>
      </c>
      <c r="K119" s="557">
        <v>144.69999999999996</v>
      </c>
      <c r="L119" s="392">
        <v>31</v>
      </c>
      <c r="M119" s="392">
        <v>0</v>
      </c>
      <c r="N119" s="379">
        <v>24329</v>
      </c>
      <c r="O119" s="392"/>
      <c r="P119" s="392"/>
      <c r="S119" s="557">
        <v>37.699999999999996</v>
      </c>
      <c r="T119" s="557">
        <v>39.2</v>
      </c>
      <c r="U119" s="557">
        <v>0</v>
      </c>
      <c r="V119" s="557">
        <v>144.69999999999996</v>
      </c>
    </row>
    <row r="120" spans="1:22" ht="12.75">
      <c r="A120" s="220">
        <v>44774</v>
      </c>
      <c r="B120" s="165">
        <v>38942955.5937</v>
      </c>
      <c r="C120" s="390"/>
      <c r="D120" s="391"/>
      <c r="E120" s="391"/>
      <c r="F120" s="391"/>
      <c r="G120" s="391"/>
      <c r="H120" s="165">
        <v>38942955.5937</v>
      </c>
      <c r="I120" s="164"/>
      <c r="J120" s="557">
        <v>0</v>
      </c>
      <c r="K120" s="557">
        <v>140.49999999999997</v>
      </c>
      <c r="L120" s="392">
        <v>31</v>
      </c>
      <c r="M120" s="392">
        <v>0</v>
      </c>
      <c r="N120" s="379">
        <v>24533</v>
      </c>
      <c r="O120" s="392"/>
      <c r="P120" s="392"/>
      <c r="S120" s="557">
        <v>15.1</v>
      </c>
      <c r="T120" s="557">
        <v>44.09999999999999</v>
      </c>
      <c r="U120" s="557">
        <v>0</v>
      </c>
      <c r="V120" s="557">
        <v>140.49999999999997</v>
      </c>
    </row>
    <row r="121" spans="1:22" ht="12.75">
      <c r="A121" s="220">
        <v>44805</v>
      </c>
      <c r="B121" s="165">
        <v>34315274.0672</v>
      </c>
      <c r="C121" s="390"/>
      <c r="D121" s="391"/>
      <c r="E121" s="391"/>
      <c r="F121" s="391"/>
      <c r="G121" s="391"/>
      <c r="H121" s="165">
        <v>34315274.0672</v>
      </c>
      <c r="I121" s="164"/>
      <c r="J121" s="557">
        <v>52.3</v>
      </c>
      <c r="K121" s="557">
        <v>46.1</v>
      </c>
      <c r="L121" s="392">
        <v>30</v>
      </c>
      <c r="M121" s="392">
        <v>1</v>
      </c>
      <c r="N121" s="379">
        <v>24361</v>
      </c>
      <c r="O121" s="392"/>
      <c r="P121" s="392"/>
      <c r="S121" s="557">
        <v>102.10000000000001</v>
      </c>
      <c r="T121" s="557">
        <v>22.799999999999997</v>
      </c>
      <c r="U121" s="557">
        <v>52.3</v>
      </c>
      <c r="V121" s="557">
        <v>46.1</v>
      </c>
    </row>
    <row r="122" spans="1:22" ht="12.75">
      <c r="A122" s="220">
        <v>44835</v>
      </c>
      <c r="B122" s="165">
        <v>34341915.194199994</v>
      </c>
      <c r="C122" s="390"/>
      <c r="D122" s="391"/>
      <c r="E122" s="391"/>
      <c r="F122" s="391"/>
      <c r="G122" s="391"/>
      <c r="H122" s="165">
        <v>34341915.194199994</v>
      </c>
      <c r="I122" s="164"/>
      <c r="J122" s="557">
        <v>236.70000000000002</v>
      </c>
      <c r="K122" s="557">
        <v>0.2</v>
      </c>
      <c r="L122" s="392">
        <v>31</v>
      </c>
      <c r="M122" s="392">
        <v>1</v>
      </c>
      <c r="N122" s="379">
        <v>24381</v>
      </c>
      <c r="O122" s="392"/>
      <c r="P122" s="392"/>
      <c r="S122" s="557">
        <v>268.79999999999995</v>
      </c>
      <c r="T122" s="557">
        <v>0.1</v>
      </c>
      <c r="U122" s="557">
        <v>236.70000000000002</v>
      </c>
      <c r="V122" s="557">
        <v>0.2</v>
      </c>
    </row>
    <row r="123" spans="1:22" ht="12.75">
      <c r="A123" s="220">
        <v>44866</v>
      </c>
      <c r="B123" s="165">
        <v>37142391.188200004</v>
      </c>
      <c r="C123" s="390"/>
      <c r="D123" s="391"/>
      <c r="E123" s="391"/>
      <c r="F123" s="391"/>
      <c r="G123" s="391"/>
      <c r="H123" s="165">
        <v>37142391.188200004</v>
      </c>
      <c r="I123" s="164"/>
      <c r="J123" s="557">
        <v>380.09999999999997</v>
      </c>
      <c r="K123" s="557">
        <v>0.9</v>
      </c>
      <c r="L123" s="392">
        <v>30</v>
      </c>
      <c r="M123" s="392">
        <v>1</v>
      </c>
      <c r="N123" s="379">
        <v>24402</v>
      </c>
      <c r="O123" s="392"/>
      <c r="P123" s="392"/>
      <c r="S123" s="557">
        <v>409.29999999999995</v>
      </c>
      <c r="T123" s="557">
        <v>0.1</v>
      </c>
      <c r="U123" s="557">
        <v>380.09999999999997</v>
      </c>
      <c r="V123" s="557">
        <v>0.9</v>
      </c>
    </row>
    <row r="124" spans="1:22" ht="12.75">
      <c r="A124" s="220">
        <v>44896</v>
      </c>
      <c r="B124" s="165">
        <v>42267056.1342</v>
      </c>
      <c r="C124" s="390"/>
      <c r="D124" s="391"/>
      <c r="E124" s="391"/>
      <c r="F124" s="391"/>
      <c r="G124" s="391"/>
      <c r="H124" s="165">
        <v>42267056.1342</v>
      </c>
      <c r="I124" s="164"/>
      <c r="J124" s="557">
        <v>543.9999999999999</v>
      </c>
      <c r="K124" s="557">
        <v>0</v>
      </c>
      <c r="L124" s="392">
        <v>31</v>
      </c>
      <c r="M124" s="392">
        <v>0</v>
      </c>
      <c r="N124" s="379">
        <v>24429</v>
      </c>
      <c r="O124" s="392"/>
      <c r="P124" s="392"/>
      <c r="S124" s="557">
        <v>584.6</v>
      </c>
      <c r="T124" s="557">
        <v>0</v>
      </c>
      <c r="U124" s="557">
        <v>543.9999999999999</v>
      </c>
      <c r="V124" s="557">
        <v>0</v>
      </c>
    </row>
    <row r="127" spans="1:16" ht="12.75">
      <c r="A127" s="393" t="s">
        <v>165</v>
      </c>
      <c r="B127" s="394"/>
      <c r="C127" s="395"/>
      <c r="D127" s="395"/>
      <c r="E127" s="395"/>
      <c r="F127" s="395"/>
      <c r="G127" s="395"/>
      <c r="H127" s="394"/>
      <c r="I127" s="396"/>
      <c r="J127" s="394"/>
      <c r="K127" s="394"/>
      <c r="L127" s="394"/>
      <c r="M127" s="394"/>
      <c r="N127" s="394"/>
      <c r="O127" s="394"/>
      <c r="P127" s="394"/>
    </row>
    <row r="128" spans="1:16" ht="12.75">
      <c r="A128" s="397" t="s">
        <v>242</v>
      </c>
      <c r="B128" s="394"/>
      <c r="C128" s="395"/>
      <c r="D128" s="395"/>
      <c r="E128" s="395"/>
      <c r="F128" s="395"/>
      <c r="G128" s="395"/>
      <c r="H128" s="394"/>
      <c r="I128" s="396"/>
      <c r="J128" s="394"/>
      <c r="K128" s="394"/>
      <c r="L128" s="394"/>
      <c r="M128" s="394"/>
      <c r="N128" s="394"/>
      <c r="O128" s="394"/>
      <c r="P128" s="394"/>
    </row>
    <row r="129" spans="1:16" ht="12.75">
      <c r="A129" s="397" t="s">
        <v>243</v>
      </c>
      <c r="B129" s="394"/>
      <c r="C129" s="395"/>
      <c r="D129" s="395"/>
      <c r="E129" s="395"/>
      <c r="F129" s="395"/>
      <c r="G129" s="395"/>
      <c r="H129" s="394"/>
      <c r="I129" s="396"/>
      <c r="J129" s="394"/>
      <c r="K129" s="394"/>
      <c r="L129" s="394"/>
      <c r="M129" s="394"/>
      <c r="N129" s="394"/>
      <c r="O129" s="394"/>
      <c r="P129" s="394"/>
    </row>
    <row r="130" spans="1:16" ht="12.75">
      <c r="A130" s="397" t="s">
        <v>179</v>
      </c>
      <c r="B130" s="394"/>
      <c r="C130" s="395"/>
      <c r="D130" s="395"/>
      <c r="E130" s="395"/>
      <c r="F130" s="395"/>
      <c r="G130" s="395"/>
      <c r="H130" s="394"/>
      <c r="I130" s="396"/>
      <c r="J130" s="394"/>
      <c r="K130" s="394"/>
      <c r="L130" s="394"/>
      <c r="M130" s="394"/>
      <c r="N130" s="394"/>
      <c r="O130" s="394"/>
      <c r="P130" s="394"/>
    </row>
    <row r="131" spans="1:16" ht="12.75">
      <c r="A131" s="397" t="s">
        <v>180</v>
      </c>
      <c r="B131" s="394"/>
      <c r="C131" s="395"/>
      <c r="D131" s="395"/>
      <c r="E131" s="395"/>
      <c r="F131" s="395"/>
      <c r="G131" s="395"/>
      <c r="H131" s="394"/>
      <c r="I131" s="396"/>
      <c r="J131" s="394"/>
      <c r="K131" s="394"/>
      <c r="L131" s="394"/>
      <c r="M131" s="394"/>
      <c r="N131" s="394"/>
      <c r="O131" s="394"/>
      <c r="P131" s="394"/>
    </row>
    <row r="132" spans="1:16" ht="12.75">
      <c r="A132" s="397" t="s">
        <v>181</v>
      </c>
      <c r="B132" s="394"/>
      <c r="C132" s="395"/>
      <c r="D132" s="395"/>
      <c r="E132" s="395"/>
      <c r="F132" s="395"/>
      <c r="G132" s="395"/>
      <c r="H132" s="394"/>
      <c r="I132" s="396"/>
      <c r="J132" s="394"/>
      <c r="K132" s="394"/>
      <c r="L132" s="394"/>
      <c r="M132" s="394"/>
      <c r="N132" s="394"/>
      <c r="O132" s="394"/>
      <c r="P132" s="394"/>
    </row>
    <row r="133" spans="1:16" ht="12.75">
      <c r="A133" s="397" t="s">
        <v>166</v>
      </c>
      <c r="B133" s="394"/>
      <c r="C133" s="395"/>
      <c r="D133" s="395"/>
      <c r="E133" s="395"/>
      <c r="F133" s="395"/>
      <c r="G133" s="395"/>
      <c r="H133" s="394"/>
      <c r="I133" s="396"/>
      <c r="J133" s="394"/>
      <c r="K133" s="394"/>
      <c r="L133" s="394"/>
      <c r="M133" s="394"/>
      <c r="N133" s="394"/>
      <c r="O133" s="394"/>
      <c r="P133" s="394"/>
    </row>
    <row r="134" spans="1:16" ht="12.75">
      <c r="A134" s="397"/>
      <c r="B134" s="394"/>
      <c r="C134" s="395"/>
      <c r="D134" s="395"/>
      <c r="E134" s="395"/>
      <c r="F134" s="395"/>
      <c r="G134" s="395"/>
      <c r="H134" s="394"/>
      <c r="I134" s="396"/>
      <c r="J134" s="394"/>
      <c r="K134" s="394"/>
      <c r="L134" s="394"/>
      <c r="M134" s="394"/>
      <c r="N134" s="394"/>
      <c r="O134" s="394"/>
      <c r="P134" s="394"/>
    </row>
    <row r="135" spans="1:16" ht="12.75">
      <c r="A135" s="397"/>
      <c r="B135" s="394"/>
      <c r="C135" s="395"/>
      <c r="D135" s="395"/>
      <c r="E135" s="395"/>
      <c r="F135" s="395"/>
      <c r="G135" s="395"/>
      <c r="H135" s="394"/>
      <c r="I135" s="396"/>
      <c r="J135" s="394"/>
      <c r="K135" s="394"/>
      <c r="L135" s="394"/>
      <c r="M135" s="394"/>
      <c r="N135" s="394"/>
      <c r="O135" s="394"/>
      <c r="P135" s="394"/>
    </row>
    <row r="136" spans="1:16" ht="12.75">
      <c r="A136" s="337"/>
      <c r="B136" s="314"/>
      <c r="C136" s="338"/>
      <c r="D136" s="338"/>
      <c r="E136" s="338"/>
      <c r="F136" s="338"/>
      <c r="G136" s="338"/>
      <c r="H136" s="314"/>
      <c r="J136" s="314"/>
      <c r="K136" s="314"/>
      <c r="L136" s="314"/>
      <c r="M136" s="314"/>
      <c r="N136" s="314"/>
      <c r="O136" s="314"/>
      <c r="P136" s="314"/>
    </row>
  </sheetData>
  <sheetProtection/>
  <mergeCells count="2">
    <mergeCell ref="A3:H3"/>
    <mergeCell ref="J3:P3"/>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6">
    <tabColor theme="4" tint="0.5999900102615356"/>
  </sheetPr>
  <dimension ref="A3:V136"/>
  <sheetViews>
    <sheetView showGridLines="0" zoomScalePageLayoutView="0" workbookViewId="0" topLeftCell="A3">
      <selection activeCell="L43" sqref="L43"/>
    </sheetView>
  </sheetViews>
  <sheetFormatPr defaultColWidth="9.33203125" defaultRowHeight="12.75"/>
  <cols>
    <col min="1" max="1" width="28.33203125" style="146" bestFit="1" customWidth="1"/>
    <col min="2" max="2" width="18" style="145" customWidth="1"/>
    <col min="3" max="7" width="16.5" style="231" customWidth="1"/>
    <col min="8" max="8" width="18" style="145" customWidth="1"/>
    <col min="9" max="9" width="6.33203125" style="151" customWidth="1"/>
    <col min="10" max="16" width="17" style="145" customWidth="1"/>
    <col min="17" max="17" width="4.16015625" style="144" customWidth="1"/>
    <col min="18" max="18" width="5.66015625" style="144" customWidth="1"/>
    <col min="19" max="19" width="9.33203125" style="144" customWidth="1"/>
    <col min="20" max="20" width="10" style="144" bestFit="1" customWidth="1"/>
    <col min="21" max="16384" width="9.33203125" style="144" customWidth="1"/>
  </cols>
  <sheetData>
    <row r="2" ht="13.5" thickBot="1"/>
    <row r="3" spans="1:16" ht="22.5" customHeight="1">
      <c r="A3" s="702" t="s">
        <v>134</v>
      </c>
      <c r="B3" s="703"/>
      <c r="C3" s="703"/>
      <c r="D3" s="703"/>
      <c r="E3" s="703"/>
      <c r="F3" s="703"/>
      <c r="G3" s="703"/>
      <c r="H3" s="704"/>
      <c r="I3" s="218"/>
      <c r="J3" s="702" t="s">
        <v>97</v>
      </c>
      <c r="K3" s="703"/>
      <c r="L3" s="703"/>
      <c r="M3" s="703"/>
      <c r="N3" s="703"/>
      <c r="O3" s="703"/>
      <c r="P3" s="704"/>
    </row>
    <row r="4" spans="1:22" ht="33.75">
      <c r="A4" s="219"/>
      <c r="B4" s="215" t="s">
        <v>96</v>
      </c>
      <c r="C4" s="215" t="s">
        <v>95</v>
      </c>
      <c r="D4" s="215" t="s">
        <v>162</v>
      </c>
      <c r="E4" s="215" t="s">
        <v>161</v>
      </c>
      <c r="F4" s="215" t="s">
        <v>161</v>
      </c>
      <c r="G4" s="215" t="s">
        <v>161</v>
      </c>
      <c r="H4" s="215" t="s">
        <v>94</v>
      </c>
      <c r="I4" s="214"/>
      <c r="J4" s="215" t="s">
        <v>50</v>
      </c>
      <c r="K4" s="215" t="s">
        <v>51</v>
      </c>
      <c r="L4" s="215" t="s">
        <v>188</v>
      </c>
      <c r="M4" s="215" t="s">
        <v>228</v>
      </c>
      <c r="N4" s="215" t="s">
        <v>93</v>
      </c>
      <c r="O4" s="215" t="s">
        <v>187</v>
      </c>
      <c r="P4" s="215" t="s">
        <v>187</v>
      </c>
      <c r="Q4" s="169"/>
      <c r="S4" s="215" t="s">
        <v>245</v>
      </c>
      <c r="T4" s="215" t="s">
        <v>245</v>
      </c>
      <c r="U4" s="215" t="s">
        <v>246</v>
      </c>
      <c r="V4" s="215" t="s">
        <v>246</v>
      </c>
    </row>
    <row r="5" spans="1:22" ht="12.75">
      <c r="A5" s="220">
        <v>41275</v>
      </c>
      <c r="B5" s="165">
        <f>'Input - Customer Data'!D32</f>
        <v>45827933.03</v>
      </c>
      <c r="C5" s="390"/>
      <c r="D5" s="391"/>
      <c r="E5" s="391"/>
      <c r="F5" s="391"/>
      <c r="G5" s="391"/>
      <c r="H5" s="165">
        <f>B5-SUM(C5:G5)</f>
        <v>45827933.03</v>
      </c>
      <c r="I5" s="164"/>
      <c r="J5" s="392">
        <v>624.4000000000001</v>
      </c>
      <c r="K5" s="392">
        <v>0</v>
      </c>
      <c r="L5" s="392">
        <v>31</v>
      </c>
      <c r="M5" s="392">
        <v>0</v>
      </c>
      <c r="N5" s="379">
        <v>22638</v>
      </c>
      <c r="O5" s="392"/>
      <c r="P5" s="392"/>
      <c r="S5" s="392">
        <v>672.8</v>
      </c>
      <c r="T5" s="392">
        <v>0</v>
      </c>
      <c r="U5" s="392">
        <v>624.4000000000001</v>
      </c>
      <c r="V5" s="392">
        <v>0</v>
      </c>
    </row>
    <row r="6" spans="1:22" ht="12.75">
      <c r="A6" s="220">
        <v>41306</v>
      </c>
      <c r="B6" s="165">
        <f>'Input - Customer Data'!D33</f>
        <v>41082657.47661409</v>
      </c>
      <c r="C6" s="390"/>
      <c r="D6" s="391"/>
      <c r="E6" s="391"/>
      <c r="F6" s="391"/>
      <c r="G6" s="391"/>
      <c r="H6" s="165">
        <f aca="true" t="shared" si="0" ref="H6:H69">B6-SUM(C6:G6)</f>
        <v>41082657.47661409</v>
      </c>
      <c r="I6" s="164"/>
      <c r="J6" s="392">
        <v>631.4999999999999</v>
      </c>
      <c r="K6" s="392">
        <v>0</v>
      </c>
      <c r="L6" s="392">
        <v>28</v>
      </c>
      <c r="M6" s="392">
        <v>0</v>
      </c>
      <c r="N6" s="379">
        <v>22642</v>
      </c>
      <c r="O6" s="392"/>
      <c r="P6" s="392"/>
      <c r="S6" s="392">
        <v>673</v>
      </c>
      <c r="T6" s="392">
        <v>0</v>
      </c>
      <c r="U6" s="392">
        <v>631.4999999999999</v>
      </c>
      <c r="V6" s="392">
        <v>0</v>
      </c>
    </row>
    <row r="7" spans="1:22" ht="12.75">
      <c r="A7" s="220">
        <v>41334</v>
      </c>
      <c r="B7" s="165">
        <f>'Input - Customer Data'!D34</f>
        <v>42975875.27200193</v>
      </c>
      <c r="C7" s="390"/>
      <c r="D7" s="391"/>
      <c r="E7" s="391"/>
      <c r="F7" s="391"/>
      <c r="G7" s="391"/>
      <c r="H7" s="165">
        <f t="shared" si="0"/>
        <v>42975875.27200193</v>
      </c>
      <c r="I7" s="164"/>
      <c r="J7" s="392">
        <v>554.8</v>
      </c>
      <c r="K7" s="392">
        <v>0</v>
      </c>
      <c r="L7" s="392">
        <v>31</v>
      </c>
      <c r="M7" s="392">
        <v>0</v>
      </c>
      <c r="N7" s="379">
        <v>22644</v>
      </c>
      <c r="O7" s="392"/>
      <c r="P7" s="392"/>
      <c r="S7" s="392">
        <v>609.9999999999999</v>
      </c>
      <c r="T7" s="392">
        <v>0</v>
      </c>
      <c r="U7" s="392">
        <v>554.8</v>
      </c>
      <c r="V7" s="392">
        <v>0</v>
      </c>
    </row>
    <row r="8" spans="1:22" ht="12.75">
      <c r="A8" s="220">
        <v>41365</v>
      </c>
      <c r="B8" s="165">
        <f>'Input - Customer Data'!D35</f>
        <v>36308877.8110785</v>
      </c>
      <c r="C8" s="390"/>
      <c r="D8" s="391"/>
      <c r="E8" s="391"/>
      <c r="F8" s="391"/>
      <c r="G8" s="391"/>
      <c r="H8" s="165">
        <f t="shared" si="0"/>
        <v>36308877.8110785</v>
      </c>
      <c r="I8" s="164"/>
      <c r="J8" s="392">
        <v>358.6</v>
      </c>
      <c r="K8" s="392">
        <v>0</v>
      </c>
      <c r="L8" s="392">
        <v>30</v>
      </c>
      <c r="M8" s="392">
        <v>1</v>
      </c>
      <c r="N8" s="379">
        <v>22650</v>
      </c>
      <c r="O8" s="392"/>
      <c r="P8" s="392"/>
      <c r="S8" s="392">
        <v>405.50000000000006</v>
      </c>
      <c r="T8" s="392">
        <v>0</v>
      </c>
      <c r="U8" s="392">
        <v>358.6</v>
      </c>
      <c r="V8" s="392">
        <v>0</v>
      </c>
    </row>
    <row r="9" spans="1:22" ht="12.75">
      <c r="A9" s="220">
        <v>41395</v>
      </c>
      <c r="B9" s="165">
        <f>'Input - Customer Data'!D36</f>
        <v>34245332.76808478</v>
      </c>
      <c r="C9" s="390"/>
      <c r="D9" s="391"/>
      <c r="E9" s="391"/>
      <c r="F9" s="391"/>
      <c r="G9" s="391"/>
      <c r="H9" s="165">
        <f t="shared" si="0"/>
        <v>34245332.76808478</v>
      </c>
      <c r="I9" s="164"/>
      <c r="J9" s="392">
        <v>109.10000000000001</v>
      </c>
      <c r="K9" s="392">
        <v>23.1</v>
      </c>
      <c r="L9" s="392">
        <v>31</v>
      </c>
      <c r="M9" s="392">
        <v>1</v>
      </c>
      <c r="N9" s="379">
        <v>22772</v>
      </c>
      <c r="O9" s="392"/>
      <c r="P9" s="392"/>
      <c r="S9" s="392">
        <v>179.49999999999997</v>
      </c>
      <c r="T9" s="392">
        <v>9.200000000000001</v>
      </c>
      <c r="U9" s="392">
        <v>109.10000000000001</v>
      </c>
      <c r="V9" s="392">
        <v>23.1</v>
      </c>
    </row>
    <row r="10" spans="1:22" ht="12.75">
      <c r="A10" s="220">
        <v>41426</v>
      </c>
      <c r="B10" s="165">
        <f>'Input - Customer Data'!D37</f>
        <v>33534201.495923758</v>
      </c>
      <c r="C10" s="390"/>
      <c r="D10" s="391"/>
      <c r="E10" s="391"/>
      <c r="F10" s="391"/>
      <c r="G10" s="391"/>
      <c r="H10" s="165">
        <f t="shared" si="0"/>
        <v>33534201.495923758</v>
      </c>
      <c r="I10" s="164"/>
      <c r="J10" s="392">
        <v>32.99999999999999</v>
      </c>
      <c r="K10" s="392">
        <v>59.6</v>
      </c>
      <c r="L10" s="392">
        <v>30</v>
      </c>
      <c r="M10" s="392">
        <v>1</v>
      </c>
      <c r="N10" s="379">
        <v>22689</v>
      </c>
      <c r="O10" s="392"/>
      <c r="P10" s="392"/>
      <c r="S10" s="392">
        <v>86.5</v>
      </c>
      <c r="T10" s="392">
        <v>23.400000000000002</v>
      </c>
      <c r="U10" s="392">
        <v>32.99999999999999</v>
      </c>
      <c r="V10" s="392">
        <v>59.6</v>
      </c>
    </row>
    <row r="11" spans="1:22" ht="12.75">
      <c r="A11" s="220">
        <v>41456</v>
      </c>
      <c r="B11" s="165">
        <f>'Input - Customer Data'!D38</f>
        <v>34321062.79874033</v>
      </c>
      <c r="C11" s="390"/>
      <c r="D11" s="391"/>
      <c r="E11" s="391"/>
      <c r="F11" s="391"/>
      <c r="G11" s="391"/>
      <c r="H11" s="165">
        <f t="shared" si="0"/>
        <v>34321062.79874033</v>
      </c>
      <c r="I11" s="164"/>
      <c r="J11" s="392">
        <v>1.2999999999999998</v>
      </c>
      <c r="K11" s="392">
        <v>120.80000000000003</v>
      </c>
      <c r="L11" s="392">
        <v>31</v>
      </c>
      <c r="M11" s="392">
        <v>0</v>
      </c>
      <c r="N11" s="379">
        <v>22690</v>
      </c>
      <c r="O11" s="392"/>
      <c r="P11" s="392"/>
      <c r="S11" s="392">
        <v>25.300000000000004</v>
      </c>
      <c r="T11" s="392">
        <v>70.70000000000002</v>
      </c>
      <c r="U11" s="392">
        <v>1.2999999999999998</v>
      </c>
      <c r="V11" s="392">
        <v>120.80000000000003</v>
      </c>
    </row>
    <row r="12" spans="1:22" ht="12.75">
      <c r="A12" s="220">
        <v>41487</v>
      </c>
      <c r="B12" s="165">
        <f>'Input - Customer Data'!D39</f>
        <v>34126512.26</v>
      </c>
      <c r="C12" s="390"/>
      <c r="D12" s="391"/>
      <c r="E12" s="391"/>
      <c r="F12" s="391"/>
      <c r="G12" s="391"/>
      <c r="H12" s="165">
        <f t="shared" si="0"/>
        <v>34126512.26</v>
      </c>
      <c r="I12" s="164"/>
      <c r="J12" s="392">
        <v>4.4</v>
      </c>
      <c r="K12" s="392">
        <v>93.79999999999998</v>
      </c>
      <c r="L12" s="392">
        <v>31</v>
      </c>
      <c r="M12" s="392">
        <v>0</v>
      </c>
      <c r="N12" s="379">
        <v>22703</v>
      </c>
      <c r="O12" s="392"/>
      <c r="P12" s="392"/>
      <c r="S12" s="392">
        <v>35.2</v>
      </c>
      <c r="T12" s="392">
        <v>35.2</v>
      </c>
      <c r="U12" s="392">
        <v>4.4</v>
      </c>
      <c r="V12" s="392">
        <v>93.79999999999998</v>
      </c>
    </row>
    <row r="13" spans="1:22" ht="12.75">
      <c r="A13" s="220">
        <v>41518</v>
      </c>
      <c r="B13" s="165">
        <f>'Input - Customer Data'!D40</f>
        <v>32127846.8</v>
      </c>
      <c r="C13" s="390"/>
      <c r="D13" s="391"/>
      <c r="E13" s="391"/>
      <c r="F13" s="391"/>
      <c r="G13" s="391"/>
      <c r="H13" s="165">
        <f t="shared" si="0"/>
        <v>32127846.8</v>
      </c>
      <c r="I13" s="164"/>
      <c r="J13" s="392">
        <v>82.99999999999999</v>
      </c>
      <c r="K13" s="392">
        <v>28.099999999999998</v>
      </c>
      <c r="L13" s="392">
        <v>30</v>
      </c>
      <c r="M13" s="392">
        <v>1</v>
      </c>
      <c r="N13" s="379">
        <v>22715</v>
      </c>
      <c r="O13" s="392"/>
      <c r="P13" s="392"/>
      <c r="S13" s="392">
        <v>140.20000000000002</v>
      </c>
      <c r="T13" s="392">
        <v>17</v>
      </c>
      <c r="U13" s="392">
        <v>82.99999999999999</v>
      </c>
      <c r="V13" s="392">
        <v>28.099999999999998</v>
      </c>
    </row>
    <row r="14" spans="1:22" ht="12.75">
      <c r="A14" s="220">
        <v>41548</v>
      </c>
      <c r="B14" s="165">
        <f>'Input - Customer Data'!D41</f>
        <v>35018158.9</v>
      </c>
      <c r="C14" s="390"/>
      <c r="D14" s="391"/>
      <c r="E14" s="391"/>
      <c r="F14" s="391"/>
      <c r="G14" s="391"/>
      <c r="H14" s="165">
        <f t="shared" si="0"/>
        <v>35018158.9</v>
      </c>
      <c r="I14" s="164"/>
      <c r="J14" s="392">
        <v>208.5</v>
      </c>
      <c r="K14" s="392">
        <v>0.4</v>
      </c>
      <c r="L14" s="392">
        <v>31</v>
      </c>
      <c r="M14" s="392">
        <v>1</v>
      </c>
      <c r="N14" s="379">
        <v>22733</v>
      </c>
      <c r="O14" s="392"/>
      <c r="P14" s="392"/>
      <c r="S14" s="392">
        <v>255.70000000000002</v>
      </c>
      <c r="T14" s="392">
        <v>0</v>
      </c>
      <c r="U14" s="392">
        <v>208.5</v>
      </c>
      <c r="V14" s="392">
        <v>0.4</v>
      </c>
    </row>
    <row r="15" spans="1:22" ht="12.75">
      <c r="A15" s="220">
        <v>41579</v>
      </c>
      <c r="B15" s="165">
        <f>'Input - Customer Data'!D42</f>
        <v>39153191.85</v>
      </c>
      <c r="C15" s="390"/>
      <c r="D15" s="391"/>
      <c r="E15" s="391"/>
      <c r="F15" s="391"/>
      <c r="G15" s="391"/>
      <c r="H15" s="165">
        <f t="shared" si="0"/>
        <v>39153191.85</v>
      </c>
      <c r="I15" s="164"/>
      <c r="J15" s="392">
        <v>478.20000000000005</v>
      </c>
      <c r="K15" s="392">
        <v>0</v>
      </c>
      <c r="L15" s="392">
        <v>30</v>
      </c>
      <c r="M15" s="392">
        <v>1</v>
      </c>
      <c r="N15" s="379">
        <v>22739</v>
      </c>
      <c r="O15" s="392"/>
      <c r="P15" s="392"/>
      <c r="S15" s="392">
        <v>499.1000000000001</v>
      </c>
      <c r="T15" s="392">
        <v>0</v>
      </c>
      <c r="U15" s="392">
        <v>478.20000000000005</v>
      </c>
      <c r="V15" s="392">
        <v>0</v>
      </c>
    </row>
    <row r="16" spans="1:22" ht="12.75">
      <c r="A16" s="220">
        <v>41609</v>
      </c>
      <c r="B16" s="165">
        <f>'Input - Customer Data'!D43</f>
        <v>46270575.63</v>
      </c>
      <c r="C16" s="390"/>
      <c r="D16" s="391"/>
      <c r="E16" s="391"/>
      <c r="F16" s="391"/>
      <c r="G16" s="391"/>
      <c r="H16" s="165">
        <f t="shared" si="0"/>
        <v>46270575.63</v>
      </c>
      <c r="I16" s="164"/>
      <c r="J16" s="392">
        <v>687.9</v>
      </c>
      <c r="K16" s="392">
        <v>0</v>
      </c>
      <c r="L16" s="392">
        <v>31</v>
      </c>
      <c r="M16" s="392">
        <v>0</v>
      </c>
      <c r="N16" s="379">
        <v>22752</v>
      </c>
      <c r="O16" s="392"/>
      <c r="P16" s="392"/>
      <c r="S16" s="392">
        <v>741.1999999999997</v>
      </c>
      <c r="T16" s="392">
        <v>0</v>
      </c>
      <c r="U16" s="392">
        <v>687.9</v>
      </c>
      <c r="V16" s="392">
        <v>0</v>
      </c>
    </row>
    <row r="17" spans="1:22" ht="12.75">
      <c r="A17" s="220">
        <v>41640</v>
      </c>
      <c r="B17" s="165">
        <f>'Input - Customer Data'!D44</f>
        <v>48560155.92</v>
      </c>
      <c r="C17" s="390"/>
      <c r="D17" s="391"/>
      <c r="E17" s="391"/>
      <c r="F17" s="391"/>
      <c r="G17" s="391"/>
      <c r="H17" s="165">
        <f t="shared" si="0"/>
        <v>48560155.92</v>
      </c>
      <c r="I17" s="164"/>
      <c r="J17" s="392">
        <v>825.9000000000001</v>
      </c>
      <c r="K17" s="392">
        <v>0</v>
      </c>
      <c r="L17" s="392">
        <v>31</v>
      </c>
      <c r="M17" s="392">
        <v>0</v>
      </c>
      <c r="N17" s="379">
        <v>22761</v>
      </c>
      <c r="O17" s="392"/>
      <c r="P17" s="392"/>
      <c r="S17" s="392">
        <v>841.3000000000001</v>
      </c>
      <c r="T17" s="392">
        <v>0</v>
      </c>
      <c r="U17" s="392">
        <v>825.9000000000001</v>
      </c>
      <c r="V17" s="392">
        <v>0</v>
      </c>
    </row>
    <row r="18" spans="1:22" ht="12.75">
      <c r="A18" s="220">
        <v>41671</v>
      </c>
      <c r="B18" s="165">
        <f>'Input - Customer Data'!D45</f>
        <v>43502029.07</v>
      </c>
      <c r="C18" s="390"/>
      <c r="D18" s="391"/>
      <c r="E18" s="391"/>
      <c r="F18" s="391"/>
      <c r="G18" s="391"/>
      <c r="H18" s="165">
        <f t="shared" si="0"/>
        <v>43502029.07</v>
      </c>
      <c r="I18" s="164"/>
      <c r="J18" s="392">
        <v>737.0999999999999</v>
      </c>
      <c r="K18" s="392">
        <v>0</v>
      </c>
      <c r="L18" s="392">
        <v>29</v>
      </c>
      <c r="M18" s="392">
        <v>0</v>
      </c>
      <c r="N18" s="379">
        <v>22761</v>
      </c>
      <c r="O18" s="392"/>
      <c r="P18" s="392"/>
      <c r="S18" s="392">
        <v>794.4999999999999</v>
      </c>
      <c r="T18" s="392">
        <v>0</v>
      </c>
      <c r="U18" s="392">
        <v>737.0999999999999</v>
      </c>
      <c r="V18" s="392">
        <v>0</v>
      </c>
    </row>
    <row r="19" spans="1:22" ht="12.75">
      <c r="A19" s="220">
        <v>41699</v>
      </c>
      <c r="B19" s="165">
        <f>'Input - Customer Data'!D46</f>
        <v>44749295.58</v>
      </c>
      <c r="C19" s="390"/>
      <c r="D19" s="391"/>
      <c r="E19" s="391"/>
      <c r="F19" s="391"/>
      <c r="G19" s="391"/>
      <c r="H19" s="165">
        <f t="shared" si="0"/>
        <v>44749295.58</v>
      </c>
      <c r="I19" s="164"/>
      <c r="J19" s="392">
        <v>690.6</v>
      </c>
      <c r="K19" s="392">
        <v>0</v>
      </c>
      <c r="L19" s="392">
        <v>31</v>
      </c>
      <c r="M19" s="392">
        <v>0</v>
      </c>
      <c r="N19" s="379">
        <v>22775</v>
      </c>
      <c r="O19" s="392"/>
      <c r="P19" s="392"/>
      <c r="S19" s="392">
        <v>777.6999999999998</v>
      </c>
      <c r="T19" s="392">
        <v>0</v>
      </c>
      <c r="U19" s="392">
        <v>690.6</v>
      </c>
      <c r="V19" s="392">
        <v>0</v>
      </c>
    </row>
    <row r="20" spans="1:22" ht="12.75">
      <c r="A20" s="220">
        <v>41730</v>
      </c>
      <c r="B20" s="165">
        <f>'Input - Customer Data'!D47</f>
        <v>36703501.6</v>
      </c>
      <c r="C20" s="390"/>
      <c r="D20" s="391"/>
      <c r="E20" s="391"/>
      <c r="F20" s="391"/>
      <c r="G20" s="391"/>
      <c r="H20" s="165">
        <f t="shared" si="0"/>
        <v>36703501.6</v>
      </c>
      <c r="I20" s="164"/>
      <c r="J20" s="392">
        <v>356.90000000000003</v>
      </c>
      <c r="K20" s="392">
        <v>0</v>
      </c>
      <c r="L20" s="392">
        <v>30</v>
      </c>
      <c r="M20" s="392">
        <v>1</v>
      </c>
      <c r="N20" s="379">
        <v>22776</v>
      </c>
      <c r="O20" s="392"/>
      <c r="P20" s="392"/>
      <c r="S20" s="392">
        <v>418.00000000000006</v>
      </c>
      <c r="T20" s="392">
        <v>0</v>
      </c>
      <c r="U20" s="392">
        <v>356.90000000000003</v>
      </c>
      <c r="V20" s="392">
        <v>0</v>
      </c>
    </row>
    <row r="21" spans="1:22" ht="12.75">
      <c r="A21" s="220">
        <v>41760</v>
      </c>
      <c r="B21" s="165">
        <f>'Input - Customer Data'!D48</f>
        <v>33120207.87</v>
      </c>
      <c r="C21" s="390"/>
      <c r="D21" s="391"/>
      <c r="E21" s="391"/>
      <c r="F21" s="391"/>
      <c r="G21" s="391"/>
      <c r="H21" s="165">
        <f t="shared" si="0"/>
        <v>33120207.87</v>
      </c>
      <c r="I21" s="164"/>
      <c r="J21" s="392">
        <v>132.10000000000005</v>
      </c>
      <c r="K21" s="392">
        <v>11.9</v>
      </c>
      <c r="L21" s="392">
        <v>31</v>
      </c>
      <c r="M21" s="392">
        <v>1</v>
      </c>
      <c r="N21" s="379">
        <v>22781</v>
      </c>
      <c r="O21" s="392"/>
      <c r="P21" s="392"/>
      <c r="S21" s="392">
        <v>211.69999999999993</v>
      </c>
      <c r="T21" s="392">
        <v>2.2</v>
      </c>
      <c r="U21" s="392">
        <v>132.10000000000005</v>
      </c>
      <c r="V21" s="392">
        <v>11.9</v>
      </c>
    </row>
    <row r="22" spans="1:22" ht="12.75">
      <c r="A22" s="220">
        <v>41791</v>
      </c>
      <c r="B22" s="165">
        <f>'Input - Customer Data'!D49</f>
        <v>31986696.49</v>
      </c>
      <c r="C22" s="390"/>
      <c r="D22" s="391"/>
      <c r="E22" s="391"/>
      <c r="F22" s="391"/>
      <c r="G22" s="391"/>
      <c r="H22" s="165">
        <f t="shared" si="0"/>
        <v>31986696.49</v>
      </c>
      <c r="I22" s="164"/>
      <c r="J22" s="392">
        <v>14.1</v>
      </c>
      <c r="K22" s="392">
        <v>68.1</v>
      </c>
      <c r="L22" s="392">
        <v>30</v>
      </c>
      <c r="M22" s="392">
        <v>1</v>
      </c>
      <c r="N22" s="379">
        <v>22777</v>
      </c>
      <c r="O22" s="392"/>
      <c r="P22" s="392"/>
      <c r="S22" s="392">
        <v>65.39999999999999</v>
      </c>
      <c r="T22" s="392">
        <v>27</v>
      </c>
      <c r="U22" s="392">
        <v>14.1</v>
      </c>
      <c r="V22" s="392">
        <v>68.1</v>
      </c>
    </row>
    <row r="23" spans="1:22" ht="12.75">
      <c r="A23" s="220">
        <v>41821</v>
      </c>
      <c r="B23" s="165">
        <f>'Input - Customer Data'!D50</f>
        <v>33114324.39</v>
      </c>
      <c r="C23" s="390"/>
      <c r="D23" s="391"/>
      <c r="E23" s="391"/>
      <c r="F23" s="391"/>
      <c r="G23" s="391"/>
      <c r="H23" s="165">
        <f t="shared" si="0"/>
        <v>33114324.39</v>
      </c>
      <c r="I23" s="164"/>
      <c r="J23" s="392">
        <v>4</v>
      </c>
      <c r="K23" s="392">
        <v>71</v>
      </c>
      <c r="L23" s="392">
        <v>31</v>
      </c>
      <c r="M23" s="392">
        <v>0</v>
      </c>
      <c r="N23" s="379">
        <v>22798</v>
      </c>
      <c r="O23" s="392"/>
      <c r="P23" s="392"/>
      <c r="S23" s="392">
        <v>67.39999999999999</v>
      </c>
      <c r="T23" s="392">
        <v>15.8</v>
      </c>
      <c r="U23" s="392">
        <v>4</v>
      </c>
      <c r="V23" s="392">
        <v>71</v>
      </c>
    </row>
    <row r="24" spans="1:22" ht="12.75">
      <c r="A24" s="220">
        <v>41852</v>
      </c>
      <c r="B24" s="165">
        <f>'Input - Customer Data'!D51</f>
        <v>32996892.32</v>
      </c>
      <c r="C24" s="390"/>
      <c r="D24" s="391"/>
      <c r="E24" s="391"/>
      <c r="F24" s="391"/>
      <c r="G24" s="391"/>
      <c r="H24" s="165">
        <f t="shared" si="0"/>
        <v>32996892.32</v>
      </c>
      <c r="I24" s="164"/>
      <c r="J24" s="392">
        <v>8.799999999999999</v>
      </c>
      <c r="K24" s="392">
        <v>81.79999999999998</v>
      </c>
      <c r="L24" s="392">
        <v>31</v>
      </c>
      <c r="M24" s="392">
        <v>0</v>
      </c>
      <c r="N24" s="379">
        <v>22810</v>
      </c>
      <c r="O24" s="392"/>
      <c r="P24" s="392"/>
      <c r="S24" s="392">
        <v>45.1</v>
      </c>
      <c r="T24" s="392">
        <v>19.299999999999997</v>
      </c>
      <c r="U24" s="392">
        <v>8.799999999999999</v>
      </c>
      <c r="V24" s="392">
        <v>81.79999999999998</v>
      </c>
    </row>
    <row r="25" spans="1:22" ht="12.75">
      <c r="A25" s="220">
        <v>41883</v>
      </c>
      <c r="B25" s="165">
        <f>'Input - Customer Data'!D52</f>
        <v>31808440.35</v>
      </c>
      <c r="C25" s="390"/>
      <c r="D25" s="391"/>
      <c r="E25" s="391"/>
      <c r="F25" s="391"/>
      <c r="G25" s="391"/>
      <c r="H25" s="165">
        <f t="shared" si="0"/>
        <v>31808440.35</v>
      </c>
      <c r="I25" s="164"/>
      <c r="J25" s="392">
        <v>69.70000000000002</v>
      </c>
      <c r="K25" s="392">
        <v>30.099999999999998</v>
      </c>
      <c r="L25" s="392">
        <v>30</v>
      </c>
      <c r="M25" s="392">
        <v>1</v>
      </c>
      <c r="N25" s="379">
        <v>22817</v>
      </c>
      <c r="O25" s="392"/>
      <c r="P25" s="392"/>
      <c r="S25" s="392">
        <v>112.5</v>
      </c>
      <c r="T25" s="392">
        <v>14.899999999999999</v>
      </c>
      <c r="U25" s="392">
        <v>69.70000000000002</v>
      </c>
      <c r="V25" s="392">
        <v>30.099999999999998</v>
      </c>
    </row>
    <row r="26" spans="1:22" ht="12.75">
      <c r="A26" s="220">
        <v>41913</v>
      </c>
      <c r="B26" s="165">
        <f>'Input - Customer Data'!D53</f>
        <v>34772519.56</v>
      </c>
      <c r="C26" s="390"/>
      <c r="D26" s="391"/>
      <c r="E26" s="391"/>
      <c r="F26" s="391"/>
      <c r="G26" s="391"/>
      <c r="H26" s="165">
        <f t="shared" si="0"/>
        <v>34772519.56</v>
      </c>
      <c r="I26" s="164"/>
      <c r="J26" s="392">
        <v>224.30000000000004</v>
      </c>
      <c r="K26" s="392">
        <v>1.3</v>
      </c>
      <c r="L26" s="392">
        <v>31</v>
      </c>
      <c r="M26" s="392">
        <v>1</v>
      </c>
      <c r="N26" s="379">
        <v>22832</v>
      </c>
      <c r="O26" s="392"/>
      <c r="P26" s="392"/>
      <c r="S26" s="392">
        <v>270.8</v>
      </c>
      <c r="T26" s="392">
        <v>0.3</v>
      </c>
      <c r="U26" s="392">
        <v>224.30000000000004</v>
      </c>
      <c r="V26" s="392">
        <v>1.3</v>
      </c>
    </row>
    <row r="27" spans="1:22" ht="12.75">
      <c r="A27" s="220">
        <v>41944</v>
      </c>
      <c r="B27" s="165">
        <f>'Input - Customer Data'!D54</f>
        <v>39442096.3</v>
      </c>
      <c r="C27" s="390"/>
      <c r="D27" s="391"/>
      <c r="E27" s="391"/>
      <c r="F27" s="391"/>
      <c r="G27" s="391"/>
      <c r="H27" s="165">
        <f t="shared" si="0"/>
        <v>39442096.3</v>
      </c>
      <c r="I27" s="164"/>
      <c r="J27" s="392">
        <v>482.1</v>
      </c>
      <c r="K27" s="392">
        <v>0</v>
      </c>
      <c r="L27" s="392">
        <v>30</v>
      </c>
      <c r="M27" s="392">
        <v>1</v>
      </c>
      <c r="N27" s="379">
        <v>22846</v>
      </c>
      <c r="O27" s="392"/>
      <c r="P27" s="392"/>
      <c r="S27" s="392">
        <v>516.2</v>
      </c>
      <c r="T27" s="392">
        <v>0</v>
      </c>
      <c r="U27" s="392">
        <v>482.1</v>
      </c>
      <c r="V27" s="392">
        <v>0</v>
      </c>
    </row>
    <row r="28" spans="1:22" ht="12.75">
      <c r="A28" s="220">
        <v>41974</v>
      </c>
      <c r="B28" s="165">
        <f>'Input - Customer Data'!D55</f>
        <v>42249291.58</v>
      </c>
      <c r="C28" s="390"/>
      <c r="D28" s="391"/>
      <c r="E28" s="391"/>
      <c r="F28" s="391"/>
      <c r="G28" s="391"/>
      <c r="H28" s="165">
        <f t="shared" si="0"/>
        <v>42249291.58</v>
      </c>
      <c r="I28" s="164"/>
      <c r="J28" s="392">
        <v>557.3</v>
      </c>
      <c r="K28" s="392">
        <v>0</v>
      </c>
      <c r="L28" s="392">
        <v>31</v>
      </c>
      <c r="M28" s="392">
        <v>0</v>
      </c>
      <c r="N28" s="379">
        <v>22854</v>
      </c>
      <c r="O28" s="392"/>
      <c r="P28" s="392"/>
      <c r="S28" s="392">
        <v>603.3</v>
      </c>
      <c r="T28" s="392">
        <v>0</v>
      </c>
      <c r="U28" s="392">
        <v>557.3</v>
      </c>
      <c r="V28" s="392">
        <v>0</v>
      </c>
    </row>
    <row r="29" spans="1:22" ht="12.75">
      <c r="A29" s="220">
        <v>42005</v>
      </c>
      <c r="B29" s="165">
        <f>'Input - Customer Data'!D56</f>
        <v>48032768.75</v>
      </c>
      <c r="C29" s="390"/>
      <c r="D29" s="391"/>
      <c r="E29" s="391"/>
      <c r="F29" s="391"/>
      <c r="G29" s="391"/>
      <c r="H29" s="165">
        <f t="shared" si="0"/>
        <v>48032768.75</v>
      </c>
      <c r="I29" s="164"/>
      <c r="J29" s="392">
        <v>792.3999999999997</v>
      </c>
      <c r="K29" s="392">
        <v>0</v>
      </c>
      <c r="L29" s="392">
        <v>31</v>
      </c>
      <c r="M29" s="392">
        <v>0</v>
      </c>
      <c r="N29" s="379">
        <v>22856</v>
      </c>
      <c r="O29" s="392"/>
      <c r="P29" s="392"/>
      <c r="S29" s="392">
        <v>860.8000000000002</v>
      </c>
      <c r="T29" s="392">
        <v>0</v>
      </c>
      <c r="U29" s="392">
        <v>792.3999999999997</v>
      </c>
      <c r="V29" s="392">
        <v>0</v>
      </c>
    </row>
    <row r="30" spans="1:22" ht="12.75">
      <c r="A30" s="220">
        <v>42036</v>
      </c>
      <c r="B30" s="165">
        <f>'Input - Customer Data'!D57</f>
        <v>47536664.53</v>
      </c>
      <c r="C30" s="390"/>
      <c r="D30" s="391"/>
      <c r="E30" s="391"/>
      <c r="F30" s="391"/>
      <c r="G30" s="391"/>
      <c r="H30" s="165">
        <f t="shared" si="0"/>
        <v>47536664.53</v>
      </c>
      <c r="I30" s="164"/>
      <c r="J30" s="392">
        <v>856.8</v>
      </c>
      <c r="K30" s="392">
        <v>0</v>
      </c>
      <c r="L30" s="392">
        <v>28</v>
      </c>
      <c r="M30" s="392">
        <v>0</v>
      </c>
      <c r="N30" s="379">
        <v>22870</v>
      </c>
      <c r="O30" s="392"/>
      <c r="P30" s="392"/>
      <c r="S30" s="392">
        <v>930.1</v>
      </c>
      <c r="T30" s="392">
        <v>0</v>
      </c>
      <c r="U30" s="392">
        <v>856.8</v>
      </c>
      <c r="V30" s="392">
        <v>0</v>
      </c>
    </row>
    <row r="31" spans="1:22" ht="12.75">
      <c r="A31" s="220">
        <v>42064</v>
      </c>
      <c r="B31" s="165">
        <f>'Input - Customer Data'!D58</f>
        <v>43095042.19</v>
      </c>
      <c r="C31" s="390"/>
      <c r="D31" s="391"/>
      <c r="E31" s="391"/>
      <c r="F31" s="391"/>
      <c r="G31" s="391"/>
      <c r="H31" s="165">
        <f t="shared" si="0"/>
        <v>43095042.19</v>
      </c>
      <c r="I31" s="164"/>
      <c r="J31" s="392">
        <v>615.4999999999999</v>
      </c>
      <c r="K31" s="392">
        <v>0</v>
      </c>
      <c r="L31" s="392">
        <v>31</v>
      </c>
      <c r="M31" s="392">
        <v>0</v>
      </c>
      <c r="N31" s="379">
        <v>22868</v>
      </c>
      <c r="O31" s="392"/>
      <c r="P31" s="392"/>
      <c r="S31" s="392">
        <v>696.8999999999999</v>
      </c>
      <c r="T31" s="392">
        <v>0</v>
      </c>
      <c r="U31" s="392">
        <v>615.4999999999999</v>
      </c>
      <c r="V31" s="392">
        <v>0</v>
      </c>
    </row>
    <row r="32" spans="1:22" ht="12.75">
      <c r="A32" s="220">
        <v>42095</v>
      </c>
      <c r="B32" s="165">
        <f>'Input - Customer Data'!D59</f>
        <v>34966161.03</v>
      </c>
      <c r="C32" s="390"/>
      <c r="D32" s="391"/>
      <c r="E32" s="391"/>
      <c r="F32" s="391"/>
      <c r="G32" s="391"/>
      <c r="H32" s="165">
        <f t="shared" si="0"/>
        <v>34966161.03</v>
      </c>
      <c r="I32" s="164"/>
      <c r="J32" s="392">
        <v>313.7</v>
      </c>
      <c r="K32" s="392">
        <v>0</v>
      </c>
      <c r="L32" s="392">
        <v>30</v>
      </c>
      <c r="M32" s="392">
        <v>1</v>
      </c>
      <c r="N32" s="379">
        <v>22862</v>
      </c>
      <c r="O32" s="392"/>
      <c r="P32" s="392"/>
      <c r="S32" s="392">
        <v>395.09999999999985</v>
      </c>
      <c r="T32" s="392">
        <v>0</v>
      </c>
      <c r="U32" s="392">
        <v>313.7</v>
      </c>
      <c r="V32" s="392">
        <v>0</v>
      </c>
    </row>
    <row r="33" spans="1:22" ht="12.75">
      <c r="A33" s="220">
        <v>42125</v>
      </c>
      <c r="B33" s="165">
        <f>'Input - Customer Data'!D60</f>
        <v>32451518.59</v>
      </c>
      <c r="C33" s="390"/>
      <c r="D33" s="391"/>
      <c r="E33" s="391"/>
      <c r="F33" s="391"/>
      <c r="G33" s="391"/>
      <c r="H33" s="165">
        <f t="shared" si="0"/>
        <v>32451518.59</v>
      </c>
      <c r="I33" s="164"/>
      <c r="J33" s="392">
        <v>89.3</v>
      </c>
      <c r="K33" s="392">
        <v>34.1</v>
      </c>
      <c r="L33" s="392">
        <v>31</v>
      </c>
      <c r="M33" s="392">
        <v>1</v>
      </c>
      <c r="N33" s="379">
        <v>22873</v>
      </c>
      <c r="O33" s="392"/>
      <c r="P33" s="392"/>
      <c r="S33" s="392">
        <v>176.8</v>
      </c>
      <c r="T33" s="392">
        <v>7.7</v>
      </c>
      <c r="U33" s="392">
        <v>89.3</v>
      </c>
      <c r="V33" s="392">
        <v>34.1</v>
      </c>
    </row>
    <row r="34" spans="1:22" ht="12.75">
      <c r="A34" s="220">
        <v>42156</v>
      </c>
      <c r="B34" s="165">
        <f>'Input - Customer Data'!D61</f>
        <v>31428888.54</v>
      </c>
      <c r="C34" s="390"/>
      <c r="D34" s="391"/>
      <c r="E34" s="391"/>
      <c r="F34" s="391"/>
      <c r="G34" s="391"/>
      <c r="H34" s="165">
        <f t="shared" si="0"/>
        <v>31428888.54</v>
      </c>
      <c r="I34" s="164"/>
      <c r="J34" s="392">
        <v>33.800000000000004</v>
      </c>
      <c r="K34" s="392">
        <v>32.3</v>
      </c>
      <c r="L34" s="392">
        <v>30</v>
      </c>
      <c r="M34" s="392">
        <v>1</v>
      </c>
      <c r="N34" s="379">
        <v>22869</v>
      </c>
      <c r="O34" s="392"/>
      <c r="P34" s="392"/>
      <c r="S34" s="392">
        <v>95.70000000000002</v>
      </c>
      <c r="T34" s="392">
        <v>0.4</v>
      </c>
      <c r="U34" s="392">
        <v>33.800000000000004</v>
      </c>
      <c r="V34" s="392">
        <v>32.3</v>
      </c>
    </row>
    <row r="35" spans="1:22" ht="12.75">
      <c r="A35" s="220">
        <v>42186</v>
      </c>
      <c r="B35" s="165">
        <f>'Input - Customer Data'!D62</f>
        <v>34059070.67</v>
      </c>
      <c r="C35" s="390"/>
      <c r="D35" s="391"/>
      <c r="E35" s="391"/>
      <c r="F35" s="391"/>
      <c r="G35" s="391"/>
      <c r="H35" s="165">
        <f t="shared" si="0"/>
        <v>34059070.67</v>
      </c>
      <c r="I35" s="164"/>
      <c r="J35" s="392">
        <v>4</v>
      </c>
      <c r="K35" s="392">
        <v>114.29999999999998</v>
      </c>
      <c r="L35" s="392">
        <v>31</v>
      </c>
      <c r="M35" s="392">
        <v>0</v>
      </c>
      <c r="N35" s="379">
        <v>22899</v>
      </c>
      <c r="O35" s="392"/>
      <c r="P35" s="392"/>
      <c r="S35" s="392">
        <v>34.1</v>
      </c>
      <c r="T35" s="392">
        <v>38.5</v>
      </c>
      <c r="U35" s="392">
        <v>4</v>
      </c>
      <c r="V35" s="392">
        <v>114.29999999999998</v>
      </c>
    </row>
    <row r="36" spans="1:22" ht="12.75">
      <c r="A36" s="220">
        <v>42217</v>
      </c>
      <c r="B36" s="165">
        <f>'Input - Customer Data'!D63</f>
        <v>34233108.6</v>
      </c>
      <c r="C36" s="390"/>
      <c r="D36" s="391"/>
      <c r="E36" s="391"/>
      <c r="F36" s="391"/>
      <c r="G36" s="391"/>
      <c r="H36" s="165">
        <f t="shared" si="0"/>
        <v>34233108.6</v>
      </c>
      <c r="I36" s="164"/>
      <c r="J36" s="392">
        <v>4.4</v>
      </c>
      <c r="K36" s="392">
        <v>88.6</v>
      </c>
      <c r="L36" s="392">
        <v>31</v>
      </c>
      <c r="M36" s="392">
        <v>0</v>
      </c>
      <c r="N36" s="379">
        <v>22925</v>
      </c>
      <c r="O36" s="392"/>
      <c r="P36" s="392"/>
      <c r="S36" s="392">
        <v>21.5</v>
      </c>
      <c r="T36" s="392">
        <v>42.50000000000001</v>
      </c>
      <c r="U36" s="392">
        <v>4.4</v>
      </c>
      <c r="V36" s="392">
        <v>88.6</v>
      </c>
    </row>
    <row r="37" spans="1:22" ht="12.75">
      <c r="A37" s="220">
        <v>42248</v>
      </c>
      <c r="B37" s="165">
        <f>'Input - Customer Data'!D64</f>
        <v>33226978.69</v>
      </c>
      <c r="C37" s="390"/>
      <c r="D37" s="391"/>
      <c r="E37" s="391"/>
      <c r="F37" s="391"/>
      <c r="G37" s="391"/>
      <c r="H37" s="165">
        <f t="shared" si="0"/>
        <v>33226978.69</v>
      </c>
      <c r="I37" s="164"/>
      <c r="J37" s="392">
        <v>31.099999999999994</v>
      </c>
      <c r="K37" s="392">
        <v>81.9</v>
      </c>
      <c r="L37" s="392">
        <v>30</v>
      </c>
      <c r="M37" s="392">
        <v>1</v>
      </c>
      <c r="N37" s="379">
        <v>22930</v>
      </c>
      <c r="O37" s="392"/>
      <c r="P37" s="392"/>
      <c r="S37" s="392">
        <v>55.8</v>
      </c>
      <c r="T37" s="392">
        <v>46.1</v>
      </c>
      <c r="U37" s="392">
        <v>31.099999999999994</v>
      </c>
      <c r="V37" s="392">
        <v>81.9</v>
      </c>
    </row>
    <row r="38" spans="1:22" ht="12.75">
      <c r="A38" s="220">
        <v>42278</v>
      </c>
      <c r="B38" s="165">
        <f>'Input - Customer Data'!D65</f>
        <v>38729355</v>
      </c>
      <c r="C38" s="390"/>
      <c r="D38" s="391"/>
      <c r="E38" s="391"/>
      <c r="F38" s="391"/>
      <c r="G38" s="391"/>
      <c r="H38" s="165">
        <f t="shared" si="0"/>
        <v>38729355</v>
      </c>
      <c r="I38" s="164"/>
      <c r="J38" s="392">
        <v>249.8</v>
      </c>
      <c r="K38" s="392">
        <v>0</v>
      </c>
      <c r="L38" s="392">
        <v>31</v>
      </c>
      <c r="M38" s="392">
        <v>1</v>
      </c>
      <c r="N38" s="379">
        <v>22975</v>
      </c>
      <c r="O38" s="392"/>
      <c r="P38" s="392"/>
      <c r="S38" s="392">
        <v>291.49999999999994</v>
      </c>
      <c r="T38" s="392">
        <v>0.4</v>
      </c>
      <c r="U38" s="392">
        <v>249.8</v>
      </c>
      <c r="V38" s="392">
        <v>0</v>
      </c>
    </row>
    <row r="39" spans="1:22" ht="12.75">
      <c r="A39" s="220">
        <v>42309</v>
      </c>
      <c r="B39" s="165">
        <f>'Input - Customer Data'!D66</f>
        <v>35403758.38</v>
      </c>
      <c r="C39" s="390"/>
      <c r="D39" s="391"/>
      <c r="E39" s="391"/>
      <c r="F39" s="391"/>
      <c r="G39" s="391"/>
      <c r="H39" s="165">
        <f t="shared" si="0"/>
        <v>35403758.38</v>
      </c>
      <c r="I39" s="164"/>
      <c r="J39" s="392">
        <v>345</v>
      </c>
      <c r="K39" s="392">
        <v>0</v>
      </c>
      <c r="L39" s="392">
        <v>30</v>
      </c>
      <c r="M39" s="392">
        <v>1</v>
      </c>
      <c r="N39" s="379">
        <v>22980</v>
      </c>
      <c r="O39" s="392"/>
      <c r="P39" s="392"/>
      <c r="S39" s="392">
        <v>364.5</v>
      </c>
      <c r="T39" s="392">
        <v>0</v>
      </c>
      <c r="U39" s="392">
        <v>345</v>
      </c>
      <c r="V39" s="392">
        <v>0</v>
      </c>
    </row>
    <row r="40" spans="1:22" ht="12.75">
      <c r="A40" s="220">
        <v>42339</v>
      </c>
      <c r="B40" s="165">
        <f>'Input - Customer Data'!D67</f>
        <v>42249291.58</v>
      </c>
      <c r="C40" s="390"/>
      <c r="D40" s="391"/>
      <c r="E40" s="391"/>
      <c r="F40" s="391"/>
      <c r="G40" s="391"/>
      <c r="H40" s="165">
        <f t="shared" si="0"/>
        <v>42249291.58</v>
      </c>
      <c r="I40" s="164"/>
      <c r="J40" s="392">
        <v>429.70000000000005</v>
      </c>
      <c r="K40" s="392">
        <v>0</v>
      </c>
      <c r="L40" s="392">
        <v>31</v>
      </c>
      <c r="M40" s="392">
        <v>0</v>
      </c>
      <c r="N40" s="379">
        <v>22854</v>
      </c>
      <c r="O40" s="392"/>
      <c r="P40" s="392"/>
      <c r="S40" s="392">
        <v>461.7</v>
      </c>
      <c r="T40" s="392">
        <v>0</v>
      </c>
      <c r="U40" s="392">
        <v>429.70000000000005</v>
      </c>
      <c r="V40" s="392">
        <v>0</v>
      </c>
    </row>
    <row r="41" spans="1:22" ht="12.75">
      <c r="A41" s="220">
        <v>42370</v>
      </c>
      <c r="B41" s="165">
        <f>'Input - Customer Data'!D68</f>
        <v>44182306.67243714</v>
      </c>
      <c r="C41" s="390"/>
      <c r="D41" s="391"/>
      <c r="E41" s="391"/>
      <c r="F41" s="391"/>
      <c r="G41" s="391"/>
      <c r="H41" s="165">
        <f t="shared" si="0"/>
        <v>44182306.67243714</v>
      </c>
      <c r="I41" s="164"/>
      <c r="J41" s="392">
        <v>670.4</v>
      </c>
      <c r="K41" s="392">
        <v>0</v>
      </c>
      <c r="L41" s="392">
        <v>31</v>
      </c>
      <c r="M41" s="392">
        <v>0</v>
      </c>
      <c r="N41" s="379">
        <v>22960</v>
      </c>
      <c r="O41" s="392"/>
      <c r="P41" s="392"/>
      <c r="S41" s="392">
        <v>708.0000000000003</v>
      </c>
      <c r="T41" s="392">
        <v>0</v>
      </c>
      <c r="U41" s="392">
        <v>670.4</v>
      </c>
      <c r="V41" s="392">
        <v>0</v>
      </c>
    </row>
    <row r="42" spans="1:22" ht="12.75">
      <c r="A42" s="220">
        <v>42401</v>
      </c>
      <c r="B42" s="165">
        <f>'Input - Customer Data'!D69</f>
        <v>40734589.01369439</v>
      </c>
      <c r="C42" s="390"/>
      <c r="D42" s="391"/>
      <c r="E42" s="391"/>
      <c r="F42" s="391"/>
      <c r="G42" s="391"/>
      <c r="H42" s="165">
        <f t="shared" si="0"/>
        <v>40734589.01369439</v>
      </c>
      <c r="I42" s="164"/>
      <c r="J42" s="392">
        <v>588.4</v>
      </c>
      <c r="K42" s="392">
        <v>0</v>
      </c>
      <c r="L42" s="392">
        <v>29</v>
      </c>
      <c r="M42" s="392">
        <v>0</v>
      </c>
      <c r="N42" s="379">
        <v>22988</v>
      </c>
      <c r="O42" s="392"/>
      <c r="P42" s="392"/>
      <c r="S42" s="392">
        <v>662.8000000000001</v>
      </c>
      <c r="T42" s="392">
        <v>0</v>
      </c>
      <c r="U42" s="392">
        <v>588.4</v>
      </c>
      <c r="V42" s="392">
        <v>0</v>
      </c>
    </row>
    <row r="43" spans="1:22" ht="12.75">
      <c r="A43" s="220">
        <v>42430</v>
      </c>
      <c r="B43" s="165">
        <f>'Input - Customer Data'!D70</f>
        <v>39051917.365899414</v>
      </c>
      <c r="C43" s="390"/>
      <c r="D43" s="391"/>
      <c r="E43" s="391"/>
      <c r="F43" s="391"/>
      <c r="G43" s="391"/>
      <c r="H43" s="165">
        <f t="shared" si="0"/>
        <v>39051917.365899414</v>
      </c>
      <c r="I43" s="164"/>
      <c r="J43" s="392">
        <v>476.0999999999998</v>
      </c>
      <c r="K43" s="392">
        <v>0</v>
      </c>
      <c r="L43" s="392">
        <v>31</v>
      </c>
      <c r="M43" s="392">
        <v>0</v>
      </c>
      <c r="N43" s="379">
        <v>23003</v>
      </c>
      <c r="O43" s="392"/>
      <c r="P43" s="392"/>
      <c r="S43" s="392">
        <v>535.3000000000001</v>
      </c>
      <c r="T43" s="392">
        <v>0</v>
      </c>
      <c r="U43" s="392">
        <v>476.0999999999998</v>
      </c>
      <c r="V43" s="392">
        <v>0</v>
      </c>
    </row>
    <row r="44" spans="1:22" ht="12.75">
      <c r="A44" s="220">
        <v>42461</v>
      </c>
      <c r="B44" s="165">
        <f>'Input - Customer Data'!D71</f>
        <v>35582403.037717596</v>
      </c>
      <c r="C44" s="390"/>
      <c r="D44" s="391"/>
      <c r="E44" s="391"/>
      <c r="F44" s="391"/>
      <c r="G44" s="391"/>
      <c r="H44" s="165">
        <f t="shared" si="0"/>
        <v>35582403.037717596</v>
      </c>
      <c r="I44" s="164"/>
      <c r="J44" s="392">
        <v>394.8</v>
      </c>
      <c r="K44" s="392">
        <v>0</v>
      </c>
      <c r="L44" s="392">
        <v>30</v>
      </c>
      <c r="M44" s="392">
        <v>1</v>
      </c>
      <c r="N44" s="379">
        <v>23007</v>
      </c>
      <c r="O44" s="392"/>
      <c r="P44" s="392"/>
      <c r="S44" s="392">
        <v>469.9000000000001</v>
      </c>
      <c r="T44" s="392">
        <v>0</v>
      </c>
      <c r="U44" s="392">
        <v>394.8</v>
      </c>
      <c r="V44" s="392">
        <v>0</v>
      </c>
    </row>
    <row r="45" spans="1:22" ht="12.75">
      <c r="A45" s="220">
        <v>42491</v>
      </c>
      <c r="B45" s="165">
        <f>'Input - Customer Data'!D72</f>
        <v>32158070.062147</v>
      </c>
      <c r="C45" s="390"/>
      <c r="D45" s="391"/>
      <c r="E45" s="391"/>
      <c r="F45" s="391"/>
      <c r="G45" s="391"/>
      <c r="H45" s="165">
        <f t="shared" si="0"/>
        <v>32158070.062147</v>
      </c>
      <c r="I45" s="164"/>
      <c r="J45" s="392">
        <v>142.50000000000003</v>
      </c>
      <c r="K45" s="392">
        <v>36.9</v>
      </c>
      <c r="L45" s="392">
        <v>31</v>
      </c>
      <c r="M45" s="392">
        <v>1</v>
      </c>
      <c r="N45" s="379">
        <v>23012</v>
      </c>
      <c r="O45" s="392"/>
      <c r="P45" s="392"/>
      <c r="S45" s="392">
        <v>212.4</v>
      </c>
      <c r="T45" s="392">
        <v>12.2</v>
      </c>
      <c r="U45" s="392">
        <v>142.50000000000003</v>
      </c>
      <c r="V45" s="392">
        <v>36.9</v>
      </c>
    </row>
    <row r="46" spans="1:22" ht="12.75">
      <c r="A46" s="220">
        <v>42522</v>
      </c>
      <c r="B46" s="165">
        <f>'Input - Customer Data'!D73</f>
        <v>32230294.531470016</v>
      </c>
      <c r="C46" s="390"/>
      <c r="D46" s="391"/>
      <c r="E46" s="391"/>
      <c r="F46" s="391"/>
      <c r="G46" s="391"/>
      <c r="H46" s="165">
        <f t="shared" si="0"/>
        <v>32230294.531470016</v>
      </c>
      <c r="I46" s="164"/>
      <c r="J46" s="392">
        <v>24.200000000000003</v>
      </c>
      <c r="K46" s="392">
        <v>83.7</v>
      </c>
      <c r="L46" s="392">
        <v>30</v>
      </c>
      <c r="M46" s="392">
        <v>1</v>
      </c>
      <c r="N46" s="379">
        <v>23028</v>
      </c>
      <c r="O46" s="392"/>
      <c r="P46" s="392"/>
      <c r="S46" s="392">
        <v>76.6</v>
      </c>
      <c r="T46" s="392">
        <v>16.5</v>
      </c>
      <c r="U46" s="392">
        <v>24.200000000000003</v>
      </c>
      <c r="V46" s="392">
        <v>83.7</v>
      </c>
    </row>
    <row r="47" spans="1:22" ht="12.75">
      <c r="A47" s="220">
        <v>42552</v>
      </c>
      <c r="B47" s="165">
        <f>'Input - Customer Data'!D74</f>
        <v>36050965.38800774</v>
      </c>
      <c r="C47" s="390"/>
      <c r="D47" s="391"/>
      <c r="E47" s="391"/>
      <c r="F47" s="391"/>
      <c r="G47" s="391"/>
      <c r="H47" s="165">
        <f t="shared" si="0"/>
        <v>36050965.38800774</v>
      </c>
      <c r="I47" s="164"/>
      <c r="J47" s="392">
        <v>0</v>
      </c>
      <c r="K47" s="392">
        <v>176.89999999999998</v>
      </c>
      <c r="L47" s="392">
        <v>31</v>
      </c>
      <c r="M47" s="392">
        <v>0</v>
      </c>
      <c r="N47" s="379">
        <v>23043</v>
      </c>
      <c r="O47" s="392"/>
      <c r="P47" s="392"/>
      <c r="S47" s="392">
        <v>13.1</v>
      </c>
      <c r="T47" s="392">
        <v>76.09999999999998</v>
      </c>
      <c r="U47" s="392">
        <v>0</v>
      </c>
      <c r="V47" s="392">
        <v>176.89999999999998</v>
      </c>
    </row>
    <row r="48" spans="1:22" ht="12.75">
      <c r="A48" s="220">
        <v>42583</v>
      </c>
      <c r="B48" s="165">
        <f>'Input - Customer Data'!D75</f>
        <v>38144563.04270793</v>
      </c>
      <c r="C48" s="390"/>
      <c r="D48" s="391"/>
      <c r="E48" s="391"/>
      <c r="F48" s="391"/>
      <c r="G48" s="391"/>
      <c r="H48" s="165">
        <f t="shared" si="0"/>
        <v>38144563.04270793</v>
      </c>
      <c r="I48" s="164"/>
      <c r="J48" s="392">
        <v>0</v>
      </c>
      <c r="K48" s="392">
        <v>195.4</v>
      </c>
      <c r="L48" s="392">
        <v>31</v>
      </c>
      <c r="M48" s="392">
        <v>0</v>
      </c>
      <c r="N48" s="379">
        <v>23076</v>
      </c>
      <c r="O48" s="392"/>
      <c r="P48" s="392"/>
      <c r="S48" s="392">
        <v>6.2</v>
      </c>
      <c r="T48" s="392">
        <v>79.9</v>
      </c>
      <c r="U48" s="392">
        <v>0</v>
      </c>
      <c r="V48" s="392">
        <v>195.4</v>
      </c>
    </row>
    <row r="49" spans="1:22" ht="12.75">
      <c r="A49" s="220">
        <v>42614</v>
      </c>
      <c r="B49" s="165">
        <f>'Input - Customer Data'!D76</f>
        <v>32958786.127098646</v>
      </c>
      <c r="C49" s="390"/>
      <c r="D49" s="391"/>
      <c r="E49" s="391"/>
      <c r="F49" s="391"/>
      <c r="G49" s="391"/>
      <c r="H49" s="165">
        <f t="shared" si="0"/>
        <v>32958786.127098646</v>
      </c>
      <c r="I49" s="164"/>
      <c r="J49" s="392">
        <v>25.900000000000006</v>
      </c>
      <c r="K49" s="392">
        <v>69.4</v>
      </c>
      <c r="L49" s="392">
        <v>30</v>
      </c>
      <c r="M49" s="392">
        <v>1</v>
      </c>
      <c r="N49" s="379">
        <v>23083</v>
      </c>
      <c r="O49" s="392"/>
      <c r="P49" s="392"/>
      <c r="S49" s="392">
        <v>56.9</v>
      </c>
      <c r="T49" s="392">
        <v>20.2</v>
      </c>
      <c r="U49" s="392">
        <v>25.900000000000006</v>
      </c>
      <c r="V49" s="392">
        <v>69.4</v>
      </c>
    </row>
    <row r="50" spans="1:22" ht="12.75">
      <c r="A50" s="220">
        <v>42644</v>
      </c>
      <c r="B50" s="165">
        <f>'Input - Customer Data'!D77</f>
        <v>33427318.886247583</v>
      </c>
      <c r="C50" s="390"/>
      <c r="D50" s="391"/>
      <c r="E50" s="391"/>
      <c r="F50" s="391"/>
      <c r="G50" s="391"/>
      <c r="H50" s="165">
        <f t="shared" si="0"/>
        <v>33427318.886247583</v>
      </c>
      <c r="I50" s="164"/>
      <c r="J50" s="392">
        <v>194.20000000000002</v>
      </c>
      <c r="K50" s="392">
        <v>4.1</v>
      </c>
      <c r="L50" s="392">
        <v>31</v>
      </c>
      <c r="M50" s="392">
        <v>1</v>
      </c>
      <c r="N50" s="379">
        <v>23094</v>
      </c>
      <c r="O50" s="392"/>
      <c r="P50" s="392"/>
      <c r="S50" s="392">
        <v>234.60000000000002</v>
      </c>
      <c r="T50" s="392">
        <v>3.2</v>
      </c>
      <c r="U50" s="392">
        <v>194.20000000000002</v>
      </c>
      <c r="V50" s="392">
        <v>4.1</v>
      </c>
    </row>
    <row r="51" spans="1:22" ht="12.75">
      <c r="A51" s="220">
        <v>42675</v>
      </c>
      <c r="B51" s="165">
        <f>'Input - Customer Data'!D78</f>
        <v>34938643.68800774</v>
      </c>
      <c r="C51" s="390"/>
      <c r="D51" s="391"/>
      <c r="E51" s="391"/>
      <c r="F51" s="391"/>
      <c r="G51" s="391"/>
      <c r="H51" s="165">
        <f t="shared" si="0"/>
        <v>34938643.68800774</v>
      </c>
      <c r="I51" s="164"/>
      <c r="J51" s="392">
        <v>337.80000000000007</v>
      </c>
      <c r="K51" s="392">
        <v>0</v>
      </c>
      <c r="L51" s="392">
        <v>30</v>
      </c>
      <c r="M51" s="392">
        <v>1</v>
      </c>
      <c r="N51" s="379">
        <v>23124</v>
      </c>
      <c r="O51" s="392"/>
      <c r="P51" s="392"/>
      <c r="S51" s="392">
        <v>370.00000000000006</v>
      </c>
      <c r="T51" s="392">
        <v>0</v>
      </c>
      <c r="U51" s="392">
        <v>337.80000000000007</v>
      </c>
      <c r="V51" s="392">
        <v>0</v>
      </c>
    </row>
    <row r="52" spans="1:22" ht="12.75">
      <c r="A52" s="220">
        <v>42705</v>
      </c>
      <c r="B52" s="165">
        <f>'Input - Customer Data'!D79</f>
        <v>41527820.80617021</v>
      </c>
      <c r="C52" s="390"/>
      <c r="D52" s="391"/>
      <c r="E52" s="391"/>
      <c r="F52" s="391"/>
      <c r="G52" s="391"/>
      <c r="H52" s="165">
        <f t="shared" si="0"/>
        <v>41527820.80617021</v>
      </c>
      <c r="I52" s="164"/>
      <c r="J52" s="392">
        <v>607.9999999999999</v>
      </c>
      <c r="K52" s="392">
        <v>0</v>
      </c>
      <c r="L52" s="392">
        <v>31</v>
      </c>
      <c r="M52" s="392">
        <v>0</v>
      </c>
      <c r="N52" s="379">
        <v>23168</v>
      </c>
      <c r="O52" s="392"/>
      <c r="P52" s="392"/>
      <c r="S52" s="392">
        <v>618.4999999999998</v>
      </c>
      <c r="T52" s="392">
        <v>0</v>
      </c>
      <c r="U52" s="392">
        <v>607.9999999999999</v>
      </c>
      <c r="V52" s="392">
        <v>0</v>
      </c>
    </row>
    <row r="53" spans="1:22" ht="12.75">
      <c r="A53" s="220">
        <v>42736</v>
      </c>
      <c r="B53" s="165">
        <f>'Input - Customer Data'!D80</f>
        <v>41870353.92880271</v>
      </c>
      <c r="C53" s="390"/>
      <c r="D53" s="391"/>
      <c r="E53" s="391"/>
      <c r="F53" s="391"/>
      <c r="G53" s="391"/>
      <c r="H53" s="165">
        <f t="shared" si="0"/>
        <v>41870353.92880271</v>
      </c>
      <c r="I53" s="164"/>
      <c r="J53" s="392">
        <v>608.9</v>
      </c>
      <c r="K53" s="392">
        <v>0</v>
      </c>
      <c r="L53" s="392">
        <v>31</v>
      </c>
      <c r="M53" s="392">
        <v>0</v>
      </c>
      <c r="N53" s="379">
        <v>23326</v>
      </c>
      <c r="O53" s="392"/>
      <c r="P53" s="392"/>
      <c r="S53" s="392">
        <v>642.6</v>
      </c>
      <c r="T53" s="392">
        <v>0</v>
      </c>
      <c r="U53" s="392">
        <v>608.9</v>
      </c>
      <c r="V53" s="392">
        <v>0</v>
      </c>
    </row>
    <row r="54" spans="1:22" ht="12.75">
      <c r="A54" s="220">
        <v>42767</v>
      </c>
      <c r="B54" s="165">
        <f>'Input - Customer Data'!D81</f>
        <v>36769365.05034043</v>
      </c>
      <c r="C54" s="390"/>
      <c r="D54" s="391"/>
      <c r="E54" s="391"/>
      <c r="F54" s="391"/>
      <c r="G54" s="391"/>
      <c r="H54" s="165">
        <f t="shared" si="0"/>
        <v>36769365.05034043</v>
      </c>
      <c r="I54" s="164"/>
      <c r="J54" s="392">
        <v>510.4</v>
      </c>
      <c r="K54" s="392">
        <v>0</v>
      </c>
      <c r="L54" s="392">
        <v>28</v>
      </c>
      <c r="M54" s="392">
        <v>0</v>
      </c>
      <c r="N54" s="379">
        <v>23199</v>
      </c>
      <c r="O54" s="392"/>
      <c r="P54" s="392"/>
      <c r="S54" s="392">
        <v>518.6000000000001</v>
      </c>
      <c r="T54" s="392">
        <v>0</v>
      </c>
      <c r="U54" s="392">
        <v>510.4</v>
      </c>
      <c r="V54" s="392">
        <v>0</v>
      </c>
    </row>
    <row r="55" spans="1:22" ht="12.75">
      <c r="A55" s="220">
        <v>42795</v>
      </c>
      <c r="B55" s="165">
        <f>'Input - Customer Data'!D82</f>
        <v>40358686.70367118</v>
      </c>
      <c r="C55" s="390"/>
      <c r="D55" s="391"/>
      <c r="E55" s="391"/>
      <c r="F55" s="391"/>
      <c r="G55" s="391"/>
      <c r="H55" s="165">
        <f t="shared" si="0"/>
        <v>40358686.70367118</v>
      </c>
      <c r="I55" s="164"/>
      <c r="J55" s="392">
        <v>574</v>
      </c>
      <c r="K55" s="392">
        <v>0</v>
      </c>
      <c r="L55" s="392">
        <v>31</v>
      </c>
      <c r="M55" s="392">
        <v>0</v>
      </c>
      <c r="N55" s="379">
        <v>23206</v>
      </c>
      <c r="O55" s="392"/>
      <c r="P55" s="392"/>
      <c r="S55" s="392">
        <v>641.2</v>
      </c>
      <c r="T55" s="392">
        <v>0</v>
      </c>
      <c r="U55" s="392">
        <v>574</v>
      </c>
      <c r="V55" s="392">
        <v>0</v>
      </c>
    </row>
    <row r="56" spans="1:22" ht="12.75">
      <c r="A56" s="220">
        <v>42826</v>
      </c>
      <c r="B56" s="165">
        <f>'Input - Customer Data'!D83</f>
        <v>32359460.055404257</v>
      </c>
      <c r="C56" s="390"/>
      <c r="D56" s="391"/>
      <c r="E56" s="391"/>
      <c r="F56" s="391"/>
      <c r="G56" s="391"/>
      <c r="H56" s="165">
        <f t="shared" si="0"/>
        <v>32359460.055404257</v>
      </c>
      <c r="I56" s="164"/>
      <c r="J56" s="392">
        <v>257.49999999999994</v>
      </c>
      <c r="K56" s="392">
        <v>0</v>
      </c>
      <c r="L56" s="392">
        <v>30</v>
      </c>
      <c r="M56" s="392">
        <v>1</v>
      </c>
      <c r="N56" s="379">
        <v>23210</v>
      </c>
      <c r="O56" s="392"/>
      <c r="P56" s="392"/>
      <c r="S56" s="392">
        <v>332.59999999999997</v>
      </c>
      <c r="T56" s="392">
        <v>0</v>
      </c>
      <c r="U56" s="392">
        <v>257.49999999999994</v>
      </c>
      <c r="V56" s="392">
        <v>0</v>
      </c>
    </row>
    <row r="57" spans="1:22" ht="12.75">
      <c r="A57" s="220">
        <v>42856</v>
      </c>
      <c r="B57" s="165">
        <f>'Input - Customer Data'!D84</f>
        <v>32466960.156876206</v>
      </c>
      <c r="C57" s="390"/>
      <c r="D57" s="391"/>
      <c r="E57" s="391"/>
      <c r="F57" s="391"/>
      <c r="G57" s="391"/>
      <c r="H57" s="165">
        <f t="shared" si="0"/>
        <v>32466960.156876206</v>
      </c>
      <c r="I57" s="164"/>
      <c r="J57" s="392">
        <v>177</v>
      </c>
      <c r="K57" s="392">
        <v>0</v>
      </c>
      <c r="L57" s="392">
        <v>31</v>
      </c>
      <c r="M57" s="392">
        <v>1</v>
      </c>
      <c r="N57" s="379">
        <v>23220</v>
      </c>
      <c r="O57" s="392"/>
      <c r="P57" s="392"/>
      <c r="S57" s="392">
        <v>242.39999999999998</v>
      </c>
      <c r="T57" s="392">
        <v>5.1</v>
      </c>
      <c r="U57" s="392">
        <v>177</v>
      </c>
      <c r="V57" s="392">
        <v>0</v>
      </c>
    </row>
    <row r="58" spans="1:22" ht="12.75">
      <c r="A58" s="220">
        <v>42887</v>
      </c>
      <c r="B58" s="165">
        <f>'Input - Customer Data'!D85</f>
        <v>31942168.662241776</v>
      </c>
      <c r="C58" s="390"/>
      <c r="D58" s="391"/>
      <c r="E58" s="391"/>
      <c r="F58" s="391"/>
      <c r="G58" s="391"/>
      <c r="H58" s="165">
        <f t="shared" si="0"/>
        <v>31942168.662241776</v>
      </c>
      <c r="I58" s="164"/>
      <c r="J58" s="392">
        <v>26.699999999999996</v>
      </c>
      <c r="K58" s="392">
        <v>9</v>
      </c>
      <c r="L58" s="392">
        <v>30</v>
      </c>
      <c r="M58" s="392">
        <v>1</v>
      </c>
      <c r="N58" s="379">
        <v>23263</v>
      </c>
      <c r="O58" s="392"/>
      <c r="P58" s="392"/>
      <c r="S58" s="392">
        <v>78.10000000000001</v>
      </c>
      <c r="T58" s="392">
        <v>21.199999999999996</v>
      </c>
      <c r="U58" s="392">
        <v>26.699999999999996</v>
      </c>
      <c r="V58" s="392">
        <v>9</v>
      </c>
    </row>
    <row r="59" spans="1:22" ht="12.75">
      <c r="A59" s="220">
        <v>42917</v>
      </c>
      <c r="B59" s="165">
        <f>'Input - Customer Data'!D86</f>
        <v>34485256.861729205</v>
      </c>
      <c r="C59" s="390"/>
      <c r="D59" s="391"/>
      <c r="E59" s="391"/>
      <c r="F59" s="391"/>
      <c r="G59" s="391"/>
      <c r="H59" s="165">
        <f t="shared" si="0"/>
        <v>34485256.861729205</v>
      </c>
      <c r="I59" s="164"/>
      <c r="J59" s="392">
        <v>0</v>
      </c>
      <c r="K59" s="392">
        <v>68.2</v>
      </c>
      <c r="L59" s="392">
        <v>31</v>
      </c>
      <c r="M59" s="392">
        <v>0</v>
      </c>
      <c r="N59" s="379">
        <v>23448</v>
      </c>
      <c r="O59" s="392"/>
      <c r="P59" s="392"/>
      <c r="S59" s="392">
        <v>8</v>
      </c>
      <c r="T59" s="392">
        <v>36</v>
      </c>
      <c r="U59" s="392">
        <v>0</v>
      </c>
      <c r="V59" s="392">
        <v>68.2</v>
      </c>
    </row>
    <row r="60" spans="1:22" ht="12.75">
      <c r="A60" s="220">
        <v>42948</v>
      </c>
      <c r="B60" s="165">
        <f>'Input - Customer Data'!D87</f>
        <v>33750093.26521856</v>
      </c>
      <c r="C60" s="390"/>
      <c r="D60" s="391"/>
      <c r="E60" s="391"/>
      <c r="F60" s="391"/>
      <c r="G60" s="391"/>
      <c r="H60" s="165">
        <f t="shared" si="0"/>
        <v>33750093.26521856</v>
      </c>
      <c r="I60" s="164"/>
      <c r="J60" s="392">
        <v>11.6</v>
      </c>
      <c r="K60" s="392">
        <v>116.49999999999999</v>
      </c>
      <c r="L60" s="392">
        <v>31</v>
      </c>
      <c r="M60" s="392">
        <v>0</v>
      </c>
      <c r="N60" s="379">
        <v>23301</v>
      </c>
      <c r="O60" s="392"/>
      <c r="P60" s="392"/>
      <c r="S60" s="392">
        <v>40.7</v>
      </c>
      <c r="T60" s="392">
        <v>27.4</v>
      </c>
      <c r="U60" s="392">
        <v>11.6</v>
      </c>
      <c r="V60" s="392">
        <v>116.49999999999999</v>
      </c>
    </row>
    <row r="61" spans="1:22" ht="12.75">
      <c r="A61" s="220">
        <v>42979</v>
      </c>
      <c r="B61" s="165">
        <f>'Input - Customer Data'!D88</f>
        <v>32126296.99355706</v>
      </c>
      <c r="C61" s="390"/>
      <c r="D61" s="391"/>
      <c r="E61" s="391"/>
      <c r="F61" s="391"/>
      <c r="G61" s="391"/>
      <c r="H61" s="165">
        <f t="shared" si="0"/>
        <v>32126296.99355706</v>
      </c>
      <c r="I61" s="164"/>
      <c r="J61" s="392">
        <v>49.1</v>
      </c>
      <c r="K61" s="392">
        <v>75.2</v>
      </c>
      <c r="L61" s="392">
        <v>30</v>
      </c>
      <c r="M61" s="392">
        <v>1</v>
      </c>
      <c r="N61" s="379">
        <v>23336</v>
      </c>
      <c r="O61" s="392"/>
      <c r="P61" s="392"/>
      <c r="S61" s="392">
        <v>96.8</v>
      </c>
      <c r="T61" s="392">
        <v>39.400000000000006</v>
      </c>
      <c r="U61" s="392">
        <v>49.1</v>
      </c>
      <c r="V61" s="392">
        <v>75.2</v>
      </c>
    </row>
    <row r="62" spans="1:22" ht="12.75">
      <c r="A62" s="220">
        <v>43009</v>
      </c>
      <c r="B62" s="165">
        <f>'Input - Customer Data'!D89</f>
        <v>32454033.777102515</v>
      </c>
      <c r="C62" s="390"/>
      <c r="D62" s="391"/>
      <c r="E62" s="391"/>
      <c r="F62" s="391"/>
      <c r="G62" s="391"/>
      <c r="H62" s="165">
        <f t="shared" si="0"/>
        <v>32454033.777102515</v>
      </c>
      <c r="I62" s="164"/>
      <c r="J62" s="392">
        <v>153.99999999999997</v>
      </c>
      <c r="K62" s="392">
        <v>71.49999999999999</v>
      </c>
      <c r="L62" s="392">
        <v>31</v>
      </c>
      <c r="M62" s="392">
        <v>1</v>
      </c>
      <c r="N62" s="379">
        <v>23342</v>
      </c>
      <c r="O62" s="392"/>
      <c r="P62" s="392"/>
      <c r="S62" s="392">
        <v>191.3</v>
      </c>
      <c r="T62" s="392">
        <v>2.6</v>
      </c>
      <c r="U62" s="392">
        <v>153.99999999999997</v>
      </c>
      <c r="V62" s="392">
        <v>71.49999999999999</v>
      </c>
    </row>
    <row r="63" spans="1:22" ht="12.75">
      <c r="A63" s="220">
        <v>43040</v>
      </c>
      <c r="B63" s="165">
        <f>'Input - Customer Data'!D90</f>
        <v>37086665.36184913</v>
      </c>
      <c r="C63" s="390"/>
      <c r="D63" s="391"/>
      <c r="E63" s="391"/>
      <c r="F63" s="391"/>
      <c r="G63" s="391"/>
      <c r="H63" s="165">
        <f t="shared" si="0"/>
        <v>37086665.36184913</v>
      </c>
      <c r="I63" s="164"/>
      <c r="J63" s="392">
        <v>414.2</v>
      </c>
      <c r="K63" s="392">
        <v>8.1</v>
      </c>
      <c r="L63" s="392">
        <v>30</v>
      </c>
      <c r="M63" s="392">
        <v>1</v>
      </c>
      <c r="N63" s="379">
        <v>23363</v>
      </c>
      <c r="O63" s="392"/>
      <c r="P63" s="392"/>
      <c r="S63" s="392">
        <v>458</v>
      </c>
      <c r="T63" s="392">
        <v>0</v>
      </c>
      <c r="U63" s="392">
        <v>414.2</v>
      </c>
      <c r="V63" s="392">
        <v>8.1</v>
      </c>
    </row>
    <row r="64" spans="1:22" ht="12.75">
      <c r="A64" s="220">
        <v>43070</v>
      </c>
      <c r="B64" s="165">
        <f>'Input - Customer Data'!D91</f>
        <v>42555872.96041586</v>
      </c>
      <c r="C64" s="390"/>
      <c r="D64" s="391"/>
      <c r="E64" s="391"/>
      <c r="F64" s="391"/>
      <c r="G64" s="391"/>
      <c r="H64" s="165">
        <f t="shared" si="0"/>
        <v>42555872.96041586</v>
      </c>
      <c r="I64" s="164"/>
      <c r="J64" s="392">
        <v>718.4999999999999</v>
      </c>
      <c r="K64" s="392">
        <v>0</v>
      </c>
      <c r="L64" s="392">
        <v>31</v>
      </c>
      <c r="M64" s="392">
        <v>0</v>
      </c>
      <c r="N64" s="379">
        <v>23373</v>
      </c>
      <c r="O64" s="392"/>
      <c r="P64" s="392"/>
      <c r="S64" s="392">
        <v>736.5</v>
      </c>
      <c r="T64" s="392">
        <v>0</v>
      </c>
      <c r="U64" s="392">
        <v>718.4999999999999</v>
      </c>
      <c r="V64" s="392">
        <v>0</v>
      </c>
    </row>
    <row r="65" spans="1:22" ht="12.75">
      <c r="A65" s="220">
        <v>43101</v>
      </c>
      <c r="B65" s="165">
        <f>'Input - Customer Data'!D92</f>
        <v>45303345.130447</v>
      </c>
      <c r="C65" s="390"/>
      <c r="D65" s="391"/>
      <c r="E65" s="391"/>
      <c r="F65" s="391"/>
      <c r="G65" s="391"/>
      <c r="H65" s="165">
        <f t="shared" si="0"/>
        <v>45303345.130447</v>
      </c>
      <c r="I65" s="164"/>
      <c r="J65" s="392">
        <v>732.2999999999998</v>
      </c>
      <c r="K65" s="392">
        <v>0</v>
      </c>
      <c r="L65" s="392">
        <v>31</v>
      </c>
      <c r="M65" s="392">
        <v>0</v>
      </c>
      <c r="N65" s="379">
        <v>23400</v>
      </c>
      <c r="O65" s="392"/>
      <c r="P65" s="392"/>
      <c r="S65" s="392">
        <v>771.1000000000001</v>
      </c>
      <c r="T65" s="392">
        <v>0</v>
      </c>
      <c r="U65" s="392">
        <v>732.2999999999998</v>
      </c>
      <c r="V65" s="392">
        <v>0</v>
      </c>
    </row>
    <row r="66" spans="1:22" ht="12.75">
      <c r="A66" s="220">
        <v>43132</v>
      </c>
      <c r="B66" s="165">
        <f>'Input - Customer Data'!D93</f>
        <v>38010441.551727</v>
      </c>
      <c r="C66" s="390"/>
      <c r="D66" s="391"/>
      <c r="E66" s="391"/>
      <c r="F66" s="391"/>
      <c r="G66" s="391"/>
      <c r="H66" s="165">
        <f t="shared" si="0"/>
        <v>38010441.551727</v>
      </c>
      <c r="I66" s="164"/>
      <c r="J66" s="392">
        <v>555.0000000000002</v>
      </c>
      <c r="K66" s="392">
        <v>0</v>
      </c>
      <c r="L66" s="392">
        <v>28</v>
      </c>
      <c r="M66" s="392">
        <v>0</v>
      </c>
      <c r="N66" s="379">
        <v>23409</v>
      </c>
      <c r="O66" s="392"/>
      <c r="P66" s="392"/>
      <c r="S66" s="392">
        <v>614.3</v>
      </c>
      <c r="T66" s="392">
        <v>0</v>
      </c>
      <c r="U66" s="392">
        <v>555.0000000000002</v>
      </c>
      <c r="V66" s="392">
        <v>0</v>
      </c>
    </row>
    <row r="67" spans="1:22" ht="12.75">
      <c r="A67" s="220">
        <v>43160</v>
      </c>
      <c r="B67" s="165">
        <f>'Input - Customer Data'!D94</f>
        <v>40822738.38310101</v>
      </c>
      <c r="C67" s="390"/>
      <c r="D67" s="391"/>
      <c r="E67" s="391"/>
      <c r="F67" s="391"/>
      <c r="G67" s="391"/>
      <c r="H67" s="165">
        <f t="shared" si="0"/>
        <v>40822738.38310101</v>
      </c>
      <c r="I67" s="164"/>
      <c r="J67" s="392">
        <v>553.9999999999999</v>
      </c>
      <c r="K67" s="392">
        <v>0</v>
      </c>
      <c r="L67" s="392">
        <v>31</v>
      </c>
      <c r="M67" s="392">
        <v>0</v>
      </c>
      <c r="N67" s="379">
        <v>23417</v>
      </c>
      <c r="O67" s="392"/>
      <c r="P67" s="392"/>
      <c r="S67" s="392">
        <v>618.4999999999998</v>
      </c>
      <c r="T67" s="392">
        <v>0</v>
      </c>
      <c r="U67" s="392">
        <v>553.9999999999999</v>
      </c>
      <c r="V67" s="392">
        <v>0</v>
      </c>
    </row>
    <row r="68" spans="1:22" ht="12.75">
      <c r="A68" s="220">
        <v>43191</v>
      </c>
      <c r="B68" s="165">
        <f>'Input - Customer Data'!D95</f>
        <v>37268114.37110101</v>
      </c>
      <c r="C68" s="390"/>
      <c r="D68" s="391"/>
      <c r="E68" s="391"/>
      <c r="F68" s="391"/>
      <c r="G68" s="391"/>
      <c r="H68" s="165">
        <f t="shared" si="0"/>
        <v>37268114.37110101</v>
      </c>
      <c r="I68" s="164"/>
      <c r="J68" s="392">
        <v>437.20000000000005</v>
      </c>
      <c r="K68" s="392">
        <v>0</v>
      </c>
      <c r="L68" s="392">
        <v>30</v>
      </c>
      <c r="M68" s="392">
        <v>1</v>
      </c>
      <c r="N68" s="379">
        <v>23441</v>
      </c>
      <c r="O68" s="392"/>
      <c r="P68" s="392"/>
      <c r="S68" s="392">
        <v>488.69999999999993</v>
      </c>
      <c r="T68" s="392">
        <v>0</v>
      </c>
      <c r="U68" s="392">
        <v>437.20000000000005</v>
      </c>
      <c r="V68" s="392">
        <v>0</v>
      </c>
    </row>
    <row r="69" spans="1:22" ht="12.75">
      <c r="A69" s="220">
        <v>43221</v>
      </c>
      <c r="B69" s="165">
        <f>'Input - Customer Data'!D96</f>
        <v>33661736.0785</v>
      </c>
      <c r="C69" s="390"/>
      <c r="D69" s="391"/>
      <c r="E69" s="391"/>
      <c r="F69" s="391"/>
      <c r="G69" s="391"/>
      <c r="H69" s="165">
        <f t="shared" si="0"/>
        <v>33661736.0785</v>
      </c>
      <c r="I69" s="164"/>
      <c r="J69" s="392">
        <v>75.3</v>
      </c>
      <c r="K69" s="392">
        <v>43.4</v>
      </c>
      <c r="L69" s="392">
        <v>31</v>
      </c>
      <c r="M69" s="392">
        <v>1</v>
      </c>
      <c r="N69" s="379">
        <v>23452</v>
      </c>
      <c r="O69" s="392"/>
      <c r="P69" s="392"/>
      <c r="S69" s="392">
        <v>153.59999999999997</v>
      </c>
      <c r="T69" s="392">
        <v>14.100000000000001</v>
      </c>
      <c r="U69" s="392">
        <v>75.3</v>
      </c>
      <c r="V69" s="392">
        <v>43.4</v>
      </c>
    </row>
    <row r="70" spans="1:22" ht="12.75">
      <c r="A70" s="220">
        <v>43252</v>
      </c>
      <c r="B70" s="165">
        <f>'Input - Customer Data'!D97</f>
        <v>33150240.258909997</v>
      </c>
      <c r="C70" s="390"/>
      <c r="D70" s="391"/>
      <c r="E70" s="391"/>
      <c r="F70" s="391"/>
      <c r="G70" s="391"/>
      <c r="H70" s="165">
        <f aca="true" t="shared" si="1" ref="H70:H124">B70-SUM(C70:G70)</f>
        <v>33150240.258909997</v>
      </c>
      <c r="I70" s="164"/>
      <c r="J70" s="392">
        <v>14.799999999999999</v>
      </c>
      <c r="K70" s="392">
        <v>60.5</v>
      </c>
      <c r="L70" s="392">
        <v>30</v>
      </c>
      <c r="M70" s="392">
        <v>1</v>
      </c>
      <c r="N70" s="379">
        <v>23438</v>
      </c>
      <c r="O70" s="392"/>
      <c r="P70" s="392"/>
      <c r="S70" s="392">
        <v>85.80000000000003</v>
      </c>
      <c r="T70" s="392">
        <v>21.1</v>
      </c>
      <c r="U70" s="392">
        <v>14.799999999999999</v>
      </c>
      <c r="V70" s="392">
        <v>60.5</v>
      </c>
    </row>
    <row r="71" spans="1:22" ht="12.75">
      <c r="A71" s="220">
        <v>43282</v>
      </c>
      <c r="B71" s="165">
        <f>'Input - Customer Data'!D98</f>
        <v>36985443.746902004</v>
      </c>
      <c r="C71" s="390"/>
      <c r="D71" s="391"/>
      <c r="E71" s="391"/>
      <c r="F71" s="391"/>
      <c r="G71" s="391"/>
      <c r="H71" s="165">
        <f t="shared" si="1"/>
        <v>36985443.746902004</v>
      </c>
      <c r="I71" s="164"/>
      <c r="J71" s="392">
        <v>0</v>
      </c>
      <c r="K71" s="392">
        <v>167.8</v>
      </c>
      <c r="L71" s="392">
        <v>31</v>
      </c>
      <c r="M71" s="392">
        <v>0</v>
      </c>
      <c r="N71" s="379">
        <v>23458</v>
      </c>
      <c r="O71" s="392"/>
      <c r="P71" s="392"/>
      <c r="S71" s="392">
        <v>10</v>
      </c>
      <c r="T71" s="392">
        <v>81.40000000000002</v>
      </c>
      <c r="U71" s="392">
        <v>0</v>
      </c>
      <c r="V71" s="392">
        <v>167.8</v>
      </c>
    </row>
    <row r="72" spans="1:22" ht="12.75">
      <c r="A72" s="220">
        <v>43313</v>
      </c>
      <c r="B72" s="165">
        <f>'Input - Customer Data'!D99</f>
        <v>37978825.404948</v>
      </c>
      <c r="C72" s="390"/>
      <c r="D72" s="391"/>
      <c r="E72" s="391"/>
      <c r="F72" s="391"/>
      <c r="G72" s="391"/>
      <c r="H72" s="165">
        <f t="shared" si="1"/>
        <v>37978825.404948</v>
      </c>
      <c r="I72" s="164"/>
      <c r="J72" s="392">
        <v>1.2</v>
      </c>
      <c r="K72" s="392">
        <v>162.4</v>
      </c>
      <c r="L72" s="392">
        <v>31</v>
      </c>
      <c r="M72" s="392">
        <v>0</v>
      </c>
      <c r="N72" s="379">
        <v>23480</v>
      </c>
      <c r="O72" s="392"/>
      <c r="P72" s="392"/>
      <c r="S72" s="392">
        <v>7.8</v>
      </c>
      <c r="T72" s="392">
        <v>87.00000000000001</v>
      </c>
      <c r="U72" s="392">
        <v>1.2</v>
      </c>
      <c r="V72" s="392">
        <v>162.4</v>
      </c>
    </row>
    <row r="73" spans="1:22" ht="12.75">
      <c r="A73" s="220">
        <v>43344</v>
      </c>
      <c r="B73" s="165">
        <f>'Input - Customer Data'!D100</f>
        <v>33668646.682027996</v>
      </c>
      <c r="C73" s="390"/>
      <c r="D73" s="391"/>
      <c r="E73" s="391"/>
      <c r="F73" s="391"/>
      <c r="G73" s="391"/>
      <c r="H73" s="165">
        <f t="shared" si="1"/>
        <v>33668646.682027996</v>
      </c>
      <c r="I73" s="164"/>
      <c r="J73" s="392">
        <v>41.39999999999999</v>
      </c>
      <c r="K73" s="392">
        <v>76.39999999999998</v>
      </c>
      <c r="L73" s="392">
        <v>30</v>
      </c>
      <c r="M73" s="392">
        <v>1</v>
      </c>
      <c r="N73" s="379">
        <v>23508</v>
      </c>
      <c r="O73" s="392"/>
      <c r="P73" s="392"/>
      <c r="S73" s="392">
        <v>97.99999999999999</v>
      </c>
      <c r="T73" s="392">
        <v>36.9</v>
      </c>
      <c r="U73" s="392">
        <v>41.39999999999999</v>
      </c>
      <c r="V73" s="392">
        <v>76.39999999999998</v>
      </c>
    </row>
    <row r="74" spans="1:22" ht="12.75">
      <c r="A74" s="220">
        <v>43374</v>
      </c>
      <c r="B74" s="165">
        <f>'Input - Customer Data'!D101</f>
        <v>32878906.859995</v>
      </c>
      <c r="C74" s="390"/>
      <c r="D74" s="391"/>
      <c r="E74" s="391"/>
      <c r="F74" s="391"/>
      <c r="G74" s="391"/>
      <c r="H74" s="165">
        <f t="shared" si="1"/>
        <v>32878906.859995</v>
      </c>
      <c r="I74" s="164"/>
      <c r="J74" s="392">
        <v>289.40000000000003</v>
      </c>
      <c r="K74" s="392">
        <v>8.2</v>
      </c>
      <c r="L74" s="392">
        <v>31</v>
      </c>
      <c r="M74" s="392">
        <v>1</v>
      </c>
      <c r="N74" s="379">
        <v>23507</v>
      </c>
      <c r="O74" s="392"/>
      <c r="P74" s="392"/>
      <c r="S74" s="392">
        <v>315.3</v>
      </c>
      <c r="T74" s="392">
        <v>10.2</v>
      </c>
      <c r="U74" s="392">
        <v>289.40000000000003</v>
      </c>
      <c r="V74" s="392">
        <v>8.2</v>
      </c>
    </row>
    <row r="75" spans="1:22" ht="12.75">
      <c r="A75" s="220">
        <v>43405</v>
      </c>
      <c r="B75" s="165">
        <f>'Input - Customer Data'!D102</f>
        <v>39246375.131524995</v>
      </c>
      <c r="C75" s="390"/>
      <c r="D75" s="391"/>
      <c r="E75" s="391"/>
      <c r="F75" s="391"/>
      <c r="G75" s="391"/>
      <c r="H75" s="165">
        <f t="shared" si="1"/>
        <v>39246375.131524995</v>
      </c>
      <c r="I75" s="164"/>
      <c r="J75" s="392">
        <v>494.1</v>
      </c>
      <c r="K75" s="392">
        <v>0</v>
      </c>
      <c r="L75" s="392">
        <v>30</v>
      </c>
      <c r="M75" s="392">
        <v>1</v>
      </c>
      <c r="N75" s="379">
        <v>23531</v>
      </c>
      <c r="O75" s="392"/>
      <c r="P75" s="392"/>
      <c r="S75" s="392">
        <v>533.2</v>
      </c>
      <c r="T75" s="392">
        <v>0</v>
      </c>
      <c r="U75" s="392">
        <v>494.1</v>
      </c>
      <c r="V75" s="392">
        <v>0</v>
      </c>
    </row>
    <row r="76" spans="1:22" ht="12.75">
      <c r="A76" s="220">
        <v>43435</v>
      </c>
      <c r="B76" s="165">
        <f>'Input - Customer Data'!D103</f>
        <v>41296482.416115</v>
      </c>
      <c r="C76" s="390"/>
      <c r="D76" s="391"/>
      <c r="E76" s="391"/>
      <c r="F76" s="391"/>
      <c r="G76" s="391"/>
      <c r="H76" s="165">
        <f t="shared" si="1"/>
        <v>41296482.416115</v>
      </c>
      <c r="I76" s="164"/>
      <c r="J76" s="392">
        <v>563.6000000000001</v>
      </c>
      <c r="K76" s="392">
        <v>0</v>
      </c>
      <c r="L76" s="392">
        <v>31</v>
      </c>
      <c r="M76" s="392">
        <v>0</v>
      </c>
      <c r="N76" s="379">
        <v>23547</v>
      </c>
      <c r="O76" s="392"/>
      <c r="P76" s="392"/>
      <c r="S76" s="392">
        <v>600.9</v>
      </c>
      <c r="T76" s="392">
        <v>0</v>
      </c>
      <c r="U76" s="392">
        <v>563.6000000000001</v>
      </c>
      <c r="V76" s="392">
        <v>0</v>
      </c>
    </row>
    <row r="77" spans="1:22" ht="12.75">
      <c r="A77" s="220">
        <v>43466</v>
      </c>
      <c r="B77" s="165">
        <f>'Input - Customer Data'!D104</f>
        <v>46360880.991009995</v>
      </c>
      <c r="C77" s="390"/>
      <c r="D77" s="391"/>
      <c r="E77" s="391"/>
      <c r="F77" s="391"/>
      <c r="G77" s="391"/>
      <c r="H77" s="165">
        <f t="shared" si="1"/>
        <v>46360880.991009995</v>
      </c>
      <c r="I77" s="164"/>
      <c r="J77" s="392">
        <v>764.5</v>
      </c>
      <c r="K77" s="392">
        <v>0</v>
      </c>
      <c r="L77" s="392">
        <v>31</v>
      </c>
      <c r="M77" s="392">
        <v>0</v>
      </c>
      <c r="N77" s="379">
        <v>23564</v>
      </c>
      <c r="O77" s="392"/>
      <c r="P77" s="392"/>
      <c r="S77" s="392">
        <v>807.4</v>
      </c>
      <c r="T77" s="392">
        <v>0</v>
      </c>
      <c r="U77" s="392">
        <v>764.5</v>
      </c>
      <c r="V77" s="392">
        <v>0</v>
      </c>
    </row>
    <row r="78" spans="1:22" ht="12.75">
      <c r="A78" s="220">
        <v>43497</v>
      </c>
      <c r="B78" s="165">
        <f>'Input - Customer Data'!D105</f>
        <v>40126452.14</v>
      </c>
      <c r="C78" s="390"/>
      <c r="D78" s="391"/>
      <c r="E78" s="391"/>
      <c r="F78" s="391"/>
      <c r="G78" s="391"/>
      <c r="H78" s="165">
        <f t="shared" si="1"/>
        <v>40126452.14</v>
      </c>
      <c r="I78" s="164"/>
      <c r="J78" s="392">
        <v>621.7000000000002</v>
      </c>
      <c r="K78" s="392">
        <v>0</v>
      </c>
      <c r="L78" s="392">
        <v>28</v>
      </c>
      <c r="M78" s="392">
        <v>0</v>
      </c>
      <c r="N78" s="379">
        <v>23584</v>
      </c>
      <c r="O78" s="392"/>
      <c r="P78" s="392"/>
      <c r="S78" s="392">
        <v>678.4999999999999</v>
      </c>
      <c r="T78" s="392">
        <v>0</v>
      </c>
      <c r="U78" s="392">
        <v>621.7000000000002</v>
      </c>
      <c r="V78" s="392">
        <v>0</v>
      </c>
    </row>
    <row r="79" spans="1:22" ht="12.75">
      <c r="A79" s="220">
        <v>43525</v>
      </c>
      <c r="B79" s="165">
        <f>'Input - Customer Data'!D106</f>
        <v>41742642.984000005</v>
      </c>
      <c r="C79" s="390"/>
      <c r="D79" s="391"/>
      <c r="E79" s="391"/>
      <c r="F79" s="391"/>
      <c r="G79" s="391"/>
      <c r="H79" s="165">
        <f t="shared" si="1"/>
        <v>41742642.984000005</v>
      </c>
      <c r="I79" s="164"/>
      <c r="J79" s="392">
        <v>593.9000000000001</v>
      </c>
      <c r="K79" s="392">
        <v>0</v>
      </c>
      <c r="L79" s="392">
        <v>31</v>
      </c>
      <c r="M79" s="392">
        <v>0</v>
      </c>
      <c r="N79" s="379">
        <v>23618</v>
      </c>
      <c r="O79" s="392"/>
      <c r="P79" s="392"/>
      <c r="S79" s="392">
        <v>672.2000000000002</v>
      </c>
      <c r="T79" s="392">
        <v>0</v>
      </c>
      <c r="U79" s="392">
        <v>593.9000000000001</v>
      </c>
      <c r="V79" s="392">
        <v>0</v>
      </c>
    </row>
    <row r="80" spans="1:22" ht="12.75">
      <c r="A80" s="220">
        <v>43556</v>
      </c>
      <c r="B80" s="165">
        <f>'Input - Customer Data'!D107</f>
        <v>36007111.135000005</v>
      </c>
      <c r="C80" s="390"/>
      <c r="D80" s="391"/>
      <c r="E80" s="391"/>
      <c r="F80" s="391"/>
      <c r="G80" s="391"/>
      <c r="H80" s="165">
        <f t="shared" si="1"/>
        <v>36007111.135000005</v>
      </c>
      <c r="I80" s="164"/>
      <c r="J80" s="392">
        <v>346.8</v>
      </c>
      <c r="K80" s="392">
        <v>0</v>
      </c>
      <c r="L80" s="392">
        <v>30</v>
      </c>
      <c r="M80" s="392">
        <v>1</v>
      </c>
      <c r="N80" s="379">
        <v>23601</v>
      </c>
      <c r="O80" s="392"/>
      <c r="P80" s="392"/>
      <c r="S80" s="392">
        <v>421.30000000000007</v>
      </c>
      <c r="T80" s="392">
        <v>0</v>
      </c>
      <c r="U80" s="392">
        <v>346.8</v>
      </c>
      <c r="V80" s="392">
        <v>0</v>
      </c>
    </row>
    <row r="81" spans="1:22" ht="12.75">
      <c r="A81" s="220">
        <v>43586</v>
      </c>
      <c r="B81" s="165">
        <f>'Input - Customer Data'!D108</f>
        <v>33884250.907</v>
      </c>
      <c r="C81" s="390"/>
      <c r="D81" s="391"/>
      <c r="E81" s="391"/>
      <c r="F81" s="391"/>
      <c r="G81" s="391"/>
      <c r="H81" s="165">
        <f t="shared" si="1"/>
        <v>33884250.907</v>
      </c>
      <c r="I81" s="164"/>
      <c r="J81" s="392">
        <v>180.99999999999997</v>
      </c>
      <c r="K81" s="392">
        <v>0</v>
      </c>
      <c r="L81" s="392">
        <v>31</v>
      </c>
      <c r="M81" s="392">
        <v>1</v>
      </c>
      <c r="N81" s="379">
        <v>23608</v>
      </c>
      <c r="O81" s="392"/>
      <c r="P81" s="392"/>
      <c r="S81" s="392">
        <v>277.3</v>
      </c>
      <c r="T81" s="392">
        <v>0</v>
      </c>
      <c r="U81" s="392">
        <v>180.99999999999997</v>
      </c>
      <c r="V81" s="392">
        <v>0</v>
      </c>
    </row>
    <row r="82" spans="1:22" ht="12.75">
      <c r="A82" s="220">
        <v>43617</v>
      </c>
      <c r="B82" s="165">
        <f>'Input - Customer Data'!D109</f>
        <v>32413450.978</v>
      </c>
      <c r="C82" s="390"/>
      <c r="D82" s="391"/>
      <c r="E82" s="391"/>
      <c r="F82" s="391"/>
      <c r="G82" s="391"/>
      <c r="H82" s="165">
        <f t="shared" si="1"/>
        <v>32413450.978</v>
      </c>
      <c r="I82" s="164"/>
      <c r="J82" s="392">
        <v>35.5</v>
      </c>
      <c r="K82" s="392">
        <v>41.300000000000004</v>
      </c>
      <c r="L82" s="392">
        <v>30</v>
      </c>
      <c r="M82" s="392">
        <v>1</v>
      </c>
      <c r="N82" s="379">
        <v>23607</v>
      </c>
      <c r="O82" s="392"/>
      <c r="P82" s="392"/>
      <c r="S82" s="392">
        <v>110.2</v>
      </c>
      <c r="T82" s="392">
        <v>5.4</v>
      </c>
      <c r="U82" s="392">
        <v>35.5</v>
      </c>
      <c r="V82" s="392">
        <v>41.300000000000004</v>
      </c>
    </row>
    <row r="83" spans="1:22" ht="12.75">
      <c r="A83" s="220">
        <v>43647</v>
      </c>
      <c r="B83" s="165">
        <f>'Input - Customer Data'!D110</f>
        <v>37948386.16900001</v>
      </c>
      <c r="C83" s="390"/>
      <c r="D83" s="391"/>
      <c r="E83" s="391"/>
      <c r="F83" s="391"/>
      <c r="G83" s="391"/>
      <c r="H83" s="165">
        <f t="shared" si="1"/>
        <v>37948386.16900001</v>
      </c>
      <c r="I83" s="164"/>
      <c r="J83" s="392">
        <v>0</v>
      </c>
      <c r="K83" s="392">
        <v>166.90000000000003</v>
      </c>
      <c r="L83" s="392">
        <v>31</v>
      </c>
      <c r="M83" s="392">
        <v>0</v>
      </c>
      <c r="N83" s="379">
        <v>23644</v>
      </c>
      <c r="O83" s="392"/>
      <c r="P83" s="392"/>
      <c r="S83" s="392">
        <v>16.2</v>
      </c>
      <c r="T83" s="392">
        <v>66.9</v>
      </c>
      <c r="U83" s="392">
        <v>0</v>
      </c>
      <c r="V83" s="392">
        <v>166.90000000000003</v>
      </c>
    </row>
    <row r="84" spans="1:22" ht="12.75">
      <c r="A84" s="220">
        <v>43678</v>
      </c>
      <c r="B84" s="165">
        <f>'Input - Customer Data'!D111</f>
        <v>35859378.324999996</v>
      </c>
      <c r="C84" s="390"/>
      <c r="D84" s="391"/>
      <c r="E84" s="391"/>
      <c r="F84" s="391"/>
      <c r="G84" s="391"/>
      <c r="H84" s="165">
        <f t="shared" si="1"/>
        <v>35859378.324999996</v>
      </c>
      <c r="I84" s="164"/>
      <c r="J84" s="392">
        <v>0.8999999999999999</v>
      </c>
      <c r="K84" s="392">
        <v>103.30000000000003</v>
      </c>
      <c r="L84" s="392">
        <v>31</v>
      </c>
      <c r="M84" s="392">
        <v>0</v>
      </c>
      <c r="N84" s="379">
        <v>23662</v>
      </c>
      <c r="O84" s="392"/>
      <c r="P84" s="392"/>
      <c r="S84" s="392">
        <v>34</v>
      </c>
      <c r="T84" s="392">
        <v>19.8</v>
      </c>
      <c r="U84" s="392">
        <v>0.8999999999999999</v>
      </c>
      <c r="V84" s="392">
        <v>103.30000000000003</v>
      </c>
    </row>
    <row r="85" spans="1:22" ht="12.75">
      <c r="A85" s="220">
        <v>43709</v>
      </c>
      <c r="B85" s="165">
        <f>'Input - Customer Data'!D112</f>
        <v>32309083.065000005</v>
      </c>
      <c r="C85" s="390"/>
      <c r="D85" s="391"/>
      <c r="E85" s="391"/>
      <c r="F85" s="391"/>
      <c r="G85" s="391"/>
      <c r="H85" s="165">
        <f t="shared" si="1"/>
        <v>32309083.065000005</v>
      </c>
      <c r="I85" s="164"/>
      <c r="J85" s="392">
        <v>38.400000000000006</v>
      </c>
      <c r="K85" s="392">
        <v>25.400000000000002</v>
      </c>
      <c r="L85" s="392">
        <v>30</v>
      </c>
      <c r="M85" s="392">
        <v>1</v>
      </c>
      <c r="N85" s="379">
        <v>23711</v>
      </c>
      <c r="O85" s="392"/>
      <c r="P85" s="392"/>
      <c r="S85" s="392">
        <v>100.5</v>
      </c>
      <c r="T85" s="392">
        <v>9</v>
      </c>
      <c r="U85" s="392">
        <v>38.400000000000006</v>
      </c>
      <c r="V85" s="392">
        <v>25.400000000000002</v>
      </c>
    </row>
    <row r="86" spans="1:22" ht="12.75">
      <c r="A86" s="220">
        <v>43739</v>
      </c>
      <c r="B86" s="165">
        <f>'Input - Customer Data'!D113</f>
        <v>34937472.141</v>
      </c>
      <c r="C86" s="390"/>
      <c r="D86" s="391"/>
      <c r="E86" s="391"/>
      <c r="F86" s="391"/>
      <c r="G86" s="391"/>
      <c r="H86" s="165">
        <f t="shared" si="1"/>
        <v>34937472.141</v>
      </c>
      <c r="I86" s="164"/>
      <c r="J86" s="392">
        <v>236.5</v>
      </c>
      <c r="K86" s="392">
        <v>5.1</v>
      </c>
      <c r="L86" s="392">
        <v>31</v>
      </c>
      <c r="M86" s="392">
        <v>1</v>
      </c>
      <c r="N86" s="379">
        <v>23734</v>
      </c>
      <c r="O86" s="392"/>
      <c r="P86" s="392"/>
      <c r="S86" s="392">
        <v>280.4</v>
      </c>
      <c r="T86" s="392">
        <v>1.4</v>
      </c>
      <c r="U86" s="392">
        <v>236.5</v>
      </c>
      <c r="V86" s="392">
        <v>5.1</v>
      </c>
    </row>
    <row r="87" spans="1:22" ht="12.75">
      <c r="A87" s="220">
        <v>43770</v>
      </c>
      <c r="B87" s="165">
        <f>'Input - Customer Data'!D114</f>
        <v>40083049.746</v>
      </c>
      <c r="C87" s="390"/>
      <c r="D87" s="391"/>
      <c r="E87" s="391"/>
      <c r="F87" s="391"/>
      <c r="G87" s="391"/>
      <c r="H87" s="165">
        <f t="shared" si="1"/>
        <v>40083049.746</v>
      </c>
      <c r="I87" s="164"/>
      <c r="J87" s="392">
        <v>513.3000000000001</v>
      </c>
      <c r="K87" s="392">
        <v>0</v>
      </c>
      <c r="L87" s="392">
        <v>30</v>
      </c>
      <c r="M87" s="392">
        <v>1</v>
      </c>
      <c r="N87" s="379">
        <v>23742</v>
      </c>
      <c r="O87" s="392"/>
      <c r="P87" s="392"/>
      <c r="S87" s="392">
        <v>518.9000000000001</v>
      </c>
      <c r="T87" s="392">
        <v>0</v>
      </c>
      <c r="U87" s="392">
        <v>513.3000000000001</v>
      </c>
      <c r="V87" s="392">
        <v>0</v>
      </c>
    </row>
    <row r="88" spans="1:22" ht="12.75">
      <c r="A88" s="220">
        <v>43800</v>
      </c>
      <c r="B88" s="165">
        <f>'Input - Customer Data'!D115</f>
        <v>42216027.818</v>
      </c>
      <c r="C88" s="390"/>
      <c r="D88" s="391"/>
      <c r="E88" s="391"/>
      <c r="F88" s="391"/>
      <c r="G88" s="391"/>
      <c r="H88" s="165">
        <f t="shared" si="1"/>
        <v>42216027.818</v>
      </c>
      <c r="I88" s="164"/>
      <c r="J88" s="392">
        <v>582.4</v>
      </c>
      <c r="K88" s="392">
        <v>0</v>
      </c>
      <c r="L88" s="392">
        <v>31</v>
      </c>
      <c r="M88" s="392">
        <v>0</v>
      </c>
      <c r="N88" s="379">
        <v>23774</v>
      </c>
      <c r="O88" s="392"/>
      <c r="P88" s="392"/>
      <c r="S88" s="392">
        <v>608.0000000000001</v>
      </c>
      <c r="T88" s="392">
        <v>0</v>
      </c>
      <c r="U88" s="392">
        <v>582.4</v>
      </c>
      <c r="V88" s="392">
        <v>0</v>
      </c>
    </row>
    <row r="89" spans="1:22" ht="12.75">
      <c r="A89" s="220">
        <v>43831</v>
      </c>
      <c r="B89" s="165">
        <f>'Input - Customer Data'!D116</f>
        <v>43447689.20199999</v>
      </c>
      <c r="C89" s="390"/>
      <c r="D89" s="391"/>
      <c r="E89" s="391"/>
      <c r="F89" s="391"/>
      <c r="G89" s="391"/>
      <c r="H89" s="165">
        <f t="shared" si="1"/>
        <v>43447689.20199999</v>
      </c>
      <c r="I89" s="164"/>
      <c r="J89" s="557">
        <v>605</v>
      </c>
      <c r="K89" s="557">
        <v>0</v>
      </c>
      <c r="L89" s="392">
        <v>31</v>
      </c>
      <c r="M89" s="392">
        <v>0</v>
      </c>
      <c r="N89" s="379">
        <v>23778</v>
      </c>
      <c r="O89" s="392"/>
      <c r="P89" s="392"/>
      <c r="S89" s="557">
        <v>642.1</v>
      </c>
      <c r="T89" s="557">
        <v>0</v>
      </c>
      <c r="U89" s="557">
        <v>605</v>
      </c>
      <c r="V89" s="557">
        <v>0</v>
      </c>
    </row>
    <row r="90" spans="1:22" ht="12.75">
      <c r="A90" s="220">
        <v>43862</v>
      </c>
      <c r="B90" s="165">
        <f>'Input - Customer Data'!D117</f>
        <v>41046123.789</v>
      </c>
      <c r="C90" s="390"/>
      <c r="D90" s="391"/>
      <c r="E90" s="391"/>
      <c r="F90" s="391"/>
      <c r="G90" s="391"/>
      <c r="H90" s="165">
        <f t="shared" si="1"/>
        <v>41046123.789</v>
      </c>
      <c r="I90" s="164"/>
      <c r="J90" s="557">
        <v>611.8</v>
      </c>
      <c r="K90" s="557">
        <v>0</v>
      </c>
      <c r="L90" s="392">
        <v>29</v>
      </c>
      <c r="M90" s="392">
        <v>0</v>
      </c>
      <c r="N90" s="379">
        <v>23804</v>
      </c>
      <c r="O90" s="392"/>
      <c r="P90" s="392"/>
      <c r="S90" s="557">
        <v>655.9000000000001</v>
      </c>
      <c r="T90" s="557">
        <v>0</v>
      </c>
      <c r="U90" s="557">
        <v>611.8</v>
      </c>
      <c r="V90" s="557">
        <v>0</v>
      </c>
    </row>
    <row r="91" spans="1:22" ht="12.75">
      <c r="A91" s="220">
        <v>43891</v>
      </c>
      <c r="B91" s="165">
        <f>'Input - Customer Data'!D118</f>
        <v>39146163.179</v>
      </c>
      <c r="C91" s="390"/>
      <c r="D91" s="391"/>
      <c r="E91" s="391"/>
      <c r="F91" s="391"/>
      <c r="G91" s="391"/>
      <c r="H91" s="165">
        <f t="shared" si="1"/>
        <v>39146163.179</v>
      </c>
      <c r="I91" s="164"/>
      <c r="J91" s="557">
        <v>458.69999999999993</v>
      </c>
      <c r="K91" s="557">
        <v>0</v>
      </c>
      <c r="L91" s="392">
        <v>31</v>
      </c>
      <c r="M91" s="392">
        <v>0</v>
      </c>
      <c r="N91" s="379">
        <v>23812</v>
      </c>
      <c r="O91" s="392"/>
      <c r="P91" s="392"/>
      <c r="S91" s="557">
        <v>536.0999999999999</v>
      </c>
      <c r="T91" s="557">
        <v>0</v>
      </c>
      <c r="U91" s="557">
        <v>458.69999999999993</v>
      </c>
      <c r="V91" s="557">
        <v>0</v>
      </c>
    </row>
    <row r="92" spans="1:22" ht="12.75">
      <c r="A92" s="220">
        <v>43922</v>
      </c>
      <c r="B92" s="165">
        <f>'Input - Customer Data'!D119</f>
        <v>33162781.871000007</v>
      </c>
      <c r="C92" s="390"/>
      <c r="D92" s="391"/>
      <c r="E92" s="391"/>
      <c r="F92" s="391"/>
      <c r="G92" s="391"/>
      <c r="H92" s="165">
        <f t="shared" si="1"/>
        <v>33162781.871000007</v>
      </c>
      <c r="I92" s="164"/>
      <c r="J92" s="557">
        <v>362.2999999999999</v>
      </c>
      <c r="K92" s="557">
        <v>0</v>
      </c>
      <c r="L92" s="392">
        <v>30</v>
      </c>
      <c r="M92" s="392">
        <v>1</v>
      </c>
      <c r="N92" s="379">
        <v>23826</v>
      </c>
      <c r="O92" s="392"/>
      <c r="P92" s="392"/>
      <c r="S92" s="557">
        <v>434.9000000000001</v>
      </c>
      <c r="T92" s="557">
        <v>0</v>
      </c>
      <c r="U92" s="557">
        <v>362.2999999999999</v>
      </c>
      <c r="V92" s="557">
        <v>0</v>
      </c>
    </row>
    <row r="93" spans="1:22" ht="12.75">
      <c r="A93" s="220">
        <v>43952</v>
      </c>
      <c r="B93" s="165">
        <f>'Input - Customer Data'!D120</f>
        <v>33144752.307000004</v>
      </c>
      <c r="C93" s="390"/>
      <c r="D93" s="391"/>
      <c r="E93" s="391"/>
      <c r="F93" s="391"/>
      <c r="G93" s="391"/>
      <c r="H93" s="165">
        <f t="shared" si="1"/>
        <v>33144752.307000004</v>
      </c>
      <c r="I93" s="164"/>
      <c r="J93" s="557">
        <v>208.09999999999997</v>
      </c>
      <c r="K93" s="557">
        <v>24.2</v>
      </c>
      <c r="L93" s="392">
        <v>31</v>
      </c>
      <c r="M93" s="392">
        <v>1</v>
      </c>
      <c r="N93" s="379">
        <v>23835</v>
      </c>
      <c r="O93" s="392"/>
      <c r="P93" s="392"/>
      <c r="S93" s="557">
        <v>264.2</v>
      </c>
      <c r="T93" s="557">
        <v>14.5</v>
      </c>
      <c r="U93" s="557">
        <v>208.09999999999997</v>
      </c>
      <c r="V93" s="557">
        <v>24.2</v>
      </c>
    </row>
    <row r="94" spans="1:22" ht="12.75">
      <c r="A94" s="220">
        <v>43983</v>
      </c>
      <c r="B94" s="165">
        <f>'Input - Customer Data'!D121</f>
        <v>34594857.988000005</v>
      </c>
      <c r="C94" s="390"/>
      <c r="D94" s="391"/>
      <c r="E94" s="391"/>
      <c r="F94" s="391"/>
      <c r="G94" s="391"/>
      <c r="H94" s="165">
        <f t="shared" si="1"/>
        <v>34594857.988000005</v>
      </c>
      <c r="I94" s="164"/>
      <c r="J94" s="557">
        <v>23.799999999999997</v>
      </c>
      <c r="K94" s="557">
        <v>97.70000000000002</v>
      </c>
      <c r="L94" s="392">
        <v>30</v>
      </c>
      <c r="M94" s="392">
        <v>1</v>
      </c>
      <c r="N94" s="379">
        <v>23849</v>
      </c>
      <c r="O94" s="392"/>
      <c r="P94" s="392"/>
      <c r="S94" s="557">
        <v>71</v>
      </c>
      <c r="T94" s="557">
        <v>28.6</v>
      </c>
      <c r="U94" s="557">
        <v>23.799999999999997</v>
      </c>
      <c r="V94" s="557">
        <v>97.70000000000002</v>
      </c>
    </row>
    <row r="95" spans="1:22" ht="12.75">
      <c r="A95" s="220">
        <v>44013</v>
      </c>
      <c r="B95" s="165">
        <f>'Input - Customer Data'!D122</f>
        <v>40573552.657000005</v>
      </c>
      <c r="C95" s="390"/>
      <c r="D95" s="391"/>
      <c r="E95" s="391"/>
      <c r="F95" s="391"/>
      <c r="G95" s="391"/>
      <c r="H95" s="165">
        <f t="shared" si="1"/>
        <v>40573552.657000005</v>
      </c>
      <c r="I95" s="164"/>
      <c r="J95" s="557">
        <v>0</v>
      </c>
      <c r="K95" s="557">
        <v>215.7</v>
      </c>
      <c r="L95" s="392">
        <v>31</v>
      </c>
      <c r="M95" s="392">
        <v>0</v>
      </c>
      <c r="N95" s="379">
        <v>23849</v>
      </c>
      <c r="O95" s="392"/>
      <c r="P95" s="392"/>
      <c r="S95" s="557">
        <v>4.5</v>
      </c>
      <c r="T95" s="557">
        <v>85.59999999999998</v>
      </c>
      <c r="U95" s="557">
        <v>0</v>
      </c>
      <c r="V95" s="557">
        <v>215.7</v>
      </c>
    </row>
    <row r="96" spans="1:22" ht="12.75">
      <c r="A96" s="220">
        <v>44044</v>
      </c>
      <c r="B96" s="165">
        <f>'Input - Customer Data'!D123</f>
        <v>38203279.18799999</v>
      </c>
      <c r="C96" s="390"/>
      <c r="D96" s="391"/>
      <c r="E96" s="391"/>
      <c r="F96" s="391"/>
      <c r="G96" s="391"/>
      <c r="H96" s="165">
        <f t="shared" si="1"/>
        <v>38203279.18799999</v>
      </c>
      <c r="I96" s="164"/>
      <c r="J96" s="557">
        <v>0.8</v>
      </c>
      <c r="K96" s="557">
        <v>126.69999999999999</v>
      </c>
      <c r="L96" s="392">
        <v>31</v>
      </c>
      <c r="M96" s="392">
        <v>0</v>
      </c>
      <c r="N96" s="379">
        <v>23863</v>
      </c>
      <c r="O96" s="392"/>
      <c r="P96" s="392"/>
      <c r="S96" s="557">
        <v>21.2</v>
      </c>
      <c r="T96" s="557">
        <v>41.1</v>
      </c>
      <c r="U96" s="557">
        <v>0.8</v>
      </c>
      <c r="V96" s="557">
        <v>126.69999999999999</v>
      </c>
    </row>
    <row r="97" spans="1:22" ht="12.75">
      <c r="A97" s="220">
        <v>44075</v>
      </c>
      <c r="B97" s="165">
        <f>'Input - Customer Data'!D124</f>
        <v>32819205.606000002</v>
      </c>
      <c r="C97" s="390"/>
      <c r="D97" s="391"/>
      <c r="E97" s="391"/>
      <c r="F97" s="391"/>
      <c r="G97" s="391"/>
      <c r="H97" s="165">
        <f t="shared" si="1"/>
        <v>32819205.606000002</v>
      </c>
      <c r="I97" s="164"/>
      <c r="J97" s="557">
        <v>69.10000000000001</v>
      </c>
      <c r="K97" s="557">
        <v>33.300000000000004</v>
      </c>
      <c r="L97" s="392">
        <v>30</v>
      </c>
      <c r="M97" s="392">
        <v>1</v>
      </c>
      <c r="N97" s="379">
        <v>23879</v>
      </c>
      <c r="O97" s="392"/>
      <c r="P97" s="392"/>
      <c r="S97" s="557">
        <v>137.59999999999997</v>
      </c>
      <c r="T97" s="557">
        <v>6.199999999999999</v>
      </c>
      <c r="U97" s="557">
        <v>69.10000000000001</v>
      </c>
      <c r="V97" s="557">
        <v>33.300000000000004</v>
      </c>
    </row>
    <row r="98" spans="1:22" ht="12.75">
      <c r="A98" s="220">
        <v>44105</v>
      </c>
      <c r="B98" s="165">
        <f>'Input - Customer Data'!D125</f>
        <v>35693648.401</v>
      </c>
      <c r="C98" s="390"/>
      <c r="D98" s="391"/>
      <c r="E98" s="391"/>
      <c r="F98" s="391"/>
      <c r="G98" s="391"/>
      <c r="H98" s="165">
        <f t="shared" si="1"/>
        <v>35693648.401</v>
      </c>
      <c r="I98" s="164"/>
      <c r="J98" s="557">
        <v>270.3</v>
      </c>
      <c r="K98" s="557">
        <v>0</v>
      </c>
      <c r="L98" s="392">
        <v>31</v>
      </c>
      <c r="M98" s="392">
        <v>1</v>
      </c>
      <c r="N98" s="379">
        <v>23905</v>
      </c>
      <c r="O98" s="392"/>
      <c r="P98" s="392"/>
      <c r="S98" s="557">
        <v>319.6000000000001</v>
      </c>
      <c r="T98" s="557">
        <v>0</v>
      </c>
      <c r="U98" s="557">
        <v>270.3</v>
      </c>
      <c r="V98" s="557">
        <v>0</v>
      </c>
    </row>
    <row r="99" spans="1:22" ht="12.75">
      <c r="A99" s="220">
        <v>44136</v>
      </c>
      <c r="B99" s="165">
        <f>'Input - Customer Data'!D126</f>
        <v>36622836.334</v>
      </c>
      <c r="C99" s="390"/>
      <c r="D99" s="391"/>
      <c r="E99" s="391"/>
      <c r="F99" s="391"/>
      <c r="G99" s="391"/>
      <c r="H99" s="165">
        <f t="shared" si="1"/>
        <v>36622836.334</v>
      </c>
      <c r="I99" s="164"/>
      <c r="J99" s="557">
        <v>334.79999999999995</v>
      </c>
      <c r="K99" s="557">
        <v>0</v>
      </c>
      <c r="L99" s="392">
        <v>30</v>
      </c>
      <c r="M99" s="392">
        <v>1</v>
      </c>
      <c r="N99" s="379">
        <v>23929</v>
      </c>
      <c r="O99" s="392"/>
      <c r="P99" s="392"/>
      <c r="S99" s="557">
        <v>355.40000000000003</v>
      </c>
      <c r="T99" s="557">
        <v>2.2</v>
      </c>
      <c r="U99" s="557">
        <v>334.79999999999995</v>
      </c>
      <c r="V99" s="557">
        <v>0</v>
      </c>
    </row>
    <row r="100" spans="1:22" ht="12.75">
      <c r="A100" s="220">
        <v>44166</v>
      </c>
      <c r="B100" s="165">
        <f>'Input - Customer Data'!D127</f>
        <v>42343067.589999996</v>
      </c>
      <c r="C100" s="390"/>
      <c r="D100" s="391"/>
      <c r="E100" s="391"/>
      <c r="F100" s="391"/>
      <c r="G100" s="391"/>
      <c r="H100" s="165">
        <f t="shared" si="1"/>
        <v>42343067.589999996</v>
      </c>
      <c r="I100" s="164"/>
      <c r="J100" s="557">
        <v>567.3</v>
      </c>
      <c r="K100" s="557">
        <v>0</v>
      </c>
      <c r="L100" s="392">
        <v>31</v>
      </c>
      <c r="M100" s="392">
        <v>0</v>
      </c>
      <c r="N100" s="379">
        <v>23953</v>
      </c>
      <c r="O100" s="392"/>
      <c r="P100" s="392"/>
      <c r="S100" s="557">
        <v>574.5</v>
      </c>
      <c r="T100" s="557">
        <v>0</v>
      </c>
      <c r="U100" s="557">
        <v>567.3</v>
      </c>
      <c r="V100" s="557">
        <v>0</v>
      </c>
    </row>
    <row r="101" spans="1:22" ht="12.75">
      <c r="A101" s="220">
        <v>44197</v>
      </c>
      <c r="B101" s="165">
        <f>'Input - Customer Data'!D128</f>
        <v>43527338.929699995</v>
      </c>
      <c r="C101" s="390"/>
      <c r="D101" s="391"/>
      <c r="E101" s="391"/>
      <c r="F101" s="391"/>
      <c r="G101" s="391"/>
      <c r="H101" s="165">
        <f t="shared" si="1"/>
        <v>43527338.929699995</v>
      </c>
      <c r="I101" s="164"/>
      <c r="J101" s="557">
        <v>621</v>
      </c>
      <c r="K101" s="557">
        <v>0</v>
      </c>
      <c r="L101" s="392">
        <v>31</v>
      </c>
      <c r="M101" s="392">
        <v>0</v>
      </c>
      <c r="N101" s="379">
        <v>23977</v>
      </c>
      <c r="O101" s="392"/>
      <c r="P101" s="392"/>
      <c r="S101" s="557">
        <v>675.3999999999999</v>
      </c>
      <c r="T101" s="557">
        <v>0</v>
      </c>
      <c r="U101" s="557">
        <v>605</v>
      </c>
      <c r="V101" s="557">
        <v>0</v>
      </c>
    </row>
    <row r="102" spans="1:22" ht="12.75">
      <c r="A102" s="220">
        <v>44228</v>
      </c>
      <c r="B102" s="165">
        <f>'Input - Customer Data'!D129</f>
        <v>41279330.5436</v>
      </c>
      <c r="C102" s="390"/>
      <c r="D102" s="391"/>
      <c r="E102" s="391"/>
      <c r="F102" s="391"/>
      <c r="G102" s="391"/>
      <c r="H102" s="165">
        <f t="shared" si="1"/>
        <v>41279330.5436</v>
      </c>
      <c r="I102" s="164"/>
      <c r="J102" s="557">
        <v>600.9</v>
      </c>
      <c r="K102" s="557">
        <v>0</v>
      </c>
      <c r="L102" s="392">
        <v>28</v>
      </c>
      <c r="M102" s="392">
        <v>0</v>
      </c>
      <c r="N102" s="379">
        <v>23994</v>
      </c>
      <c r="O102" s="392"/>
      <c r="P102" s="392"/>
      <c r="S102" s="557">
        <v>706.0999999999999</v>
      </c>
      <c r="T102" s="557">
        <v>0</v>
      </c>
      <c r="U102" s="557">
        <v>611.8</v>
      </c>
      <c r="V102" s="557">
        <v>0</v>
      </c>
    </row>
    <row r="103" spans="1:22" ht="12.75">
      <c r="A103" s="220">
        <v>44256</v>
      </c>
      <c r="B103" s="165">
        <f>'Input - Customer Data'!D130</f>
        <v>40171238.9648</v>
      </c>
      <c r="C103" s="390"/>
      <c r="D103" s="391"/>
      <c r="E103" s="391"/>
      <c r="F103" s="391"/>
      <c r="G103" s="391"/>
      <c r="H103" s="165">
        <f t="shared" si="1"/>
        <v>40171238.9648</v>
      </c>
      <c r="I103" s="164"/>
      <c r="J103" s="557">
        <v>460.7</v>
      </c>
      <c r="K103" s="557">
        <v>0</v>
      </c>
      <c r="L103" s="392">
        <v>31</v>
      </c>
      <c r="M103" s="392">
        <v>0</v>
      </c>
      <c r="N103" s="379">
        <v>24011</v>
      </c>
      <c r="O103" s="392"/>
      <c r="P103" s="392"/>
      <c r="S103" s="557">
        <v>505.4</v>
      </c>
      <c r="T103" s="557">
        <v>0</v>
      </c>
      <c r="U103" s="557">
        <v>458.69999999999993</v>
      </c>
      <c r="V103" s="557">
        <v>0</v>
      </c>
    </row>
    <row r="104" spans="1:22" ht="12.75">
      <c r="A104" s="220">
        <v>44287</v>
      </c>
      <c r="B104" s="165">
        <f>'Input - Customer Data'!D131</f>
        <v>34273201.967099994</v>
      </c>
      <c r="C104" s="390"/>
      <c r="D104" s="391"/>
      <c r="E104" s="391"/>
      <c r="F104" s="391"/>
      <c r="G104" s="391"/>
      <c r="H104" s="165">
        <f t="shared" si="1"/>
        <v>34273201.967099994</v>
      </c>
      <c r="I104" s="164"/>
      <c r="J104" s="557">
        <v>302.4</v>
      </c>
      <c r="K104" s="557">
        <v>0</v>
      </c>
      <c r="L104" s="392">
        <v>30</v>
      </c>
      <c r="M104" s="392">
        <v>1</v>
      </c>
      <c r="N104" s="379">
        <v>24032</v>
      </c>
      <c r="O104" s="392"/>
      <c r="P104" s="392"/>
      <c r="S104" s="557">
        <v>352.29999999999995</v>
      </c>
      <c r="T104" s="557">
        <v>0</v>
      </c>
      <c r="U104" s="557">
        <v>362.2999999999999</v>
      </c>
      <c r="V104" s="557">
        <v>0</v>
      </c>
    </row>
    <row r="105" spans="1:22" ht="12.75">
      <c r="A105" s="220">
        <v>44317</v>
      </c>
      <c r="B105" s="165">
        <f>'Input - Customer Data'!D132</f>
        <v>33543165.898700003</v>
      </c>
      <c r="C105" s="390"/>
      <c r="D105" s="391"/>
      <c r="E105" s="391"/>
      <c r="F105" s="391"/>
      <c r="G105" s="391"/>
      <c r="H105" s="165">
        <f t="shared" si="1"/>
        <v>33543165.898700003</v>
      </c>
      <c r="I105" s="164"/>
      <c r="J105" s="557">
        <v>164.2</v>
      </c>
      <c r="K105" s="557">
        <v>27.9</v>
      </c>
      <c r="L105" s="392">
        <v>31</v>
      </c>
      <c r="M105" s="392">
        <v>1</v>
      </c>
      <c r="N105" s="379">
        <v>24037</v>
      </c>
      <c r="O105" s="392"/>
      <c r="P105" s="392"/>
      <c r="S105" s="557">
        <v>236.3</v>
      </c>
      <c r="T105" s="557">
        <v>13.8</v>
      </c>
      <c r="U105" s="557">
        <v>208.09999999999997</v>
      </c>
      <c r="V105" s="557">
        <v>24.2</v>
      </c>
    </row>
    <row r="106" spans="1:22" ht="12.75">
      <c r="A106" s="220">
        <v>44348</v>
      </c>
      <c r="B106" s="165">
        <f>'Input - Customer Data'!D133</f>
        <v>37512786.45989999</v>
      </c>
      <c r="C106" s="390"/>
      <c r="D106" s="391"/>
      <c r="E106" s="391"/>
      <c r="F106" s="391"/>
      <c r="G106" s="391"/>
      <c r="H106" s="165">
        <f t="shared" si="1"/>
        <v>37512786.45989999</v>
      </c>
      <c r="I106" s="164"/>
      <c r="J106" s="557">
        <v>7</v>
      </c>
      <c r="K106" s="557">
        <v>122</v>
      </c>
      <c r="L106" s="392">
        <v>30</v>
      </c>
      <c r="M106" s="392">
        <v>1</v>
      </c>
      <c r="N106" s="379">
        <v>24076</v>
      </c>
      <c r="O106" s="392"/>
      <c r="P106" s="392"/>
      <c r="S106" s="557">
        <v>37.9</v>
      </c>
      <c r="T106" s="557">
        <v>46.900000000000006</v>
      </c>
      <c r="U106" s="557">
        <v>23.799999999999997</v>
      </c>
      <c r="V106" s="557">
        <v>97.70000000000002</v>
      </c>
    </row>
    <row r="107" spans="1:22" ht="12.75">
      <c r="A107" s="220">
        <v>44378</v>
      </c>
      <c r="B107" s="165">
        <f>'Input - Customer Data'!D134</f>
        <v>38597541.411</v>
      </c>
      <c r="C107" s="390"/>
      <c r="D107" s="391"/>
      <c r="E107" s="391"/>
      <c r="F107" s="391"/>
      <c r="G107" s="391"/>
      <c r="H107" s="165">
        <f t="shared" si="1"/>
        <v>38597541.411</v>
      </c>
      <c r="I107" s="164"/>
      <c r="J107" s="557">
        <v>4.4</v>
      </c>
      <c r="K107" s="557">
        <v>101.7</v>
      </c>
      <c r="L107" s="392">
        <v>31</v>
      </c>
      <c r="M107" s="392">
        <v>0</v>
      </c>
      <c r="N107" s="379">
        <v>24079</v>
      </c>
      <c r="O107" s="392"/>
      <c r="P107" s="392"/>
      <c r="S107" s="557">
        <v>31.3</v>
      </c>
      <c r="T107" s="557">
        <v>32.4</v>
      </c>
      <c r="U107" s="557">
        <v>0</v>
      </c>
      <c r="V107" s="557">
        <v>215.7</v>
      </c>
    </row>
    <row r="108" spans="1:22" ht="12.75">
      <c r="A108" s="220">
        <v>44409</v>
      </c>
      <c r="B108" s="165">
        <f>'Input - Customer Data'!D135</f>
        <v>40059213.5992</v>
      </c>
      <c r="C108" s="390"/>
      <c r="D108" s="391"/>
      <c r="E108" s="391"/>
      <c r="F108" s="391"/>
      <c r="G108" s="556"/>
      <c r="H108" s="165">
        <f t="shared" si="1"/>
        <v>40059213.5992</v>
      </c>
      <c r="I108" s="164"/>
      <c r="J108" s="557">
        <v>0</v>
      </c>
      <c r="K108" s="557">
        <v>178.5</v>
      </c>
      <c r="L108" s="392">
        <v>31</v>
      </c>
      <c r="M108" s="392">
        <v>0</v>
      </c>
      <c r="N108" s="379">
        <v>24109</v>
      </c>
      <c r="O108" s="392"/>
      <c r="P108" s="392"/>
      <c r="S108" s="557">
        <v>11.7</v>
      </c>
      <c r="T108" s="557">
        <v>86.69999999999999</v>
      </c>
      <c r="U108" s="557">
        <v>0.8</v>
      </c>
      <c r="V108" s="557">
        <v>126.69999999999999</v>
      </c>
    </row>
    <row r="109" spans="1:22" ht="12.75">
      <c r="A109" s="220">
        <v>44440</v>
      </c>
      <c r="B109" s="165">
        <f>'Input - Customer Data'!D136</f>
        <v>34178604.9412</v>
      </c>
      <c r="C109" s="390"/>
      <c r="D109" s="391"/>
      <c r="E109" s="391"/>
      <c r="F109" s="391"/>
      <c r="G109" s="391"/>
      <c r="H109" s="165">
        <f t="shared" si="1"/>
        <v>34178604.9412</v>
      </c>
      <c r="I109" s="164"/>
      <c r="J109" s="557">
        <v>35.6</v>
      </c>
      <c r="K109" s="557">
        <v>24.9</v>
      </c>
      <c r="L109" s="392">
        <v>30</v>
      </c>
      <c r="M109" s="392">
        <v>1</v>
      </c>
      <c r="N109" s="379">
        <v>24136</v>
      </c>
      <c r="O109" s="392"/>
      <c r="P109" s="392"/>
      <c r="S109" s="557">
        <v>96.2</v>
      </c>
      <c r="T109" s="557">
        <v>4.7</v>
      </c>
      <c r="U109" s="557">
        <v>69.10000000000001</v>
      </c>
      <c r="V109" s="557">
        <v>33.300000000000004</v>
      </c>
    </row>
    <row r="110" spans="1:22" ht="12.75">
      <c r="A110" s="220">
        <v>44470</v>
      </c>
      <c r="B110" s="165">
        <f>'Input - Customer Data'!D137</f>
        <v>34477682.714700006</v>
      </c>
      <c r="C110" s="390"/>
      <c r="D110" s="391"/>
      <c r="E110" s="391"/>
      <c r="F110" s="391"/>
      <c r="G110" s="391"/>
      <c r="H110" s="165">
        <f t="shared" si="1"/>
        <v>34477682.714700006</v>
      </c>
      <c r="I110" s="164"/>
      <c r="J110" s="557">
        <v>145.2</v>
      </c>
      <c r="K110" s="557">
        <v>5.6</v>
      </c>
      <c r="L110" s="392">
        <v>31</v>
      </c>
      <c r="M110" s="392">
        <v>1</v>
      </c>
      <c r="N110" s="379">
        <v>24150</v>
      </c>
      <c r="O110" s="392"/>
      <c r="P110" s="392"/>
      <c r="S110" s="557">
        <v>179.89999999999998</v>
      </c>
      <c r="T110" s="557">
        <v>5.6</v>
      </c>
      <c r="U110" s="557">
        <v>270.3</v>
      </c>
      <c r="V110" s="557">
        <v>0</v>
      </c>
    </row>
    <row r="111" spans="1:22" ht="12.75">
      <c r="A111" s="220">
        <v>44501</v>
      </c>
      <c r="B111" s="165">
        <f>'Input - Customer Data'!D138</f>
        <v>38088839.1656</v>
      </c>
      <c r="C111" s="390"/>
      <c r="D111" s="391"/>
      <c r="E111" s="391"/>
      <c r="F111" s="391"/>
      <c r="G111" s="391"/>
      <c r="H111" s="165">
        <f t="shared" si="1"/>
        <v>38088839.1656</v>
      </c>
      <c r="I111" s="164"/>
      <c r="J111" s="557">
        <v>413.7</v>
      </c>
      <c r="K111" s="557">
        <v>0</v>
      </c>
      <c r="L111" s="392">
        <v>30</v>
      </c>
      <c r="M111" s="392">
        <v>1</v>
      </c>
      <c r="N111" s="379">
        <v>24191</v>
      </c>
      <c r="O111" s="392"/>
      <c r="P111" s="392"/>
      <c r="S111" s="557">
        <v>459.7</v>
      </c>
      <c r="T111" s="557">
        <v>0</v>
      </c>
      <c r="U111" s="557">
        <v>334.79999999999995</v>
      </c>
      <c r="V111" s="557">
        <v>0</v>
      </c>
    </row>
    <row r="112" spans="1:22" ht="12.75">
      <c r="A112" s="220">
        <v>44531</v>
      </c>
      <c r="B112" s="165">
        <f>'Input - Customer Data'!D139</f>
        <v>41741160.11999999</v>
      </c>
      <c r="C112" s="390"/>
      <c r="D112" s="391"/>
      <c r="E112" s="391"/>
      <c r="F112" s="391"/>
      <c r="G112" s="391"/>
      <c r="H112" s="165">
        <f t="shared" si="1"/>
        <v>41741160.11999999</v>
      </c>
      <c r="I112" s="164"/>
      <c r="J112" s="557">
        <v>445.8</v>
      </c>
      <c r="K112" s="557">
        <v>0</v>
      </c>
      <c r="L112" s="392">
        <v>31</v>
      </c>
      <c r="M112" s="392">
        <v>0</v>
      </c>
      <c r="N112" s="379">
        <v>24202</v>
      </c>
      <c r="O112" s="392"/>
      <c r="P112" s="392"/>
      <c r="S112" s="557">
        <v>560.1</v>
      </c>
      <c r="T112" s="557">
        <v>0</v>
      </c>
      <c r="U112" s="557">
        <v>567.3</v>
      </c>
      <c r="V112" s="557">
        <v>0</v>
      </c>
    </row>
    <row r="113" spans="1:22" ht="12.75">
      <c r="A113" s="220">
        <v>44562</v>
      </c>
      <c r="B113" s="165">
        <f>'Input - Customer Data'!D140</f>
        <v>47203417.384799995</v>
      </c>
      <c r="C113" s="390"/>
      <c r="D113" s="391"/>
      <c r="E113" s="391"/>
      <c r="F113" s="391"/>
      <c r="G113" s="391"/>
      <c r="H113" s="165">
        <f t="shared" si="1"/>
        <v>47203417.384799995</v>
      </c>
      <c r="I113" s="164"/>
      <c r="J113" s="557">
        <v>737.1</v>
      </c>
      <c r="K113" s="557">
        <v>0</v>
      </c>
      <c r="L113" s="392">
        <v>31</v>
      </c>
      <c r="M113" s="392">
        <v>0</v>
      </c>
      <c r="N113" s="379">
        <v>24243</v>
      </c>
      <c r="O113" s="392"/>
      <c r="P113" s="392"/>
      <c r="S113" s="557">
        <v>856.7000000000002</v>
      </c>
      <c r="T113" s="557">
        <v>0</v>
      </c>
      <c r="U113" s="557">
        <v>737.1</v>
      </c>
      <c r="V113" s="557">
        <v>0</v>
      </c>
    </row>
    <row r="114" spans="1:22" ht="12.75">
      <c r="A114" s="220">
        <v>44593</v>
      </c>
      <c r="B114" s="165">
        <f>'Input - Customer Data'!D141</f>
        <v>41797636.53990001</v>
      </c>
      <c r="C114" s="390"/>
      <c r="D114" s="391"/>
      <c r="E114" s="391"/>
      <c r="F114" s="391"/>
      <c r="G114" s="391"/>
      <c r="H114" s="165">
        <f t="shared" si="1"/>
        <v>41797636.53990001</v>
      </c>
      <c r="I114" s="164"/>
      <c r="J114" s="557">
        <v>585.0999999999999</v>
      </c>
      <c r="K114" s="557">
        <v>0</v>
      </c>
      <c r="L114" s="392">
        <v>28</v>
      </c>
      <c r="M114" s="392">
        <v>0</v>
      </c>
      <c r="N114" s="379">
        <v>24248</v>
      </c>
      <c r="O114" s="392"/>
      <c r="P114" s="392"/>
      <c r="S114" s="557">
        <v>707.5999999999998</v>
      </c>
      <c r="T114" s="557">
        <v>0</v>
      </c>
      <c r="U114" s="557">
        <v>585.0999999999999</v>
      </c>
      <c r="V114" s="557">
        <v>0</v>
      </c>
    </row>
    <row r="115" spans="1:22" ht="12.75">
      <c r="A115" s="220">
        <v>44621</v>
      </c>
      <c r="B115" s="165">
        <f>'Input - Customer Data'!D142</f>
        <v>42551682.3739</v>
      </c>
      <c r="C115" s="390"/>
      <c r="D115" s="391"/>
      <c r="E115" s="391"/>
      <c r="F115" s="391"/>
      <c r="G115" s="391"/>
      <c r="H115" s="165">
        <f t="shared" si="1"/>
        <v>42551682.3739</v>
      </c>
      <c r="I115" s="164"/>
      <c r="J115" s="557">
        <v>523.9000000000001</v>
      </c>
      <c r="K115" s="557">
        <v>0</v>
      </c>
      <c r="L115" s="392">
        <v>31</v>
      </c>
      <c r="M115" s="392">
        <v>0</v>
      </c>
      <c r="N115" s="379">
        <v>24262</v>
      </c>
      <c r="O115" s="392"/>
      <c r="P115" s="392"/>
      <c r="S115" s="557">
        <v>592.4</v>
      </c>
      <c r="T115" s="557">
        <v>0</v>
      </c>
      <c r="U115" s="557">
        <v>523.9000000000001</v>
      </c>
      <c r="V115" s="557">
        <v>0</v>
      </c>
    </row>
    <row r="116" spans="1:22" ht="12.75">
      <c r="A116" s="220">
        <v>44652</v>
      </c>
      <c r="B116" s="165">
        <f>'Input - Customer Data'!D143</f>
        <v>36094613.055</v>
      </c>
      <c r="C116" s="390"/>
      <c r="D116" s="391"/>
      <c r="E116" s="391"/>
      <c r="F116" s="391"/>
      <c r="G116" s="391"/>
      <c r="H116" s="165">
        <f t="shared" si="1"/>
        <v>36094613.055</v>
      </c>
      <c r="I116" s="164"/>
      <c r="J116" s="557">
        <v>327.9</v>
      </c>
      <c r="K116" s="557">
        <v>0</v>
      </c>
      <c r="L116" s="392">
        <v>30</v>
      </c>
      <c r="M116" s="392">
        <v>1</v>
      </c>
      <c r="N116" s="379">
        <v>24272</v>
      </c>
      <c r="O116" s="392"/>
      <c r="P116" s="392"/>
      <c r="S116" s="557">
        <v>402.2999999999999</v>
      </c>
      <c r="T116" s="557">
        <v>0</v>
      </c>
      <c r="U116" s="557">
        <v>327.9</v>
      </c>
      <c r="V116" s="557">
        <v>0</v>
      </c>
    </row>
    <row r="117" spans="1:22" ht="12.75">
      <c r="A117" s="220">
        <v>44682</v>
      </c>
      <c r="B117" s="165">
        <f>'Input - Customer Data'!D144</f>
        <v>34287485.0159</v>
      </c>
      <c r="C117" s="390"/>
      <c r="D117" s="391"/>
      <c r="E117" s="391"/>
      <c r="F117" s="391"/>
      <c r="G117" s="391"/>
      <c r="H117" s="165">
        <f t="shared" si="1"/>
        <v>34287485.0159</v>
      </c>
      <c r="I117" s="164"/>
      <c r="J117" s="557">
        <v>98.19999999999997</v>
      </c>
      <c r="K117" s="557">
        <v>34.6</v>
      </c>
      <c r="L117" s="392">
        <v>31</v>
      </c>
      <c r="M117" s="392">
        <v>1</v>
      </c>
      <c r="N117" s="379">
        <v>24275</v>
      </c>
      <c r="O117" s="392"/>
      <c r="P117" s="392"/>
      <c r="S117" s="557">
        <v>151.9</v>
      </c>
      <c r="T117" s="557">
        <v>19.6</v>
      </c>
      <c r="U117" s="557">
        <v>98.19999999999997</v>
      </c>
      <c r="V117" s="557">
        <v>34.6</v>
      </c>
    </row>
    <row r="118" spans="1:22" ht="12.75">
      <c r="A118" s="220">
        <v>44713</v>
      </c>
      <c r="B118" s="165">
        <f>'Input - Customer Data'!D145</f>
        <v>34727203.90410001</v>
      </c>
      <c r="C118" s="390"/>
      <c r="D118" s="391"/>
      <c r="E118" s="391"/>
      <c r="F118" s="391"/>
      <c r="G118" s="391"/>
      <c r="H118" s="165">
        <f t="shared" si="1"/>
        <v>34727203.90410001</v>
      </c>
      <c r="I118" s="164"/>
      <c r="J118" s="557">
        <v>17.699999999999996</v>
      </c>
      <c r="K118" s="557">
        <v>64.2</v>
      </c>
      <c r="L118" s="392">
        <v>30</v>
      </c>
      <c r="M118" s="392">
        <v>1</v>
      </c>
      <c r="N118" s="379">
        <v>24289</v>
      </c>
      <c r="O118" s="392"/>
      <c r="P118" s="392"/>
      <c r="S118" s="557">
        <v>92.29999999999998</v>
      </c>
      <c r="T118" s="557">
        <v>19.000000000000004</v>
      </c>
      <c r="U118" s="557">
        <v>17.699999999999996</v>
      </c>
      <c r="V118" s="557">
        <v>64.2</v>
      </c>
    </row>
    <row r="119" spans="1:22" ht="12.75">
      <c r="A119" s="220">
        <v>44743</v>
      </c>
      <c r="B119" s="165">
        <f>'Input - Customer Data'!D146</f>
        <v>36965339.7436</v>
      </c>
      <c r="C119" s="390"/>
      <c r="D119" s="391"/>
      <c r="E119" s="391"/>
      <c r="F119" s="391"/>
      <c r="G119" s="391"/>
      <c r="H119" s="165">
        <f t="shared" si="1"/>
        <v>36965339.7436</v>
      </c>
      <c r="I119" s="164"/>
      <c r="J119" s="557">
        <v>0</v>
      </c>
      <c r="K119" s="557">
        <v>144.69999999999996</v>
      </c>
      <c r="L119" s="392">
        <v>31</v>
      </c>
      <c r="M119" s="392">
        <v>0</v>
      </c>
      <c r="N119" s="379">
        <v>24329</v>
      </c>
      <c r="O119" s="392"/>
      <c r="P119" s="392"/>
      <c r="S119" s="557">
        <v>37.699999999999996</v>
      </c>
      <c r="T119" s="557">
        <v>39.2</v>
      </c>
      <c r="U119" s="557">
        <v>0</v>
      </c>
      <c r="V119" s="557">
        <v>144.69999999999996</v>
      </c>
    </row>
    <row r="120" spans="1:22" ht="12.75">
      <c r="A120" s="220">
        <v>44774</v>
      </c>
      <c r="B120" s="165">
        <f>'Input - Customer Data'!D147</f>
        <v>38942955.5937</v>
      </c>
      <c r="C120" s="390"/>
      <c r="D120" s="391"/>
      <c r="E120" s="391"/>
      <c r="F120" s="391"/>
      <c r="G120" s="391"/>
      <c r="H120" s="165">
        <f t="shared" si="1"/>
        <v>38942955.5937</v>
      </c>
      <c r="I120" s="164"/>
      <c r="J120" s="557">
        <v>0</v>
      </c>
      <c r="K120" s="557">
        <v>140.49999999999997</v>
      </c>
      <c r="L120" s="392">
        <v>31</v>
      </c>
      <c r="M120" s="392">
        <v>0</v>
      </c>
      <c r="N120" s="379">
        <v>24533</v>
      </c>
      <c r="O120" s="392"/>
      <c r="P120" s="392"/>
      <c r="S120" s="557">
        <v>15.1</v>
      </c>
      <c r="T120" s="557">
        <v>44.09999999999999</v>
      </c>
      <c r="U120" s="557">
        <v>0</v>
      </c>
      <c r="V120" s="557">
        <v>140.49999999999997</v>
      </c>
    </row>
    <row r="121" spans="1:22" ht="12.75">
      <c r="A121" s="220">
        <v>44805</v>
      </c>
      <c r="B121" s="165">
        <f>'Input - Customer Data'!D148</f>
        <v>34315274.0672</v>
      </c>
      <c r="C121" s="390"/>
      <c r="D121" s="391"/>
      <c r="E121" s="391"/>
      <c r="F121" s="391"/>
      <c r="G121" s="391"/>
      <c r="H121" s="165">
        <f t="shared" si="1"/>
        <v>34315274.0672</v>
      </c>
      <c r="I121" s="164"/>
      <c r="J121" s="557">
        <v>52.3</v>
      </c>
      <c r="K121" s="557">
        <v>46.1</v>
      </c>
      <c r="L121" s="392">
        <v>30</v>
      </c>
      <c r="M121" s="392">
        <v>1</v>
      </c>
      <c r="N121" s="379">
        <v>24361</v>
      </c>
      <c r="O121" s="392"/>
      <c r="P121" s="392"/>
      <c r="S121" s="557">
        <v>102.10000000000001</v>
      </c>
      <c r="T121" s="557">
        <v>22.799999999999997</v>
      </c>
      <c r="U121" s="557">
        <v>52.3</v>
      </c>
      <c r="V121" s="557">
        <v>46.1</v>
      </c>
    </row>
    <row r="122" spans="1:22" ht="12.75">
      <c r="A122" s="220">
        <v>44835</v>
      </c>
      <c r="B122" s="165">
        <f>'Input - Customer Data'!D149</f>
        <v>34341915.194199994</v>
      </c>
      <c r="C122" s="390"/>
      <c r="D122" s="391"/>
      <c r="E122" s="391"/>
      <c r="F122" s="391"/>
      <c r="G122" s="391"/>
      <c r="H122" s="165">
        <f t="shared" si="1"/>
        <v>34341915.194199994</v>
      </c>
      <c r="I122" s="164"/>
      <c r="J122" s="557">
        <v>236.70000000000002</v>
      </c>
      <c r="K122" s="557">
        <v>0.2</v>
      </c>
      <c r="L122" s="392">
        <v>31</v>
      </c>
      <c r="M122" s="392">
        <v>1</v>
      </c>
      <c r="N122" s="379">
        <v>24381</v>
      </c>
      <c r="O122" s="392"/>
      <c r="P122" s="392"/>
      <c r="S122" s="557">
        <v>268.79999999999995</v>
      </c>
      <c r="T122" s="557">
        <v>0.1</v>
      </c>
      <c r="U122" s="557">
        <v>236.70000000000002</v>
      </c>
      <c r="V122" s="557">
        <v>0.2</v>
      </c>
    </row>
    <row r="123" spans="1:22" ht="12.75">
      <c r="A123" s="220">
        <v>44866</v>
      </c>
      <c r="B123" s="165">
        <f>'Input - Customer Data'!D150</f>
        <v>37142391.188200004</v>
      </c>
      <c r="C123" s="390"/>
      <c r="D123" s="391"/>
      <c r="E123" s="391"/>
      <c r="F123" s="391"/>
      <c r="G123" s="391"/>
      <c r="H123" s="165">
        <f t="shared" si="1"/>
        <v>37142391.188200004</v>
      </c>
      <c r="I123" s="164"/>
      <c r="J123" s="557">
        <v>380.09999999999997</v>
      </c>
      <c r="K123" s="557">
        <v>0.9</v>
      </c>
      <c r="L123" s="392">
        <v>30</v>
      </c>
      <c r="M123" s="392">
        <v>1</v>
      </c>
      <c r="N123" s="379">
        <v>24402</v>
      </c>
      <c r="O123" s="392"/>
      <c r="P123" s="392"/>
      <c r="S123" s="557">
        <v>409.29999999999995</v>
      </c>
      <c r="T123" s="557">
        <v>0.1</v>
      </c>
      <c r="U123" s="557">
        <v>380.09999999999997</v>
      </c>
      <c r="V123" s="557">
        <v>0.9</v>
      </c>
    </row>
    <row r="124" spans="1:22" ht="12.75">
      <c r="A124" s="220">
        <v>44896</v>
      </c>
      <c r="B124" s="165">
        <f>'Input - Customer Data'!D151</f>
        <v>42267056.1342</v>
      </c>
      <c r="C124" s="390"/>
      <c r="D124" s="391"/>
      <c r="E124" s="391"/>
      <c r="F124" s="391"/>
      <c r="G124" s="391"/>
      <c r="H124" s="165">
        <f t="shared" si="1"/>
        <v>42267056.1342</v>
      </c>
      <c r="I124" s="164"/>
      <c r="J124" s="557">
        <v>543.9999999999999</v>
      </c>
      <c r="K124" s="557">
        <v>0</v>
      </c>
      <c r="L124" s="392">
        <v>31</v>
      </c>
      <c r="M124" s="392">
        <v>0</v>
      </c>
      <c r="N124" s="379">
        <v>24429</v>
      </c>
      <c r="O124" s="392"/>
      <c r="P124" s="392"/>
      <c r="S124" s="557">
        <v>584.6</v>
      </c>
      <c r="T124" s="557">
        <v>0</v>
      </c>
      <c r="U124" s="557">
        <v>543.9999999999999</v>
      </c>
      <c r="V124" s="557">
        <v>0</v>
      </c>
    </row>
    <row r="127" spans="1:16" ht="12.75">
      <c r="A127" s="393" t="s">
        <v>165</v>
      </c>
      <c r="B127" s="394"/>
      <c r="C127" s="395"/>
      <c r="D127" s="395"/>
      <c r="E127" s="395"/>
      <c r="F127" s="395"/>
      <c r="G127" s="395"/>
      <c r="H127" s="394"/>
      <c r="I127" s="396"/>
      <c r="J127" s="394"/>
      <c r="K127" s="394"/>
      <c r="L127" s="394"/>
      <c r="M127" s="394"/>
      <c r="N127" s="394"/>
      <c r="O127" s="394"/>
      <c r="P127" s="394"/>
    </row>
    <row r="128" spans="1:16" ht="12.75">
      <c r="A128" s="397" t="s">
        <v>242</v>
      </c>
      <c r="B128" s="394"/>
      <c r="C128" s="395"/>
      <c r="D128" s="395"/>
      <c r="E128" s="395"/>
      <c r="F128" s="395"/>
      <c r="G128" s="395"/>
      <c r="H128" s="394"/>
      <c r="I128" s="396"/>
      <c r="J128" s="394"/>
      <c r="K128" s="394"/>
      <c r="L128" s="394"/>
      <c r="M128" s="394"/>
      <c r="N128" s="394"/>
      <c r="O128" s="394"/>
      <c r="P128" s="394"/>
    </row>
    <row r="129" spans="1:16" ht="12.75">
      <c r="A129" s="397" t="s">
        <v>243</v>
      </c>
      <c r="B129" s="394"/>
      <c r="C129" s="395"/>
      <c r="D129" s="395"/>
      <c r="E129" s="395"/>
      <c r="F129" s="395"/>
      <c r="G129" s="395"/>
      <c r="H129" s="394"/>
      <c r="I129" s="396"/>
      <c r="J129" s="394"/>
      <c r="K129" s="394"/>
      <c r="L129" s="394"/>
      <c r="M129" s="394"/>
      <c r="N129" s="394"/>
      <c r="O129" s="394"/>
      <c r="P129" s="394"/>
    </row>
    <row r="130" spans="1:16" ht="12.75">
      <c r="A130" s="397" t="s">
        <v>179</v>
      </c>
      <c r="B130" s="394"/>
      <c r="C130" s="395"/>
      <c r="D130" s="395"/>
      <c r="E130" s="395"/>
      <c r="F130" s="395"/>
      <c r="G130" s="395"/>
      <c r="H130" s="394"/>
      <c r="I130" s="396"/>
      <c r="J130" s="394"/>
      <c r="K130" s="394"/>
      <c r="L130" s="394"/>
      <c r="M130" s="394"/>
      <c r="N130" s="394"/>
      <c r="O130" s="394"/>
      <c r="P130" s="394"/>
    </row>
    <row r="131" spans="1:16" ht="12.75">
      <c r="A131" s="397" t="s">
        <v>180</v>
      </c>
      <c r="B131" s="394"/>
      <c r="C131" s="395"/>
      <c r="D131" s="395"/>
      <c r="E131" s="395"/>
      <c r="F131" s="395"/>
      <c r="G131" s="395"/>
      <c r="H131" s="394"/>
      <c r="I131" s="396"/>
      <c r="J131" s="394"/>
      <c r="K131" s="394"/>
      <c r="L131" s="394"/>
      <c r="M131" s="394"/>
      <c r="N131" s="394"/>
      <c r="O131" s="394"/>
      <c r="P131" s="394"/>
    </row>
    <row r="132" spans="1:16" ht="12.75">
      <c r="A132" s="397" t="s">
        <v>181</v>
      </c>
      <c r="B132" s="394"/>
      <c r="C132" s="395"/>
      <c r="D132" s="395"/>
      <c r="E132" s="395"/>
      <c r="F132" s="395"/>
      <c r="G132" s="395"/>
      <c r="H132" s="394"/>
      <c r="I132" s="396"/>
      <c r="J132" s="394"/>
      <c r="K132" s="394"/>
      <c r="L132" s="394"/>
      <c r="M132" s="394"/>
      <c r="N132" s="394"/>
      <c r="O132" s="394"/>
      <c r="P132" s="394"/>
    </row>
    <row r="133" spans="1:16" ht="12.75">
      <c r="A133" s="397" t="s">
        <v>166</v>
      </c>
      <c r="B133" s="394"/>
      <c r="C133" s="395"/>
      <c r="D133" s="395"/>
      <c r="E133" s="395"/>
      <c r="F133" s="395"/>
      <c r="G133" s="395"/>
      <c r="H133" s="394"/>
      <c r="I133" s="396"/>
      <c r="J133" s="394"/>
      <c r="K133" s="394"/>
      <c r="L133" s="394"/>
      <c r="M133" s="394"/>
      <c r="N133" s="394"/>
      <c r="O133" s="394"/>
      <c r="P133" s="394"/>
    </row>
    <row r="134" spans="1:16" ht="12.75">
      <c r="A134" s="397"/>
      <c r="B134" s="394"/>
      <c r="C134" s="395"/>
      <c r="D134" s="395"/>
      <c r="E134" s="395"/>
      <c r="F134" s="395"/>
      <c r="G134" s="395"/>
      <c r="H134" s="394"/>
      <c r="I134" s="396"/>
      <c r="J134" s="394"/>
      <c r="K134" s="394"/>
      <c r="L134" s="394"/>
      <c r="M134" s="394"/>
      <c r="N134" s="394"/>
      <c r="O134" s="394"/>
      <c r="P134" s="394"/>
    </row>
    <row r="135" spans="1:16" ht="12.75">
      <c r="A135" s="397"/>
      <c r="B135" s="394"/>
      <c r="C135" s="395"/>
      <c r="D135" s="395"/>
      <c r="E135" s="395"/>
      <c r="F135" s="395"/>
      <c r="G135" s="395"/>
      <c r="H135" s="394"/>
      <c r="I135" s="396"/>
      <c r="J135" s="394"/>
      <c r="K135" s="394"/>
      <c r="L135" s="394"/>
      <c r="M135" s="394"/>
      <c r="N135" s="394"/>
      <c r="O135" s="394"/>
      <c r="P135" s="394"/>
    </row>
    <row r="136" spans="1:16" ht="12.75">
      <c r="A136" s="337"/>
      <c r="B136" s="314"/>
      <c r="C136" s="338"/>
      <c r="D136" s="338"/>
      <c r="E136" s="338"/>
      <c r="F136" s="338"/>
      <c r="G136" s="338"/>
      <c r="H136" s="314"/>
      <c r="J136" s="314"/>
      <c r="K136" s="314"/>
      <c r="L136" s="314"/>
      <c r="M136" s="314"/>
      <c r="N136" s="314"/>
      <c r="O136" s="314"/>
      <c r="P136" s="314"/>
    </row>
  </sheetData>
  <sheetProtection/>
  <mergeCells count="2">
    <mergeCell ref="J3:P3"/>
    <mergeCell ref="A3:H3"/>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2">
    <tabColor rgb="FFFF0000"/>
  </sheetPr>
  <dimension ref="A1:AY1366"/>
  <sheetViews>
    <sheetView showGridLines="0" tabSelected="1" zoomScalePageLayoutView="0" workbookViewId="0" topLeftCell="A1">
      <pane xSplit="1" ySplit="4" topLeftCell="B5" activePane="bottomRight" state="frozen"/>
      <selection pane="topLeft" activeCell="D237" sqref="D237"/>
      <selection pane="topRight" activeCell="D237" sqref="D237"/>
      <selection pane="bottomLeft" activeCell="D237" sqref="D237"/>
      <selection pane="bottomRight" activeCell="K23" sqref="K23"/>
    </sheetView>
  </sheetViews>
  <sheetFormatPr defaultColWidth="9.33203125" defaultRowHeight="12.75"/>
  <cols>
    <col min="1" max="1" width="16.33203125" style="2" customWidth="1"/>
    <col min="2" max="3" width="12.83203125" style="2" customWidth="1"/>
    <col min="4" max="4" width="15.5" style="2" bestFit="1" customWidth="1"/>
    <col min="5" max="51" width="12.83203125" style="2" customWidth="1"/>
    <col min="52" max="16384" width="9.33203125" style="2" customWidth="1"/>
  </cols>
  <sheetData>
    <row r="1" spans="3:48" ht="15" customHeight="1" thickBot="1">
      <c r="C1" s="705" t="s">
        <v>42</v>
      </c>
      <c r="D1" s="33"/>
      <c r="E1" s="34" t="s">
        <v>43</v>
      </c>
      <c r="F1" s="31">
        <v>0</v>
      </c>
      <c r="J1" s="35"/>
      <c r="K1" s="35"/>
      <c r="L1" s="35"/>
      <c r="M1" s="35"/>
      <c r="N1" s="35"/>
      <c r="O1" s="35"/>
      <c r="P1" s="35"/>
      <c r="R1" s="38">
        <v>0</v>
      </c>
      <c r="AS1" s="137"/>
      <c r="AT1" s="138"/>
      <c r="AU1" s="139" t="s">
        <v>47</v>
      </c>
      <c r="AV1" s="140">
        <v>10</v>
      </c>
    </row>
    <row r="2" spans="3:16" ht="15" customHeight="1" thickBot="1">
      <c r="C2" s="706"/>
      <c r="D2" s="36"/>
      <c r="E2" s="37" t="s">
        <v>167</v>
      </c>
      <c r="F2" s="32">
        <v>0</v>
      </c>
      <c r="J2" s="35"/>
      <c r="K2" s="35"/>
      <c r="L2" s="35"/>
      <c r="M2" s="35"/>
      <c r="N2" s="35"/>
      <c r="O2" s="35"/>
      <c r="P2" s="35"/>
    </row>
    <row r="3" spans="1:51" ht="15" customHeight="1" thickBot="1">
      <c r="A3" s="30" t="s">
        <v>41</v>
      </c>
      <c r="B3" s="141" t="s">
        <v>46</v>
      </c>
      <c r="C3" s="141" t="s">
        <v>46</v>
      </c>
      <c r="D3" s="141" t="s">
        <v>46</v>
      </c>
      <c r="E3" s="141" t="s">
        <v>46</v>
      </c>
      <c r="F3" s="141" t="s">
        <v>46</v>
      </c>
      <c r="G3" s="141" t="s">
        <v>46</v>
      </c>
      <c r="H3" s="141" t="s">
        <v>46</v>
      </c>
      <c r="I3" s="141" t="s">
        <v>46</v>
      </c>
      <c r="J3" s="141" t="s">
        <v>46</v>
      </c>
      <c r="K3" s="141" t="s">
        <v>46</v>
      </c>
      <c r="L3" s="141" t="s">
        <v>46</v>
      </c>
      <c r="M3" s="141" t="s">
        <v>46</v>
      </c>
      <c r="N3" s="141" t="s">
        <v>46</v>
      </c>
      <c r="O3" s="141" t="s">
        <v>46</v>
      </c>
      <c r="P3" s="141" t="s">
        <v>46</v>
      </c>
      <c r="Q3" s="141" t="s">
        <v>46</v>
      </c>
      <c r="R3" s="141" t="s">
        <v>46</v>
      </c>
      <c r="S3" s="141" t="s">
        <v>46</v>
      </c>
      <c r="T3" s="141" t="s">
        <v>46</v>
      </c>
      <c r="U3" s="141" t="s">
        <v>46</v>
      </c>
      <c r="V3" s="141" t="s">
        <v>46</v>
      </c>
      <c r="W3" s="141" t="s">
        <v>46</v>
      </c>
      <c r="X3" s="141" t="s">
        <v>46</v>
      </c>
      <c r="Y3" s="141" t="s">
        <v>46</v>
      </c>
      <c r="Z3" s="141" t="s">
        <v>46</v>
      </c>
      <c r="AA3" s="141" t="s">
        <v>46</v>
      </c>
      <c r="AB3" s="141" t="s">
        <v>46</v>
      </c>
      <c r="AC3" s="141" t="s">
        <v>46</v>
      </c>
      <c r="AD3" s="141" t="s">
        <v>46</v>
      </c>
      <c r="AE3" s="141" t="s">
        <v>46</v>
      </c>
      <c r="AF3" s="141" t="s">
        <v>46</v>
      </c>
      <c r="AG3" s="141" t="s">
        <v>46</v>
      </c>
      <c r="AH3" s="141" t="s">
        <v>46</v>
      </c>
      <c r="AI3" s="141" t="s">
        <v>46</v>
      </c>
      <c r="AJ3" s="141" t="s">
        <v>46</v>
      </c>
      <c r="AK3" s="141" t="s">
        <v>46</v>
      </c>
      <c r="AL3" s="141" t="s">
        <v>46</v>
      </c>
      <c r="AM3" s="141" t="s">
        <v>46</v>
      </c>
      <c r="AN3" s="141" t="s">
        <v>46</v>
      </c>
      <c r="AO3" s="141" t="s">
        <v>46</v>
      </c>
      <c r="AP3" s="141" t="s">
        <v>46</v>
      </c>
      <c r="AQ3" s="141" t="s">
        <v>46</v>
      </c>
      <c r="AR3" s="141" t="s">
        <v>46</v>
      </c>
      <c r="AS3" s="141" t="s">
        <v>46</v>
      </c>
      <c r="AT3" s="141" t="s">
        <v>46</v>
      </c>
      <c r="AU3" s="141" t="s">
        <v>46</v>
      </c>
      <c r="AV3" s="141" t="s">
        <v>46</v>
      </c>
      <c r="AW3" s="141" t="s">
        <v>46</v>
      </c>
      <c r="AX3" s="141" t="s">
        <v>46</v>
      </c>
      <c r="AY3" s="141" t="s">
        <v>46</v>
      </c>
    </row>
    <row r="4" spans="1:51" ht="25.5" customHeight="1" thickBot="1">
      <c r="A4" s="22" t="s">
        <v>49</v>
      </c>
      <c r="B4" s="28" t="s">
        <v>50</v>
      </c>
      <c r="C4" s="28" t="s">
        <v>51</v>
      </c>
      <c r="D4" s="28" t="s">
        <v>188</v>
      </c>
      <c r="E4" s="28" t="s">
        <v>228</v>
      </c>
      <c r="F4" s="28" t="s">
        <v>244</v>
      </c>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row>
    <row r="5" spans="1:51" ht="12.75">
      <c r="A5" s="562">
        <v>45827932</v>
      </c>
      <c r="B5" s="563">
        <v>624.4000244140625</v>
      </c>
      <c r="C5" s="387">
        <v>0</v>
      </c>
      <c r="D5" s="385">
        <v>31</v>
      </c>
      <c r="E5" s="385">
        <v>0</v>
      </c>
      <c r="F5" s="385">
        <v>22638</v>
      </c>
      <c r="G5" s="385"/>
      <c r="H5" s="385"/>
      <c r="I5" s="385"/>
      <c r="J5" s="388"/>
      <c r="K5" s="385"/>
      <c r="L5" s="385"/>
      <c r="M5" s="385"/>
      <c r="N5" s="385"/>
      <c r="O5" s="385"/>
      <c r="P5" s="385"/>
      <c r="Q5" s="385"/>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7"/>
      <c r="AW5" s="387"/>
      <c r="AX5" s="387"/>
      <c r="AY5" s="387"/>
    </row>
    <row r="6" spans="1:51" ht="12.75">
      <c r="A6" s="564">
        <v>41082656</v>
      </c>
      <c r="B6" s="561">
        <v>631.5</v>
      </c>
      <c r="C6" s="385">
        <v>0</v>
      </c>
      <c r="D6" s="385">
        <v>28</v>
      </c>
      <c r="E6" s="385">
        <v>0</v>
      </c>
      <c r="F6" s="385">
        <v>22642</v>
      </c>
      <c r="G6" s="385"/>
      <c r="H6" s="385"/>
      <c r="I6" s="385"/>
      <c r="J6" s="388"/>
      <c r="K6" s="385"/>
      <c r="L6" s="385"/>
      <c r="M6" s="385"/>
      <c r="N6" s="385"/>
      <c r="O6" s="385"/>
      <c r="P6" s="385"/>
      <c r="Q6" s="385"/>
      <c r="R6" s="389"/>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row>
    <row r="7" spans="1:51" ht="12.75">
      <c r="A7" s="564">
        <v>42975876</v>
      </c>
      <c r="B7" s="561">
        <v>554.7999877929688</v>
      </c>
      <c r="C7" s="385">
        <v>0</v>
      </c>
      <c r="D7" s="385">
        <v>31</v>
      </c>
      <c r="E7" s="385">
        <v>0</v>
      </c>
      <c r="F7" s="385">
        <v>22644</v>
      </c>
      <c r="G7" s="385"/>
      <c r="H7" s="385"/>
      <c r="I7" s="385"/>
      <c r="J7" s="385"/>
      <c r="K7" s="385"/>
      <c r="L7" s="385"/>
      <c r="M7" s="385"/>
      <c r="N7" s="385"/>
      <c r="O7" s="385"/>
      <c r="P7" s="385"/>
      <c r="Q7" s="385"/>
      <c r="R7" s="389"/>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row>
    <row r="8" spans="1:51" ht="12.75">
      <c r="A8" s="564">
        <v>36308876</v>
      </c>
      <c r="B8" s="561">
        <v>358.6000061035156</v>
      </c>
      <c r="C8" s="385">
        <v>0</v>
      </c>
      <c r="D8" s="385">
        <v>30</v>
      </c>
      <c r="E8" s="385">
        <v>1</v>
      </c>
      <c r="F8" s="385">
        <v>22650</v>
      </c>
      <c r="G8" s="385"/>
      <c r="H8" s="385"/>
      <c r="I8" s="385"/>
      <c r="J8" s="385"/>
      <c r="K8" s="385"/>
      <c r="L8" s="385"/>
      <c r="M8" s="385"/>
      <c r="N8" s="385"/>
      <c r="O8" s="385"/>
      <c r="P8" s="385"/>
      <c r="Q8" s="385"/>
      <c r="R8" s="389"/>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row>
    <row r="9" spans="1:51" ht="12.75">
      <c r="A9" s="564">
        <v>34245332</v>
      </c>
      <c r="B9" s="561">
        <v>109.0999984741211</v>
      </c>
      <c r="C9" s="385">
        <v>23.100000381469727</v>
      </c>
      <c r="D9" s="385">
        <v>31</v>
      </c>
      <c r="E9" s="385">
        <v>1</v>
      </c>
      <c r="F9" s="385">
        <v>22772</v>
      </c>
      <c r="G9" s="385"/>
      <c r="H9" s="385"/>
      <c r="I9" s="385"/>
      <c r="J9" s="385"/>
      <c r="K9" s="385"/>
      <c r="L9" s="385"/>
      <c r="M9" s="385"/>
      <c r="N9" s="385"/>
      <c r="O9" s="385"/>
      <c r="P9" s="385"/>
      <c r="Q9" s="385"/>
      <c r="R9" s="389"/>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row>
    <row r="10" spans="1:51" ht="12.75">
      <c r="A10" s="564">
        <v>33534202</v>
      </c>
      <c r="B10" s="561">
        <v>33</v>
      </c>
      <c r="C10" s="385">
        <v>59.599998474121094</v>
      </c>
      <c r="D10" s="385">
        <v>30</v>
      </c>
      <c r="E10" s="385">
        <v>1</v>
      </c>
      <c r="F10" s="388">
        <v>22689</v>
      </c>
      <c r="G10" s="385"/>
      <c r="H10" s="385"/>
      <c r="I10" s="385"/>
      <c r="J10" s="388"/>
      <c r="K10" s="385"/>
      <c r="L10" s="385"/>
      <c r="M10" s="385"/>
      <c r="N10" s="385"/>
      <c r="O10" s="385"/>
      <c r="P10" s="385"/>
      <c r="Q10" s="385"/>
      <c r="R10" s="389"/>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row>
    <row r="11" spans="1:51" ht="12.75">
      <c r="A11" s="564">
        <v>34321064</v>
      </c>
      <c r="B11" s="561">
        <v>1.2999999523162842</v>
      </c>
      <c r="C11" s="385">
        <v>120.80000305175781</v>
      </c>
      <c r="D11" s="385">
        <v>31</v>
      </c>
      <c r="E11" s="385">
        <v>0</v>
      </c>
      <c r="F11" s="385">
        <v>22690</v>
      </c>
      <c r="G11" s="385"/>
      <c r="H11" s="385"/>
      <c r="I11" s="385"/>
      <c r="J11" s="385"/>
      <c r="K11" s="385"/>
      <c r="L11" s="385"/>
      <c r="M11" s="385"/>
      <c r="N11" s="385"/>
      <c r="O11" s="385"/>
      <c r="P11" s="385"/>
      <c r="Q11" s="385"/>
      <c r="R11" s="389"/>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row>
    <row r="12" spans="1:51" ht="12.75">
      <c r="A12" s="564">
        <v>34126512</v>
      </c>
      <c r="B12" s="561">
        <v>4.400000095367432</v>
      </c>
      <c r="C12" s="385">
        <v>93.80000305175781</v>
      </c>
      <c r="D12" s="385">
        <v>31</v>
      </c>
      <c r="E12" s="385">
        <v>0</v>
      </c>
      <c r="F12" s="385">
        <v>22703</v>
      </c>
      <c r="G12" s="385"/>
      <c r="H12" s="385"/>
      <c r="I12" s="385"/>
      <c r="J12" s="385"/>
      <c r="K12" s="385"/>
      <c r="L12" s="385"/>
      <c r="M12" s="385"/>
      <c r="N12" s="385"/>
      <c r="O12" s="385"/>
      <c r="P12" s="385"/>
      <c r="Q12" s="385"/>
      <c r="R12" s="389"/>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row>
    <row r="13" spans="1:51" ht="12.75">
      <c r="A13" s="564">
        <v>32127846</v>
      </c>
      <c r="B13" s="561">
        <v>83</v>
      </c>
      <c r="C13" s="385">
        <v>28.100000381469727</v>
      </c>
      <c r="D13" s="385">
        <v>30</v>
      </c>
      <c r="E13" s="385">
        <v>1</v>
      </c>
      <c r="F13" s="385">
        <v>22715</v>
      </c>
      <c r="G13" s="385"/>
      <c r="H13" s="385"/>
      <c r="I13" s="385"/>
      <c r="J13" s="385"/>
      <c r="K13" s="385"/>
      <c r="L13" s="385"/>
      <c r="M13" s="385"/>
      <c r="N13" s="385"/>
      <c r="O13" s="385"/>
      <c r="P13" s="385"/>
      <c r="Q13" s="385"/>
      <c r="R13" s="389"/>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row>
    <row r="14" spans="1:51" ht="12.75">
      <c r="A14" s="564">
        <v>35018160</v>
      </c>
      <c r="B14" s="561">
        <v>208.5</v>
      </c>
      <c r="C14" s="385">
        <v>0.4000000059604645</v>
      </c>
      <c r="D14" s="385">
        <v>31</v>
      </c>
      <c r="E14" s="385">
        <v>1</v>
      </c>
      <c r="F14" s="385">
        <v>22733</v>
      </c>
      <c r="G14" s="385"/>
      <c r="H14" s="385"/>
      <c r="I14" s="385"/>
      <c r="J14" s="388"/>
      <c r="K14" s="385"/>
      <c r="L14" s="385"/>
      <c r="M14" s="385"/>
      <c r="N14" s="385"/>
      <c r="O14" s="385"/>
      <c r="P14" s="385"/>
      <c r="Q14" s="385"/>
      <c r="R14" s="389"/>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row>
    <row r="15" spans="1:51" ht="12.75">
      <c r="A15" s="564">
        <v>39153192</v>
      </c>
      <c r="B15" s="561">
        <v>478.20001220703125</v>
      </c>
      <c r="C15" s="385">
        <v>0</v>
      </c>
      <c r="D15" s="385">
        <v>30</v>
      </c>
      <c r="E15" s="385">
        <v>1</v>
      </c>
      <c r="F15" s="385">
        <v>22739</v>
      </c>
      <c r="G15" s="385"/>
      <c r="H15" s="385"/>
      <c r="I15" s="385"/>
      <c r="J15" s="385"/>
      <c r="K15" s="385"/>
      <c r="L15" s="385"/>
      <c r="M15" s="385"/>
      <c r="N15" s="385"/>
      <c r="O15" s="385"/>
      <c r="P15" s="385"/>
      <c r="Q15" s="385"/>
      <c r="R15" s="389"/>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row>
    <row r="16" spans="1:51" ht="12.75">
      <c r="A16" s="564">
        <v>46270576</v>
      </c>
      <c r="B16" s="561">
        <v>687.9000244140625</v>
      </c>
      <c r="C16" s="385">
        <v>0</v>
      </c>
      <c r="D16" s="385">
        <v>31</v>
      </c>
      <c r="E16" s="385">
        <v>0</v>
      </c>
      <c r="F16" s="385">
        <v>22752</v>
      </c>
      <c r="G16" s="385"/>
      <c r="H16" s="385"/>
      <c r="I16" s="385"/>
      <c r="J16" s="385"/>
      <c r="K16" s="385"/>
      <c r="L16" s="385"/>
      <c r="M16" s="385"/>
      <c r="N16" s="385"/>
      <c r="O16" s="385"/>
      <c r="P16" s="385"/>
      <c r="Q16" s="385"/>
      <c r="R16" s="389"/>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row>
    <row r="17" spans="1:51" ht="12.75">
      <c r="A17" s="564">
        <v>48560156</v>
      </c>
      <c r="B17" s="561">
        <v>825.9000244140625</v>
      </c>
      <c r="C17" s="385">
        <v>0</v>
      </c>
      <c r="D17" s="385">
        <v>31</v>
      </c>
      <c r="E17" s="385">
        <v>0</v>
      </c>
      <c r="F17" s="385">
        <v>22761</v>
      </c>
      <c r="G17" s="385"/>
      <c r="H17" s="385"/>
      <c r="I17" s="385"/>
      <c r="J17" s="385"/>
      <c r="K17" s="385"/>
      <c r="L17" s="385"/>
      <c r="M17" s="385"/>
      <c r="N17" s="385"/>
      <c r="O17" s="385"/>
      <c r="P17" s="385"/>
      <c r="Q17" s="385"/>
      <c r="R17" s="389"/>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row>
    <row r="18" spans="1:51" ht="12.75">
      <c r="A18" s="564">
        <v>43502028</v>
      </c>
      <c r="B18" s="561">
        <v>737.0999755859375</v>
      </c>
      <c r="C18" s="385">
        <v>0</v>
      </c>
      <c r="D18" s="385">
        <v>29</v>
      </c>
      <c r="E18" s="385">
        <v>0</v>
      </c>
      <c r="F18" s="385">
        <v>22761</v>
      </c>
      <c r="G18" s="385"/>
      <c r="H18" s="385"/>
      <c r="I18" s="385"/>
      <c r="J18" s="385"/>
      <c r="K18" s="385"/>
      <c r="L18" s="385"/>
      <c r="M18" s="385"/>
      <c r="N18" s="385"/>
      <c r="O18" s="385"/>
      <c r="P18" s="385"/>
      <c r="Q18" s="385"/>
      <c r="R18" s="389"/>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row>
    <row r="19" spans="1:51" ht="12.75">
      <c r="A19" s="564">
        <v>44749296</v>
      </c>
      <c r="B19" s="561">
        <v>690.5999755859375</v>
      </c>
      <c r="C19" s="385">
        <v>0</v>
      </c>
      <c r="D19" s="385">
        <v>31</v>
      </c>
      <c r="E19" s="385">
        <v>0</v>
      </c>
      <c r="F19" s="385">
        <v>22775</v>
      </c>
      <c r="G19" s="385"/>
      <c r="H19" s="385"/>
      <c r="I19" s="385"/>
      <c r="J19" s="385"/>
      <c r="K19" s="385"/>
      <c r="L19" s="385"/>
      <c r="M19" s="385"/>
      <c r="N19" s="385"/>
      <c r="O19" s="385"/>
      <c r="P19" s="385"/>
      <c r="Q19" s="385"/>
      <c r="R19" s="389"/>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row>
    <row r="20" spans="1:51" ht="12.75">
      <c r="A20" s="564">
        <v>36703500</v>
      </c>
      <c r="B20" s="561">
        <v>356.8999938964844</v>
      </c>
      <c r="C20" s="385">
        <v>0</v>
      </c>
      <c r="D20" s="385">
        <v>30</v>
      </c>
      <c r="E20" s="385">
        <v>1</v>
      </c>
      <c r="F20" s="385">
        <v>22776</v>
      </c>
      <c r="G20" s="385"/>
      <c r="H20" s="385"/>
      <c r="I20" s="385"/>
      <c r="J20" s="385"/>
      <c r="K20" s="385"/>
      <c r="L20" s="385"/>
      <c r="M20" s="385"/>
      <c r="N20" s="385"/>
      <c r="O20" s="385"/>
      <c r="P20" s="385"/>
      <c r="Q20" s="385"/>
      <c r="R20" s="389"/>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row>
    <row r="21" spans="1:51" ht="12.75">
      <c r="A21" s="564">
        <v>33120208</v>
      </c>
      <c r="B21" s="561">
        <v>132.10000610351562</v>
      </c>
      <c r="C21" s="385">
        <v>11.899999618530273</v>
      </c>
      <c r="D21" s="385">
        <v>31</v>
      </c>
      <c r="E21" s="385">
        <v>1</v>
      </c>
      <c r="F21" s="385">
        <v>22781</v>
      </c>
      <c r="G21" s="385"/>
      <c r="H21" s="385"/>
      <c r="I21" s="385"/>
      <c r="J21" s="385"/>
      <c r="K21" s="385"/>
      <c r="L21" s="385"/>
      <c r="M21" s="385"/>
      <c r="N21" s="385"/>
      <c r="O21" s="385"/>
      <c r="P21" s="385"/>
      <c r="Q21" s="385"/>
      <c r="R21" s="389"/>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row>
    <row r="22" spans="1:51" ht="12.75">
      <c r="A22" s="564">
        <v>31986696</v>
      </c>
      <c r="B22" s="561">
        <v>14.100000381469727</v>
      </c>
      <c r="C22" s="385">
        <v>68.0999984741211</v>
      </c>
      <c r="D22" s="385">
        <v>30</v>
      </c>
      <c r="E22" s="385">
        <v>1</v>
      </c>
      <c r="F22" s="385">
        <v>22777</v>
      </c>
      <c r="G22" s="385"/>
      <c r="H22" s="385"/>
      <c r="I22" s="385"/>
      <c r="J22" s="385"/>
      <c r="K22" s="385"/>
      <c r="L22" s="385"/>
      <c r="M22" s="385"/>
      <c r="N22" s="385"/>
      <c r="O22" s="385"/>
      <c r="P22" s="385"/>
      <c r="Q22" s="385"/>
      <c r="R22" s="389"/>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row>
    <row r="23" spans="1:51" ht="12.75">
      <c r="A23" s="564">
        <v>33114324</v>
      </c>
      <c r="B23" s="561">
        <v>4</v>
      </c>
      <c r="C23" s="385">
        <v>71</v>
      </c>
      <c r="D23" s="385">
        <v>31</v>
      </c>
      <c r="E23" s="385">
        <v>0</v>
      </c>
      <c r="F23" s="385">
        <v>22798</v>
      </c>
      <c r="G23" s="385"/>
      <c r="H23" s="385"/>
      <c r="I23" s="385"/>
      <c r="J23" s="385"/>
      <c r="K23" s="385"/>
      <c r="L23" s="385"/>
      <c r="M23" s="385"/>
      <c r="N23" s="385"/>
      <c r="O23" s="385"/>
      <c r="P23" s="385"/>
      <c r="Q23" s="385"/>
      <c r="R23" s="389"/>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row>
    <row r="24" spans="1:51" ht="12.75">
      <c r="A24" s="564">
        <v>32996892</v>
      </c>
      <c r="B24" s="561">
        <v>8.800000190734863</v>
      </c>
      <c r="C24" s="385">
        <v>81.80000305175781</v>
      </c>
      <c r="D24" s="385">
        <v>31</v>
      </c>
      <c r="E24" s="385">
        <v>0</v>
      </c>
      <c r="F24" s="385">
        <v>22810</v>
      </c>
      <c r="G24" s="385"/>
      <c r="H24" s="385"/>
      <c r="I24" s="385"/>
      <c r="J24" s="385"/>
      <c r="K24" s="385"/>
      <c r="L24" s="385"/>
      <c r="M24" s="385"/>
      <c r="N24" s="385"/>
      <c r="O24" s="385"/>
      <c r="P24" s="385"/>
      <c r="Q24" s="385"/>
      <c r="R24" s="389"/>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row>
    <row r="25" spans="1:51" ht="12.75">
      <c r="A25" s="564">
        <v>31808440</v>
      </c>
      <c r="B25" s="561">
        <v>69.69999694824219</v>
      </c>
      <c r="C25" s="385">
        <v>30.100000381469727</v>
      </c>
      <c r="D25" s="385">
        <v>30</v>
      </c>
      <c r="E25" s="385">
        <v>1</v>
      </c>
      <c r="F25" s="385">
        <v>22817</v>
      </c>
      <c r="G25" s="385"/>
      <c r="H25" s="385"/>
      <c r="I25" s="385"/>
      <c r="J25" s="385"/>
      <c r="K25" s="385"/>
      <c r="L25" s="385"/>
      <c r="M25" s="385"/>
      <c r="N25" s="385"/>
      <c r="O25" s="385"/>
      <c r="P25" s="385"/>
      <c r="Q25" s="385"/>
      <c r="R25" s="389"/>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row>
    <row r="26" spans="1:51" ht="12.75">
      <c r="A26" s="564">
        <v>34772520</v>
      </c>
      <c r="B26" s="561">
        <v>224.3000030517578</v>
      </c>
      <c r="C26" s="385">
        <v>1.2999999523162842</v>
      </c>
      <c r="D26" s="385">
        <v>31</v>
      </c>
      <c r="E26" s="385">
        <v>1</v>
      </c>
      <c r="F26" s="385">
        <v>22832</v>
      </c>
      <c r="G26" s="385"/>
      <c r="H26" s="385"/>
      <c r="I26" s="385"/>
      <c r="J26" s="385"/>
      <c r="K26" s="385"/>
      <c r="L26" s="385"/>
      <c r="M26" s="385"/>
      <c r="N26" s="385"/>
      <c r="O26" s="385"/>
      <c r="P26" s="385"/>
      <c r="Q26" s="385"/>
      <c r="R26" s="389"/>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row>
    <row r="27" spans="1:51" ht="12.75">
      <c r="A27" s="564">
        <v>39442096</v>
      </c>
      <c r="B27" s="561">
        <v>482.1000061035156</v>
      </c>
      <c r="C27" s="385">
        <v>0</v>
      </c>
      <c r="D27" s="385">
        <v>30</v>
      </c>
      <c r="E27" s="385">
        <v>1</v>
      </c>
      <c r="F27" s="385">
        <v>22846</v>
      </c>
      <c r="G27" s="385"/>
      <c r="H27" s="385"/>
      <c r="I27" s="385"/>
      <c r="J27" s="388"/>
      <c r="K27" s="385"/>
      <c r="L27" s="385"/>
      <c r="M27" s="385"/>
      <c r="N27" s="385"/>
      <c r="O27" s="385"/>
      <c r="P27" s="385"/>
      <c r="Q27" s="385"/>
      <c r="R27" s="389"/>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row>
    <row r="28" spans="1:51" ht="12.75">
      <c r="A28" s="564">
        <v>42249292</v>
      </c>
      <c r="B28" s="561">
        <v>557.2999877929688</v>
      </c>
      <c r="C28" s="385">
        <v>0</v>
      </c>
      <c r="D28" s="385">
        <v>31</v>
      </c>
      <c r="E28" s="385">
        <v>0</v>
      </c>
      <c r="F28" s="385">
        <v>22854</v>
      </c>
      <c r="G28" s="385"/>
      <c r="H28" s="385"/>
      <c r="I28" s="385"/>
      <c r="J28" s="385"/>
      <c r="K28" s="385"/>
      <c r="L28" s="385"/>
      <c r="M28" s="385"/>
      <c r="N28" s="385"/>
      <c r="O28" s="385"/>
      <c r="P28" s="385"/>
      <c r="Q28" s="385"/>
      <c r="R28" s="389"/>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row>
    <row r="29" spans="1:51" ht="12.75">
      <c r="A29" s="564">
        <v>48032768</v>
      </c>
      <c r="B29" s="561">
        <v>792.4000244140625</v>
      </c>
      <c r="C29" s="385">
        <v>0</v>
      </c>
      <c r="D29" s="385">
        <v>31</v>
      </c>
      <c r="E29" s="385">
        <v>0</v>
      </c>
      <c r="F29" s="385">
        <v>22856</v>
      </c>
      <c r="G29" s="385"/>
      <c r="H29" s="385"/>
      <c r="I29" s="385"/>
      <c r="J29" s="385"/>
      <c r="K29" s="385"/>
      <c r="L29" s="385"/>
      <c r="M29" s="385"/>
      <c r="N29" s="385"/>
      <c r="O29" s="385"/>
      <c r="P29" s="385"/>
      <c r="Q29" s="385"/>
      <c r="R29" s="389"/>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row>
    <row r="30" spans="1:51" ht="12.75">
      <c r="A30" s="564">
        <v>47536664</v>
      </c>
      <c r="B30" s="561">
        <v>856.7999877929688</v>
      </c>
      <c r="C30" s="385">
        <v>0</v>
      </c>
      <c r="D30" s="385">
        <v>28</v>
      </c>
      <c r="E30" s="385">
        <v>0</v>
      </c>
      <c r="F30" s="385">
        <v>22870</v>
      </c>
      <c r="G30" s="385"/>
      <c r="H30" s="385"/>
      <c r="I30" s="385"/>
      <c r="J30" s="385"/>
      <c r="K30" s="385"/>
      <c r="L30" s="385"/>
      <c r="M30" s="385"/>
      <c r="N30" s="385"/>
      <c r="O30" s="385"/>
      <c r="P30" s="385"/>
      <c r="Q30" s="385"/>
      <c r="R30" s="389"/>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row>
    <row r="31" spans="1:51" ht="12.75">
      <c r="A31" s="564">
        <v>43095044</v>
      </c>
      <c r="B31" s="561">
        <v>615.5</v>
      </c>
      <c r="C31" s="385">
        <v>0</v>
      </c>
      <c r="D31" s="385">
        <v>31</v>
      </c>
      <c r="E31" s="385">
        <v>0</v>
      </c>
      <c r="F31" s="385">
        <v>22868</v>
      </c>
      <c r="G31" s="385"/>
      <c r="H31" s="385"/>
      <c r="I31" s="385"/>
      <c r="J31" s="385"/>
      <c r="K31" s="385"/>
      <c r="L31" s="385"/>
      <c r="M31" s="385"/>
      <c r="N31" s="385"/>
      <c r="O31" s="385"/>
      <c r="P31" s="385"/>
      <c r="Q31" s="385"/>
      <c r="R31" s="389"/>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row>
    <row r="32" spans="1:51" ht="12.75">
      <c r="A32" s="564">
        <v>34966160</v>
      </c>
      <c r="B32" s="561">
        <v>313.70001220703125</v>
      </c>
      <c r="C32" s="385">
        <v>0</v>
      </c>
      <c r="D32" s="385">
        <v>30</v>
      </c>
      <c r="E32" s="385">
        <v>1</v>
      </c>
      <c r="F32" s="385">
        <v>22862</v>
      </c>
      <c r="G32" s="385"/>
      <c r="H32" s="385"/>
      <c r="I32" s="385"/>
      <c r="J32" s="385"/>
      <c r="K32" s="385"/>
      <c r="L32" s="385"/>
      <c r="M32" s="385"/>
      <c r="N32" s="385"/>
      <c r="O32" s="385"/>
      <c r="P32" s="385"/>
      <c r="Q32" s="385"/>
      <c r="R32" s="389"/>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row>
    <row r="33" spans="1:51" ht="12.75">
      <c r="A33" s="564">
        <v>32451518</v>
      </c>
      <c r="B33" s="561">
        <v>89.30000305175781</v>
      </c>
      <c r="C33" s="385">
        <v>34.099998474121094</v>
      </c>
      <c r="D33" s="385">
        <v>31</v>
      </c>
      <c r="E33" s="385">
        <v>1</v>
      </c>
      <c r="F33" s="385">
        <v>22873</v>
      </c>
      <c r="G33" s="385"/>
      <c r="H33" s="385"/>
      <c r="I33" s="385"/>
      <c r="J33" s="385"/>
      <c r="K33" s="385"/>
      <c r="L33" s="385"/>
      <c r="M33" s="385"/>
      <c r="N33" s="385"/>
      <c r="O33" s="385"/>
      <c r="P33" s="385"/>
      <c r="Q33" s="385"/>
      <c r="R33" s="389"/>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row>
    <row r="34" spans="1:51" ht="12.75">
      <c r="A34" s="564">
        <v>31428888</v>
      </c>
      <c r="B34" s="561">
        <v>33.79999923706055</v>
      </c>
      <c r="C34" s="385">
        <v>32.29999923706055</v>
      </c>
      <c r="D34" s="385">
        <v>30</v>
      </c>
      <c r="E34" s="385">
        <v>1</v>
      </c>
      <c r="F34" s="385">
        <v>22869</v>
      </c>
      <c r="G34" s="385"/>
      <c r="H34" s="385"/>
      <c r="I34" s="385"/>
      <c r="J34" s="385"/>
      <c r="K34" s="385"/>
      <c r="L34" s="385"/>
      <c r="M34" s="385"/>
      <c r="N34" s="385"/>
      <c r="O34" s="385"/>
      <c r="P34" s="385"/>
      <c r="Q34" s="385"/>
      <c r="R34" s="389"/>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row>
    <row r="35" spans="1:51" ht="12.75">
      <c r="A35" s="564">
        <v>34059072</v>
      </c>
      <c r="B35" s="561">
        <v>4</v>
      </c>
      <c r="C35" s="385">
        <v>114.30000305175781</v>
      </c>
      <c r="D35" s="385">
        <v>31</v>
      </c>
      <c r="E35" s="385">
        <v>0</v>
      </c>
      <c r="F35" s="385">
        <v>22899</v>
      </c>
      <c r="G35" s="385"/>
      <c r="H35" s="385"/>
      <c r="I35" s="385"/>
      <c r="J35" s="385"/>
      <c r="K35" s="385"/>
      <c r="L35" s="385"/>
      <c r="M35" s="385"/>
      <c r="N35" s="385"/>
      <c r="O35" s="385"/>
      <c r="P35" s="385"/>
      <c r="Q35" s="385"/>
      <c r="R35" s="389"/>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row>
    <row r="36" spans="1:51" ht="12.75">
      <c r="A36" s="564">
        <v>34233108</v>
      </c>
      <c r="B36" s="561">
        <v>4.400000095367432</v>
      </c>
      <c r="C36" s="385">
        <v>88.5999984741211</v>
      </c>
      <c r="D36" s="385">
        <v>31</v>
      </c>
      <c r="E36" s="385">
        <v>0</v>
      </c>
      <c r="F36" s="385">
        <v>22925</v>
      </c>
      <c r="G36" s="385"/>
      <c r="H36" s="385"/>
      <c r="I36" s="385"/>
      <c r="J36" s="385"/>
      <c r="K36" s="385"/>
      <c r="L36" s="385"/>
      <c r="M36" s="385"/>
      <c r="N36" s="385"/>
      <c r="O36" s="385"/>
      <c r="P36" s="385"/>
      <c r="Q36" s="385"/>
      <c r="R36" s="389"/>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row>
    <row r="37" spans="1:51" ht="12.75">
      <c r="A37" s="564">
        <v>33226978</v>
      </c>
      <c r="B37" s="561">
        <v>31.100000381469727</v>
      </c>
      <c r="C37" s="385">
        <v>81.9000015258789</v>
      </c>
      <c r="D37" s="385">
        <v>30</v>
      </c>
      <c r="E37" s="385">
        <v>1</v>
      </c>
      <c r="F37" s="385">
        <v>22930</v>
      </c>
      <c r="G37" s="385"/>
      <c r="H37" s="385"/>
      <c r="I37" s="385"/>
      <c r="J37" s="385"/>
      <c r="K37" s="385"/>
      <c r="L37" s="385"/>
      <c r="M37" s="385"/>
      <c r="N37" s="385"/>
      <c r="O37" s="385"/>
      <c r="P37" s="385"/>
      <c r="Q37" s="385"/>
      <c r="R37" s="389"/>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row>
    <row r="38" spans="1:51" ht="12.75">
      <c r="A38" s="564">
        <v>38729356</v>
      </c>
      <c r="B38" s="561">
        <v>249.8000030517578</v>
      </c>
      <c r="C38" s="385">
        <v>0</v>
      </c>
      <c r="D38" s="385">
        <v>31</v>
      </c>
      <c r="E38" s="385">
        <v>1</v>
      </c>
      <c r="F38" s="385">
        <v>22975</v>
      </c>
      <c r="G38" s="385"/>
      <c r="H38" s="385"/>
      <c r="I38" s="385"/>
      <c r="J38" s="385"/>
      <c r="K38" s="385"/>
      <c r="L38" s="385"/>
      <c r="M38" s="385"/>
      <c r="N38" s="385"/>
      <c r="O38" s="385"/>
      <c r="P38" s="385"/>
      <c r="Q38" s="385"/>
      <c r="R38" s="389"/>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row>
    <row r="39" spans="1:51" ht="12.75">
      <c r="A39" s="564">
        <v>35403760</v>
      </c>
      <c r="B39" s="561">
        <v>345</v>
      </c>
      <c r="C39" s="385">
        <v>0</v>
      </c>
      <c r="D39" s="385">
        <v>30</v>
      </c>
      <c r="E39" s="385">
        <v>1</v>
      </c>
      <c r="F39" s="385">
        <v>22980</v>
      </c>
      <c r="G39" s="385"/>
      <c r="H39" s="385"/>
      <c r="I39" s="385"/>
      <c r="J39" s="385"/>
      <c r="K39" s="385"/>
      <c r="L39" s="385"/>
      <c r="M39" s="385"/>
      <c r="N39" s="385"/>
      <c r="O39" s="385"/>
      <c r="P39" s="385"/>
      <c r="Q39" s="385"/>
      <c r="R39" s="389"/>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row>
    <row r="40" spans="1:51" ht="12.75">
      <c r="A40" s="564">
        <v>42249292</v>
      </c>
      <c r="B40" s="561">
        <v>429.70001220703125</v>
      </c>
      <c r="C40" s="385">
        <v>0</v>
      </c>
      <c r="D40" s="385">
        <v>31</v>
      </c>
      <c r="E40" s="385">
        <v>0</v>
      </c>
      <c r="F40" s="385">
        <v>22854</v>
      </c>
      <c r="G40" s="385"/>
      <c r="H40" s="385"/>
      <c r="I40" s="385"/>
      <c r="J40" s="385"/>
      <c r="K40" s="385"/>
      <c r="L40" s="385"/>
      <c r="M40" s="385"/>
      <c r="N40" s="385"/>
      <c r="O40" s="385"/>
      <c r="P40" s="385"/>
      <c r="Q40" s="385"/>
      <c r="R40" s="389"/>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row>
    <row r="41" spans="1:51" ht="12.75">
      <c r="A41" s="564">
        <v>44182308</v>
      </c>
      <c r="B41" s="561">
        <v>670.4000244140625</v>
      </c>
      <c r="C41" s="385">
        <v>0</v>
      </c>
      <c r="D41" s="385">
        <v>31</v>
      </c>
      <c r="E41" s="385">
        <v>0</v>
      </c>
      <c r="F41" s="385">
        <v>22960</v>
      </c>
      <c r="G41" s="385"/>
      <c r="H41" s="385"/>
      <c r="I41" s="385"/>
      <c r="J41" s="385"/>
      <c r="K41" s="385"/>
      <c r="L41" s="385"/>
      <c r="M41" s="385"/>
      <c r="N41" s="385"/>
      <c r="O41" s="385"/>
      <c r="P41" s="385"/>
      <c r="Q41" s="385"/>
      <c r="R41" s="389"/>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row>
    <row r="42" spans="1:51" ht="12.75">
      <c r="A42" s="564">
        <v>40734588</v>
      </c>
      <c r="B42" s="561">
        <v>588.4000244140625</v>
      </c>
      <c r="C42" s="385">
        <v>0</v>
      </c>
      <c r="D42" s="385">
        <v>28</v>
      </c>
      <c r="E42" s="385">
        <v>0</v>
      </c>
      <c r="F42" s="385">
        <v>22988</v>
      </c>
      <c r="G42" s="385"/>
      <c r="H42" s="385"/>
      <c r="I42" s="385"/>
      <c r="J42" s="385"/>
      <c r="K42" s="385"/>
      <c r="L42" s="385"/>
      <c r="M42" s="385"/>
      <c r="N42" s="385"/>
      <c r="O42" s="385"/>
      <c r="P42" s="385"/>
      <c r="Q42" s="385"/>
      <c r="R42" s="389"/>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row>
    <row r="43" spans="1:51" ht="12.75">
      <c r="A43" s="564">
        <v>39051916</v>
      </c>
      <c r="B43" s="561">
        <v>476.1000061035156</v>
      </c>
      <c r="C43" s="385">
        <v>0</v>
      </c>
      <c r="D43" s="385">
        <v>31</v>
      </c>
      <c r="E43" s="385">
        <v>0</v>
      </c>
      <c r="F43" s="385">
        <v>23003</v>
      </c>
      <c r="G43" s="385"/>
      <c r="H43" s="385"/>
      <c r="I43" s="385"/>
      <c r="J43" s="385"/>
      <c r="K43" s="385"/>
      <c r="L43" s="385"/>
      <c r="M43" s="385"/>
      <c r="N43" s="385"/>
      <c r="O43" s="385"/>
      <c r="P43" s="385"/>
      <c r="Q43" s="385"/>
      <c r="R43" s="389"/>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row>
    <row r="44" spans="1:51" ht="12.75">
      <c r="A44" s="564">
        <v>35582404</v>
      </c>
      <c r="B44" s="561">
        <v>394.79998779296875</v>
      </c>
      <c r="C44" s="385">
        <v>0</v>
      </c>
      <c r="D44" s="385">
        <v>30</v>
      </c>
      <c r="E44" s="385">
        <v>1</v>
      </c>
      <c r="F44" s="385">
        <v>23007</v>
      </c>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row>
    <row r="45" spans="1:51" ht="12.75">
      <c r="A45" s="564">
        <v>32158070</v>
      </c>
      <c r="B45" s="561">
        <v>142.5</v>
      </c>
      <c r="C45" s="385">
        <v>36.900001525878906</v>
      </c>
      <c r="D45" s="385">
        <v>31</v>
      </c>
      <c r="E45" s="385">
        <v>1</v>
      </c>
      <c r="F45" s="385">
        <v>23012</v>
      </c>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row>
    <row r="46" spans="1:51" ht="12.75">
      <c r="A46" s="564">
        <v>32230294</v>
      </c>
      <c r="B46" s="561">
        <v>24.200000762939453</v>
      </c>
      <c r="C46" s="385">
        <v>83.69999694824219</v>
      </c>
      <c r="D46" s="385">
        <v>30</v>
      </c>
      <c r="E46" s="385">
        <v>1</v>
      </c>
      <c r="F46" s="385">
        <v>23028</v>
      </c>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row>
    <row r="47" spans="1:51" ht="12.75">
      <c r="A47" s="564">
        <v>36050964</v>
      </c>
      <c r="B47" s="561">
        <v>0</v>
      </c>
      <c r="C47" s="385">
        <v>176.89999389648438</v>
      </c>
      <c r="D47" s="385">
        <v>31</v>
      </c>
      <c r="E47" s="385">
        <v>0</v>
      </c>
      <c r="F47" s="385">
        <v>23043</v>
      </c>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row>
    <row r="48" spans="1:51" ht="12.75">
      <c r="A48" s="564">
        <v>38144564</v>
      </c>
      <c r="B48" s="561">
        <v>0</v>
      </c>
      <c r="C48" s="385">
        <v>195.39999389648438</v>
      </c>
      <c r="D48" s="385">
        <v>31</v>
      </c>
      <c r="E48" s="385">
        <v>0</v>
      </c>
      <c r="F48" s="385">
        <v>23076</v>
      </c>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row>
    <row r="49" spans="1:51" ht="12.75">
      <c r="A49" s="564">
        <v>32958786</v>
      </c>
      <c r="B49" s="561">
        <v>25.899999618530273</v>
      </c>
      <c r="C49" s="385">
        <v>69.4000015258789</v>
      </c>
      <c r="D49" s="385">
        <v>30</v>
      </c>
      <c r="E49" s="385">
        <v>1</v>
      </c>
      <c r="F49" s="385">
        <v>23083</v>
      </c>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row>
    <row r="50" spans="1:51" ht="12.75">
      <c r="A50" s="564">
        <v>33427318</v>
      </c>
      <c r="B50" s="561">
        <v>194.1999969482422</v>
      </c>
      <c r="C50" s="385">
        <v>4.099999904632568</v>
      </c>
      <c r="D50" s="385">
        <v>31</v>
      </c>
      <c r="E50" s="385">
        <v>1</v>
      </c>
      <c r="F50" s="385">
        <v>23094</v>
      </c>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row>
    <row r="51" spans="1:51" ht="12.75">
      <c r="A51" s="564">
        <v>34938644</v>
      </c>
      <c r="B51" s="561">
        <v>337.79998779296875</v>
      </c>
      <c r="C51" s="385">
        <v>0</v>
      </c>
      <c r="D51" s="385">
        <v>30</v>
      </c>
      <c r="E51" s="385">
        <v>1</v>
      </c>
      <c r="F51" s="385">
        <v>23124</v>
      </c>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row>
    <row r="52" spans="1:51" ht="12.75">
      <c r="A52" s="564">
        <v>41527820</v>
      </c>
      <c r="B52" s="561">
        <v>608</v>
      </c>
      <c r="C52" s="385">
        <v>0</v>
      </c>
      <c r="D52" s="385">
        <v>31</v>
      </c>
      <c r="E52" s="385">
        <v>0</v>
      </c>
      <c r="F52" s="385">
        <v>23168</v>
      </c>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row>
    <row r="53" spans="1:51" ht="12.75">
      <c r="A53" s="564">
        <v>41870352</v>
      </c>
      <c r="B53" s="561">
        <v>608.9000244140625</v>
      </c>
      <c r="C53" s="385">
        <v>0</v>
      </c>
      <c r="D53" s="385">
        <v>31</v>
      </c>
      <c r="E53" s="385">
        <v>0</v>
      </c>
      <c r="F53" s="385">
        <v>23326</v>
      </c>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row>
    <row r="54" spans="1:51" ht="12.75">
      <c r="A54" s="564">
        <v>36769364</v>
      </c>
      <c r="B54" s="561">
        <v>510.3999938964844</v>
      </c>
      <c r="C54" s="385">
        <v>0</v>
      </c>
      <c r="D54" s="385">
        <v>28</v>
      </c>
      <c r="E54" s="385">
        <v>0</v>
      </c>
      <c r="F54" s="385">
        <v>23199</v>
      </c>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row>
    <row r="55" spans="1:51" ht="12.75">
      <c r="A55" s="564">
        <v>40358688</v>
      </c>
      <c r="B55" s="561">
        <v>574</v>
      </c>
      <c r="C55" s="385">
        <v>0</v>
      </c>
      <c r="D55" s="385">
        <v>31</v>
      </c>
      <c r="E55" s="385">
        <v>0</v>
      </c>
      <c r="F55" s="385">
        <v>23206</v>
      </c>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row>
    <row r="56" spans="1:51" ht="12.75">
      <c r="A56" s="564">
        <v>32359460</v>
      </c>
      <c r="B56" s="561">
        <v>257.5</v>
      </c>
      <c r="C56" s="385">
        <v>0</v>
      </c>
      <c r="D56" s="385">
        <v>30</v>
      </c>
      <c r="E56" s="385">
        <v>1</v>
      </c>
      <c r="F56" s="385">
        <v>23210</v>
      </c>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row>
    <row r="57" spans="1:51" ht="12.75">
      <c r="A57" s="564">
        <v>32466960</v>
      </c>
      <c r="B57" s="561">
        <v>177</v>
      </c>
      <c r="C57" s="385">
        <v>0</v>
      </c>
      <c r="D57" s="385">
        <v>31</v>
      </c>
      <c r="E57" s="385">
        <v>1</v>
      </c>
      <c r="F57" s="385">
        <v>23220</v>
      </c>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row>
    <row r="58" spans="1:51" ht="12.75">
      <c r="A58" s="564">
        <v>31942168</v>
      </c>
      <c r="B58" s="561">
        <v>26.700000762939453</v>
      </c>
      <c r="C58" s="385">
        <v>9</v>
      </c>
      <c r="D58" s="385">
        <v>30</v>
      </c>
      <c r="E58" s="385">
        <v>1</v>
      </c>
      <c r="F58" s="385">
        <v>23263</v>
      </c>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row>
    <row r="59" spans="1:51" ht="12.75">
      <c r="A59" s="564">
        <v>34485256</v>
      </c>
      <c r="B59" s="561">
        <v>0</v>
      </c>
      <c r="C59" s="385">
        <v>68.19999694824219</v>
      </c>
      <c r="D59" s="385">
        <v>31</v>
      </c>
      <c r="E59" s="385">
        <v>0</v>
      </c>
      <c r="F59" s="385">
        <v>23448</v>
      </c>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row>
    <row r="60" spans="1:51" ht="12.75">
      <c r="A60" s="564">
        <v>33750092</v>
      </c>
      <c r="B60" s="561">
        <v>11.600000381469727</v>
      </c>
      <c r="C60" s="385">
        <v>116.5</v>
      </c>
      <c r="D60" s="385">
        <v>31</v>
      </c>
      <c r="E60" s="385">
        <v>0</v>
      </c>
      <c r="F60" s="385">
        <v>23301</v>
      </c>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row>
    <row r="61" spans="1:51" ht="12.75">
      <c r="A61" s="564">
        <v>32126296</v>
      </c>
      <c r="B61" s="561">
        <v>49.099998474121094</v>
      </c>
      <c r="C61" s="385">
        <v>75.19999694824219</v>
      </c>
      <c r="D61" s="385">
        <v>30</v>
      </c>
      <c r="E61" s="385">
        <v>1</v>
      </c>
      <c r="F61" s="385">
        <v>23336</v>
      </c>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row>
    <row r="62" spans="1:51" ht="12.75">
      <c r="A62" s="564">
        <v>32454034</v>
      </c>
      <c r="B62" s="561">
        <v>154</v>
      </c>
      <c r="C62" s="385">
        <v>71.5</v>
      </c>
      <c r="D62" s="385">
        <v>31</v>
      </c>
      <c r="E62" s="385">
        <v>1</v>
      </c>
      <c r="F62" s="385">
        <v>23342</v>
      </c>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row>
    <row r="63" spans="1:51" ht="12.75">
      <c r="A63" s="680">
        <v>37086664</v>
      </c>
      <c r="B63" s="561">
        <v>414.20001220703125</v>
      </c>
      <c r="C63" s="385">
        <v>8.100000381469727</v>
      </c>
      <c r="D63" s="385">
        <v>30</v>
      </c>
      <c r="E63" s="385">
        <v>1</v>
      </c>
      <c r="F63" s="385">
        <v>23363</v>
      </c>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row>
    <row r="64" spans="1:51" ht="12.75">
      <c r="A64" s="680">
        <v>42555872</v>
      </c>
      <c r="B64" s="561">
        <v>718.5</v>
      </c>
      <c r="C64" s="385">
        <v>0</v>
      </c>
      <c r="D64" s="385">
        <v>31</v>
      </c>
      <c r="E64" s="385">
        <v>0</v>
      </c>
      <c r="F64" s="385">
        <v>23373</v>
      </c>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row>
    <row r="65" spans="1:51" ht="12.75">
      <c r="A65" s="564">
        <v>45303344</v>
      </c>
      <c r="B65" s="561">
        <v>732.2999877929688</v>
      </c>
      <c r="C65" s="385">
        <v>0</v>
      </c>
      <c r="D65" s="385">
        <v>31</v>
      </c>
      <c r="E65" s="385">
        <v>0</v>
      </c>
      <c r="F65" s="385">
        <v>23400</v>
      </c>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row>
    <row r="66" spans="1:51" ht="12.75">
      <c r="A66" s="564">
        <v>38010440</v>
      </c>
      <c r="B66" s="561">
        <v>555</v>
      </c>
      <c r="C66" s="385">
        <v>0</v>
      </c>
      <c r="D66" s="385">
        <v>28</v>
      </c>
      <c r="E66" s="385">
        <v>0</v>
      </c>
      <c r="F66" s="385">
        <v>23409</v>
      </c>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5"/>
    </row>
    <row r="67" spans="1:51" ht="12.75">
      <c r="A67" s="564">
        <v>40822740</v>
      </c>
      <c r="B67" s="561">
        <v>554</v>
      </c>
      <c r="C67" s="385">
        <v>0</v>
      </c>
      <c r="D67" s="385">
        <v>31</v>
      </c>
      <c r="E67" s="385">
        <v>0</v>
      </c>
      <c r="F67" s="385">
        <v>23417</v>
      </c>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5"/>
    </row>
    <row r="68" spans="1:51" ht="12.75">
      <c r="A68" s="564">
        <v>37268116</v>
      </c>
      <c r="B68" s="561">
        <v>437.20001220703125</v>
      </c>
      <c r="C68" s="385">
        <v>0</v>
      </c>
      <c r="D68" s="385">
        <v>30</v>
      </c>
      <c r="E68" s="385">
        <v>1</v>
      </c>
      <c r="F68" s="385">
        <v>23441</v>
      </c>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5"/>
      <c r="AY68" s="385"/>
    </row>
    <row r="69" spans="1:51" ht="12.75">
      <c r="A69" s="564">
        <v>33661736</v>
      </c>
      <c r="B69" s="561">
        <v>75.30000305175781</v>
      </c>
      <c r="C69" s="385">
        <v>43.400001525878906</v>
      </c>
      <c r="D69" s="385">
        <v>31</v>
      </c>
      <c r="E69" s="385">
        <v>1</v>
      </c>
      <c r="F69" s="385">
        <v>23452</v>
      </c>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5"/>
    </row>
    <row r="70" spans="1:51" ht="12.75">
      <c r="A70" s="564">
        <v>33150240</v>
      </c>
      <c r="B70" s="561">
        <v>14.800000190734863</v>
      </c>
      <c r="C70" s="385">
        <v>60.5</v>
      </c>
      <c r="D70" s="385">
        <v>30</v>
      </c>
      <c r="E70" s="385">
        <v>1</v>
      </c>
      <c r="F70" s="385">
        <v>23438</v>
      </c>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5"/>
      <c r="AY70" s="385"/>
    </row>
    <row r="71" spans="1:51" ht="12.75">
      <c r="A71" s="564">
        <v>36985444</v>
      </c>
      <c r="B71" s="561">
        <v>0</v>
      </c>
      <c r="C71" s="385">
        <v>167.8000030517578</v>
      </c>
      <c r="D71" s="385">
        <v>31</v>
      </c>
      <c r="E71" s="385">
        <v>0</v>
      </c>
      <c r="F71" s="385">
        <v>23458</v>
      </c>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row>
    <row r="72" spans="1:51" ht="12.75">
      <c r="A72" s="564">
        <v>37978824</v>
      </c>
      <c r="B72" s="561">
        <v>1.2000000476837158</v>
      </c>
      <c r="C72" s="385">
        <v>162.39999389648438</v>
      </c>
      <c r="D72" s="385">
        <v>31</v>
      </c>
      <c r="E72" s="385">
        <v>0</v>
      </c>
      <c r="F72" s="385">
        <v>23480</v>
      </c>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5"/>
      <c r="AY72" s="385"/>
    </row>
    <row r="73" spans="1:51" ht="12.75">
      <c r="A73" s="564">
        <v>33668648</v>
      </c>
      <c r="B73" s="561">
        <v>41.400001525878906</v>
      </c>
      <c r="C73" s="385">
        <v>76.4000015258789</v>
      </c>
      <c r="D73" s="385">
        <v>30</v>
      </c>
      <c r="E73" s="385">
        <v>1</v>
      </c>
      <c r="F73" s="385">
        <v>23508</v>
      </c>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c r="AW73" s="385"/>
      <c r="AX73" s="385"/>
      <c r="AY73" s="385"/>
    </row>
    <row r="74" spans="1:51" ht="12.75">
      <c r="A74" s="564">
        <v>32878906</v>
      </c>
      <c r="B74" s="561">
        <v>289.3999938964844</v>
      </c>
      <c r="C74" s="385">
        <v>8.199999809265137</v>
      </c>
      <c r="D74" s="385">
        <v>31</v>
      </c>
      <c r="E74" s="385">
        <v>1</v>
      </c>
      <c r="F74" s="385">
        <v>23507</v>
      </c>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5"/>
    </row>
    <row r="75" spans="1:51" ht="12.75">
      <c r="A75" s="564">
        <v>39246376</v>
      </c>
      <c r="B75" s="561">
        <v>494.1000061035156</v>
      </c>
      <c r="C75" s="385">
        <v>0</v>
      </c>
      <c r="D75" s="385">
        <v>30</v>
      </c>
      <c r="E75" s="385">
        <v>1</v>
      </c>
      <c r="F75" s="385">
        <v>23531</v>
      </c>
      <c r="G75" s="385"/>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5"/>
      <c r="AY75" s="385"/>
    </row>
    <row r="76" spans="1:51" ht="12.75">
      <c r="A76" s="564">
        <v>41296484</v>
      </c>
      <c r="B76" s="561">
        <v>563.5999755859375</v>
      </c>
      <c r="C76" s="385">
        <v>0</v>
      </c>
      <c r="D76" s="385">
        <v>31</v>
      </c>
      <c r="E76" s="385">
        <v>0</v>
      </c>
      <c r="F76" s="385">
        <v>23547</v>
      </c>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5"/>
      <c r="AY76" s="385"/>
    </row>
    <row r="77" spans="1:51" ht="12.75">
      <c r="A77" s="564">
        <v>46360880</v>
      </c>
      <c r="B77" s="561">
        <v>764.5</v>
      </c>
      <c r="C77" s="385">
        <v>0</v>
      </c>
      <c r="D77" s="385">
        <v>31</v>
      </c>
      <c r="E77" s="385">
        <v>0</v>
      </c>
      <c r="F77" s="385">
        <v>23564</v>
      </c>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row>
    <row r="78" spans="1:51" ht="12.75">
      <c r="A78" s="564">
        <v>40126452</v>
      </c>
      <c r="B78" s="561">
        <v>621.7000122070312</v>
      </c>
      <c r="C78" s="385">
        <v>0</v>
      </c>
      <c r="D78" s="385">
        <v>28</v>
      </c>
      <c r="E78" s="385">
        <v>0</v>
      </c>
      <c r="F78" s="385">
        <v>23584</v>
      </c>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row>
    <row r="79" spans="1:51" ht="12.75">
      <c r="A79" s="564">
        <v>41742644</v>
      </c>
      <c r="B79" s="561">
        <v>593.9000244140625</v>
      </c>
      <c r="C79" s="385">
        <v>0</v>
      </c>
      <c r="D79" s="385">
        <v>31</v>
      </c>
      <c r="E79" s="385">
        <v>0</v>
      </c>
      <c r="F79" s="385">
        <v>23618</v>
      </c>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row>
    <row r="80" spans="1:51" ht="12.75">
      <c r="A80" s="564">
        <v>36007112</v>
      </c>
      <c r="B80" s="561">
        <v>346.79998779296875</v>
      </c>
      <c r="C80" s="385">
        <v>0</v>
      </c>
      <c r="D80" s="385">
        <v>30</v>
      </c>
      <c r="E80" s="385">
        <v>1</v>
      </c>
      <c r="F80" s="385">
        <v>23601</v>
      </c>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5"/>
      <c r="AY80" s="385"/>
    </row>
    <row r="81" spans="1:51" ht="12.75">
      <c r="A81" s="564">
        <v>33884252</v>
      </c>
      <c r="B81" s="561">
        <v>181</v>
      </c>
      <c r="C81" s="385">
        <v>0</v>
      </c>
      <c r="D81" s="385">
        <v>31</v>
      </c>
      <c r="E81" s="385">
        <v>1</v>
      </c>
      <c r="F81" s="385">
        <v>23608</v>
      </c>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5"/>
      <c r="AY81" s="385"/>
    </row>
    <row r="82" spans="1:51" ht="12.75">
      <c r="A82" s="564">
        <v>32413450</v>
      </c>
      <c r="B82" s="561">
        <v>35.5</v>
      </c>
      <c r="C82" s="385">
        <v>41.29999923706055</v>
      </c>
      <c r="D82" s="385">
        <v>30</v>
      </c>
      <c r="E82" s="385">
        <v>1</v>
      </c>
      <c r="F82" s="385">
        <v>23607</v>
      </c>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5"/>
      <c r="AY82" s="385"/>
    </row>
    <row r="83" spans="1:51" ht="12.75">
      <c r="A83" s="564">
        <v>37948388</v>
      </c>
      <c r="B83" s="561">
        <v>0</v>
      </c>
      <c r="C83" s="385">
        <v>166.89999389648438</v>
      </c>
      <c r="D83" s="385">
        <v>31</v>
      </c>
      <c r="E83" s="385">
        <v>0</v>
      </c>
      <c r="F83" s="385">
        <v>23644</v>
      </c>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5"/>
      <c r="AY83" s="385"/>
    </row>
    <row r="84" spans="1:51" ht="12.75">
      <c r="A84" s="564">
        <v>35859380</v>
      </c>
      <c r="B84" s="561">
        <v>0.8999999761581421</v>
      </c>
      <c r="C84" s="385">
        <v>103.30000305175781</v>
      </c>
      <c r="D84" s="385">
        <v>31</v>
      </c>
      <c r="E84" s="385">
        <v>0</v>
      </c>
      <c r="F84" s="385">
        <v>23662</v>
      </c>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row>
    <row r="85" spans="1:51" ht="12.75">
      <c r="A85" s="564">
        <v>32309084</v>
      </c>
      <c r="B85" s="561">
        <v>38.400001525878906</v>
      </c>
      <c r="C85" s="385">
        <v>25.399999618530273</v>
      </c>
      <c r="D85" s="385">
        <v>30</v>
      </c>
      <c r="E85" s="385">
        <v>1</v>
      </c>
      <c r="F85" s="385">
        <v>23711</v>
      </c>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c r="AY85" s="385"/>
    </row>
    <row r="86" spans="1:51" ht="12.75">
      <c r="A86" s="564">
        <v>34937472</v>
      </c>
      <c r="B86" s="561">
        <v>236.5</v>
      </c>
      <c r="C86" s="385">
        <v>5.099999904632568</v>
      </c>
      <c r="D86" s="385">
        <v>31</v>
      </c>
      <c r="E86" s="385">
        <v>1</v>
      </c>
      <c r="F86" s="385">
        <v>23734</v>
      </c>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385"/>
    </row>
    <row r="87" spans="1:51" ht="12.75">
      <c r="A87" s="564">
        <v>40083048</v>
      </c>
      <c r="B87" s="561">
        <v>513.2999877929688</v>
      </c>
      <c r="C87" s="385">
        <v>0</v>
      </c>
      <c r="D87" s="385">
        <v>30</v>
      </c>
      <c r="E87" s="385">
        <v>1</v>
      </c>
      <c r="F87" s="385">
        <v>23742</v>
      </c>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385"/>
    </row>
    <row r="88" spans="1:51" ht="12.75">
      <c r="A88" s="564">
        <v>42216028</v>
      </c>
      <c r="B88" s="561">
        <v>582.4000244140625</v>
      </c>
      <c r="C88" s="385">
        <v>0</v>
      </c>
      <c r="D88" s="385">
        <v>31</v>
      </c>
      <c r="E88" s="385">
        <v>0</v>
      </c>
      <c r="F88" s="385">
        <v>23774</v>
      </c>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5"/>
    </row>
    <row r="89" spans="1:51" ht="12.75">
      <c r="A89" s="564">
        <v>43447688</v>
      </c>
      <c r="B89" s="561">
        <v>605</v>
      </c>
      <c r="C89" s="385">
        <v>0</v>
      </c>
      <c r="D89" s="385">
        <v>31</v>
      </c>
      <c r="E89" s="385">
        <v>0</v>
      </c>
      <c r="F89" s="385">
        <v>23778</v>
      </c>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row>
    <row r="90" spans="1:51" ht="12.75">
      <c r="A90" s="564">
        <v>41046124</v>
      </c>
      <c r="B90" s="561">
        <v>611.7999877929688</v>
      </c>
      <c r="C90" s="385">
        <v>0</v>
      </c>
      <c r="D90" s="385">
        <v>28</v>
      </c>
      <c r="E90" s="385">
        <v>0</v>
      </c>
      <c r="F90" s="385">
        <v>23804</v>
      </c>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row>
    <row r="91" spans="1:51" ht="12.75">
      <c r="A91" s="564">
        <v>39146164</v>
      </c>
      <c r="B91" s="561">
        <v>458.70001220703125</v>
      </c>
      <c r="C91" s="385">
        <v>0</v>
      </c>
      <c r="D91" s="385">
        <v>31</v>
      </c>
      <c r="E91" s="385">
        <v>0</v>
      </c>
      <c r="F91" s="385">
        <v>23812</v>
      </c>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row>
    <row r="92" spans="1:51" ht="12.75">
      <c r="A92" s="564">
        <v>33162782</v>
      </c>
      <c r="B92" s="561">
        <v>362.29998779296875</v>
      </c>
      <c r="C92" s="385">
        <v>0</v>
      </c>
      <c r="D92" s="385">
        <v>30</v>
      </c>
      <c r="E92" s="385">
        <v>1</v>
      </c>
      <c r="F92" s="385">
        <v>23826</v>
      </c>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5"/>
      <c r="AY92" s="385"/>
    </row>
    <row r="93" spans="1:51" ht="12.75">
      <c r="A93" s="564">
        <v>33144752</v>
      </c>
      <c r="B93" s="561">
        <v>208.10000610351562</v>
      </c>
      <c r="C93" s="385">
        <v>24.200000762939453</v>
      </c>
      <c r="D93" s="385">
        <v>31</v>
      </c>
      <c r="E93" s="385">
        <v>1</v>
      </c>
      <c r="F93" s="385">
        <v>23835</v>
      </c>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5"/>
      <c r="AY93" s="385"/>
    </row>
    <row r="94" spans="1:51" ht="12.75">
      <c r="A94" s="564">
        <v>34594856</v>
      </c>
      <c r="B94" s="561">
        <v>23.799999237060547</v>
      </c>
      <c r="C94" s="385">
        <v>97.69999694824219</v>
      </c>
      <c r="D94" s="385">
        <v>30</v>
      </c>
      <c r="E94" s="385">
        <v>1</v>
      </c>
      <c r="F94" s="385">
        <v>23849</v>
      </c>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5"/>
    </row>
    <row r="95" spans="1:51" ht="12.75">
      <c r="A95" s="564">
        <v>40573552</v>
      </c>
      <c r="B95" s="561">
        <v>0</v>
      </c>
      <c r="C95" s="385">
        <v>215.6999969482422</v>
      </c>
      <c r="D95" s="385">
        <v>31</v>
      </c>
      <c r="E95" s="385">
        <v>0</v>
      </c>
      <c r="F95" s="385">
        <v>23849</v>
      </c>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5"/>
      <c r="AY95" s="385"/>
    </row>
    <row r="96" spans="1:51" ht="12.75">
      <c r="A96" s="680">
        <v>38203280</v>
      </c>
      <c r="B96" s="561">
        <v>0.800000011920929</v>
      </c>
      <c r="C96" s="385">
        <v>126.69999694824219</v>
      </c>
      <c r="D96" s="385">
        <v>31</v>
      </c>
      <c r="E96" s="385">
        <v>0</v>
      </c>
      <c r="F96" s="385">
        <v>23863</v>
      </c>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5"/>
      <c r="AY96" s="385"/>
    </row>
    <row r="97" spans="1:51" ht="12.75">
      <c r="A97" s="680">
        <v>32819206</v>
      </c>
      <c r="B97" s="561">
        <v>69.0999984741211</v>
      </c>
      <c r="C97" s="385">
        <v>33.29999923706055</v>
      </c>
      <c r="D97" s="385">
        <v>30</v>
      </c>
      <c r="E97" s="385">
        <v>1</v>
      </c>
      <c r="F97" s="385">
        <v>23879</v>
      </c>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5"/>
      <c r="AY97" s="385"/>
    </row>
    <row r="98" spans="1:51" ht="12.75">
      <c r="A98" s="564">
        <v>35693648</v>
      </c>
      <c r="B98" s="561">
        <v>270.29998779296875</v>
      </c>
      <c r="C98" s="385">
        <v>0</v>
      </c>
      <c r="D98" s="385">
        <v>31</v>
      </c>
      <c r="E98" s="385">
        <v>1</v>
      </c>
      <c r="F98" s="385">
        <v>23905</v>
      </c>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row>
    <row r="99" spans="1:51" ht="12.75">
      <c r="A99" s="564">
        <v>36622836</v>
      </c>
      <c r="B99" s="561">
        <v>334.79998779296875</v>
      </c>
      <c r="C99" s="385">
        <v>0</v>
      </c>
      <c r="D99" s="385">
        <v>30</v>
      </c>
      <c r="E99" s="385">
        <v>1</v>
      </c>
      <c r="F99" s="385">
        <v>23929</v>
      </c>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5"/>
      <c r="AY99" s="385"/>
    </row>
    <row r="100" spans="1:51" ht="12.75">
      <c r="A100" s="564">
        <v>42343068</v>
      </c>
      <c r="B100" s="561">
        <v>567.2999877929688</v>
      </c>
      <c r="C100" s="385">
        <v>0</v>
      </c>
      <c r="D100" s="385">
        <v>31</v>
      </c>
      <c r="E100" s="385">
        <v>0</v>
      </c>
      <c r="F100" s="385">
        <v>23953</v>
      </c>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5"/>
      <c r="AY100" s="385"/>
    </row>
    <row r="101" spans="1:51" ht="12.75">
      <c r="A101" s="564">
        <v>43527340</v>
      </c>
      <c r="B101" s="561">
        <v>621</v>
      </c>
      <c r="C101" s="385">
        <v>0</v>
      </c>
      <c r="D101" s="385">
        <v>31</v>
      </c>
      <c r="E101" s="385">
        <v>0</v>
      </c>
      <c r="F101" s="385">
        <v>23977</v>
      </c>
      <c r="G101" s="385"/>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5"/>
      <c r="AY101" s="385"/>
    </row>
    <row r="102" spans="1:51" ht="12.75">
      <c r="A102" s="564">
        <v>41279332</v>
      </c>
      <c r="B102" s="561">
        <v>600.9000244140625</v>
      </c>
      <c r="C102" s="385">
        <v>0</v>
      </c>
      <c r="D102" s="385">
        <v>28</v>
      </c>
      <c r="E102" s="385">
        <v>0</v>
      </c>
      <c r="F102" s="385">
        <v>23994</v>
      </c>
      <c r="G102" s="385"/>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5"/>
      <c r="AY102" s="385"/>
    </row>
    <row r="103" spans="1:51" ht="12.75">
      <c r="A103" s="564">
        <v>40171240</v>
      </c>
      <c r="B103" s="561">
        <v>460.70001220703125</v>
      </c>
      <c r="C103" s="385">
        <v>0</v>
      </c>
      <c r="D103" s="385">
        <v>31</v>
      </c>
      <c r="E103" s="385">
        <v>0</v>
      </c>
      <c r="F103" s="385">
        <v>24011</v>
      </c>
      <c r="G103" s="385"/>
      <c r="H103" s="385"/>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5"/>
      <c r="AY103" s="385"/>
    </row>
    <row r="104" spans="1:51" ht="12.75">
      <c r="A104" s="564">
        <v>34273200</v>
      </c>
      <c r="B104" s="561">
        <v>302.3999938964844</v>
      </c>
      <c r="C104" s="385">
        <v>0</v>
      </c>
      <c r="D104" s="385">
        <v>30</v>
      </c>
      <c r="E104" s="385">
        <v>1</v>
      </c>
      <c r="F104" s="385">
        <v>24032</v>
      </c>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5"/>
    </row>
    <row r="105" spans="1:51" ht="12.75">
      <c r="A105" s="564">
        <v>33543166</v>
      </c>
      <c r="B105" s="561">
        <v>164.1999969482422</v>
      </c>
      <c r="C105" s="385">
        <v>27.899999618530273</v>
      </c>
      <c r="D105" s="385">
        <v>31</v>
      </c>
      <c r="E105" s="385">
        <v>1</v>
      </c>
      <c r="F105" s="385">
        <v>24037</v>
      </c>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row>
    <row r="106" spans="1:51" ht="12.75">
      <c r="A106" s="564">
        <v>37512788</v>
      </c>
      <c r="B106" s="561">
        <v>7</v>
      </c>
      <c r="C106" s="385">
        <v>122</v>
      </c>
      <c r="D106" s="385">
        <v>30</v>
      </c>
      <c r="E106" s="385">
        <v>1</v>
      </c>
      <c r="F106" s="385">
        <v>24076</v>
      </c>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row>
    <row r="107" spans="1:51" ht="12.75">
      <c r="A107" s="564">
        <v>38597540</v>
      </c>
      <c r="B107" s="561">
        <v>4.400000095367432</v>
      </c>
      <c r="C107" s="385">
        <v>101.69999694824219</v>
      </c>
      <c r="D107" s="385">
        <v>31</v>
      </c>
      <c r="E107" s="385">
        <v>0</v>
      </c>
      <c r="F107" s="385">
        <v>24079</v>
      </c>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85"/>
      <c r="AM107" s="385"/>
      <c r="AN107" s="385"/>
      <c r="AO107" s="385"/>
      <c r="AP107" s="385"/>
      <c r="AQ107" s="385"/>
      <c r="AR107" s="385"/>
      <c r="AS107" s="385"/>
      <c r="AT107" s="385"/>
      <c r="AU107" s="385"/>
      <c r="AV107" s="385"/>
      <c r="AW107" s="385"/>
      <c r="AX107" s="385"/>
      <c r="AY107" s="385"/>
    </row>
    <row r="108" spans="1:51" ht="12.75">
      <c r="A108" s="564">
        <v>40059212</v>
      </c>
      <c r="B108" s="561">
        <v>0</v>
      </c>
      <c r="C108" s="385">
        <v>178.5</v>
      </c>
      <c r="D108" s="385">
        <v>31</v>
      </c>
      <c r="E108" s="385">
        <v>0</v>
      </c>
      <c r="F108" s="385">
        <v>24109</v>
      </c>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5"/>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5"/>
      <c r="AY108" s="385"/>
    </row>
    <row r="109" spans="1:51" ht="12.75">
      <c r="A109" s="564">
        <v>34178604</v>
      </c>
      <c r="B109" s="561">
        <v>35.599998474121094</v>
      </c>
      <c r="C109" s="385">
        <v>24.899999618530273</v>
      </c>
      <c r="D109" s="385">
        <v>30</v>
      </c>
      <c r="E109" s="385">
        <v>1</v>
      </c>
      <c r="F109" s="385">
        <v>24136</v>
      </c>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85"/>
      <c r="AD109" s="385"/>
      <c r="AE109" s="385"/>
      <c r="AF109" s="385"/>
      <c r="AG109" s="385"/>
      <c r="AH109" s="385"/>
      <c r="AI109" s="385"/>
      <c r="AJ109" s="385"/>
      <c r="AK109" s="385"/>
      <c r="AL109" s="385"/>
      <c r="AM109" s="385"/>
      <c r="AN109" s="385"/>
      <c r="AO109" s="385"/>
      <c r="AP109" s="385"/>
      <c r="AQ109" s="385"/>
      <c r="AR109" s="385"/>
      <c r="AS109" s="385"/>
      <c r="AT109" s="385"/>
      <c r="AU109" s="385"/>
      <c r="AV109" s="385"/>
      <c r="AW109" s="385"/>
      <c r="AX109" s="385"/>
      <c r="AY109" s="385"/>
    </row>
    <row r="110" spans="1:51" ht="12.75">
      <c r="A110" s="564">
        <v>34477684</v>
      </c>
      <c r="B110" s="561">
        <v>145.1999969482422</v>
      </c>
      <c r="C110" s="385">
        <v>5.599999904632568</v>
      </c>
      <c r="D110" s="385">
        <v>31</v>
      </c>
      <c r="E110" s="385">
        <v>1</v>
      </c>
      <c r="F110" s="385">
        <v>24150</v>
      </c>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c r="AI110" s="385"/>
      <c r="AJ110" s="385"/>
      <c r="AK110" s="385"/>
      <c r="AL110" s="385"/>
      <c r="AM110" s="385"/>
      <c r="AN110" s="385"/>
      <c r="AO110" s="385"/>
      <c r="AP110" s="385"/>
      <c r="AQ110" s="385"/>
      <c r="AR110" s="385"/>
      <c r="AS110" s="385"/>
      <c r="AT110" s="385"/>
      <c r="AU110" s="385"/>
      <c r="AV110" s="385"/>
      <c r="AW110" s="385"/>
      <c r="AX110" s="385"/>
      <c r="AY110" s="385"/>
    </row>
    <row r="111" spans="1:51" ht="12.75">
      <c r="A111" s="564">
        <v>38088840</v>
      </c>
      <c r="B111" s="561">
        <v>413.70001220703125</v>
      </c>
      <c r="C111" s="385">
        <v>0</v>
      </c>
      <c r="D111" s="385">
        <v>30</v>
      </c>
      <c r="E111" s="385">
        <v>1</v>
      </c>
      <c r="F111" s="385">
        <v>24191</v>
      </c>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5"/>
      <c r="AH111" s="385"/>
      <c r="AI111" s="385"/>
      <c r="AJ111" s="385"/>
      <c r="AK111" s="385"/>
      <c r="AL111" s="385"/>
      <c r="AM111" s="385"/>
      <c r="AN111" s="385"/>
      <c r="AO111" s="385"/>
      <c r="AP111" s="385"/>
      <c r="AQ111" s="385"/>
      <c r="AR111" s="385"/>
      <c r="AS111" s="385"/>
      <c r="AT111" s="385"/>
      <c r="AU111" s="385"/>
      <c r="AV111" s="385"/>
      <c r="AW111" s="385"/>
      <c r="AX111" s="385"/>
      <c r="AY111" s="385"/>
    </row>
    <row r="112" spans="1:51" ht="12.75">
      <c r="A112" s="564">
        <v>41741160</v>
      </c>
      <c r="B112" s="561">
        <v>445.79998779296875</v>
      </c>
      <c r="C112" s="385">
        <v>0</v>
      </c>
      <c r="D112" s="385">
        <v>31</v>
      </c>
      <c r="E112" s="385">
        <v>0</v>
      </c>
      <c r="F112" s="385">
        <v>24202</v>
      </c>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5"/>
      <c r="AI112" s="385"/>
      <c r="AJ112" s="385"/>
      <c r="AK112" s="385"/>
      <c r="AL112" s="385"/>
      <c r="AM112" s="385"/>
      <c r="AN112" s="385"/>
      <c r="AO112" s="385"/>
      <c r="AP112" s="385"/>
      <c r="AQ112" s="385"/>
      <c r="AR112" s="385"/>
      <c r="AS112" s="385"/>
      <c r="AT112" s="385"/>
      <c r="AU112" s="385"/>
      <c r="AV112" s="385"/>
      <c r="AW112" s="385"/>
      <c r="AX112" s="385"/>
      <c r="AY112" s="385"/>
    </row>
    <row r="113" spans="1:51" ht="12.75">
      <c r="A113" s="564">
        <v>47203416</v>
      </c>
      <c r="B113" s="561">
        <v>737.0999755859375</v>
      </c>
      <c r="C113" s="385">
        <v>0</v>
      </c>
      <c r="D113" s="385">
        <v>31</v>
      </c>
      <c r="E113" s="385">
        <v>0</v>
      </c>
      <c r="F113" s="385">
        <v>24243</v>
      </c>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385"/>
      <c r="AE113" s="385"/>
      <c r="AF113" s="385"/>
      <c r="AG113" s="385"/>
      <c r="AH113" s="385"/>
      <c r="AI113" s="385"/>
      <c r="AJ113" s="385"/>
      <c r="AK113" s="385"/>
      <c r="AL113" s="385"/>
      <c r="AM113" s="385"/>
      <c r="AN113" s="385"/>
      <c r="AO113" s="385"/>
      <c r="AP113" s="385"/>
      <c r="AQ113" s="385"/>
      <c r="AR113" s="385"/>
      <c r="AS113" s="385"/>
      <c r="AT113" s="385"/>
      <c r="AU113" s="385"/>
      <c r="AV113" s="385"/>
      <c r="AW113" s="385"/>
      <c r="AX113" s="385"/>
      <c r="AY113" s="385"/>
    </row>
    <row r="114" spans="1:51" ht="12.75">
      <c r="A114" s="564">
        <v>41797636</v>
      </c>
      <c r="B114" s="561">
        <v>585.0999755859375</v>
      </c>
      <c r="C114" s="385">
        <v>0</v>
      </c>
      <c r="D114" s="385">
        <v>28</v>
      </c>
      <c r="E114" s="385">
        <v>0</v>
      </c>
      <c r="F114" s="385">
        <v>24248</v>
      </c>
      <c r="G114" s="385"/>
      <c r="H114" s="385"/>
      <c r="I114" s="385"/>
      <c r="J114" s="385"/>
      <c r="K114" s="385"/>
      <c r="L114" s="385"/>
      <c r="M114" s="385"/>
      <c r="N114" s="385"/>
      <c r="O114" s="385"/>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385"/>
      <c r="AK114" s="385"/>
      <c r="AL114" s="385"/>
      <c r="AM114" s="385"/>
      <c r="AN114" s="385"/>
      <c r="AO114" s="385"/>
      <c r="AP114" s="385"/>
      <c r="AQ114" s="385"/>
      <c r="AR114" s="385"/>
      <c r="AS114" s="385"/>
      <c r="AT114" s="385"/>
      <c r="AU114" s="385"/>
      <c r="AV114" s="385"/>
      <c r="AW114" s="385"/>
      <c r="AX114" s="385"/>
      <c r="AY114" s="385"/>
    </row>
    <row r="115" spans="1:51" ht="12.75">
      <c r="A115" s="564">
        <v>42551684</v>
      </c>
      <c r="B115" s="561">
        <v>523.9000244140625</v>
      </c>
      <c r="C115" s="385">
        <v>0</v>
      </c>
      <c r="D115" s="385">
        <v>31</v>
      </c>
      <c r="E115" s="385">
        <v>0</v>
      </c>
      <c r="F115" s="385">
        <v>24262</v>
      </c>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385"/>
      <c r="AL115" s="385"/>
      <c r="AM115" s="385"/>
      <c r="AN115" s="385"/>
      <c r="AO115" s="385"/>
      <c r="AP115" s="385"/>
      <c r="AQ115" s="385"/>
      <c r="AR115" s="385"/>
      <c r="AS115" s="385"/>
      <c r="AT115" s="385"/>
      <c r="AU115" s="385"/>
      <c r="AV115" s="385"/>
      <c r="AW115" s="385"/>
      <c r="AX115" s="385"/>
      <c r="AY115" s="385"/>
    </row>
    <row r="116" spans="1:51" ht="12.75">
      <c r="A116" s="564">
        <v>36094612</v>
      </c>
      <c r="B116" s="561">
        <v>327.8999938964844</v>
      </c>
      <c r="C116" s="385">
        <v>0</v>
      </c>
      <c r="D116" s="385">
        <v>30</v>
      </c>
      <c r="E116" s="385">
        <v>1</v>
      </c>
      <c r="F116" s="385">
        <v>24272</v>
      </c>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5"/>
      <c r="AN116" s="385"/>
      <c r="AO116" s="385"/>
      <c r="AP116" s="385"/>
      <c r="AQ116" s="385"/>
      <c r="AR116" s="385"/>
      <c r="AS116" s="385"/>
      <c r="AT116" s="385"/>
      <c r="AU116" s="385"/>
      <c r="AV116" s="385"/>
      <c r="AW116" s="385"/>
      <c r="AX116" s="385"/>
      <c r="AY116" s="385"/>
    </row>
    <row r="117" spans="1:51" ht="12.75">
      <c r="A117" s="564">
        <v>34287484</v>
      </c>
      <c r="B117" s="561">
        <v>98.19999694824219</v>
      </c>
      <c r="C117" s="385">
        <v>34.599998474121094</v>
      </c>
      <c r="D117" s="385">
        <v>31</v>
      </c>
      <c r="E117" s="385">
        <v>1</v>
      </c>
      <c r="F117" s="385">
        <v>24275</v>
      </c>
      <c r="G117" s="385"/>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5"/>
      <c r="AU117" s="385"/>
      <c r="AV117" s="385"/>
      <c r="AW117" s="385"/>
      <c r="AX117" s="385"/>
      <c r="AY117" s="385"/>
    </row>
    <row r="118" spans="1:51" ht="12.75">
      <c r="A118" s="564">
        <v>34727204</v>
      </c>
      <c r="B118" s="561">
        <v>17.700000762939453</v>
      </c>
      <c r="C118" s="385">
        <v>64.19999694824219</v>
      </c>
      <c r="D118" s="385">
        <v>30</v>
      </c>
      <c r="E118" s="385">
        <v>1</v>
      </c>
      <c r="F118" s="385">
        <v>24289</v>
      </c>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385"/>
      <c r="AL118" s="385"/>
      <c r="AM118" s="385"/>
      <c r="AN118" s="385"/>
      <c r="AO118" s="385"/>
      <c r="AP118" s="385"/>
      <c r="AQ118" s="385"/>
      <c r="AR118" s="385"/>
      <c r="AS118" s="385"/>
      <c r="AT118" s="385"/>
      <c r="AU118" s="385"/>
      <c r="AV118" s="385"/>
      <c r="AW118" s="385"/>
      <c r="AX118" s="385"/>
      <c r="AY118" s="385"/>
    </row>
    <row r="119" spans="1:51" ht="12.75">
      <c r="A119" s="564">
        <v>36965340</v>
      </c>
      <c r="B119" s="561">
        <v>0</v>
      </c>
      <c r="C119" s="385">
        <v>144.6999969482422</v>
      </c>
      <c r="D119" s="385">
        <v>31</v>
      </c>
      <c r="E119" s="385">
        <v>0</v>
      </c>
      <c r="F119" s="385">
        <v>24329</v>
      </c>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c r="AK119" s="385"/>
      <c r="AL119" s="385"/>
      <c r="AM119" s="385"/>
      <c r="AN119" s="385"/>
      <c r="AO119" s="385"/>
      <c r="AP119" s="385"/>
      <c r="AQ119" s="385"/>
      <c r="AR119" s="385"/>
      <c r="AS119" s="385"/>
      <c r="AT119" s="385"/>
      <c r="AU119" s="385"/>
      <c r="AV119" s="385"/>
      <c r="AW119" s="385"/>
      <c r="AX119" s="385"/>
      <c r="AY119" s="385"/>
    </row>
    <row r="120" spans="1:51" ht="12.75">
      <c r="A120" s="564">
        <v>38942956</v>
      </c>
      <c r="B120" s="561">
        <v>0</v>
      </c>
      <c r="C120" s="385">
        <v>140.5</v>
      </c>
      <c r="D120" s="385">
        <v>31</v>
      </c>
      <c r="E120" s="385">
        <v>0</v>
      </c>
      <c r="F120" s="385">
        <v>24533</v>
      </c>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5"/>
      <c r="AL120" s="385"/>
      <c r="AM120" s="385"/>
      <c r="AN120" s="385"/>
      <c r="AO120" s="385"/>
      <c r="AP120" s="385"/>
      <c r="AQ120" s="385"/>
      <c r="AR120" s="385"/>
      <c r="AS120" s="385"/>
      <c r="AT120" s="385"/>
      <c r="AU120" s="385"/>
      <c r="AV120" s="385"/>
      <c r="AW120" s="385"/>
      <c r="AX120" s="385"/>
      <c r="AY120" s="385"/>
    </row>
    <row r="121" spans="1:51" ht="12.75">
      <c r="A121" s="564">
        <v>34315276</v>
      </c>
      <c r="B121" s="561">
        <v>52.29999923706055</v>
      </c>
      <c r="C121" s="385">
        <v>46.099998474121094</v>
      </c>
      <c r="D121" s="385">
        <v>30</v>
      </c>
      <c r="E121" s="385">
        <v>1</v>
      </c>
      <c r="F121" s="385">
        <v>24361</v>
      </c>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5"/>
      <c r="AY121" s="385"/>
    </row>
    <row r="122" spans="1:51" ht="12.75">
      <c r="A122" s="564">
        <v>34341916</v>
      </c>
      <c r="B122" s="561">
        <v>236.6999969482422</v>
      </c>
      <c r="C122" s="561">
        <v>0.20000000298023224</v>
      </c>
      <c r="D122" s="385">
        <v>31</v>
      </c>
      <c r="E122" s="385">
        <v>1</v>
      </c>
      <c r="F122" s="385">
        <v>24381</v>
      </c>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5"/>
      <c r="AJ122" s="385"/>
      <c r="AK122" s="385"/>
      <c r="AL122" s="385"/>
      <c r="AM122" s="385"/>
      <c r="AN122" s="385"/>
      <c r="AO122" s="385"/>
      <c r="AP122" s="385"/>
      <c r="AQ122" s="385"/>
      <c r="AR122" s="385"/>
      <c r="AS122" s="385"/>
      <c r="AT122" s="385"/>
      <c r="AU122" s="385"/>
      <c r="AV122" s="385"/>
      <c r="AW122" s="385"/>
      <c r="AX122" s="385"/>
      <c r="AY122" s="385"/>
    </row>
    <row r="123" spans="1:51" ht="12.75">
      <c r="A123" s="564">
        <v>37142392</v>
      </c>
      <c r="B123" s="561">
        <v>380.1000061035156</v>
      </c>
      <c r="C123" s="385">
        <v>0.8999999761581421</v>
      </c>
      <c r="D123" s="385">
        <v>30</v>
      </c>
      <c r="E123" s="385">
        <v>1</v>
      </c>
      <c r="F123" s="385">
        <v>24402</v>
      </c>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c r="AM123" s="385"/>
      <c r="AN123" s="385"/>
      <c r="AO123" s="385"/>
      <c r="AP123" s="385"/>
      <c r="AQ123" s="385"/>
      <c r="AR123" s="385"/>
      <c r="AS123" s="385"/>
      <c r="AT123" s="385"/>
      <c r="AU123" s="385"/>
      <c r="AV123" s="385"/>
      <c r="AW123" s="385"/>
      <c r="AX123" s="385"/>
      <c r="AY123" s="385"/>
    </row>
    <row r="124" spans="1:51" ht="12.75">
      <c r="A124" s="564">
        <v>42267056</v>
      </c>
      <c r="B124" s="561">
        <v>544</v>
      </c>
      <c r="C124" s="385">
        <v>0</v>
      </c>
      <c r="D124" s="385">
        <v>31</v>
      </c>
      <c r="E124" s="385">
        <v>0</v>
      </c>
      <c r="F124" s="385">
        <v>24429</v>
      </c>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85"/>
      <c r="AL124" s="385"/>
      <c r="AM124" s="385"/>
      <c r="AN124" s="385"/>
      <c r="AO124" s="385"/>
      <c r="AP124" s="385"/>
      <c r="AQ124" s="385"/>
      <c r="AR124" s="385"/>
      <c r="AS124" s="385"/>
      <c r="AT124" s="385"/>
      <c r="AU124" s="385"/>
      <c r="AV124" s="385"/>
      <c r="AW124" s="385"/>
      <c r="AX124" s="385"/>
      <c r="AY124" s="385"/>
    </row>
    <row r="125" spans="1:51" ht="12.75">
      <c r="A125" s="384"/>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85"/>
      <c r="AJ125" s="385"/>
      <c r="AK125" s="385"/>
      <c r="AL125" s="385"/>
      <c r="AM125" s="385"/>
      <c r="AN125" s="385"/>
      <c r="AO125" s="385"/>
      <c r="AP125" s="385"/>
      <c r="AQ125" s="385"/>
      <c r="AR125" s="385"/>
      <c r="AS125" s="385"/>
      <c r="AT125" s="385"/>
      <c r="AU125" s="385"/>
      <c r="AV125" s="385"/>
      <c r="AW125" s="385"/>
      <c r="AX125" s="385"/>
      <c r="AY125" s="385"/>
    </row>
    <row r="126" spans="1:51" ht="12.75">
      <c r="A126" s="384"/>
      <c r="B126" s="385"/>
      <c r="C126" s="385"/>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5"/>
      <c r="AY126" s="385"/>
    </row>
    <row r="127" spans="1:51" ht="12.75">
      <c r="A127" s="384"/>
      <c r="B127" s="385"/>
      <c r="C127" s="385"/>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85"/>
      <c r="AN127" s="385"/>
      <c r="AO127" s="385"/>
      <c r="AP127" s="385"/>
      <c r="AQ127" s="385"/>
      <c r="AR127" s="385"/>
      <c r="AS127" s="385"/>
      <c r="AT127" s="385"/>
      <c r="AU127" s="385"/>
      <c r="AV127" s="385"/>
      <c r="AW127" s="385"/>
      <c r="AX127" s="385"/>
      <c r="AY127" s="385"/>
    </row>
    <row r="128" spans="1:51" ht="12.75">
      <c r="A128" s="384"/>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5"/>
      <c r="AY128" s="385"/>
    </row>
    <row r="129" spans="1:51" ht="12.75">
      <c r="A129" s="384"/>
      <c r="B129" s="385"/>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385"/>
      <c r="AL129" s="385"/>
      <c r="AM129" s="385"/>
      <c r="AN129" s="385"/>
      <c r="AO129" s="385"/>
      <c r="AP129" s="385"/>
      <c r="AQ129" s="385"/>
      <c r="AR129" s="385"/>
      <c r="AS129" s="385"/>
      <c r="AT129" s="385"/>
      <c r="AU129" s="385"/>
      <c r="AV129" s="385"/>
      <c r="AW129" s="385"/>
      <c r="AX129" s="385"/>
      <c r="AY129" s="385"/>
    </row>
    <row r="130" spans="1:51" ht="12.75">
      <c r="A130" s="384"/>
      <c r="B130" s="385"/>
      <c r="C130" s="385"/>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5"/>
      <c r="AJ130" s="385"/>
      <c r="AK130" s="385"/>
      <c r="AL130" s="385"/>
      <c r="AM130" s="385"/>
      <c r="AN130" s="385"/>
      <c r="AO130" s="385"/>
      <c r="AP130" s="385"/>
      <c r="AQ130" s="385"/>
      <c r="AR130" s="385"/>
      <c r="AS130" s="385"/>
      <c r="AT130" s="385"/>
      <c r="AU130" s="385"/>
      <c r="AV130" s="385"/>
      <c r="AW130" s="385"/>
      <c r="AX130" s="385"/>
      <c r="AY130" s="385"/>
    </row>
    <row r="131" spans="1:51" ht="12.75">
      <c r="A131" s="384"/>
      <c r="B131" s="385"/>
      <c r="C131" s="385"/>
      <c r="D131" s="385"/>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85"/>
      <c r="AD131" s="385"/>
      <c r="AE131" s="385"/>
      <c r="AF131" s="385"/>
      <c r="AG131" s="385"/>
      <c r="AH131" s="385"/>
      <c r="AI131" s="385"/>
      <c r="AJ131" s="385"/>
      <c r="AK131" s="385"/>
      <c r="AL131" s="385"/>
      <c r="AM131" s="385"/>
      <c r="AN131" s="385"/>
      <c r="AO131" s="385"/>
      <c r="AP131" s="385"/>
      <c r="AQ131" s="385"/>
      <c r="AR131" s="385"/>
      <c r="AS131" s="385"/>
      <c r="AT131" s="385"/>
      <c r="AU131" s="385"/>
      <c r="AV131" s="385"/>
      <c r="AW131" s="385"/>
      <c r="AX131" s="385"/>
      <c r="AY131" s="385"/>
    </row>
    <row r="132" spans="1:51" ht="12.75">
      <c r="A132" s="384"/>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5"/>
      <c r="AY132" s="385"/>
    </row>
    <row r="133" spans="1:51" ht="12.75">
      <c r="A133" s="384"/>
      <c r="B133" s="385"/>
      <c r="C133" s="385"/>
      <c r="D133" s="385"/>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385"/>
      <c r="AJ133" s="385"/>
      <c r="AK133" s="385"/>
      <c r="AL133" s="385"/>
      <c r="AM133" s="385"/>
      <c r="AN133" s="385"/>
      <c r="AO133" s="385"/>
      <c r="AP133" s="385"/>
      <c r="AQ133" s="385"/>
      <c r="AR133" s="385"/>
      <c r="AS133" s="385"/>
      <c r="AT133" s="385"/>
      <c r="AU133" s="385"/>
      <c r="AV133" s="385"/>
      <c r="AW133" s="385"/>
      <c r="AX133" s="385"/>
      <c r="AY133" s="385"/>
    </row>
    <row r="134" spans="1:51" ht="12.75">
      <c r="A134" s="384"/>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5"/>
      <c r="AY134" s="385"/>
    </row>
    <row r="135" spans="1:51" ht="12.75">
      <c r="A135" s="384"/>
      <c r="B135" s="385"/>
      <c r="C135" s="385"/>
      <c r="D135" s="385"/>
      <c r="E135" s="385"/>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5"/>
      <c r="AI135" s="385"/>
      <c r="AJ135" s="385"/>
      <c r="AK135" s="385"/>
      <c r="AL135" s="385"/>
      <c r="AM135" s="385"/>
      <c r="AN135" s="385"/>
      <c r="AO135" s="385"/>
      <c r="AP135" s="385"/>
      <c r="AQ135" s="385"/>
      <c r="AR135" s="385"/>
      <c r="AS135" s="385"/>
      <c r="AT135" s="385"/>
      <c r="AU135" s="385"/>
      <c r="AV135" s="385"/>
      <c r="AW135" s="385"/>
      <c r="AX135" s="385"/>
      <c r="AY135" s="385"/>
    </row>
    <row r="136" spans="1:51" ht="12.75">
      <c r="A136" s="384"/>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5"/>
      <c r="AY136" s="385"/>
    </row>
    <row r="137" spans="1:51" ht="12.75">
      <c r="A137" s="384"/>
      <c r="B137" s="385"/>
      <c r="C137" s="385"/>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5"/>
      <c r="AH137" s="385"/>
      <c r="AI137" s="385"/>
      <c r="AJ137" s="385"/>
      <c r="AK137" s="385"/>
      <c r="AL137" s="385"/>
      <c r="AM137" s="385"/>
      <c r="AN137" s="385"/>
      <c r="AO137" s="385"/>
      <c r="AP137" s="385"/>
      <c r="AQ137" s="385"/>
      <c r="AR137" s="385"/>
      <c r="AS137" s="385"/>
      <c r="AT137" s="385"/>
      <c r="AU137" s="385"/>
      <c r="AV137" s="385"/>
      <c r="AW137" s="385"/>
      <c r="AX137" s="385"/>
      <c r="AY137" s="385"/>
    </row>
    <row r="138" spans="1:51" ht="12.75">
      <c r="A138" s="384"/>
      <c r="B138" s="385"/>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385"/>
      <c r="AC138" s="385"/>
      <c r="AD138" s="385"/>
      <c r="AE138" s="385"/>
      <c r="AF138" s="385"/>
      <c r="AG138" s="385"/>
      <c r="AH138" s="385"/>
      <c r="AI138" s="385"/>
      <c r="AJ138" s="385"/>
      <c r="AK138" s="385"/>
      <c r="AL138" s="385"/>
      <c r="AM138" s="385"/>
      <c r="AN138" s="385"/>
      <c r="AO138" s="385"/>
      <c r="AP138" s="385"/>
      <c r="AQ138" s="385"/>
      <c r="AR138" s="385"/>
      <c r="AS138" s="385"/>
      <c r="AT138" s="385"/>
      <c r="AU138" s="385"/>
      <c r="AV138" s="385"/>
      <c r="AW138" s="385"/>
      <c r="AX138" s="385"/>
      <c r="AY138" s="385"/>
    </row>
    <row r="139" spans="1:51" ht="12.75">
      <c r="A139" s="384"/>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5"/>
      <c r="AK139" s="385"/>
      <c r="AL139" s="385"/>
      <c r="AM139" s="385"/>
      <c r="AN139" s="385"/>
      <c r="AO139" s="385"/>
      <c r="AP139" s="385"/>
      <c r="AQ139" s="385"/>
      <c r="AR139" s="385"/>
      <c r="AS139" s="385"/>
      <c r="AT139" s="385"/>
      <c r="AU139" s="385"/>
      <c r="AV139" s="385"/>
      <c r="AW139" s="385"/>
      <c r="AX139" s="385"/>
      <c r="AY139" s="385"/>
    </row>
    <row r="140" spans="1:51" ht="12.75">
      <c r="A140" s="384"/>
      <c r="B140" s="385"/>
      <c r="C140" s="385"/>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5"/>
      <c r="AI140" s="385"/>
      <c r="AJ140" s="385"/>
      <c r="AK140" s="385"/>
      <c r="AL140" s="385"/>
      <c r="AM140" s="385"/>
      <c r="AN140" s="385"/>
      <c r="AO140" s="385"/>
      <c r="AP140" s="385"/>
      <c r="AQ140" s="385"/>
      <c r="AR140" s="385"/>
      <c r="AS140" s="385"/>
      <c r="AT140" s="385"/>
      <c r="AU140" s="385"/>
      <c r="AV140" s="385"/>
      <c r="AW140" s="385"/>
      <c r="AX140" s="385"/>
      <c r="AY140" s="385"/>
    </row>
    <row r="141" spans="1:51" ht="12.75">
      <c r="A141" s="384"/>
      <c r="B141" s="385"/>
      <c r="C141" s="385"/>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c r="AM141" s="385"/>
      <c r="AN141" s="385"/>
      <c r="AO141" s="385"/>
      <c r="AP141" s="385"/>
      <c r="AQ141" s="385"/>
      <c r="AR141" s="385"/>
      <c r="AS141" s="385"/>
      <c r="AT141" s="385"/>
      <c r="AU141" s="385"/>
      <c r="AV141" s="385"/>
      <c r="AW141" s="385"/>
      <c r="AX141" s="385"/>
      <c r="AY141" s="385"/>
    </row>
    <row r="142" spans="1:51" ht="12.75">
      <c r="A142" s="384"/>
      <c r="B142" s="385"/>
      <c r="C142" s="385"/>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5"/>
      <c r="AG142" s="385"/>
      <c r="AH142" s="385"/>
      <c r="AI142" s="385"/>
      <c r="AJ142" s="385"/>
      <c r="AK142" s="385"/>
      <c r="AL142" s="385"/>
      <c r="AM142" s="385"/>
      <c r="AN142" s="385"/>
      <c r="AO142" s="385"/>
      <c r="AP142" s="385"/>
      <c r="AQ142" s="385"/>
      <c r="AR142" s="385"/>
      <c r="AS142" s="385"/>
      <c r="AT142" s="385"/>
      <c r="AU142" s="385"/>
      <c r="AV142" s="385"/>
      <c r="AW142" s="385"/>
      <c r="AX142" s="385"/>
      <c r="AY142" s="385"/>
    </row>
    <row r="143" spans="1:51" ht="12.75">
      <c r="A143" s="384"/>
      <c r="B143" s="385"/>
      <c r="C143" s="385"/>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385"/>
      <c r="AL143" s="385"/>
      <c r="AM143" s="385"/>
      <c r="AN143" s="385"/>
      <c r="AO143" s="385"/>
      <c r="AP143" s="385"/>
      <c r="AQ143" s="385"/>
      <c r="AR143" s="385"/>
      <c r="AS143" s="385"/>
      <c r="AT143" s="385"/>
      <c r="AU143" s="385"/>
      <c r="AV143" s="385"/>
      <c r="AW143" s="385"/>
      <c r="AX143" s="385"/>
      <c r="AY143" s="385"/>
    </row>
    <row r="144" spans="1:51" ht="12.75">
      <c r="A144" s="384"/>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row>
    <row r="145" spans="1:51" ht="12.75">
      <c r="A145" s="384"/>
      <c r="B145" s="385"/>
      <c r="C145" s="385"/>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N145" s="385"/>
      <c r="AO145" s="385"/>
      <c r="AP145" s="385"/>
      <c r="AQ145" s="385"/>
      <c r="AR145" s="385"/>
      <c r="AS145" s="385"/>
      <c r="AT145" s="385"/>
      <c r="AU145" s="385"/>
      <c r="AV145" s="385"/>
      <c r="AW145" s="385"/>
      <c r="AX145" s="385"/>
      <c r="AY145" s="385"/>
    </row>
    <row r="146" spans="1:51" ht="12.75">
      <c r="A146" s="384"/>
      <c r="B146" s="385"/>
      <c r="C146" s="385"/>
      <c r="D146" s="385"/>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c r="AB146" s="385"/>
      <c r="AC146" s="385"/>
      <c r="AD146" s="385"/>
      <c r="AE146" s="385"/>
      <c r="AF146" s="385"/>
      <c r="AG146" s="385"/>
      <c r="AH146" s="385"/>
      <c r="AI146" s="385"/>
      <c r="AJ146" s="385"/>
      <c r="AK146" s="385"/>
      <c r="AL146" s="385"/>
      <c r="AM146" s="385"/>
      <c r="AN146" s="385"/>
      <c r="AO146" s="385"/>
      <c r="AP146" s="385"/>
      <c r="AQ146" s="385"/>
      <c r="AR146" s="385"/>
      <c r="AS146" s="385"/>
      <c r="AT146" s="385"/>
      <c r="AU146" s="385"/>
      <c r="AV146" s="385"/>
      <c r="AW146" s="385"/>
      <c r="AX146" s="385"/>
      <c r="AY146" s="385"/>
    </row>
    <row r="147" spans="1:51" ht="12.75">
      <c r="A147" s="384"/>
      <c r="B147" s="385"/>
      <c r="C147" s="385"/>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5"/>
      <c r="AY147" s="385"/>
    </row>
    <row r="148" spans="1:51" ht="12.75">
      <c r="A148" s="384"/>
      <c r="B148" s="385"/>
      <c r="C148" s="385"/>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85"/>
      <c r="AG148" s="385"/>
      <c r="AH148" s="385"/>
      <c r="AI148" s="385"/>
      <c r="AJ148" s="385"/>
      <c r="AK148" s="385"/>
      <c r="AL148" s="385"/>
      <c r="AM148" s="385"/>
      <c r="AN148" s="385"/>
      <c r="AO148" s="385"/>
      <c r="AP148" s="385"/>
      <c r="AQ148" s="385"/>
      <c r="AR148" s="385"/>
      <c r="AS148" s="385"/>
      <c r="AT148" s="385"/>
      <c r="AU148" s="385"/>
      <c r="AV148" s="385"/>
      <c r="AW148" s="385"/>
      <c r="AX148" s="385"/>
      <c r="AY148" s="385"/>
    </row>
    <row r="149" spans="1:51" ht="12.75">
      <c r="A149" s="384"/>
      <c r="B149" s="385"/>
      <c r="C149" s="385"/>
      <c r="D149" s="385"/>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c r="AB149" s="385"/>
      <c r="AC149" s="385"/>
      <c r="AD149" s="385"/>
      <c r="AE149" s="385"/>
      <c r="AF149" s="385"/>
      <c r="AG149" s="385"/>
      <c r="AH149" s="385"/>
      <c r="AI149" s="385"/>
      <c r="AJ149" s="385"/>
      <c r="AK149" s="385"/>
      <c r="AL149" s="385"/>
      <c r="AM149" s="385"/>
      <c r="AN149" s="385"/>
      <c r="AO149" s="385"/>
      <c r="AP149" s="385"/>
      <c r="AQ149" s="385"/>
      <c r="AR149" s="385"/>
      <c r="AS149" s="385"/>
      <c r="AT149" s="385"/>
      <c r="AU149" s="385"/>
      <c r="AV149" s="385"/>
      <c r="AW149" s="385"/>
      <c r="AX149" s="385"/>
      <c r="AY149" s="385"/>
    </row>
    <row r="150" spans="1:51" ht="12.75">
      <c r="A150" s="384"/>
      <c r="B150" s="385"/>
      <c r="C150" s="385"/>
      <c r="D150" s="385"/>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c r="AB150" s="385"/>
      <c r="AC150" s="385"/>
      <c r="AD150" s="385"/>
      <c r="AE150" s="385"/>
      <c r="AF150" s="385"/>
      <c r="AG150" s="385"/>
      <c r="AH150" s="385"/>
      <c r="AI150" s="385"/>
      <c r="AJ150" s="385"/>
      <c r="AK150" s="385"/>
      <c r="AL150" s="385"/>
      <c r="AM150" s="385"/>
      <c r="AN150" s="385"/>
      <c r="AO150" s="385"/>
      <c r="AP150" s="385"/>
      <c r="AQ150" s="385"/>
      <c r="AR150" s="385"/>
      <c r="AS150" s="385"/>
      <c r="AT150" s="385"/>
      <c r="AU150" s="385"/>
      <c r="AV150" s="385"/>
      <c r="AW150" s="385"/>
      <c r="AX150" s="385"/>
      <c r="AY150" s="385"/>
    </row>
    <row r="151" spans="1:51" ht="12.75">
      <c r="A151" s="384"/>
      <c r="B151" s="385"/>
      <c r="C151" s="385"/>
      <c r="D151" s="385"/>
      <c r="E151" s="385"/>
      <c r="F151" s="385"/>
      <c r="G151" s="385"/>
      <c r="H151" s="385"/>
      <c r="I151" s="385"/>
      <c r="J151" s="385"/>
      <c r="K151" s="385"/>
      <c r="L151" s="385"/>
      <c r="M151" s="385"/>
      <c r="N151" s="385"/>
      <c r="O151" s="385"/>
      <c r="P151" s="385"/>
      <c r="Q151" s="385"/>
      <c r="R151" s="385"/>
      <c r="S151" s="385"/>
      <c r="T151" s="385"/>
      <c r="U151" s="385"/>
      <c r="V151" s="385"/>
      <c r="W151" s="385"/>
      <c r="X151" s="385"/>
      <c r="Y151" s="385"/>
      <c r="Z151" s="385"/>
      <c r="AA151" s="385"/>
      <c r="AB151" s="385"/>
      <c r="AC151" s="385"/>
      <c r="AD151" s="385"/>
      <c r="AE151" s="385"/>
      <c r="AF151" s="385"/>
      <c r="AG151" s="385"/>
      <c r="AH151" s="385"/>
      <c r="AI151" s="385"/>
      <c r="AJ151" s="385"/>
      <c r="AK151" s="385"/>
      <c r="AL151" s="385"/>
      <c r="AM151" s="385"/>
      <c r="AN151" s="385"/>
      <c r="AO151" s="385"/>
      <c r="AP151" s="385"/>
      <c r="AQ151" s="385"/>
      <c r="AR151" s="385"/>
      <c r="AS151" s="385"/>
      <c r="AT151" s="385"/>
      <c r="AU151" s="385"/>
      <c r="AV151" s="385"/>
      <c r="AW151" s="385"/>
      <c r="AX151" s="385"/>
      <c r="AY151" s="385"/>
    </row>
    <row r="152" spans="1:51" ht="12.75">
      <c r="A152" s="384"/>
      <c r="B152" s="385"/>
      <c r="C152" s="385"/>
      <c r="D152" s="385"/>
      <c r="E152" s="385"/>
      <c r="F152" s="385"/>
      <c r="G152" s="385"/>
      <c r="H152" s="385"/>
      <c r="I152" s="385"/>
      <c r="J152" s="385"/>
      <c r="K152" s="385"/>
      <c r="L152" s="385"/>
      <c r="M152" s="385"/>
      <c r="N152" s="385"/>
      <c r="O152" s="385"/>
      <c r="P152" s="385"/>
      <c r="Q152" s="385"/>
      <c r="R152" s="385"/>
      <c r="S152" s="385"/>
      <c r="T152" s="385"/>
      <c r="U152" s="385"/>
      <c r="V152" s="385"/>
      <c r="W152" s="385"/>
      <c r="X152" s="385"/>
      <c r="Y152" s="385"/>
      <c r="Z152" s="385"/>
      <c r="AA152" s="385"/>
      <c r="AB152" s="385"/>
      <c r="AC152" s="385"/>
      <c r="AD152" s="385"/>
      <c r="AE152" s="385"/>
      <c r="AF152" s="385"/>
      <c r="AG152" s="385"/>
      <c r="AH152" s="385"/>
      <c r="AI152" s="385"/>
      <c r="AJ152" s="385"/>
      <c r="AK152" s="385"/>
      <c r="AL152" s="385"/>
      <c r="AM152" s="385"/>
      <c r="AN152" s="385"/>
      <c r="AO152" s="385"/>
      <c r="AP152" s="385"/>
      <c r="AQ152" s="385"/>
      <c r="AR152" s="385"/>
      <c r="AS152" s="385"/>
      <c r="AT152" s="385"/>
      <c r="AU152" s="385"/>
      <c r="AV152" s="385"/>
      <c r="AW152" s="385"/>
      <c r="AX152" s="385"/>
      <c r="AY152" s="385"/>
    </row>
    <row r="153" spans="1:51" ht="12.75">
      <c r="A153" s="384"/>
      <c r="B153" s="385"/>
      <c r="C153" s="385"/>
      <c r="D153" s="385"/>
      <c r="E153" s="385"/>
      <c r="F153" s="385"/>
      <c r="G153" s="385"/>
      <c r="H153" s="385"/>
      <c r="I153" s="385"/>
      <c r="J153" s="385"/>
      <c r="K153" s="385"/>
      <c r="L153" s="385"/>
      <c r="M153" s="385"/>
      <c r="N153" s="385"/>
      <c r="O153" s="385"/>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c r="AK153" s="385"/>
      <c r="AL153" s="385"/>
      <c r="AM153" s="385"/>
      <c r="AN153" s="385"/>
      <c r="AO153" s="385"/>
      <c r="AP153" s="385"/>
      <c r="AQ153" s="385"/>
      <c r="AR153" s="385"/>
      <c r="AS153" s="385"/>
      <c r="AT153" s="385"/>
      <c r="AU153" s="385"/>
      <c r="AV153" s="385"/>
      <c r="AW153" s="385"/>
      <c r="AX153" s="385"/>
      <c r="AY153" s="385"/>
    </row>
    <row r="154" spans="1:51" ht="12.75">
      <c r="A154" s="384"/>
      <c r="B154" s="385"/>
      <c r="C154" s="385"/>
      <c r="D154" s="385"/>
      <c r="E154" s="385"/>
      <c r="F154" s="385"/>
      <c r="G154" s="385"/>
      <c r="H154" s="385"/>
      <c r="I154" s="385"/>
      <c r="J154" s="385"/>
      <c r="K154" s="385"/>
      <c r="L154" s="385"/>
      <c r="M154" s="385"/>
      <c r="N154" s="385"/>
      <c r="O154" s="385"/>
      <c r="P154" s="385"/>
      <c r="Q154" s="385"/>
      <c r="R154" s="385"/>
      <c r="S154" s="385"/>
      <c r="T154" s="385"/>
      <c r="U154" s="385"/>
      <c r="V154" s="385"/>
      <c r="W154" s="385"/>
      <c r="X154" s="385"/>
      <c r="Y154" s="385"/>
      <c r="Z154" s="385"/>
      <c r="AA154" s="385"/>
      <c r="AB154" s="385"/>
      <c r="AC154" s="385"/>
      <c r="AD154" s="385"/>
      <c r="AE154" s="385"/>
      <c r="AF154" s="385"/>
      <c r="AG154" s="385"/>
      <c r="AH154" s="385"/>
      <c r="AI154" s="385"/>
      <c r="AJ154" s="385"/>
      <c r="AK154" s="385"/>
      <c r="AL154" s="385"/>
      <c r="AM154" s="385"/>
      <c r="AN154" s="385"/>
      <c r="AO154" s="385"/>
      <c r="AP154" s="385"/>
      <c r="AQ154" s="385"/>
      <c r="AR154" s="385"/>
      <c r="AS154" s="385"/>
      <c r="AT154" s="385"/>
      <c r="AU154" s="385"/>
      <c r="AV154" s="385"/>
      <c r="AW154" s="385"/>
      <c r="AX154" s="385"/>
      <c r="AY154" s="385"/>
    </row>
    <row r="155" spans="1:51" ht="12.75">
      <c r="A155" s="384"/>
      <c r="B155" s="385"/>
      <c r="C155" s="385"/>
      <c r="D155" s="385"/>
      <c r="E155" s="385"/>
      <c r="F155" s="385"/>
      <c r="G155" s="385"/>
      <c r="H155" s="385"/>
      <c r="I155" s="385"/>
      <c r="J155" s="385"/>
      <c r="K155" s="385"/>
      <c r="L155" s="385"/>
      <c r="M155" s="385"/>
      <c r="N155" s="385"/>
      <c r="O155" s="385"/>
      <c r="P155" s="385"/>
      <c r="Q155" s="385"/>
      <c r="R155" s="385"/>
      <c r="S155" s="385"/>
      <c r="T155" s="385"/>
      <c r="U155" s="385"/>
      <c r="V155" s="385"/>
      <c r="W155" s="385"/>
      <c r="X155" s="385"/>
      <c r="Y155" s="385"/>
      <c r="Z155" s="385"/>
      <c r="AA155" s="385"/>
      <c r="AB155" s="385"/>
      <c r="AC155" s="385"/>
      <c r="AD155" s="385"/>
      <c r="AE155" s="385"/>
      <c r="AF155" s="385"/>
      <c r="AG155" s="385"/>
      <c r="AH155" s="385"/>
      <c r="AI155" s="385"/>
      <c r="AJ155" s="385"/>
      <c r="AK155" s="385"/>
      <c r="AL155" s="385"/>
      <c r="AM155" s="385"/>
      <c r="AN155" s="385"/>
      <c r="AO155" s="385"/>
      <c r="AP155" s="385"/>
      <c r="AQ155" s="385"/>
      <c r="AR155" s="385"/>
      <c r="AS155" s="385"/>
      <c r="AT155" s="385"/>
      <c r="AU155" s="385"/>
      <c r="AV155" s="385"/>
      <c r="AW155" s="385"/>
      <c r="AX155" s="385"/>
      <c r="AY155" s="385"/>
    </row>
    <row r="156" spans="1:51" ht="12.75">
      <c r="A156" s="384"/>
      <c r="B156" s="385"/>
      <c r="C156" s="385"/>
      <c r="D156" s="385"/>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c r="AA156" s="385"/>
      <c r="AB156" s="385"/>
      <c r="AC156" s="385"/>
      <c r="AD156" s="385"/>
      <c r="AE156" s="385"/>
      <c r="AF156" s="385"/>
      <c r="AG156" s="385"/>
      <c r="AH156" s="385"/>
      <c r="AI156" s="385"/>
      <c r="AJ156" s="385"/>
      <c r="AK156" s="385"/>
      <c r="AL156" s="385"/>
      <c r="AM156" s="385"/>
      <c r="AN156" s="385"/>
      <c r="AO156" s="385"/>
      <c r="AP156" s="385"/>
      <c r="AQ156" s="385"/>
      <c r="AR156" s="385"/>
      <c r="AS156" s="385"/>
      <c r="AT156" s="385"/>
      <c r="AU156" s="385"/>
      <c r="AV156" s="385"/>
      <c r="AW156" s="385"/>
      <c r="AX156" s="385"/>
      <c r="AY156" s="385"/>
    </row>
    <row r="157" spans="1:51" ht="12.75">
      <c r="A157" s="384"/>
      <c r="B157" s="385"/>
      <c r="C157" s="385"/>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385"/>
      <c r="AU157" s="385"/>
      <c r="AV157" s="385"/>
      <c r="AW157" s="385"/>
      <c r="AX157" s="385"/>
      <c r="AY157" s="385"/>
    </row>
    <row r="158" spans="1:51" ht="12.75">
      <c r="A158" s="384"/>
      <c r="B158" s="385"/>
      <c r="C158" s="385"/>
      <c r="D158" s="385"/>
      <c r="E158" s="385"/>
      <c r="F158" s="385"/>
      <c r="G158" s="385"/>
      <c r="H158" s="385"/>
      <c r="I158" s="385"/>
      <c r="J158" s="385"/>
      <c r="K158" s="385"/>
      <c r="L158" s="385"/>
      <c r="M158" s="385"/>
      <c r="N158" s="385"/>
      <c r="O158" s="385"/>
      <c r="P158" s="385"/>
      <c r="Q158" s="385"/>
      <c r="R158" s="385"/>
      <c r="S158" s="385"/>
      <c r="T158" s="385"/>
      <c r="U158" s="385"/>
      <c r="V158" s="385"/>
      <c r="W158" s="385"/>
      <c r="X158" s="385"/>
      <c r="Y158" s="385"/>
      <c r="Z158" s="385"/>
      <c r="AA158" s="385"/>
      <c r="AB158" s="385"/>
      <c r="AC158" s="385"/>
      <c r="AD158" s="385"/>
      <c r="AE158" s="385"/>
      <c r="AF158" s="385"/>
      <c r="AG158" s="385"/>
      <c r="AH158" s="385"/>
      <c r="AI158" s="385"/>
      <c r="AJ158" s="385"/>
      <c r="AK158" s="385"/>
      <c r="AL158" s="385"/>
      <c r="AM158" s="385"/>
      <c r="AN158" s="385"/>
      <c r="AO158" s="385"/>
      <c r="AP158" s="385"/>
      <c r="AQ158" s="385"/>
      <c r="AR158" s="385"/>
      <c r="AS158" s="385"/>
      <c r="AT158" s="385"/>
      <c r="AU158" s="385"/>
      <c r="AV158" s="385"/>
      <c r="AW158" s="385"/>
      <c r="AX158" s="385"/>
      <c r="AY158" s="385"/>
    </row>
    <row r="159" spans="1:51" ht="12.75">
      <c r="A159" s="384"/>
      <c r="B159" s="385"/>
      <c r="C159" s="385"/>
      <c r="D159" s="385"/>
      <c r="E159" s="385"/>
      <c r="F159" s="385"/>
      <c r="G159" s="385"/>
      <c r="H159" s="385"/>
      <c r="I159" s="385"/>
      <c r="J159" s="385"/>
      <c r="K159" s="385"/>
      <c r="L159" s="385"/>
      <c r="M159" s="385"/>
      <c r="N159" s="385"/>
      <c r="O159" s="385"/>
      <c r="P159" s="385"/>
      <c r="Q159" s="385"/>
      <c r="R159" s="385"/>
      <c r="S159" s="385"/>
      <c r="T159" s="385"/>
      <c r="U159" s="385"/>
      <c r="V159" s="385"/>
      <c r="W159" s="385"/>
      <c r="X159" s="385"/>
      <c r="Y159" s="385"/>
      <c r="Z159" s="385"/>
      <c r="AA159" s="385"/>
      <c r="AB159" s="385"/>
      <c r="AC159" s="385"/>
      <c r="AD159" s="385"/>
      <c r="AE159" s="385"/>
      <c r="AF159" s="385"/>
      <c r="AG159" s="385"/>
      <c r="AH159" s="385"/>
      <c r="AI159" s="385"/>
      <c r="AJ159" s="385"/>
      <c r="AK159" s="385"/>
      <c r="AL159" s="385"/>
      <c r="AM159" s="385"/>
      <c r="AN159" s="385"/>
      <c r="AO159" s="385"/>
      <c r="AP159" s="385"/>
      <c r="AQ159" s="385"/>
      <c r="AR159" s="385"/>
      <c r="AS159" s="385"/>
      <c r="AT159" s="385"/>
      <c r="AU159" s="385"/>
      <c r="AV159" s="385"/>
      <c r="AW159" s="385"/>
      <c r="AX159" s="385"/>
      <c r="AY159" s="385"/>
    </row>
    <row r="160" spans="1:51" ht="12.75">
      <c r="A160" s="384"/>
      <c r="B160" s="385"/>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c r="AK160" s="385"/>
      <c r="AL160" s="385"/>
      <c r="AM160" s="385"/>
      <c r="AN160" s="385"/>
      <c r="AO160" s="385"/>
      <c r="AP160" s="385"/>
      <c r="AQ160" s="385"/>
      <c r="AR160" s="385"/>
      <c r="AS160" s="385"/>
      <c r="AT160" s="385"/>
      <c r="AU160" s="385"/>
      <c r="AV160" s="385"/>
      <c r="AW160" s="385"/>
      <c r="AX160" s="385"/>
      <c r="AY160" s="385"/>
    </row>
    <row r="161" spans="1:51" ht="12.75">
      <c r="A161" s="384"/>
      <c r="B161" s="385"/>
      <c r="C161" s="385"/>
      <c r="D161" s="385"/>
      <c r="E161" s="385"/>
      <c r="F161" s="385"/>
      <c r="G161" s="385"/>
      <c r="H161" s="385"/>
      <c r="I161" s="385"/>
      <c r="J161" s="385"/>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5"/>
      <c r="AY161" s="385"/>
    </row>
    <row r="162" spans="1:51" ht="12.75">
      <c r="A162" s="384"/>
      <c r="B162" s="385"/>
      <c r="C162" s="385"/>
      <c r="D162" s="385"/>
      <c r="E162" s="385"/>
      <c r="F162" s="385"/>
      <c r="G162" s="385"/>
      <c r="H162" s="385"/>
      <c r="I162" s="385"/>
      <c r="J162" s="385"/>
      <c r="K162" s="385"/>
      <c r="L162" s="385"/>
      <c r="M162" s="385"/>
      <c r="N162" s="385"/>
      <c r="O162" s="385"/>
      <c r="P162" s="385"/>
      <c r="Q162" s="385"/>
      <c r="R162" s="385"/>
      <c r="S162" s="385"/>
      <c r="T162" s="385"/>
      <c r="U162" s="385"/>
      <c r="V162" s="385"/>
      <c r="W162" s="385"/>
      <c r="X162" s="385"/>
      <c r="Y162" s="385"/>
      <c r="Z162" s="385"/>
      <c r="AA162" s="385"/>
      <c r="AB162" s="385"/>
      <c r="AC162" s="385"/>
      <c r="AD162" s="385"/>
      <c r="AE162" s="385"/>
      <c r="AF162" s="385"/>
      <c r="AG162" s="385"/>
      <c r="AH162" s="385"/>
      <c r="AI162" s="385"/>
      <c r="AJ162" s="385"/>
      <c r="AK162" s="385"/>
      <c r="AL162" s="385"/>
      <c r="AM162" s="385"/>
      <c r="AN162" s="385"/>
      <c r="AO162" s="385"/>
      <c r="AP162" s="385"/>
      <c r="AQ162" s="385"/>
      <c r="AR162" s="385"/>
      <c r="AS162" s="385"/>
      <c r="AT162" s="385"/>
      <c r="AU162" s="385"/>
      <c r="AV162" s="385"/>
      <c r="AW162" s="385"/>
      <c r="AX162" s="385"/>
      <c r="AY162" s="385"/>
    </row>
    <row r="163" spans="1:51" ht="12.75">
      <c r="A163" s="384"/>
      <c r="B163" s="385"/>
      <c r="C163" s="385"/>
      <c r="D163" s="385"/>
      <c r="E163" s="385"/>
      <c r="F163" s="385"/>
      <c r="G163" s="385"/>
      <c r="H163" s="385"/>
      <c r="I163" s="385"/>
      <c r="J163" s="385"/>
      <c r="K163" s="385"/>
      <c r="L163" s="385"/>
      <c r="M163" s="385"/>
      <c r="N163" s="385"/>
      <c r="O163" s="385"/>
      <c r="P163" s="385"/>
      <c r="Q163" s="385"/>
      <c r="R163" s="385"/>
      <c r="S163" s="385"/>
      <c r="T163" s="385"/>
      <c r="U163" s="385"/>
      <c r="V163" s="385"/>
      <c r="W163" s="385"/>
      <c r="X163" s="385"/>
      <c r="Y163" s="385"/>
      <c r="Z163" s="385"/>
      <c r="AA163" s="385"/>
      <c r="AB163" s="385"/>
      <c r="AC163" s="385"/>
      <c r="AD163" s="385"/>
      <c r="AE163" s="385"/>
      <c r="AF163" s="385"/>
      <c r="AG163" s="385"/>
      <c r="AH163" s="385"/>
      <c r="AI163" s="385"/>
      <c r="AJ163" s="385"/>
      <c r="AK163" s="385"/>
      <c r="AL163" s="385"/>
      <c r="AM163" s="385"/>
      <c r="AN163" s="385"/>
      <c r="AO163" s="385"/>
      <c r="AP163" s="385"/>
      <c r="AQ163" s="385"/>
      <c r="AR163" s="385"/>
      <c r="AS163" s="385"/>
      <c r="AT163" s="385"/>
      <c r="AU163" s="385"/>
      <c r="AV163" s="385"/>
      <c r="AW163" s="385"/>
      <c r="AX163" s="385"/>
      <c r="AY163" s="385"/>
    </row>
    <row r="164" spans="1:51" ht="12.75">
      <c r="A164" s="384"/>
      <c r="B164" s="385"/>
      <c r="C164" s="385"/>
      <c r="D164" s="385"/>
      <c r="E164" s="385"/>
      <c r="F164" s="385"/>
      <c r="G164" s="385"/>
      <c r="H164" s="385"/>
      <c r="I164" s="385"/>
      <c r="J164" s="385"/>
      <c r="K164" s="385"/>
      <c r="L164" s="385"/>
      <c r="M164" s="385"/>
      <c r="N164" s="385"/>
      <c r="O164" s="385"/>
      <c r="P164" s="385"/>
      <c r="Q164" s="385"/>
      <c r="R164" s="385"/>
      <c r="S164" s="385"/>
      <c r="T164" s="385"/>
      <c r="U164" s="385"/>
      <c r="V164" s="385"/>
      <c r="W164" s="385"/>
      <c r="X164" s="385"/>
      <c r="Y164" s="385"/>
      <c r="Z164" s="385"/>
      <c r="AA164" s="385"/>
      <c r="AB164" s="385"/>
      <c r="AC164" s="385"/>
      <c r="AD164" s="385"/>
      <c r="AE164" s="385"/>
      <c r="AF164" s="385"/>
      <c r="AG164" s="385"/>
      <c r="AH164" s="385"/>
      <c r="AI164" s="385"/>
      <c r="AJ164" s="385"/>
      <c r="AK164" s="385"/>
      <c r="AL164" s="385"/>
      <c r="AM164" s="385"/>
      <c r="AN164" s="385"/>
      <c r="AO164" s="385"/>
      <c r="AP164" s="385"/>
      <c r="AQ164" s="385"/>
      <c r="AR164" s="385"/>
      <c r="AS164" s="385"/>
      <c r="AT164" s="385"/>
      <c r="AU164" s="385"/>
      <c r="AV164" s="385"/>
      <c r="AW164" s="385"/>
      <c r="AX164" s="385"/>
      <c r="AY164" s="385"/>
    </row>
    <row r="165" spans="1:51" ht="12.75">
      <c r="A165" s="384"/>
      <c r="B165" s="385"/>
      <c r="C165" s="385"/>
      <c r="D165" s="385"/>
      <c r="E165" s="385"/>
      <c r="F165" s="385"/>
      <c r="G165" s="385"/>
      <c r="H165" s="385"/>
      <c r="I165" s="385"/>
      <c r="J165" s="385"/>
      <c r="K165" s="385"/>
      <c r="L165" s="385"/>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85"/>
      <c r="AJ165" s="385"/>
      <c r="AK165" s="385"/>
      <c r="AL165" s="385"/>
      <c r="AM165" s="385"/>
      <c r="AN165" s="385"/>
      <c r="AO165" s="385"/>
      <c r="AP165" s="385"/>
      <c r="AQ165" s="385"/>
      <c r="AR165" s="385"/>
      <c r="AS165" s="385"/>
      <c r="AT165" s="385"/>
      <c r="AU165" s="385"/>
      <c r="AV165" s="385"/>
      <c r="AW165" s="385"/>
      <c r="AX165" s="385"/>
      <c r="AY165" s="385"/>
    </row>
    <row r="166" spans="1:51" ht="12.75">
      <c r="A166" s="384"/>
      <c r="B166" s="385"/>
      <c r="C166" s="385"/>
      <c r="D166" s="385"/>
      <c r="E166" s="385"/>
      <c r="F166" s="385"/>
      <c r="G166" s="385"/>
      <c r="H166" s="385"/>
      <c r="I166" s="385"/>
      <c r="J166" s="385"/>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5"/>
      <c r="AI166" s="385"/>
      <c r="AJ166" s="385"/>
      <c r="AK166" s="385"/>
      <c r="AL166" s="385"/>
      <c r="AM166" s="385"/>
      <c r="AN166" s="385"/>
      <c r="AO166" s="385"/>
      <c r="AP166" s="385"/>
      <c r="AQ166" s="385"/>
      <c r="AR166" s="385"/>
      <c r="AS166" s="385"/>
      <c r="AT166" s="385"/>
      <c r="AU166" s="385"/>
      <c r="AV166" s="385"/>
      <c r="AW166" s="385"/>
      <c r="AX166" s="385"/>
      <c r="AY166" s="385"/>
    </row>
    <row r="167" spans="1:51" ht="12.75">
      <c r="A167" s="384"/>
      <c r="B167" s="385"/>
      <c r="C167" s="385"/>
      <c r="D167" s="385"/>
      <c r="E167" s="385"/>
      <c r="F167" s="385"/>
      <c r="G167" s="385"/>
      <c r="H167" s="385"/>
      <c r="I167" s="385"/>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85"/>
      <c r="AJ167" s="385"/>
      <c r="AK167" s="385"/>
      <c r="AL167" s="385"/>
      <c r="AM167" s="385"/>
      <c r="AN167" s="385"/>
      <c r="AO167" s="385"/>
      <c r="AP167" s="385"/>
      <c r="AQ167" s="385"/>
      <c r="AR167" s="385"/>
      <c r="AS167" s="385"/>
      <c r="AT167" s="385"/>
      <c r="AU167" s="385"/>
      <c r="AV167" s="385"/>
      <c r="AW167" s="385"/>
      <c r="AX167" s="385"/>
      <c r="AY167" s="385"/>
    </row>
    <row r="168" spans="1:51" ht="12.75">
      <c r="A168" s="384"/>
      <c r="B168" s="385"/>
      <c r="C168" s="385"/>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c r="AA168" s="385"/>
      <c r="AB168" s="385"/>
      <c r="AC168" s="385"/>
      <c r="AD168" s="385"/>
      <c r="AE168" s="385"/>
      <c r="AF168" s="385"/>
      <c r="AG168" s="385"/>
      <c r="AH168" s="385"/>
      <c r="AI168" s="385"/>
      <c r="AJ168" s="385"/>
      <c r="AK168" s="385"/>
      <c r="AL168" s="385"/>
      <c r="AM168" s="385"/>
      <c r="AN168" s="385"/>
      <c r="AO168" s="385"/>
      <c r="AP168" s="385"/>
      <c r="AQ168" s="385"/>
      <c r="AR168" s="385"/>
      <c r="AS168" s="385"/>
      <c r="AT168" s="385"/>
      <c r="AU168" s="385"/>
      <c r="AV168" s="385"/>
      <c r="AW168" s="385"/>
      <c r="AX168" s="385"/>
      <c r="AY168" s="385"/>
    </row>
    <row r="169" spans="1:51" ht="12.75">
      <c r="A169" s="384"/>
      <c r="B169" s="385"/>
      <c r="C169" s="385"/>
      <c r="D169" s="385"/>
      <c r="E169" s="385"/>
      <c r="F169" s="385"/>
      <c r="G169" s="385"/>
      <c r="H169" s="385"/>
      <c r="I169" s="385"/>
      <c r="J169" s="385"/>
      <c r="K169" s="385"/>
      <c r="L169" s="385"/>
      <c r="M169" s="385"/>
      <c r="N169" s="385"/>
      <c r="O169" s="385"/>
      <c r="P169" s="385"/>
      <c r="Q169" s="385"/>
      <c r="R169" s="385"/>
      <c r="S169" s="385"/>
      <c r="T169" s="385"/>
      <c r="U169" s="385"/>
      <c r="V169" s="385"/>
      <c r="W169" s="385"/>
      <c r="X169" s="385"/>
      <c r="Y169" s="385"/>
      <c r="Z169" s="385"/>
      <c r="AA169" s="385"/>
      <c r="AB169" s="385"/>
      <c r="AC169" s="385"/>
      <c r="AD169" s="385"/>
      <c r="AE169" s="385"/>
      <c r="AF169" s="385"/>
      <c r="AG169" s="385"/>
      <c r="AH169" s="385"/>
      <c r="AI169" s="385"/>
      <c r="AJ169" s="385"/>
      <c r="AK169" s="385"/>
      <c r="AL169" s="385"/>
      <c r="AM169" s="385"/>
      <c r="AN169" s="385"/>
      <c r="AO169" s="385"/>
      <c r="AP169" s="385"/>
      <c r="AQ169" s="385"/>
      <c r="AR169" s="385"/>
      <c r="AS169" s="385"/>
      <c r="AT169" s="385"/>
      <c r="AU169" s="385"/>
      <c r="AV169" s="385"/>
      <c r="AW169" s="385"/>
      <c r="AX169" s="385"/>
      <c r="AY169" s="385"/>
    </row>
    <row r="170" spans="1:51" ht="12.75">
      <c r="A170" s="384"/>
      <c r="B170" s="385"/>
      <c r="C170" s="385"/>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c r="AK170" s="385"/>
      <c r="AL170" s="385"/>
      <c r="AM170" s="385"/>
      <c r="AN170" s="385"/>
      <c r="AO170" s="385"/>
      <c r="AP170" s="385"/>
      <c r="AQ170" s="385"/>
      <c r="AR170" s="385"/>
      <c r="AS170" s="385"/>
      <c r="AT170" s="385"/>
      <c r="AU170" s="385"/>
      <c r="AV170" s="385"/>
      <c r="AW170" s="385"/>
      <c r="AX170" s="385"/>
      <c r="AY170" s="385"/>
    </row>
    <row r="171" spans="1:51" ht="12.75">
      <c r="A171" s="384"/>
      <c r="B171" s="385"/>
      <c r="C171" s="385"/>
      <c r="D171" s="385"/>
      <c r="E171" s="385"/>
      <c r="F171" s="385"/>
      <c r="G171" s="385"/>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85"/>
      <c r="AJ171" s="385"/>
      <c r="AK171" s="385"/>
      <c r="AL171" s="385"/>
      <c r="AM171" s="385"/>
      <c r="AN171" s="385"/>
      <c r="AO171" s="385"/>
      <c r="AP171" s="385"/>
      <c r="AQ171" s="385"/>
      <c r="AR171" s="385"/>
      <c r="AS171" s="385"/>
      <c r="AT171" s="385"/>
      <c r="AU171" s="385"/>
      <c r="AV171" s="385"/>
      <c r="AW171" s="385"/>
      <c r="AX171" s="385"/>
      <c r="AY171" s="385"/>
    </row>
    <row r="172" spans="1:51" ht="12.75">
      <c r="A172" s="384"/>
      <c r="B172" s="385"/>
      <c r="C172" s="385"/>
      <c r="D172" s="385"/>
      <c r="E172" s="385"/>
      <c r="F172" s="385"/>
      <c r="G172" s="385"/>
      <c r="H172" s="385"/>
      <c r="I172" s="385"/>
      <c r="J172" s="385"/>
      <c r="K172" s="385"/>
      <c r="L172" s="385"/>
      <c r="M172" s="385"/>
      <c r="N172" s="385"/>
      <c r="O172" s="385"/>
      <c r="P172" s="385"/>
      <c r="Q172" s="385"/>
      <c r="R172" s="385"/>
      <c r="S172" s="385"/>
      <c r="T172" s="385"/>
      <c r="U172" s="385"/>
      <c r="V172" s="385"/>
      <c r="W172" s="385"/>
      <c r="X172" s="385"/>
      <c r="Y172" s="385"/>
      <c r="Z172" s="385"/>
      <c r="AA172" s="385"/>
      <c r="AB172" s="385"/>
      <c r="AC172" s="385"/>
      <c r="AD172" s="385"/>
      <c r="AE172" s="385"/>
      <c r="AF172" s="385"/>
      <c r="AG172" s="385"/>
      <c r="AH172" s="385"/>
      <c r="AI172" s="385"/>
      <c r="AJ172" s="385"/>
      <c r="AK172" s="385"/>
      <c r="AL172" s="385"/>
      <c r="AM172" s="385"/>
      <c r="AN172" s="385"/>
      <c r="AO172" s="385"/>
      <c r="AP172" s="385"/>
      <c r="AQ172" s="385"/>
      <c r="AR172" s="385"/>
      <c r="AS172" s="385"/>
      <c r="AT172" s="385"/>
      <c r="AU172" s="385"/>
      <c r="AV172" s="385"/>
      <c r="AW172" s="385"/>
      <c r="AX172" s="385"/>
      <c r="AY172" s="385"/>
    </row>
    <row r="173" spans="1:51" ht="12.75">
      <c r="A173" s="384"/>
      <c r="B173" s="385"/>
      <c r="C173" s="385"/>
      <c r="D173" s="385"/>
      <c r="E173" s="385"/>
      <c r="F173" s="385"/>
      <c r="G173" s="385"/>
      <c r="H173" s="385"/>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5"/>
      <c r="AJ173" s="385"/>
      <c r="AK173" s="385"/>
      <c r="AL173" s="385"/>
      <c r="AM173" s="385"/>
      <c r="AN173" s="385"/>
      <c r="AO173" s="385"/>
      <c r="AP173" s="385"/>
      <c r="AQ173" s="385"/>
      <c r="AR173" s="385"/>
      <c r="AS173" s="385"/>
      <c r="AT173" s="385"/>
      <c r="AU173" s="385"/>
      <c r="AV173" s="385"/>
      <c r="AW173" s="385"/>
      <c r="AX173" s="385"/>
      <c r="AY173" s="385"/>
    </row>
    <row r="174" spans="1:51" ht="12.75">
      <c r="A174" s="384"/>
      <c r="B174" s="385"/>
      <c r="C174" s="385"/>
      <c r="D174" s="385"/>
      <c r="E174" s="385"/>
      <c r="F174" s="385"/>
      <c r="G174" s="385"/>
      <c r="H174" s="385"/>
      <c r="I174" s="385"/>
      <c r="J174" s="385"/>
      <c r="K174" s="385"/>
      <c r="L174" s="385"/>
      <c r="M174" s="385"/>
      <c r="N174" s="385"/>
      <c r="O174" s="385"/>
      <c r="P174" s="385"/>
      <c r="Q174" s="385"/>
      <c r="R174" s="385"/>
      <c r="S174" s="385"/>
      <c r="T174" s="385"/>
      <c r="U174" s="385"/>
      <c r="V174" s="385"/>
      <c r="W174" s="385"/>
      <c r="X174" s="385"/>
      <c r="Y174" s="385"/>
      <c r="Z174" s="385"/>
      <c r="AA174" s="385"/>
      <c r="AB174" s="385"/>
      <c r="AC174" s="385"/>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5"/>
      <c r="AY174" s="385"/>
    </row>
    <row r="175" spans="1:51" ht="12.75">
      <c r="A175" s="384"/>
      <c r="B175" s="385"/>
      <c r="C175" s="385"/>
      <c r="D175" s="385"/>
      <c r="E175" s="385"/>
      <c r="F175" s="385"/>
      <c r="G175" s="385"/>
      <c r="H175" s="385"/>
      <c r="I175" s="385"/>
      <c r="J175" s="385"/>
      <c r="K175" s="385"/>
      <c r="L175" s="385"/>
      <c r="M175" s="385"/>
      <c r="N175" s="385"/>
      <c r="O175" s="385"/>
      <c r="P175" s="385"/>
      <c r="Q175" s="385"/>
      <c r="R175" s="385"/>
      <c r="S175" s="385"/>
      <c r="T175" s="385"/>
      <c r="U175" s="385"/>
      <c r="V175" s="385"/>
      <c r="W175" s="385"/>
      <c r="X175" s="385"/>
      <c r="Y175" s="385"/>
      <c r="Z175" s="385"/>
      <c r="AA175" s="385"/>
      <c r="AB175" s="385"/>
      <c r="AC175" s="385"/>
      <c r="AD175" s="385"/>
      <c r="AE175" s="385"/>
      <c r="AF175" s="385"/>
      <c r="AG175" s="385"/>
      <c r="AH175" s="385"/>
      <c r="AI175" s="385"/>
      <c r="AJ175" s="385"/>
      <c r="AK175" s="385"/>
      <c r="AL175" s="385"/>
      <c r="AM175" s="385"/>
      <c r="AN175" s="385"/>
      <c r="AO175" s="385"/>
      <c r="AP175" s="385"/>
      <c r="AQ175" s="385"/>
      <c r="AR175" s="385"/>
      <c r="AS175" s="385"/>
      <c r="AT175" s="385"/>
      <c r="AU175" s="385"/>
      <c r="AV175" s="385"/>
      <c r="AW175" s="385"/>
      <c r="AX175" s="385"/>
      <c r="AY175" s="385"/>
    </row>
    <row r="176" spans="1:51" ht="12.75">
      <c r="A176" s="384"/>
      <c r="B176" s="385"/>
      <c r="C176" s="385"/>
      <c r="D176" s="385"/>
      <c r="E176" s="385"/>
      <c r="F176" s="385"/>
      <c r="G176" s="385"/>
      <c r="H176" s="385"/>
      <c r="I176" s="385"/>
      <c r="J176" s="385"/>
      <c r="K176" s="385"/>
      <c r="L176" s="385"/>
      <c r="M176" s="385"/>
      <c r="N176" s="385"/>
      <c r="O176" s="385"/>
      <c r="P176" s="385"/>
      <c r="Q176" s="385"/>
      <c r="R176" s="385"/>
      <c r="S176" s="385"/>
      <c r="T176" s="385"/>
      <c r="U176" s="385"/>
      <c r="V176" s="385"/>
      <c r="W176" s="385"/>
      <c r="X176" s="385"/>
      <c r="Y176" s="385"/>
      <c r="Z176" s="385"/>
      <c r="AA176" s="385"/>
      <c r="AB176" s="385"/>
      <c r="AC176" s="385"/>
      <c r="AD176" s="385"/>
      <c r="AE176" s="385"/>
      <c r="AF176" s="385"/>
      <c r="AG176" s="385"/>
      <c r="AH176" s="385"/>
      <c r="AI176" s="385"/>
      <c r="AJ176" s="385"/>
      <c r="AK176" s="385"/>
      <c r="AL176" s="385"/>
      <c r="AM176" s="385"/>
      <c r="AN176" s="385"/>
      <c r="AO176" s="385"/>
      <c r="AP176" s="385"/>
      <c r="AQ176" s="385"/>
      <c r="AR176" s="385"/>
      <c r="AS176" s="385"/>
      <c r="AT176" s="385"/>
      <c r="AU176" s="385"/>
      <c r="AV176" s="385"/>
      <c r="AW176" s="385"/>
      <c r="AX176" s="385"/>
      <c r="AY176" s="385"/>
    </row>
    <row r="177" spans="1:51" ht="12.75">
      <c r="A177" s="384"/>
      <c r="B177" s="385"/>
      <c r="C177" s="385"/>
      <c r="D177" s="385"/>
      <c r="E177" s="385"/>
      <c r="F177" s="385"/>
      <c r="G177" s="385"/>
      <c r="H177" s="385"/>
      <c r="I177" s="385"/>
      <c r="J177" s="385"/>
      <c r="K177" s="385"/>
      <c r="L177" s="385"/>
      <c r="M177" s="385"/>
      <c r="N177" s="385"/>
      <c r="O177" s="385"/>
      <c r="P177" s="385"/>
      <c r="Q177" s="385"/>
      <c r="R177" s="385"/>
      <c r="S177" s="385"/>
      <c r="T177" s="385"/>
      <c r="U177" s="385"/>
      <c r="V177" s="385"/>
      <c r="W177" s="385"/>
      <c r="X177" s="385"/>
      <c r="Y177" s="385"/>
      <c r="Z177" s="385"/>
      <c r="AA177" s="385"/>
      <c r="AB177" s="385"/>
      <c r="AC177" s="385"/>
      <c r="AD177" s="385"/>
      <c r="AE177" s="385"/>
      <c r="AF177" s="385"/>
      <c r="AG177" s="385"/>
      <c r="AH177" s="385"/>
      <c r="AI177" s="385"/>
      <c r="AJ177" s="385"/>
      <c r="AK177" s="385"/>
      <c r="AL177" s="385"/>
      <c r="AM177" s="385"/>
      <c r="AN177" s="385"/>
      <c r="AO177" s="385"/>
      <c r="AP177" s="385"/>
      <c r="AQ177" s="385"/>
      <c r="AR177" s="385"/>
      <c r="AS177" s="385"/>
      <c r="AT177" s="385"/>
      <c r="AU177" s="385"/>
      <c r="AV177" s="385"/>
      <c r="AW177" s="385"/>
      <c r="AX177" s="385"/>
      <c r="AY177" s="385"/>
    </row>
    <row r="178" spans="1:51" ht="12.75">
      <c r="A178" s="384"/>
      <c r="B178" s="385"/>
      <c r="C178" s="385"/>
      <c r="D178" s="385"/>
      <c r="E178" s="385"/>
      <c r="F178" s="385"/>
      <c r="G178" s="385"/>
      <c r="H178" s="385"/>
      <c r="I178" s="385"/>
      <c r="J178" s="385"/>
      <c r="K178" s="385"/>
      <c r="L178" s="385"/>
      <c r="M178" s="385"/>
      <c r="N178" s="385"/>
      <c r="O178" s="385"/>
      <c r="P178" s="385"/>
      <c r="Q178" s="385"/>
      <c r="R178" s="385"/>
      <c r="S178" s="385"/>
      <c r="T178" s="385"/>
      <c r="U178" s="385"/>
      <c r="V178" s="385"/>
      <c r="W178" s="385"/>
      <c r="X178" s="385"/>
      <c r="Y178" s="385"/>
      <c r="Z178" s="385"/>
      <c r="AA178" s="385"/>
      <c r="AB178" s="385"/>
      <c r="AC178" s="385"/>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5"/>
      <c r="AY178" s="385"/>
    </row>
    <row r="179" spans="1:51" ht="12.75">
      <c r="A179" s="384"/>
      <c r="B179" s="385"/>
      <c r="C179" s="385"/>
      <c r="D179" s="385"/>
      <c r="E179" s="385"/>
      <c r="F179" s="385"/>
      <c r="G179" s="385"/>
      <c r="H179" s="385"/>
      <c r="I179" s="385"/>
      <c r="J179" s="385"/>
      <c r="K179" s="385"/>
      <c r="L179" s="385"/>
      <c r="M179" s="385"/>
      <c r="N179" s="385"/>
      <c r="O179" s="385"/>
      <c r="P179" s="385"/>
      <c r="Q179" s="385"/>
      <c r="R179" s="385"/>
      <c r="S179" s="385"/>
      <c r="T179" s="385"/>
      <c r="U179" s="385"/>
      <c r="V179" s="385"/>
      <c r="W179" s="385"/>
      <c r="X179" s="385"/>
      <c r="Y179" s="385"/>
      <c r="Z179" s="385"/>
      <c r="AA179" s="385"/>
      <c r="AB179" s="385"/>
      <c r="AC179" s="385"/>
      <c r="AD179" s="385"/>
      <c r="AE179" s="385"/>
      <c r="AF179" s="385"/>
      <c r="AG179" s="385"/>
      <c r="AH179" s="385"/>
      <c r="AI179" s="385"/>
      <c r="AJ179" s="385"/>
      <c r="AK179" s="385"/>
      <c r="AL179" s="385"/>
      <c r="AM179" s="385"/>
      <c r="AN179" s="385"/>
      <c r="AO179" s="385"/>
      <c r="AP179" s="385"/>
      <c r="AQ179" s="385"/>
      <c r="AR179" s="385"/>
      <c r="AS179" s="385"/>
      <c r="AT179" s="385"/>
      <c r="AU179" s="385"/>
      <c r="AV179" s="385"/>
      <c r="AW179" s="385"/>
      <c r="AX179" s="385"/>
      <c r="AY179" s="385"/>
    </row>
    <row r="180" spans="1:51" ht="12.75">
      <c r="A180" s="384"/>
      <c r="B180" s="385"/>
      <c r="C180" s="385"/>
      <c r="D180" s="385"/>
      <c r="E180" s="385"/>
      <c r="F180" s="385"/>
      <c r="G180" s="385"/>
      <c r="H180" s="385"/>
      <c r="I180" s="385"/>
      <c r="J180" s="385"/>
      <c r="K180" s="385"/>
      <c r="L180" s="385"/>
      <c r="M180" s="385"/>
      <c r="N180" s="385"/>
      <c r="O180" s="385"/>
      <c r="P180" s="385"/>
      <c r="Q180" s="385"/>
      <c r="R180" s="385"/>
      <c r="S180" s="385"/>
      <c r="T180" s="385"/>
      <c r="U180" s="385"/>
      <c r="V180" s="385"/>
      <c r="W180" s="385"/>
      <c r="X180" s="385"/>
      <c r="Y180" s="385"/>
      <c r="Z180" s="385"/>
      <c r="AA180" s="385"/>
      <c r="AB180" s="385"/>
      <c r="AC180" s="385"/>
      <c r="AD180" s="385"/>
      <c r="AE180" s="385"/>
      <c r="AF180" s="385"/>
      <c r="AG180" s="385"/>
      <c r="AH180" s="385"/>
      <c r="AI180" s="385"/>
      <c r="AJ180" s="385"/>
      <c r="AK180" s="385"/>
      <c r="AL180" s="385"/>
      <c r="AM180" s="385"/>
      <c r="AN180" s="385"/>
      <c r="AO180" s="385"/>
      <c r="AP180" s="385"/>
      <c r="AQ180" s="385"/>
      <c r="AR180" s="385"/>
      <c r="AS180" s="385"/>
      <c r="AT180" s="385"/>
      <c r="AU180" s="385"/>
      <c r="AV180" s="385"/>
      <c r="AW180" s="385"/>
      <c r="AX180" s="385"/>
      <c r="AY180" s="385"/>
    </row>
    <row r="181" spans="1:51" ht="12.75">
      <c r="A181" s="384"/>
      <c r="B181" s="385"/>
      <c r="C181" s="385"/>
      <c r="D181" s="385"/>
      <c r="E181" s="385"/>
      <c r="F181" s="385"/>
      <c r="G181" s="385"/>
      <c r="H181" s="385"/>
      <c r="I181" s="385"/>
      <c r="J181" s="385"/>
      <c r="K181" s="385"/>
      <c r="L181" s="385"/>
      <c r="M181" s="385"/>
      <c r="N181" s="385"/>
      <c r="O181" s="385"/>
      <c r="P181" s="385"/>
      <c r="Q181" s="385"/>
      <c r="R181" s="385"/>
      <c r="S181" s="385"/>
      <c r="T181" s="385"/>
      <c r="U181" s="385"/>
      <c r="V181" s="385"/>
      <c r="W181" s="385"/>
      <c r="X181" s="385"/>
      <c r="Y181" s="385"/>
      <c r="Z181" s="385"/>
      <c r="AA181" s="385"/>
      <c r="AB181" s="385"/>
      <c r="AC181" s="385"/>
      <c r="AD181" s="385"/>
      <c r="AE181" s="385"/>
      <c r="AF181" s="385"/>
      <c r="AG181" s="385"/>
      <c r="AH181" s="385"/>
      <c r="AI181" s="385"/>
      <c r="AJ181" s="385"/>
      <c r="AK181" s="385"/>
      <c r="AL181" s="385"/>
      <c r="AM181" s="385"/>
      <c r="AN181" s="385"/>
      <c r="AO181" s="385"/>
      <c r="AP181" s="385"/>
      <c r="AQ181" s="385"/>
      <c r="AR181" s="385"/>
      <c r="AS181" s="385"/>
      <c r="AT181" s="385"/>
      <c r="AU181" s="385"/>
      <c r="AV181" s="385"/>
      <c r="AW181" s="385"/>
      <c r="AX181" s="385"/>
      <c r="AY181" s="385"/>
    </row>
    <row r="182" spans="1:51" ht="12.75">
      <c r="A182" s="384"/>
      <c r="B182" s="385"/>
      <c r="C182" s="385"/>
      <c r="D182" s="385"/>
      <c r="E182" s="385"/>
      <c r="F182" s="385"/>
      <c r="G182" s="385"/>
      <c r="H182" s="385"/>
      <c r="I182" s="385"/>
      <c r="J182" s="385"/>
      <c r="K182" s="385"/>
      <c r="L182" s="385"/>
      <c r="M182" s="385"/>
      <c r="N182" s="385"/>
      <c r="O182" s="385"/>
      <c r="P182" s="385"/>
      <c r="Q182" s="385"/>
      <c r="R182" s="385"/>
      <c r="S182" s="385"/>
      <c r="T182" s="385"/>
      <c r="U182" s="385"/>
      <c r="V182" s="385"/>
      <c r="W182" s="385"/>
      <c r="X182" s="385"/>
      <c r="Y182" s="385"/>
      <c r="Z182" s="385"/>
      <c r="AA182" s="385"/>
      <c r="AB182" s="385"/>
      <c r="AC182" s="385"/>
      <c r="AD182" s="385"/>
      <c r="AE182" s="385"/>
      <c r="AF182" s="385"/>
      <c r="AG182" s="385"/>
      <c r="AH182" s="385"/>
      <c r="AI182" s="385"/>
      <c r="AJ182" s="385"/>
      <c r="AK182" s="385"/>
      <c r="AL182" s="385"/>
      <c r="AM182" s="385"/>
      <c r="AN182" s="385"/>
      <c r="AO182" s="385"/>
      <c r="AP182" s="385"/>
      <c r="AQ182" s="385"/>
      <c r="AR182" s="385"/>
      <c r="AS182" s="385"/>
      <c r="AT182" s="385"/>
      <c r="AU182" s="385"/>
      <c r="AV182" s="385"/>
      <c r="AW182" s="385"/>
      <c r="AX182" s="385"/>
      <c r="AY182" s="385"/>
    </row>
    <row r="183" spans="1:51" ht="12.75">
      <c r="A183" s="384"/>
      <c r="B183" s="385"/>
      <c r="C183" s="385"/>
      <c r="D183" s="385"/>
      <c r="E183" s="385"/>
      <c r="F183" s="385"/>
      <c r="G183" s="385"/>
      <c r="H183" s="385"/>
      <c r="I183" s="385"/>
      <c r="J183" s="385"/>
      <c r="K183" s="385"/>
      <c r="L183" s="385"/>
      <c r="M183" s="385"/>
      <c r="N183" s="385"/>
      <c r="O183" s="385"/>
      <c r="P183" s="385"/>
      <c r="Q183" s="385"/>
      <c r="R183" s="385"/>
      <c r="S183" s="385"/>
      <c r="T183" s="385"/>
      <c r="U183" s="385"/>
      <c r="V183" s="385"/>
      <c r="W183" s="385"/>
      <c r="X183" s="385"/>
      <c r="Y183" s="385"/>
      <c r="Z183" s="385"/>
      <c r="AA183" s="385"/>
      <c r="AB183" s="385"/>
      <c r="AC183" s="385"/>
      <c r="AD183" s="385"/>
      <c r="AE183" s="385"/>
      <c r="AF183" s="385"/>
      <c r="AG183" s="385"/>
      <c r="AH183" s="385"/>
      <c r="AI183" s="385"/>
      <c r="AJ183" s="385"/>
      <c r="AK183" s="385"/>
      <c r="AL183" s="385"/>
      <c r="AM183" s="385"/>
      <c r="AN183" s="385"/>
      <c r="AO183" s="385"/>
      <c r="AP183" s="385"/>
      <c r="AQ183" s="385"/>
      <c r="AR183" s="385"/>
      <c r="AS183" s="385"/>
      <c r="AT183" s="385"/>
      <c r="AU183" s="385"/>
      <c r="AV183" s="385"/>
      <c r="AW183" s="385"/>
      <c r="AX183" s="385"/>
      <c r="AY183" s="385"/>
    </row>
    <row r="184" spans="1:51" ht="12.75">
      <c r="A184" s="384"/>
      <c r="B184" s="385"/>
      <c r="C184" s="385"/>
      <c r="D184" s="385"/>
      <c r="E184" s="385"/>
      <c r="F184" s="385"/>
      <c r="G184" s="385"/>
      <c r="H184" s="385"/>
      <c r="I184" s="385"/>
      <c r="J184" s="385"/>
      <c r="K184" s="385"/>
      <c r="L184" s="385"/>
      <c r="M184" s="385"/>
      <c r="N184" s="385"/>
      <c r="O184" s="385"/>
      <c r="P184" s="385"/>
      <c r="Q184" s="385"/>
      <c r="R184" s="385"/>
      <c r="S184" s="385"/>
      <c r="T184" s="385"/>
      <c r="U184" s="385"/>
      <c r="V184" s="385"/>
      <c r="W184" s="385"/>
      <c r="X184" s="385"/>
      <c r="Y184" s="385"/>
      <c r="Z184" s="385"/>
      <c r="AA184" s="385"/>
      <c r="AB184" s="385"/>
      <c r="AC184" s="385"/>
      <c r="AD184" s="385"/>
      <c r="AE184" s="385"/>
      <c r="AF184" s="385"/>
      <c r="AG184" s="385"/>
      <c r="AH184" s="385"/>
      <c r="AI184" s="385"/>
      <c r="AJ184" s="385"/>
      <c r="AK184" s="385"/>
      <c r="AL184" s="385"/>
      <c r="AM184" s="385"/>
      <c r="AN184" s="385"/>
      <c r="AO184" s="385"/>
      <c r="AP184" s="385"/>
      <c r="AQ184" s="385"/>
      <c r="AR184" s="385"/>
      <c r="AS184" s="385"/>
      <c r="AT184" s="385"/>
      <c r="AU184" s="385"/>
      <c r="AV184" s="385"/>
      <c r="AW184" s="385"/>
      <c r="AX184" s="385"/>
      <c r="AY184" s="385"/>
    </row>
    <row r="185" spans="1:51" ht="12.75">
      <c r="A185" s="384"/>
      <c r="B185" s="385"/>
      <c r="C185" s="385"/>
      <c r="D185" s="385"/>
      <c r="E185" s="385"/>
      <c r="F185" s="385"/>
      <c r="G185" s="385"/>
      <c r="H185" s="385"/>
      <c r="I185" s="385"/>
      <c r="J185" s="385"/>
      <c r="K185" s="385"/>
      <c r="L185" s="385"/>
      <c r="M185" s="385"/>
      <c r="N185" s="385"/>
      <c r="O185" s="385"/>
      <c r="P185" s="385"/>
      <c r="Q185" s="385"/>
      <c r="R185" s="385"/>
      <c r="S185" s="385"/>
      <c r="T185" s="385"/>
      <c r="U185" s="385"/>
      <c r="V185" s="385"/>
      <c r="W185" s="385"/>
      <c r="X185" s="385"/>
      <c r="Y185" s="385"/>
      <c r="Z185" s="385"/>
      <c r="AA185" s="385"/>
      <c r="AB185" s="385"/>
      <c r="AC185" s="385"/>
      <c r="AD185" s="385"/>
      <c r="AE185" s="385"/>
      <c r="AF185" s="385"/>
      <c r="AG185" s="385"/>
      <c r="AH185" s="385"/>
      <c r="AI185" s="385"/>
      <c r="AJ185" s="385"/>
      <c r="AK185" s="385"/>
      <c r="AL185" s="385"/>
      <c r="AM185" s="385"/>
      <c r="AN185" s="385"/>
      <c r="AO185" s="385"/>
      <c r="AP185" s="385"/>
      <c r="AQ185" s="385"/>
      <c r="AR185" s="385"/>
      <c r="AS185" s="385"/>
      <c r="AT185" s="385"/>
      <c r="AU185" s="385"/>
      <c r="AV185" s="385"/>
      <c r="AW185" s="385"/>
      <c r="AX185" s="385"/>
      <c r="AY185" s="385"/>
    </row>
    <row r="186" spans="1:51" ht="12.75">
      <c r="A186" s="384"/>
      <c r="B186" s="385"/>
      <c r="C186" s="385"/>
      <c r="D186" s="385"/>
      <c r="E186" s="385"/>
      <c r="F186" s="385"/>
      <c r="G186" s="385"/>
      <c r="H186" s="385"/>
      <c r="I186" s="385"/>
      <c r="J186" s="385"/>
      <c r="K186" s="385"/>
      <c r="L186" s="385"/>
      <c r="M186" s="385"/>
      <c r="N186" s="385"/>
      <c r="O186" s="385"/>
      <c r="P186" s="385"/>
      <c r="Q186" s="385"/>
      <c r="R186" s="385"/>
      <c r="S186" s="385"/>
      <c r="T186" s="385"/>
      <c r="U186" s="385"/>
      <c r="V186" s="385"/>
      <c r="W186" s="385"/>
      <c r="X186" s="385"/>
      <c r="Y186" s="385"/>
      <c r="Z186" s="385"/>
      <c r="AA186" s="385"/>
      <c r="AB186" s="385"/>
      <c r="AC186" s="385"/>
      <c r="AD186" s="385"/>
      <c r="AE186" s="385"/>
      <c r="AF186" s="385"/>
      <c r="AG186" s="385"/>
      <c r="AH186" s="385"/>
      <c r="AI186" s="385"/>
      <c r="AJ186" s="385"/>
      <c r="AK186" s="385"/>
      <c r="AL186" s="385"/>
      <c r="AM186" s="385"/>
      <c r="AN186" s="385"/>
      <c r="AO186" s="385"/>
      <c r="AP186" s="385"/>
      <c r="AQ186" s="385"/>
      <c r="AR186" s="385"/>
      <c r="AS186" s="385"/>
      <c r="AT186" s="385"/>
      <c r="AU186" s="385"/>
      <c r="AV186" s="385"/>
      <c r="AW186" s="385"/>
      <c r="AX186" s="385"/>
      <c r="AY186" s="385"/>
    </row>
    <row r="187" spans="1:51" ht="12.75">
      <c r="A187" s="384"/>
      <c r="B187" s="385"/>
      <c r="C187" s="385"/>
      <c r="D187" s="385"/>
      <c r="E187" s="385"/>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5"/>
      <c r="AB187" s="385"/>
      <c r="AC187" s="385"/>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5"/>
      <c r="AY187" s="385"/>
    </row>
    <row r="188" spans="1:51" ht="12.75">
      <c r="A188" s="384"/>
      <c r="B188" s="385"/>
      <c r="C188" s="385"/>
      <c r="D188" s="385"/>
      <c r="E188" s="385"/>
      <c r="F188" s="385"/>
      <c r="G188" s="385"/>
      <c r="H188" s="385"/>
      <c r="I188" s="385"/>
      <c r="J188" s="385"/>
      <c r="K188" s="385"/>
      <c r="L188" s="385"/>
      <c r="M188" s="385"/>
      <c r="N188" s="385"/>
      <c r="O188" s="385"/>
      <c r="P188" s="385"/>
      <c r="Q188" s="385"/>
      <c r="R188" s="385"/>
      <c r="S188" s="385"/>
      <c r="T188" s="385"/>
      <c r="U188" s="385"/>
      <c r="V188" s="385"/>
      <c r="W188" s="385"/>
      <c r="X188" s="385"/>
      <c r="Y188" s="385"/>
      <c r="Z188" s="385"/>
      <c r="AA188" s="385"/>
      <c r="AB188" s="385"/>
      <c r="AC188" s="385"/>
      <c r="AD188" s="385"/>
      <c r="AE188" s="385"/>
      <c r="AF188" s="385"/>
      <c r="AG188" s="385"/>
      <c r="AH188" s="385"/>
      <c r="AI188" s="385"/>
      <c r="AJ188" s="385"/>
      <c r="AK188" s="385"/>
      <c r="AL188" s="385"/>
      <c r="AM188" s="385"/>
      <c r="AN188" s="385"/>
      <c r="AO188" s="385"/>
      <c r="AP188" s="385"/>
      <c r="AQ188" s="385"/>
      <c r="AR188" s="385"/>
      <c r="AS188" s="385"/>
      <c r="AT188" s="385"/>
      <c r="AU188" s="385"/>
      <c r="AV188" s="385"/>
      <c r="AW188" s="385"/>
      <c r="AX188" s="385"/>
      <c r="AY188" s="385"/>
    </row>
    <row r="189" spans="1:51" ht="12.75">
      <c r="A189" s="384"/>
      <c r="B189" s="385"/>
      <c r="C189" s="385"/>
      <c r="D189" s="385"/>
      <c r="E189" s="385"/>
      <c r="F189" s="385"/>
      <c r="G189" s="385"/>
      <c r="H189" s="385"/>
      <c r="I189" s="385"/>
      <c r="J189" s="385"/>
      <c r="K189" s="385"/>
      <c r="L189" s="385"/>
      <c r="M189" s="385"/>
      <c r="N189" s="385"/>
      <c r="O189" s="385"/>
      <c r="P189" s="385"/>
      <c r="Q189" s="385"/>
      <c r="R189" s="385"/>
      <c r="S189" s="385"/>
      <c r="T189" s="385"/>
      <c r="U189" s="385"/>
      <c r="V189" s="385"/>
      <c r="W189" s="385"/>
      <c r="X189" s="385"/>
      <c r="Y189" s="385"/>
      <c r="Z189" s="385"/>
      <c r="AA189" s="385"/>
      <c r="AB189" s="385"/>
      <c r="AC189" s="385"/>
      <c r="AD189" s="385"/>
      <c r="AE189" s="385"/>
      <c r="AF189" s="385"/>
      <c r="AG189" s="385"/>
      <c r="AH189" s="385"/>
      <c r="AI189" s="385"/>
      <c r="AJ189" s="385"/>
      <c r="AK189" s="385"/>
      <c r="AL189" s="385"/>
      <c r="AM189" s="385"/>
      <c r="AN189" s="385"/>
      <c r="AO189" s="385"/>
      <c r="AP189" s="385"/>
      <c r="AQ189" s="385"/>
      <c r="AR189" s="385"/>
      <c r="AS189" s="385"/>
      <c r="AT189" s="385"/>
      <c r="AU189" s="385"/>
      <c r="AV189" s="385"/>
      <c r="AW189" s="385"/>
      <c r="AX189" s="385"/>
      <c r="AY189" s="385"/>
    </row>
    <row r="190" spans="1:51" ht="12.75">
      <c r="A190" s="384"/>
      <c r="B190" s="385"/>
      <c r="C190" s="385"/>
      <c r="D190" s="385"/>
      <c r="E190" s="385"/>
      <c r="F190" s="385"/>
      <c r="G190" s="385"/>
      <c r="H190" s="385"/>
      <c r="I190" s="385"/>
      <c r="J190" s="385"/>
      <c r="K190" s="385"/>
      <c r="L190" s="385"/>
      <c r="M190" s="385"/>
      <c r="N190" s="385"/>
      <c r="O190" s="385"/>
      <c r="P190" s="385"/>
      <c r="Q190" s="385"/>
      <c r="R190" s="385"/>
      <c r="S190" s="385"/>
      <c r="T190" s="385"/>
      <c r="U190" s="385"/>
      <c r="V190" s="385"/>
      <c r="W190" s="385"/>
      <c r="X190" s="385"/>
      <c r="Y190" s="385"/>
      <c r="Z190" s="385"/>
      <c r="AA190" s="385"/>
      <c r="AB190" s="385"/>
      <c r="AC190" s="385"/>
      <c r="AD190" s="385"/>
      <c r="AE190" s="385"/>
      <c r="AF190" s="385"/>
      <c r="AG190" s="385"/>
      <c r="AH190" s="385"/>
      <c r="AI190" s="385"/>
      <c r="AJ190" s="385"/>
      <c r="AK190" s="385"/>
      <c r="AL190" s="385"/>
      <c r="AM190" s="385"/>
      <c r="AN190" s="385"/>
      <c r="AO190" s="385"/>
      <c r="AP190" s="385"/>
      <c r="AQ190" s="385"/>
      <c r="AR190" s="385"/>
      <c r="AS190" s="385"/>
      <c r="AT190" s="385"/>
      <c r="AU190" s="385"/>
      <c r="AV190" s="385"/>
      <c r="AW190" s="385"/>
      <c r="AX190" s="385"/>
      <c r="AY190" s="385"/>
    </row>
    <row r="191" spans="1:51" ht="12.75">
      <c r="A191" s="384"/>
      <c r="B191" s="385"/>
      <c r="C191" s="385"/>
      <c r="D191" s="385"/>
      <c r="E191" s="385"/>
      <c r="F191" s="385"/>
      <c r="G191" s="385"/>
      <c r="H191" s="385"/>
      <c r="I191" s="385"/>
      <c r="J191" s="385"/>
      <c r="K191" s="385"/>
      <c r="L191" s="385"/>
      <c r="M191" s="385"/>
      <c r="N191" s="385"/>
      <c r="O191" s="385"/>
      <c r="P191" s="385"/>
      <c r="Q191" s="385"/>
      <c r="R191" s="385"/>
      <c r="S191" s="385"/>
      <c r="T191" s="385"/>
      <c r="U191" s="385"/>
      <c r="V191" s="385"/>
      <c r="W191" s="385"/>
      <c r="X191" s="385"/>
      <c r="Y191" s="385"/>
      <c r="Z191" s="385"/>
      <c r="AA191" s="385"/>
      <c r="AB191" s="385"/>
      <c r="AC191" s="385"/>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5"/>
      <c r="AY191" s="385"/>
    </row>
    <row r="192" spans="1:51" ht="12.75">
      <c r="A192" s="384"/>
      <c r="B192" s="385"/>
      <c r="C192" s="385"/>
      <c r="D192" s="385"/>
      <c r="E192" s="385"/>
      <c r="F192" s="385"/>
      <c r="G192" s="385"/>
      <c r="H192" s="385"/>
      <c r="I192" s="385"/>
      <c r="J192" s="385"/>
      <c r="K192" s="385"/>
      <c r="L192" s="385"/>
      <c r="M192" s="385"/>
      <c r="N192" s="385"/>
      <c r="O192" s="385"/>
      <c r="P192" s="385"/>
      <c r="Q192" s="385"/>
      <c r="R192" s="385"/>
      <c r="S192" s="385"/>
      <c r="T192" s="385"/>
      <c r="U192" s="385"/>
      <c r="V192" s="385"/>
      <c r="W192" s="385"/>
      <c r="X192" s="385"/>
      <c r="Y192" s="385"/>
      <c r="Z192" s="385"/>
      <c r="AA192" s="385"/>
      <c r="AB192" s="385"/>
      <c r="AC192" s="385"/>
      <c r="AD192" s="385"/>
      <c r="AE192" s="385"/>
      <c r="AF192" s="385"/>
      <c r="AG192" s="385"/>
      <c r="AH192" s="385"/>
      <c r="AI192" s="385"/>
      <c r="AJ192" s="385"/>
      <c r="AK192" s="385"/>
      <c r="AL192" s="385"/>
      <c r="AM192" s="385"/>
      <c r="AN192" s="385"/>
      <c r="AO192" s="385"/>
      <c r="AP192" s="385"/>
      <c r="AQ192" s="385"/>
      <c r="AR192" s="385"/>
      <c r="AS192" s="385"/>
      <c r="AT192" s="385"/>
      <c r="AU192" s="385"/>
      <c r="AV192" s="385"/>
      <c r="AW192" s="385"/>
      <c r="AX192" s="385"/>
      <c r="AY192" s="385"/>
    </row>
    <row r="193" spans="1:51" ht="12.75">
      <c r="A193" s="384"/>
      <c r="B193" s="385"/>
      <c r="C193" s="385"/>
      <c r="D193" s="385"/>
      <c r="E193" s="385"/>
      <c r="F193" s="385"/>
      <c r="G193" s="385"/>
      <c r="H193" s="385"/>
      <c r="I193" s="385"/>
      <c r="J193" s="385"/>
      <c r="K193" s="385"/>
      <c r="L193" s="385"/>
      <c r="M193" s="385"/>
      <c r="N193" s="385"/>
      <c r="O193" s="385"/>
      <c r="P193" s="385"/>
      <c r="Q193" s="385"/>
      <c r="R193" s="385"/>
      <c r="S193" s="385"/>
      <c r="T193" s="385"/>
      <c r="U193" s="385"/>
      <c r="V193" s="385"/>
      <c r="W193" s="385"/>
      <c r="X193" s="385"/>
      <c r="Y193" s="385"/>
      <c r="Z193" s="385"/>
      <c r="AA193" s="385"/>
      <c r="AB193" s="385"/>
      <c r="AC193" s="385"/>
      <c r="AD193" s="385"/>
      <c r="AE193" s="385"/>
      <c r="AF193" s="385"/>
      <c r="AG193" s="385"/>
      <c r="AH193" s="385"/>
      <c r="AI193" s="385"/>
      <c r="AJ193" s="385"/>
      <c r="AK193" s="385"/>
      <c r="AL193" s="385"/>
      <c r="AM193" s="385"/>
      <c r="AN193" s="385"/>
      <c r="AO193" s="385"/>
      <c r="AP193" s="385"/>
      <c r="AQ193" s="385"/>
      <c r="AR193" s="385"/>
      <c r="AS193" s="385"/>
      <c r="AT193" s="385"/>
      <c r="AU193" s="385"/>
      <c r="AV193" s="385"/>
      <c r="AW193" s="385"/>
      <c r="AX193" s="385"/>
      <c r="AY193" s="385"/>
    </row>
    <row r="194" spans="1:51" ht="12.75">
      <c r="A194" s="384"/>
      <c r="B194" s="385"/>
      <c r="C194" s="385"/>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5"/>
      <c r="AL194" s="385"/>
      <c r="AM194" s="385"/>
      <c r="AN194" s="385"/>
      <c r="AO194" s="385"/>
      <c r="AP194" s="385"/>
      <c r="AQ194" s="385"/>
      <c r="AR194" s="385"/>
      <c r="AS194" s="385"/>
      <c r="AT194" s="385"/>
      <c r="AU194" s="385"/>
      <c r="AV194" s="385"/>
      <c r="AW194" s="385"/>
      <c r="AX194" s="385"/>
      <c r="AY194" s="385"/>
    </row>
    <row r="195" spans="1:51" ht="12.75">
      <c r="A195" s="384"/>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385"/>
      <c r="AB195" s="385"/>
      <c r="AC195" s="385"/>
      <c r="AD195" s="385"/>
      <c r="AE195" s="385"/>
      <c r="AF195" s="385"/>
      <c r="AG195" s="385"/>
      <c r="AH195" s="385"/>
      <c r="AI195" s="385"/>
      <c r="AJ195" s="385"/>
      <c r="AK195" s="385"/>
      <c r="AL195" s="385"/>
      <c r="AM195" s="385"/>
      <c r="AN195" s="385"/>
      <c r="AO195" s="385"/>
      <c r="AP195" s="385"/>
      <c r="AQ195" s="385"/>
      <c r="AR195" s="385"/>
      <c r="AS195" s="385"/>
      <c r="AT195" s="385"/>
      <c r="AU195" s="385"/>
      <c r="AV195" s="385"/>
      <c r="AW195" s="385"/>
      <c r="AX195" s="385"/>
      <c r="AY195" s="385"/>
    </row>
    <row r="196" spans="1:51" ht="12.75">
      <c r="A196" s="384"/>
      <c r="B196" s="385"/>
      <c r="C196" s="385"/>
      <c r="D196" s="385"/>
      <c r="E196" s="385"/>
      <c r="F196" s="385"/>
      <c r="G196" s="385"/>
      <c r="H196" s="385"/>
      <c r="I196" s="385"/>
      <c r="J196" s="385"/>
      <c r="K196" s="385"/>
      <c r="L196" s="385"/>
      <c r="M196" s="385"/>
      <c r="N196" s="385"/>
      <c r="O196" s="385"/>
      <c r="P196" s="385"/>
      <c r="Q196" s="385"/>
      <c r="R196" s="385"/>
      <c r="S196" s="385"/>
      <c r="T196" s="385"/>
      <c r="U196" s="385"/>
      <c r="V196" s="385"/>
      <c r="W196" s="385"/>
      <c r="X196" s="385"/>
      <c r="Y196" s="385"/>
      <c r="Z196" s="385"/>
      <c r="AA196" s="385"/>
      <c r="AB196" s="385"/>
      <c r="AC196" s="385"/>
      <c r="AD196" s="385"/>
      <c r="AE196" s="385"/>
      <c r="AF196" s="385"/>
      <c r="AG196" s="385"/>
      <c r="AH196" s="385"/>
      <c r="AI196" s="385"/>
      <c r="AJ196" s="385"/>
      <c r="AK196" s="385"/>
      <c r="AL196" s="385"/>
      <c r="AM196" s="385"/>
      <c r="AN196" s="385"/>
      <c r="AO196" s="385"/>
      <c r="AP196" s="385"/>
      <c r="AQ196" s="385"/>
      <c r="AR196" s="385"/>
      <c r="AS196" s="385"/>
      <c r="AT196" s="385"/>
      <c r="AU196" s="385"/>
      <c r="AV196" s="385"/>
      <c r="AW196" s="385"/>
      <c r="AX196" s="385"/>
      <c r="AY196" s="385"/>
    </row>
    <row r="197" spans="1:51" ht="12.75">
      <c r="A197" s="384"/>
      <c r="B197" s="385"/>
      <c r="C197" s="385"/>
      <c r="D197" s="385"/>
      <c r="E197" s="385"/>
      <c r="F197" s="385"/>
      <c r="G197" s="385"/>
      <c r="H197" s="385"/>
      <c r="I197" s="385"/>
      <c r="J197" s="385"/>
      <c r="K197" s="385"/>
      <c r="L197" s="385"/>
      <c r="M197" s="385"/>
      <c r="N197" s="385"/>
      <c r="O197" s="385"/>
      <c r="P197" s="385"/>
      <c r="Q197" s="385"/>
      <c r="R197" s="385"/>
      <c r="S197" s="385"/>
      <c r="T197" s="385"/>
      <c r="U197" s="385"/>
      <c r="V197" s="385"/>
      <c r="W197" s="385"/>
      <c r="X197" s="385"/>
      <c r="Y197" s="385"/>
      <c r="Z197" s="385"/>
      <c r="AA197" s="385"/>
      <c r="AB197" s="385"/>
      <c r="AC197" s="385"/>
      <c r="AD197" s="385"/>
      <c r="AE197" s="385"/>
      <c r="AF197" s="385"/>
      <c r="AG197" s="385"/>
      <c r="AH197" s="385"/>
      <c r="AI197" s="385"/>
      <c r="AJ197" s="385"/>
      <c r="AK197" s="385"/>
      <c r="AL197" s="385"/>
      <c r="AM197" s="385"/>
      <c r="AN197" s="385"/>
      <c r="AO197" s="385"/>
      <c r="AP197" s="385"/>
      <c r="AQ197" s="385"/>
      <c r="AR197" s="385"/>
      <c r="AS197" s="385"/>
      <c r="AT197" s="385"/>
      <c r="AU197" s="385"/>
      <c r="AV197" s="385"/>
      <c r="AW197" s="385"/>
      <c r="AX197" s="385"/>
      <c r="AY197" s="385"/>
    </row>
    <row r="198" spans="1:51" ht="12.75">
      <c r="A198" s="384"/>
      <c r="B198" s="385"/>
      <c r="C198" s="385"/>
      <c r="D198" s="385"/>
      <c r="E198" s="385"/>
      <c r="F198" s="385"/>
      <c r="G198" s="385"/>
      <c r="H198" s="385"/>
      <c r="I198" s="385"/>
      <c r="J198" s="385"/>
      <c r="K198" s="385"/>
      <c r="L198" s="385"/>
      <c r="M198" s="385"/>
      <c r="N198" s="385"/>
      <c r="O198" s="385"/>
      <c r="P198" s="385"/>
      <c r="Q198" s="385"/>
      <c r="R198" s="385"/>
      <c r="S198" s="385"/>
      <c r="T198" s="385"/>
      <c r="U198" s="385"/>
      <c r="V198" s="385"/>
      <c r="W198" s="385"/>
      <c r="X198" s="385"/>
      <c r="Y198" s="385"/>
      <c r="Z198" s="385"/>
      <c r="AA198" s="385"/>
      <c r="AB198" s="385"/>
      <c r="AC198" s="385"/>
      <c r="AD198" s="385"/>
      <c r="AE198" s="385"/>
      <c r="AF198" s="385"/>
      <c r="AG198" s="385"/>
      <c r="AH198" s="385"/>
      <c r="AI198" s="385"/>
      <c r="AJ198" s="385"/>
      <c r="AK198" s="385"/>
      <c r="AL198" s="385"/>
      <c r="AM198" s="385"/>
      <c r="AN198" s="385"/>
      <c r="AO198" s="385"/>
      <c r="AP198" s="385"/>
      <c r="AQ198" s="385"/>
      <c r="AR198" s="385"/>
      <c r="AS198" s="385"/>
      <c r="AT198" s="385"/>
      <c r="AU198" s="385"/>
      <c r="AV198" s="385"/>
      <c r="AW198" s="385"/>
      <c r="AX198" s="385"/>
      <c r="AY198" s="385"/>
    </row>
    <row r="199" spans="1:51" ht="12.75">
      <c r="A199" s="384"/>
      <c r="B199" s="385"/>
      <c r="C199" s="385"/>
      <c r="D199" s="385"/>
      <c r="E199" s="385"/>
      <c r="F199" s="385"/>
      <c r="G199" s="385"/>
      <c r="H199" s="385"/>
      <c r="I199" s="385"/>
      <c r="J199" s="385"/>
      <c r="K199" s="385"/>
      <c r="L199" s="385"/>
      <c r="M199" s="385"/>
      <c r="N199" s="385"/>
      <c r="O199" s="385"/>
      <c r="P199" s="385"/>
      <c r="Q199" s="385"/>
      <c r="R199" s="385"/>
      <c r="S199" s="385"/>
      <c r="T199" s="385"/>
      <c r="U199" s="385"/>
      <c r="V199" s="385"/>
      <c r="W199" s="385"/>
      <c r="X199" s="385"/>
      <c r="Y199" s="385"/>
      <c r="Z199" s="385"/>
      <c r="AA199" s="385"/>
      <c r="AB199" s="385"/>
      <c r="AC199" s="385"/>
      <c r="AD199" s="385"/>
      <c r="AE199" s="385"/>
      <c r="AF199" s="385"/>
      <c r="AG199" s="385"/>
      <c r="AH199" s="385"/>
      <c r="AI199" s="385"/>
      <c r="AJ199" s="385"/>
      <c r="AK199" s="385"/>
      <c r="AL199" s="385"/>
      <c r="AM199" s="385"/>
      <c r="AN199" s="385"/>
      <c r="AO199" s="385"/>
      <c r="AP199" s="385"/>
      <c r="AQ199" s="385"/>
      <c r="AR199" s="385"/>
      <c r="AS199" s="385"/>
      <c r="AT199" s="385"/>
      <c r="AU199" s="385"/>
      <c r="AV199" s="385"/>
      <c r="AW199" s="385"/>
      <c r="AX199" s="385"/>
      <c r="AY199" s="385"/>
    </row>
    <row r="200" spans="1:51" ht="12.75">
      <c r="A200" s="384"/>
      <c r="B200" s="385"/>
      <c r="C200" s="385"/>
      <c r="D200" s="385"/>
      <c r="E200" s="385"/>
      <c r="F200" s="385"/>
      <c r="G200" s="385"/>
      <c r="H200" s="385"/>
      <c r="I200" s="385"/>
      <c r="J200" s="385"/>
      <c r="K200" s="385"/>
      <c r="L200" s="385"/>
      <c r="M200" s="385"/>
      <c r="N200" s="385"/>
      <c r="O200" s="385"/>
      <c r="P200" s="385"/>
      <c r="Q200" s="385"/>
      <c r="R200" s="385"/>
      <c r="S200" s="385"/>
      <c r="T200" s="385"/>
      <c r="U200" s="385"/>
      <c r="V200" s="385"/>
      <c r="W200" s="385"/>
      <c r="X200" s="385"/>
      <c r="Y200" s="385"/>
      <c r="Z200" s="385"/>
      <c r="AA200" s="385"/>
      <c r="AB200" s="385"/>
      <c r="AC200" s="385"/>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5"/>
      <c r="AY200" s="385"/>
    </row>
    <row r="201" spans="1:51" ht="12.75">
      <c r="A201" s="384"/>
      <c r="B201" s="385"/>
      <c r="C201" s="385"/>
      <c r="D201" s="385"/>
      <c r="E201" s="385"/>
      <c r="F201" s="385"/>
      <c r="G201" s="385"/>
      <c r="H201" s="385"/>
      <c r="I201" s="385"/>
      <c r="J201" s="385"/>
      <c r="K201" s="385"/>
      <c r="L201" s="385"/>
      <c r="M201" s="385"/>
      <c r="N201" s="385"/>
      <c r="O201" s="385"/>
      <c r="P201" s="385"/>
      <c r="Q201" s="385"/>
      <c r="R201" s="385"/>
      <c r="S201" s="385"/>
      <c r="T201" s="385"/>
      <c r="U201" s="385"/>
      <c r="V201" s="385"/>
      <c r="W201" s="385"/>
      <c r="X201" s="385"/>
      <c r="Y201" s="385"/>
      <c r="Z201" s="385"/>
      <c r="AA201" s="385"/>
      <c r="AB201" s="385"/>
      <c r="AC201" s="385"/>
      <c r="AD201" s="385"/>
      <c r="AE201" s="385"/>
      <c r="AF201" s="385"/>
      <c r="AG201" s="385"/>
      <c r="AH201" s="385"/>
      <c r="AI201" s="385"/>
      <c r="AJ201" s="385"/>
      <c r="AK201" s="385"/>
      <c r="AL201" s="385"/>
      <c r="AM201" s="385"/>
      <c r="AN201" s="385"/>
      <c r="AO201" s="385"/>
      <c r="AP201" s="385"/>
      <c r="AQ201" s="385"/>
      <c r="AR201" s="385"/>
      <c r="AS201" s="385"/>
      <c r="AT201" s="385"/>
      <c r="AU201" s="385"/>
      <c r="AV201" s="385"/>
      <c r="AW201" s="385"/>
      <c r="AX201" s="385"/>
      <c r="AY201" s="385"/>
    </row>
    <row r="202" spans="1:51" ht="12.75">
      <c r="A202" s="384"/>
      <c r="B202" s="385"/>
      <c r="C202" s="385"/>
      <c r="D202" s="385"/>
      <c r="E202" s="385"/>
      <c r="F202" s="385"/>
      <c r="G202" s="385"/>
      <c r="H202" s="385"/>
      <c r="I202" s="385"/>
      <c r="J202" s="385"/>
      <c r="K202" s="385"/>
      <c r="L202" s="385"/>
      <c r="M202" s="385"/>
      <c r="N202" s="385"/>
      <c r="O202" s="385"/>
      <c r="P202" s="385"/>
      <c r="Q202" s="385"/>
      <c r="R202" s="385"/>
      <c r="S202" s="385"/>
      <c r="T202" s="385"/>
      <c r="U202" s="385"/>
      <c r="V202" s="385"/>
      <c r="W202" s="385"/>
      <c r="X202" s="385"/>
      <c r="Y202" s="385"/>
      <c r="Z202" s="385"/>
      <c r="AA202" s="385"/>
      <c r="AB202" s="385"/>
      <c r="AC202" s="385"/>
      <c r="AD202" s="385"/>
      <c r="AE202" s="385"/>
      <c r="AF202" s="385"/>
      <c r="AG202" s="385"/>
      <c r="AH202" s="385"/>
      <c r="AI202" s="385"/>
      <c r="AJ202" s="385"/>
      <c r="AK202" s="385"/>
      <c r="AL202" s="385"/>
      <c r="AM202" s="385"/>
      <c r="AN202" s="385"/>
      <c r="AO202" s="385"/>
      <c r="AP202" s="385"/>
      <c r="AQ202" s="385"/>
      <c r="AR202" s="385"/>
      <c r="AS202" s="385"/>
      <c r="AT202" s="385"/>
      <c r="AU202" s="385"/>
      <c r="AV202" s="385"/>
      <c r="AW202" s="385"/>
      <c r="AX202" s="385"/>
      <c r="AY202" s="385"/>
    </row>
    <row r="203" spans="1:51" ht="12.75">
      <c r="A203" s="384"/>
      <c r="B203" s="385"/>
      <c r="C203" s="385"/>
      <c r="D203" s="385"/>
      <c r="E203" s="385"/>
      <c r="F203" s="385"/>
      <c r="G203" s="385"/>
      <c r="H203" s="385"/>
      <c r="I203" s="385"/>
      <c r="J203" s="385"/>
      <c r="K203" s="385"/>
      <c r="L203" s="385"/>
      <c r="M203" s="385"/>
      <c r="N203" s="385"/>
      <c r="O203" s="385"/>
      <c r="P203" s="385"/>
      <c r="Q203" s="385"/>
      <c r="R203" s="385"/>
      <c r="S203" s="385"/>
      <c r="T203" s="385"/>
      <c r="U203" s="385"/>
      <c r="V203" s="385"/>
      <c r="W203" s="385"/>
      <c r="X203" s="385"/>
      <c r="Y203" s="385"/>
      <c r="Z203" s="385"/>
      <c r="AA203" s="385"/>
      <c r="AB203" s="385"/>
      <c r="AC203" s="385"/>
      <c r="AD203" s="385"/>
      <c r="AE203" s="385"/>
      <c r="AF203" s="385"/>
      <c r="AG203" s="385"/>
      <c r="AH203" s="385"/>
      <c r="AI203" s="385"/>
      <c r="AJ203" s="385"/>
      <c r="AK203" s="385"/>
      <c r="AL203" s="385"/>
      <c r="AM203" s="385"/>
      <c r="AN203" s="385"/>
      <c r="AO203" s="385"/>
      <c r="AP203" s="385"/>
      <c r="AQ203" s="385"/>
      <c r="AR203" s="385"/>
      <c r="AS203" s="385"/>
      <c r="AT203" s="385"/>
      <c r="AU203" s="385"/>
      <c r="AV203" s="385"/>
      <c r="AW203" s="385"/>
      <c r="AX203" s="385"/>
      <c r="AY203" s="385"/>
    </row>
    <row r="204" spans="1:51" ht="13.5" thickBot="1">
      <c r="A204" s="386"/>
      <c r="B204" s="385"/>
      <c r="C204" s="385"/>
      <c r="D204" s="385"/>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row r="298" ht="12.75">
      <c r="A298" s="3"/>
    </row>
    <row r="299" ht="12.75">
      <c r="A299" s="3"/>
    </row>
    <row r="300" ht="12.75">
      <c r="A300" s="3"/>
    </row>
    <row r="301" ht="12.75">
      <c r="A301" s="3"/>
    </row>
    <row r="302" ht="12.75">
      <c r="A302" s="3"/>
    </row>
    <row r="303" ht="12.75">
      <c r="A303" s="3"/>
    </row>
    <row r="304" ht="12.75">
      <c r="A304" s="3"/>
    </row>
    <row r="305" ht="12.75">
      <c r="A305" s="3"/>
    </row>
    <row r="306" ht="12.75">
      <c r="A306" s="3"/>
    </row>
    <row r="307" ht="12.75">
      <c r="A307" s="3"/>
    </row>
    <row r="308" ht="12.75">
      <c r="A308" s="3"/>
    </row>
    <row r="309" ht="12.75">
      <c r="A309" s="3"/>
    </row>
    <row r="310" ht="12.75">
      <c r="A310" s="3"/>
    </row>
    <row r="311" ht="12.75">
      <c r="A311" s="3"/>
    </row>
    <row r="312" ht="12.75">
      <c r="A312" s="3"/>
    </row>
    <row r="313" ht="12.75">
      <c r="A313" s="3"/>
    </row>
    <row r="314" ht="12.75">
      <c r="A314" s="3"/>
    </row>
    <row r="315" ht="12.75">
      <c r="A315" s="3"/>
    </row>
    <row r="316" ht="12.75">
      <c r="A316" s="3"/>
    </row>
    <row r="317" ht="12.75">
      <c r="A317" s="3"/>
    </row>
    <row r="318" ht="12.75">
      <c r="A318" s="3"/>
    </row>
    <row r="319" ht="12.75">
      <c r="A319" s="3"/>
    </row>
    <row r="320" ht="12.75">
      <c r="A320" s="3"/>
    </row>
    <row r="321" ht="12.75">
      <c r="A321" s="3"/>
    </row>
    <row r="322" ht="12.75">
      <c r="A322" s="3"/>
    </row>
    <row r="323" ht="12.75">
      <c r="A323" s="3"/>
    </row>
    <row r="324" ht="12.75">
      <c r="A324" s="3"/>
    </row>
    <row r="325" ht="12.75">
      <c r="A325" s="3"/>
    </row>
    <row r="326" ht="12.75">
      <c r="A326" s="3"/>
    </row>
    <row r="327" ht="12.75">
      <c r="A327" s="3"/>
    </row>
    <row r="328" ht="12.75">
      <c r="A328" s="3"/>
    </row>
    <row r="329" ht="12.75">
      <c r="A329" s="3"/>
    </row>
    <row r="330" ht="12.75">
      <c r="A330" s="3"/>
    </row>
    <row r="331" ht="12.75">
      <c r="A331" s="3"/>
    </row>
    <row r="332" ht="12.75">
      <c r="A332" s="3"/>
    </row>
    <row r="333" ht="12.75">
      <c r="A333" s="3"/>
    </row>
    <row r="334" ht="12.75">
      <c r="A334" s="3"/>
    </row>
    <row r="335" ht="12.75">
      <c r="A335" s="3"/>
    </row>
    <row r="336" ht="12.75">
      <c r="A336" s="3"/>
    </row>
    <row r="337" ht="12.75">
      <c r="A337" s="3"/>
    </row>
    <row r="338" ht="12.75">
      <c r="A338" s="3"/>
    </row>
    <row r="339" ht="12.75">
      <c r="A339" s="3"/>
    </row>
    <row r="340" ht="12.75">
      <c r="A340" s="3"/>
    </row>
    <row r="341" ht="12.75">
      <c r="A341" s="3"/>
    </row>
    <row r="342" ht="12.75">
      <c r="A342" s="3"/>
    </row>
    <row r="343" ht="12.75">
      <c r="A343" s="3"/>
    </row>
    <row r="344" ht="12.75">
      <c r="A344" s="3"/>
    </row>
    <row r="345" ht="12.75">
      <c r="A345" s="3"/>
    </row>
    <row r="346" ht="12.75">
      <c r="A346" s="3"/>
    </row>
    <row r="347" ht="12.75">
      <c r="A347" s="3"/>
    </row>
    <row r="348" ht="12.75">
      <c r="A348" s="3"/>
    </row>
    <row r="349" ht="12.75">
      <c r="A349" s="3"/>
    </row>
    <row r="350" ht="12.75">
      <c r="A350" s="3"/>
    </row>
    <row r="351" ht="12.75">
      <c r="A351" s="3"/>
    </row>
    <row r="352" ht="12.75">
      <c r="A352" s="3"/>
    </row>
    <row r="353" ht="12.75">
      <c r="A353" s="3"/>
    </row>
    <row r="354" ht="12.75">
      <c r="A354" s="3"/>
    </row>
    <row r="355" ht="12.75">
      <c r="A355" s="3"/>
    </row>
    <row r="356" ht="12.75">
      <c r="A356" s="3"/>
    </row>
    <row r="357" ht="12.75">
      <c r="A357" s="3"/>
    </row>
    <row r="358" ht="12.75">
      <c r="A358" s="3"/>
    </row>
    <row r="359" ht="12.75">
      <c r="A359" s="3"/>
    </row>
    <row r="360" ht="12.75">
      <c r="A360" s="3"/>
    </row>
    <row r="361" ht="12.75">
      <c r="A361" s="3"/>
    </row>
    <row r="362" ht="12.75">
      <c r="A362" s="3"/>
    </row>
    <row r="363" ht="12.75">
      <c r="A363" s="3"/>
    </row>
    <row r="364" ht="12.75">
      <c r="A364" s="3"/>
    </row>
    <row r="365" ht="12.75">
      <c r="A365" s="3"/>
    </row>
    <row r="366" ht="12.75">
      <c r="A366" s="3"/>
    </row>
    <row r="367" ht="12.75">
      <c r="A367" s="3"/>
    </row>
    <row r="368" ht="12.75">
      <c r="A368" s="3"/>
    </row>
    <row r="369" ht="12.75">
      <c r="A369" s="3"/>
    </row>
    <row r="370" ht="12.75">
      <c r="A370" s="3"/>
    </row>
    <row r="371" ht="12.75">
      <c r="A371" s="3"/>
    </row>
    <row r="372" ht="12.75">
      <c r="A372" s="3"/>
    </row>
    <row r="373" ht="12.75">
      <c r="A373" s="3"/>
    </row>
    <row r="374" ht="12.75">
      <c r="A374" s="3"/>
    </row>
    <row r="375" ht="12.75">
      <c r="A375" s="3"/>
    </row>
    <row r="376" ht="12.75">
      <c r="A376" s="3"/>
    </row>
    <row r="377" ht="12.75">
      <c r="A377" s="3"/>
    </row>
    <row r="378" ht="12.75">
      <c r="A378" s="3"/>
    </row>
    <row r="379" ht="12.75">
      <c r="A379" s="3"/>
    </row>
    <row r="380" ht="12.75">
      <c r="A380" s="3"/>
    </row>
    <row r="381" ht="12.75">
      <c r="A381" s="3"/>
    </row>
    <row r="382" ht="12.75">
      <c r="A382" s="3"/>
    </row>
    <row r="383" ht="12.75">
      <c r="A383" s="3"/>
    </row>
    <row r="384" ht="12.75">
      <c r="A384" s="3"/>
    </row>
    <row r="385" ht="12.75">
      <c r="A385" s="3"/>
    </row>
    <row r="386" ht="12.75">
      <c r="A386" s="3"/>
    </row>
    <row r="387" ht="12.75">
      <c r="A387" s="3"/>
    </row>
    <row r="388" ht="12.75">
      <c r="A388" s="3"/>
    </row>
    <row r="389" ht="12.75">
      <c r="A389" s="3"/>
    </row>
    <row r="390" ht="12.75">
      <c r="A390" s="3"/>
    </row>
    <row r="391" ht="12.75">
      <c r="A391" s="3"/>
    </row>
    <row r="392" ht="12.75">
      <c r="A392" s="3"/>
    </row>
    <row r="393" ht="12.75">
      <c r="A393" s="3"/>
    </row>
    <row r="394" ht="12.75">
      <c r="A394" s="3"/>
    </row>
    <row r="395" ht="12.75">
      <c r="A395" s="3"/>
    </row>
    <row r="396" ht="12.75">
      <c r="A396" s="3"/>
    </row>
    <row r="397" ht="12.75">
      <c r="A397" s="3"/>
    </row>
    <row r="398" ht="12.75">
      <c r="A398" s="3"/>
    </row>
    <row r="399" ht="12.75">
      <c r="A399" s="3"/>
    </row>
    <row r="400" ht="12.75">
      <c r="A400" s="3"/>
    </row>
    <row r="401" ht="12.75">
      <c r="A401" s="3"/>
    </row>
    <row r="402" ht="12.75">
      <c r="A402" s="3"/>
    </row>
    <row r="403" ht="12.75">
      <c r="A403" s="3"/>
    </row>
    <row r="404" ht="12.75">
      <c r="A404" s="3"/>
    </row>
    <row r="405" ht="12.75">
      <c r="A405" s="3"/>
    </row>
    <row r="406" ht="12.75">
      <c r="A406" s="3"/>
    </row>
    <row r="407" ht="12.75">
      <c r="A407" s="3"/>
    </row>
    <row r="408" ht="12.75">
      <c r="A408" s="3"/>
    </row>
    <row r="409" ht="12.75">
      <c r="A409" s="3"/>
    </row>
    <row r="410" ht="12.75">
      <c r="A410" s="3"/>
    </row>
    <row r="411" ht="12.75">
      <c r="A411" s="3"/>
    </row>
    <row r="412" ht="12.75">
      <c r="A412" s="3"/>
    </row>
    <row r="413" ht="12.75">
      <c r="A413" s="3"/>
    </row>
    <row r="414" ht="12.75">
      <c r="A414" s="3"/>
    </row>
    <row r="415" ht="12.75">
      <c r="A415" s="3"/>
    </row>
    <row r="416" ht="12.75">
      <c r="A416" s="3"/>
    </row>
    <row r="417" ht="12.75">
      <c r="A417" s="3"/>
    </row>
    <row r="418" ht="12.75">
      <c r="A418" s="3"/>
    </row>
    <row r="419" ht="12.75">
      <c r="A419" s="3"/>
    </row>
    <row r="420" ht="12.75">
      <c r="A420" s="3"/>
    </row>
    <row r="421" ht="12.75">
      <c r="A421" s="3"/>
    </row>
    <row r="422" ht="12.75">
      <c r="A422" s="3"/>
    </row>
    <row r="423" ht="12.75">
      <c r="A423" s="3"/>
    </row>
    <row r="424" ht="12.75">
      <c r="A424" s="3"/>
    </row>
    <row r="425" ht="12.75">
      <c r="A425" s="3"/>
    </row>
    <row r="426" ht="12.75">
      <c r="A426" s="3"/>
    </row>
    <row r="427" ht="12.75">
      <c r="A427" s="3"/>
    </row>
    <row r="428" ht="12.75">
      <c r="A428" s="3"/>
    </row>
    <row r="429" ht="12.75">
      <c r="A429" s="3"/>
    </row>
    <row r="430" ht="12.75">
      <c r="A430" s="3"/>
    </row>
    <row r="431" ht="12.75">
      <c r="A431" s="3"/>
    </row>
    <row r="432" ht="12.75">
      <c r="A432" s="3"/>
    </row>
    <row r="433" ht="12.75">
      <c r="A433" s="3"/>
    </row>
    <row r="434" ht="12.75">
      <c r="A434" s="3"/>
    </row>
    <row r="435" ht="12.75">
      <c r="A435" s="3"/>
    </row>
    <row r="436" ht="12.75">
      <c r="A436" s="3"/>
    </row>
    <row r="437" ht="12.75">
      <c r="A437" s="3"/>
    </row>
    <row r="438" ht="12.75">
      <c r="A438" s="3"/>
    </row>
    <row r="439" ht="12.75">
      <c r="A439" s="3"/>
    </row>
    <row r="440" ht="12.75">
      <c r="A440" s="3"/>
    </row>
    <row r="441" ht="12.75">
      <c r="A441" s="3"/>
    </row>
    <row r="442" ht="12.75">
      <c r="A442" s="3"/>
    </row>
    <row r="443" ht="12.75">
      <c r="A443" s="3"/>
    </row>
    <row r="444" ht="12.75">
      <c r="A444" s="3"/>
    </row>
    <row r="445" ht="12.75">
      <c r="A445" s="3"/>
    </row>
    <row r="446" ht="12.75">
      <c r="A446" s="3"/>
    </row>
    <row r="447" ht="12.75">
      <c r="A447" s="3"/>
    </row>
    <row r="448" ht="12.75">
      <c r="A448" s="3"/>
    </row>
    <row r="449" ht="12.75">
      <c r="A449" s="3"/>
    </row>
    <row r="450" ht="12.75">
      <c r="A450" s="3"/>
    </row>
    <row r="451" ht="12.75">
      <c r="A451" s="3"/>
    </row>
    <row r="452" ht="12.75">
      <c r="A452" s="3"/>
    </row>
    <row r="453" ht="12.75">
      <c r="A453" s="3"/>
    </row>
    <row r="454" ht="12.75">
      <c r="A454" s="3"/>
    </row>
    <row r="455" ht="12.75">
      <c r="A455" s="3"/>
    </row>
    <row r="456" ht="12.75">
      <c r="A456" s="4"/>
    </row>
    <row r="457" ht="12.75">
      <c r="A457" s="4"/>
    </row>
    <row r="458" ht="12.75">
      <c r="A458" s="4"/>
    </row>
    <row r="459" ht="12.75">
      <c r="A459" s="4"/>
    </row>
    <row r="460" ht="12.75">
      <c r="A460" s="4"/>
    </row>
    <row r="461" ht="12.75">
      <c r="A461" s="4"/>
    </row>
    <row r="462" ht="12.75">
      <c r="A462" s="4"/>
    </row>
    <row r="463" ht="12.75">
      <c r="A463" s="4"/>
    </row>
    <row r="464" ht="12.75">
      <c r="A464" s="4"/>
    </row>
    <row r="465" ht="12.75">
      <c r="A465" s="4"/>
    </row>
    <row r="466" ht="12.75">
      <c r="A466" s="4"/>
    </row>
    <row r="467" ht="12.75">
      <c r="A467" s="4"/>
    </row>
    <row r="468" ht="12.75">
      <c r="A468" s="4"/>
    </row>
    <row r="469" ht="12.75">
      <c r="A469" s="4"/>
    </row>
    <row r="470" ht="12.75">
      <c r="A470" s="4"/>
    </row>
    <row r="471" ht="12.75">
      <c r="A471" s="4"/>
    </row>
    <row r="472" ht="12.75">
      <c r="A472" s="4"/>
    </row>
    <row r="473" ht="12.75">
      <c r="A473" s="4"/>
    </row>
    <row r="474" ht="12.75">
      <c r="A474" s="4"/>
    </row>
    <row r="475" ht="12.75">
      <c r="A475" s="4"/>
    </row>
    <row r="476" ht="12.75">
      <c r="A476" s="4"/>
    </row>
    <row r="477" ht="12.75">
      <c r="A477" s="4"/>
    </row>
    <row r="478" ht="12.75">
      <c r="A478" s="4"/>
    </row>
    <row r="479" ht="12.75">
      <c r="A479" s="4"/>
    </row>
    <row r="480" ht="12.75">
      <c r="A480" s="4"/>
    </row>
    <row r="481" ht="12.75">
      <c r="A481" s="4"/>
    </row>
    <row r="482" ht="12.75">
      <c r="A482" s="4"/>
    </row>
    <row r="483" ht="12.75">
      <c r="A483" s="4"/>
    </row>
    <row r="484" ht="12.75">
      <c r="A484" s="4"/>
    </row>
    <row r="485" ht="12.75">
      <c r="A485" s="4"/>
    </row>
    <row r="486" ht="12.75">
      <c r="A486" s="4"/>
    </row>
    <row r="487" ht="12.75">
      <c r="A487" s="4"/>
    </row>
    <row r="488" ht="12.75">
      <c r="A488" s="4"/>
    </row>
    <row r="489" ht="12.75">
      <c r="A489" s="4"/>
    </row>
    <row r="490" ht="12.75">
      <c r="A490" s="4"/>
    </row>
    <row r="491" ht="12.75">
      <c r="A491" s="4"/>
    </row>
    <row r="492" ht="12.75">
      <c r="A492" s="4"/>
    </row>
    <row r="493" ht="12.75">
      <c r="A493" s="4"/>
    </row>
    <row r="494" ht="12.75">
      <c r="A494" s="4"/>
    </row>
    <row r="495" ht="12.75">
      <c r="A495" s="4"/>
    </row>
    <row r="496" ht="12.75">
      <c r="A496" s="4"/>
    </row>
    <row r="497" ht="12.75">
      <c r="A497" s="4"/>
    </row>
    <row r="498" ht="12.75">
      <c r="A498" s="4"/>
    </row>
    <row r="499" ht="12.75">
      <c r="A499" s="4"/>
    </row>
    <row r="500" ht="12.75">
      <c r="A500" s="4"/>
    </row>
    <row r="501" ht="12.75">
      <c r="A501" s="4"/>
    </row>
    <row r="502" ht="12.75">
      <c r="A502" s="4"/>
    </row>
    <row r="503" ht="12.75">
      <c r="A503" s="4"/>
    </row>
    <row r="504" ht="12.75">
      <c r="A504" s="4"/>
    </row>
    <row r="505" ht="12.75">
      <c r="A505" s="4"/>
    </row>
    <row r="506" ht="12.75">
      <c r="A506" s="4"/>
    </row>
    <row r="507" ht="12.75">
      <c r="A507" s="4"/>
    </row>
    <row r="508" ht="12.75">
      <c r="A508" s="4"/>
    </row>
    <row r="509" ht="12.75">
      <c r="A509" s="4"/>
    </row>
    <row r="510" ht="12.75">
      <c r="A510" s="4"/>
    </row>
    <row r="511" ht="12.75">
      <c r="A511" s="4"/>
    </row>
    <row r="512" ht="12.75">
      <c r="A512" s="4"/>
    </row>
    <row r="513" ht="12.75">
      <c r="A513" s="4"/>
    </row>
    <row r="514" ht="12.75">
      <c r="A514" s="4"/>
    </row>
    <row r="515" ht="12.75">
      <c r="A515" s="4"/>
    </row>
    <row r="516" ht="12.75">
      <c r="A516" s="4"/>
    </row>
    <row r="517" ht="12.75">
      <c r="A517" s="4"/>
    </row>
    <row r="518" ht="12.75">
      <c r="A518" s="4"/>
    </row>
    <row r="519" ht="12.75">
      <c r="A519" s="4"/>
    </row>
    <row r="520" ht="12.75">
      <c r="A520" s="4"/>
    </row>
    <row r="521" ht="12.75">
      <c r="A521" s="4"/>
    </row>
    <row r="522" ht="12.75">
      <c r="A522" s="4"/>
    </row>
    <row r="523" ht="12.75">
      <c r="A523" s="4"/>
    </row>
    <row r="524" ht="12.75">
      <c r="A524" s="4"/>
    </row>
    <row r="525" ht="12.75">
      <c r="A525" s="4"/>
    </row>
    <row r="526" ht="12.75">
      <c r="A526" s="4"/>
    </row>
    <row r="527" ht="12.75">
      <c r="A527" s="4"/>
    </row>
    <row r="528" ht="12.75">
      <c r="A528" s="4"/>
    </row>
    <row r="529" ht="12.75">
      <c r="A529" s="4"/>
    </row>
    <row r="530" ht="12.75">
      <c r="A530" s="4"/>
    </row>
    <row r="531" ht="12.75">
      <c r="A531" s="4"/>
    </row>
    <row r="532" ht="12.75">
      <c r="A532" s="4"/>
    </row>
    <row r="533" ht="12.75">
      <c r="A533" s="4"/>
    </row>
    <row r="534" ht="12.75">
      <c r="A534" s="4"/>
    </row>
    <row r="535" ht="12.75">
      <c r="A535" s="4"/>
    </row>
    <row r="536" ht="12.75">
      <c r="A536" s="4"/>
    </row>
    <row r="537" ht="12.75">
      <c r="A537" s="4"/>
    </row>
    <row r="538" ht="12.75">
      <c r="A538" s="4"/>
    </row>
    <row r="539" ht="12.75">
      <c r="A539" s="4"/>
    </row>
    <row r="540" ht="12.75">
      <c r="A540" s="5"/>
    </row>
    <row r="541" ht="12.75">
      <c r="A541" s="5"/>
    </row>
    <row r="542" ht="12.75">
      <c r="A542" s="5"/>
    </row>
    <row r="543" ht="12.75">
      <c r="A543" s="5"/>
    </row>
    <row r="544" ht="12.75">
      <c r="A544" s="4"/>
    </row>
    <row r="545" ht="12.75">
      <c r="A545" s="4"/>
    </row>
    <row r="546" ht="12.75">
      <c r="A546" s="4"/>
    </row>
    <row r="547" ht="12.75">
      <c r="A547" s="4"/>
    </row>
    <row r="548" ht="12.75">
      <c r="A548" s="4"/>
    </row>
    <row r="549" ht="12.75">
      <c r="A549" s="4"/>
    </row>
    <row r="550" ht="12.75">
      <c r="A550" s="4"/>
    </row>
    <row r="551" ht="12.75">
      <c r="A551" s="4"/>
    </row>
    <row r="552" ht="12.75">
      <c r="A552" s="4"/>
    </row>
    <row r="553" ht="12.75">
      <c r="A553" s="4"/>
    </row>
    <row r="554" ht="12.75">
      <c r="A554" s="4"/>
    </row>
    <row r="555" ht="12.75">
      <c r="A555" s="4"/>
    </row>
    <row r="556" ht="12.75">
      <c r="A556" s="5"/>
    </row>
    <row r="557" ht="12.75">
      <c r="A557" s="5"/>
    </row>
    <row r="558" ht="12.75">
      <c r="A558" s="5"/>
    </row>
    <row r="559" ht="12.75">
      <c r="A559" s="5"/>
    </row>
    <row r="560" ht="12.75">
      <c r="A560" s="5"/>
    </row>
    <row r="561" ht="12.75">
      <c r="A561" s="5"/>
    </row>
    <row r="562" ht="12.75">
      <c r="A562" s="4"/>
    </row>
    <row r="563" ht="12.75">
      <c r="A563" s="4"/>
    </row>
    <row r="564" ht="12.75">
      <c r="A564" s="4"/>
    </row>
    <row r="565" ht="12.75">
      <c r="A565" s="4"/>
    </row>
    <row r="566" ht="12.75">
      <c r="A566" s="4"/>
    </row>
    <row r="567" ht="12.75">
      <c r="A567" s="4"/>
    </row>
    <row r="568" ht="12.75">
      <c r="A568" s="4"/>
    </row>
    <row r="569" ht="12.75">
      <c r="A569" s="4"/>
    </row>
    <row r="570" ht="12.75">
      <c r="A570" s="4"/>
    </row>
    <row r="571" ht="12.75">
      <c r="A571" s="4"/>
    </row>
    <row r="572" ht="12.75">
      <c r="A572" s="4"/>
    </row>
    <row r="573" ht="12.75">
      <c r="A573" s="4"/>
    </row>
    <row r="574" ht="12.75">
      <c r="A574" s="4"/>
    </row>
    <row r="575" ht="12.75">
      <c r="A575" s="4"/>
    </row>
    <row r="576" ht="12.75">
      <c r="A576" s="4"/>
    </row>
    <row r="577" ht="12.75">
      <c r="A577" s="4"/>
    </row>
    <row r="578" ht="12.75">
      <c r="A578" s="4"/>
    </row>
    <row r="579" ht="12.75">
      <c r="A579" s="4"/>
    </row>
    <row r="580" ht="12.75">
      <c r="A580" s="4"/>
    </row>
    <row r="581" ht="12.75">
      <c r="A581" s="4"/>
    </row>
    <row r="582" ht="12.75">
      <c r="A582" s="4"/>
    </row>
    <row r="583" ht="12.75">
      <c r="A583" s="4"/>
    </row>
    <row r="584" ht="12.75">
      <c r="A584" s="4"/>
    </row>
    <row r="585" ht="12.75">
      <c r="A585" s="4"/>
    </row>
    <row r="586" ht="12.75">
      <c r="A586" s="4"/>
    </row>
    <row r="587" ht="12.75">
      <c r="A587" s="4"/>
    </row>
    <row r="588" ht="12.75">
      <c r="A588" s="4"/>
    </row>
    <row r="589" ht="12.75">
      <c r="A589" s="4"/>
    </row>
    <row r="590" ht="12.75">
      <c r="A590" s="4"/>
    </row>
    <row r="591" ht="12.75">
      <c r="A591" s="4"/>
    </row>
    <row r="592" ht="12.75">
      <c r="A592" s="4"/>
    </row>
    <row r="593" ht="12.75">
      <c r="A593" s="4"/>
    </row>
    <row r="594" ht="12.75">
      <c r="A594" s="4"/>
    </row>
    <row r="595" ht="12.75">
      <c r="A595" s="4"/>
    </row>
    <row r="596" ht="12.75">
      <c r="A596" s="4"/>
    </row>
    <row r="597" ht="12.75">
      <c r="A597" s="4"/>
    </row>
    <row r="598" ht="12.75">
      <c r="A598" s="4"/>
    </row>
    <row r="599" ht="12.75">
      <c r="A599" s="4"/>
    </row>
    <row r="600" ht="12.75">
      <c r="A600" s="4"/>
    </row>
    <row r="601" ht="12.75">
      <c r="A601" s="4"/>
    </row>
    <row r="602" ht="12.75">
      <c r="A602" s="4"/>
    </row>
    <row r="603" ht="12.75">
      <c r="A603" s="4"/>
    </row>
    <row r="604" ht="12.75">
      <c r="A604" s="4"/>
    </row>
    <row r="605" ht="12.75">
      <c r="A605" s="4"/>
    </row>
    <row r="606" ht="12.75">
      <c r="A606" s="4"/>
    </row>
    <row r="607" ht="12.75">
      <c r="A607" s="4"/>
    </row>
    <row r="608" ht="12.75">
      <c r="A608" s="4"/>
    </row>
    <row r="609" ht="12.75">
      <c r="A609" s="4"/>
    </row>
    <row r="610" ht="12.75">
      <c r="A610" s="4"/>
    </row>
    <row r="611" ht="12.75">
      <c r="A611" s="4"/>
    </row>
    <row r="612" ht="12.75">
      <c r="A612" s="4"/>
    </row>
    <row r="613" ht="12.75">
      <c r="A613" s="4"/>
    </row>
    <row r="614" ht="12.75">
      <c r="A614" s="4"/>
    </row>
    <row r="615" ht="12.75">
      <c r="A615" s="4"/>
    </row>
    <row r="616" ht="12.75">
      <c r="A616" s="4"/>
    </row>
    <row r="617" ht="12.75">
      <c r="A617" s="4"/>
    </row>
    <row r="618" ht="12.75">
      <c r="A618" s="4"/>
    </row>
    <row r="619" ht="12.75">
      <c r="A619" s="4"/>
    </row>
    <row r="620" ht="12.75">
      <c r="A620" s="4"/>
    </row>
    <row r="621" ht="12.75">
      <c r="A621" s="4"/>
    </row>
    <row r="622" ht="12.75">
      <c r="A622" s="4"/>
    </row>
    <row r="623" ht="12.75">
      <c r="A623" s="4"/>
    </row>
    <row r="624" ht="12.75">
      <c r="A624" s="4"/>
    </row>
    <row r="625" ht="12.75">
      <c r="A625" s="4"/>
    </row>
    <row r="626" ht="12.75">
      <c r="A626" s="4"/>
    </row>
    <row r="627" ht="12.75">
      <c r="A627" s="4"/>
    </row>
    <row r="628" ht="12.75">
      <c r="A628" s="4"/>
    </row>
    <row r="629" ht="12.75">
      <c r="A629" s="4"/>
    </row>
    <row r="630" ht="12.75">
      <c r="A630" s="4"/>
    </row>
    <row r="631" ht="12.75">
      <c r="A631" s="4"/>
    </row>
    <row r="632" ht="12.75">
      <c r="A632" s="4"/>
    </row>
    <row r="633" ht="12.75">
      <c r="A633" s="4"/>
    </row>
    <row r="634" ht="12.75">
      <c r="A634" s="4"/>
    </row>
    <row r="635" ht="12.75">
      <c r="A635" s="5"/>
    </row>
    <row r="636" ht="12.75">
      <c r="A636" s="4"/>
    </row>
    <row r="637" ht="12.75">
      <c r="A637" s="4"/>
    </row>
    <row r="638" ht="12.75">
      <c r="A638" s="4"/>
    </row>
    <row r="639" ht="12.75">
      <c r="A639" s="4"/>
    </row>
    <row r="640" ht="12.75">
      <c r="A640" s="4"/>
    </row>
    <row r="641" ht="12.75">
      <c r="A641" s="4"/>
    </row>
    <row r="642" ht="12.75">
      <c r="A642" s="4"/>
    </row>
    <row r="643" ht="12.75">
      <c r="A643" s="4"/>
    </row>
    <row r="644" ht="12.75">
      <c r="A644" s="4"/>
    </row>
    <row r="645" ht="12.75">
      <c r="A645" s="4"/>
    </row>
    <row r="646" ht="12.75">
      <c r="A646" s="4"/>
    </row>
    <row r="647" ht="12.75">
      <c r="A647" s="5"/>
    </row>
    <row r="648" ht="12.75">
      <c r="A648" s="5"/>
    </row>
    <row r="649" ht="12.75">
      <c r="A649" s="5"/>
    </row>
    <row r="650" ht="12.75">
      <c r="A650" s="5"/>
    </row>
    <row r="651" ht="12.75">
      <c r="A651" s="5"/>
    </row>
    <row r="652" ht="12.75">
      <c r="A652" s="5"/>
    </row>
    <row r="653" ht="12.75">
      <c r="A653" s="5"/>
    </row>
    <row r="654" ht="12.75">
      <c r="A654" s="4"/>
    </row>
    <row r="655" ht="12.75">
      <c r="A655" s="4"/>
    </row>
    <row r="656" ht="12.75">
      <c r="A656" s="4"/>
    </row>
    <row r="657" ht="12.75">
      <c r="A657" s="4"/>
    </row>
    <row r="658" ht="12.75">
      <c r="A658" s="4"/>
    </row>
    <row r="659" ht="12.75">
      <c r="A659" s="4"/>
    </row>
    <row r="660" ht="12.75">
      <c r="A660" s="4"/>
    </row>
    <row r="661" ht="12.75">
      <c r="A661" s="4"/>
    </row>
    <row r="662" ht="12.75">
      <c r="A662" s="4"/>
    </row>
    <row r="663" ht="12.75">
      <c r="A663" s="4"/>
    </row>
    <row r="664" ht="12.75">
      <c r="A664" s="4"/>
    </row>
    <row r="665" ht="12.75">
      <c r="A665" s="4"/>
    </row>
    <row r="666" ht="12.75">
      <c r="A666" s="4"/>
    </row>
    <row r="667" ht="12.75">
      <c r="A667" s="4"/>
    </row>
    <row r="668" ht="12.75">
      <c r="A668" s="4"/>
    </row>
    <row r="669" ht="12.75">
      <c r="A669" s="4"/>
    </row>
    <row r="670" ht="12.75">
      <c r="A670" s="4"/>
    </row>
    <row r="671" ht="12.75">
      <c r="A671" s="5"/>
    </row>
    <row r="672" ht="12.75">
      <c r="A672" s="5"/>
    </row>
    <row r="673" ht="12.75">
      <c r="A673" s="5"/>
    </row>
    <row r="674" ht="12.75">
      <c r="A674" s="4"/>
    </row>
    <row r="675" ht="12.75">
      <c r="A675" s="4"/>
    </row>
    <row r="676" ht="12.75">
      <c r="A676" s="4"/>
    </row>
    <row r="677" ht="12.75">
      <c r="A677" s="4"/>
    </row>
    <row r="678" ht="12.75">
      <c r="A678" s="4"/>
    </row>
    <row r="679" ht="12.75">
      <c r="A679" s="4"/>
    </row>
    <row r="680" ht="12.75">
      <c r="A680" s="4"/>
    </row>
    <row r="681" ht="12.75">
      <c r="A681" s="4"/>
    </row>
    <row r="682" ht="12.75">
      <c r="A682" s="4"/>
    </row>
    <row r="683" ht="12.75">
      <c r="A683" s="4"/>
    </row>
    <row r="684" ht="12.75">
      <c r="A684" s="4"/>
    </row>
    <row r="685" ht="12.75">
      <c r="A685" s="4"/>
    </row>
    <row r="686" ht="12.75">
      <c r="A686" s="4"/>
    </row>
    <row r="687" ht="12.75">
      <c r="A687" s="4"/>
    </row>
    <row r="688" ht="12.75">
      <c r="A688" s="4"/>
    </row>
    <row r="689" ht="12.75">
      <c r="A689" s="4"/>
    </row>
    <row r="690" ht="12.75">
      <c r="A690" s="4"/>
    </row>
    <row r="691" ht="12.75">
      <c r="A691" s="4"/>
    </row>
    <row r="692" ht="12.75">
      <c r="A692" s="4"/>
    </row>
    <row r="693" ht="12.75">
      <c r="A693" s="4"/>
    </row>
    <row r="694" ht="12.75">
      <c r="A694" s="4"/>
    </row>
    <row r="695" ht="12.75">
      <c r="A695" s="4"/>
    </row>
    <row r="696" ht="12.75">
      <c r="A696" s="4"/>
    </row>
    <row r="697" ht="12.75">
      <c r="A697" s="4"/>
    </row>
    <row r="698" ht="12.75">
      <c r="A698" s="4"/>
    </row>
    <row r="699" ht="12.75">
      <c r="A699" s="4"/>
    </row>
    <row r="700" ht="12.75">
      <c r="A700" s="4"/>
    </row>
    <row r="701" ht="12.75">
      <c r="A701" s="4"/>
    </row>
    <row r="702" ht="12.75">
      <c r="A702" s="4"/>
    </row>
    <row r="703" ht="12.75">
      <c r="A703" s="4"/>
    </row>
    <row r="704" ht="12.75">
      <c r="A704" s="4"/>
    </row>
    <row r="705" ht="12.75">
      <c r="A705" s="4"/>
    </row>
    <row r="706" ht="12.75">
      <c r="A706" s="4"/>
    </row>
    <row r="707" ht="12.75">
      <c r="A707" s="4"/>
    </row>
    <row r="708" ht="12.75">
      <c r="A708" s="4"/>
    </row>
    <row r="709" ht="12.75">
      <c r="A709" s="4"/>
    </row>
    <row r="710" ht="12.75">
      <c r="A710" s="4"/>
    </row>
    <row r="711" ht="12.75">
      <c r="A711" s="4"/>
    </row>
    <row r="712" ht="12.75">
      <c r="A712" s="4"/>
    </row>
    <row r="713" ht="12.75">
      <c r="A713" s="4"/>
    </row>
    <row r="714" ht="12.75">
      <c r="A714" s="4"/>
    </row>
    <row r="715" ht="12.75">
      <c r="A715" s="4"/>
    </row>
    <row r="716" ht="12.75">
      <c r="A716" s="4"/>
    </row>
    <row r="717" ht="12.75">
      <c r="A717" s="4"/>
    </row>
    <row r="718" ht="12.75">
      <c r="A718" s="4"/>
    </row>
    <row r="719" ht="12.75">
      <c r="A719" s="4"/>
    </row>
    <row r="720" ht="12.75">
      <c r="A720" s="4"/>
    </row>
    <row r="721" ht="12.75">
      <c r="A721" s="4"/>
    </row>
    <row r="722" ht="12.75">
      <c r="A722" s="4"/>
    </row>
    <row r="723" ht="12.75">
      <c r="A723" s="4"/>
    </row>
    <row r="724" ht="12.75">
      <c r="A724" s="4"/>
    </row>
    <row r="725" ht="12.75">
      <c r="A725" s="4"/>
    </row>
    <row r="726" ht="12.75">
      <c r="A726" s="4"/>
    </row>
    <row r="727" ht="12.75">
      <c r="A727" s="4"/>
    </row>
    <row r="728" ht="12.75">
      <c r="A728" s="4"/>
    </row>
    <row r="729" ht="12.75">
      <c r="A729" s="4"/>
    </row>
    <row r="730" ht="12.75">
      <c r="A730" s="4"/>
    </row>
    <row r="731" ht="12.75">
      <c r="A731" s="4"/>
    </row>
    <row r="732" ht="12.75">
      <c r="A732" s="4"/>
    </row>
    <row r="733" ht="12.75">
      <c r="A733" s="4"/>
    </row>
    <row r="734" ht="12.75">
      <c r="A734" s="4"/>
    </row>
    <row r="735" ht="12.75">
      <c r="A735" s="4"/>
    </row>
    <row r="736" ht="12.75">
      <c r="A736" s="4"/>
    </row>
    <row r="737" ht="12.75">
      <c r="A737" s="4"/>
    </row>
    <row r="738" ht="12.75">
      <c r="A738" s="4"/>
    </row>
    <row r="739" ht="12.75">
      <c r="A739" s="4"/>
    </row>
    <row r="740" ht="12.75">
      <c r="A740" s="4"/>
    </row>
    <row r="741" ht="12.75">
      <c r="A741" s="4"/>
    </row>
    <row r="742" ht="12.75">
      <c r="A742" s="4"/>
    </row>
    <row r="743" ht="12.75">
      <c r="A743" s="4"/>
    </row>
    <row r="744" ht="12.75">
      <c r="A744" s="4"/>
    </row>
    <row r="745" ht="12.75">
      <c r="A745" s="4"/>
    </row>
    <row r="746" ht="12.75">
      <c r="A746" s="4"/>
    </row>
    <row r="747" ht="12.75">
      <c r="A747" s="4"/>
    </row>
    <row r="748" ht="12.75">
      <c r="A748" s="4"/>
    </row>
    <row r="749" ht="12.75">
      <c r="A749" s="4"/>
    </row>
    <row r="750" ht="12.75">
      <c r="A750" s="4"/>
    </row>
    <row r="751" ht="12.75">
      <c r="A751" s="4"/>
    </row>
    <row r="752" ht="12.75">
      <c r="A752" s="4"/>
    </row>
    <row r="753" ht="12.75">
      <c r="A753" s="4"/>
    </row>
    <row r="754" ht="12.75">
      <c r="A754" s="4"/>
    </row>
    <row r="755" ht="12.75">
      <c r="A755" s="4"/>
    </row>
    <row r="756" ht="12.75">
      <c r="A756" s="4"/>
    </row>
    <row r="757" ht="12.75">
      <c r="A757" s="4"/>
    </row>
    <row r="758" ht="12.75">
      <c r="A758" s="4"/>
    </row>
    <row r="759" ht="12.75">
      <c r="A759" s="4"/>
    </row>
    <row r="760" ht="12.75">
      <c r="A760" s="4"/>
    </row>
    <row r="761" ht="12.75">
      <c r="A761" s="4"/>
    </row>
    <row r="762" ht="12.75">
      <c r="A762" s="4"/>
    </row>
    <row r="763" ht="12.75">
      <c r="A763" s="4"/>
    </row>
    <row r="764" ht="12.75">
      <c r="A764" s="4"/>
    </row>
    <row r="765" ht="12.75">
      <c r="A765" s="4"/>
    </row>
    <row r="766" ht="12.75">
      <c r="A766" s="4"/>
    </row>
    <row r="767" ht="12.75">
      <c r="A767" s="4"/>
    </row>
    <row r="768" ht="12.75">
      <c r="A768" s="4"/>
    </row>
    <row r="769" ht="12.75">
      <c r="A769" s="4"/>
    </row>
    <row r="770" ht="12.75">
      <c r="A770" s="4"/>
    </row>
    <row r="771" ht="12.75">
      <c r="A771" s="4"/>
    </row>
    <row r="772" ht="12.75">
      <c r="A772" s="4"/>
    </row>
    <row r="773" ht="12.75">
      <c r="A773" s="4"/>
    </row>
    <row r="774" ht="12.75">
      <c r="A774" s="4"/>
    </row>
    <row r="775" ht="12.75">
      <c r="A775" s="4"/>
    </row>
    <row r="776" ht="12.75">
      <c r="A776" s="3"/>
    </row>
    <row r="777" ht="12.75">
      <c r="A777" s="3"/>
    </row>
    <row r="778" ht="12.75">
      <c r="A778" s="3"/>
    </row>
    <row r="779" ht="12.75">
      <c r="A779" s="3"/>
    </row>
    <row r="780" ht="12.75">
      <c r="A780" s="4"/>
    </row>
    <row r="781" ht="12.75">
      <c r="A781" s="4"/>
    </row>
    <row r="782" ht="12.75">
      <c r="A782" s="4"/>
    </row>
    <row r="783" ht="12.75">
      <c r="A783" s="4"/>
    </row>
    <row r="784" ht="12.75">
      <c r="A784" s="4"/>
    </row>
    <row r="785" ht="12.75">
      <c r="A785" s="4"/>
    </row>
    <row r="786" ht="12.75">
      <c r="A786" s="4"/>
    </row>
    <row r="787" ht="12.75">
      <c r="A787" s="4"/>
    </row>
    <row r="788" ht="12.75">
      <c r="A788" s="4"/>
    </row>
    <row r="789" ht="12.75">
      <c r="A789" s="4"/>
    </row>
    <row r="790" ht="12.75">
      <c r="A790" s="4"/>
    </row>
    <row r="791" ht="12.75">
      <c r="A791" s="4"/>
    </row>
    <row r="792" ht="12.75">
      <c r="A792" s="4"/>
    </row>
    <row r="793" ht="12.75">
      <c r="A793" s="4"/>
    </row>
    <row r="794" ht="12.75">
      <c r="A794" s="4"/>
    </row>
    <row r="795" ht="12.75">
      <c r="A795" s="4"/>
    </row>
    <row r="796" ht="12.75">
      <c r="A796" s="4"/>
    </row>
    <row r="797" ht="12.75">
      <c r="A797" s="4"/>
    </row>
    <row r="798" ht="12.75">
      <c r="A798" s="4"/>
    </row>
    <row r="799" ht="12.75">
      <c r="A799" s="4"/>
    </row>
    <row r="800" ht="12.75">
      <c r="A800" s="4"/>
    </row>
    <row r="801" ht="12.75">
      <c r="A801" s="4"/>
    </row>
    <row r="802" ht="12.75">
      <c r="A802" s="4"/>
    </row>
    <row r="803" ht="12.75">
      <c r="A803" s="4"/>
    </row>
    <row r="804" ht="12.75">
      <c r="A804" s="4"/>
    </row>
    <row r="805" ht="12.75">
      <c r="A805" s="5"/>
    </row>
    <row r="806" ht="12.75">
      <c r="A806" s="5"/>
    </row>
    <row r="807" ht="12.75">
      <c r="A807" s="5"/>
    </row>
    <row r="808" ht="12.75">
      <c r="A808" s="5"/>
    </row>
    <row r="809" ht="12.75">
      <c r="A809" s="5"/>
    </row>
    <row r="810" ht="12.75">
      <c r="A810" s="5"/>
    </row>
    <row r="811" ht="12.75">
      <c r="A811" s="4"/>
    </row>
    <row r="812" ht="12.75">
      <c r="A812" s="4"/>
    </row>
    <row r="813" ht="12.75">
      <c r="A813" s="4"/>
    </row>
    <row r="814" ht="12.75">
      <c r="A814" s="4"/>
    </row>
    <row r="815" ht="12.75">
      <c r="A815" s="4"/>
    </row>
    <row r="816" ht="12.75">
      <c r="A816" s="4"/>
    </row>
    <row r="817" ht="12.75">
      <c r="A817" s="4"/>
    </row>
    <row r="818" ht="12.75">
      <c r="A818" s="4"/>
    </row>
    <row r="819" ht="12.75">
      <c r="A819" s="4"/>
    </row>
    <row r="820" ht="12.75">
      <c r="A820" s="4"/>
    </row>
    <row r="821" ht="12.75">
      <c r="A821" s="4"/>
    </row>
    <row r="822" ht="12.75">
      <c r="A822" s="4"/>
    </row>
    <row r="823" ht="12.75">
      <c r="A823" s="4"/>
    </row>
    <row r="824" ht="12.75">
      <c r="A824" s="4"/>
    </row>
    <row r="825" ht="12.75">
      <c r="A825" s="4"/>
    </row>
    <row r="826" ht="12.75">
      <c r="A826" s="4"/>
    </row>
    <row r="827" ht="12.75">
      <c r="A827" s="4"/>
    </row>
    <row r="828" ht="12.75">
      <c r="A828" s="4"/>
    </row>
    <row r="829" ht="12.75">
      <c r="A829" s="4"/>
    </row>
    <row r="830" ht="12.75">
      <c r="A830" s="4"/>
    </row>
    <row r="831" ht="12.75">
      <c r="A831" s="4"/>
    </row>
    <row r="832" ht="12.75">
      <c r="A832" s="4"/>
    </row>
    <row r="833" ht="12.75">
      <c r="A833" s="4"/>
    </row>
    <row r="834" ht="12.75">
      <c r="A834" s="4"/>
    </row>
    <row r="835" ht="12.75">
      <c r="A835" s="4"/>
    </row>
    <row r="836" ht="12.75">
      <c r="A836" s="4"/>
    </row>
    <row r="837" ht="12.75">
      <c r="A837" s="4"/>
    </row>
    <row r="838" ht="12.75">
      <c r="A838" s="4"/>
    </row>
    <row r="839" ht="12.75">
      <c r="A839" s="4"/>
    </row>
    <row r="840" ht="12.75">
      <c r="A840" s="4"/>
    </row>
    <row r="841" ht="12.75">
      <c r="A841" s="4"/>
    </row>
    <row r="842" ht="12.75">
      <c r="A842" s="4"/>
    </row>
    <row r="843" ht="12.75">
      <c r="A843" s="4"/>
    </row>
    <row r="844" ht="12.75">
      <c r="A844" s="4"/>
    </row>
    <row r="845" ht="12.75">
      <c r="A845" s="4"/>
    </row>
    <row r="846" ht="12.75">
      <c r="A846" s="4"/>
    </row>
    <row r="847" ht="12.75">
      <c r="A847" s="4"/>
    </row>
    <row r="848" ht="12.75">
      <c r="A848" s="4"/>
    </row>
    <row r="849" ht="12.75">
      <c r="A849" s="4"/>
    </row>
    <row r="850" ht="12.75">
      <c r="A850" s="4"/>
    </row>
    <row r="851" ht="12.75">
      <c r="A851" s="4"/>
    </row>
    <row r="852" ht="12.75">
      <c r="A852" s="4"/>
    </row>
    <row r="853" ht="12.75">
      <c r="A853" s="4"/>
    </row>
    <row r="854" ht="12.75">
      <c r="A854" s="4"/>
    </row>
    <row r="855" ht="12.75">
      <c r="A855" s="4"/>
    </row>
    <row r="856" ht="12.75">
      <c r="A856" s="4"/>
    </row>
    <row r="857" ht="12.75">
      <c r="A857" s="4"/>
    </row>
    <row r="858" ht="12.75">
      <c r="A858" s="4"/>
    </row>
    <row r="859" ht="12.75">
      <c r="A859" s="4"/>
    </row>
    <row r="860" ht="12.75">
      <c r="A860" s="4"/>
    </row>
    <row r="861" ht="12.75">
      <c r="A861" s="4"/>
    </row>
    <row r="862" ht="12.75">
      <c r="A862" s="4"/>
    </row>
    <row r="863" ht="12.75">
      <c r="A863" s="4"/>
    </row>
    <row r="864" ht="12.75">
      <c r="A864" s="4"/>
    </row>
    <row r="865" ht="12.75">
      <c r="A865" s="4"/>
    </row>
    <row r="866" ht="12.75">
      <c r="A866" s="4"/>
    </row>
    <row r="867" ht="12.75">
      <c r="A867" s="4"/>
    </row>
    <row r="868" ht="12.75">
      <c r="A868" s="4"/>
    </row>
    <row r="869" ht="12.75">
      <c r="A869" s="4"/>
    </row>
    <row r="870" ht="12.75">
      <c r="A870" s="4"/>
    </row>
    <row r="871" ht="12.75">
      <c r="A871" s="4"/>
    </row>
    <row r="872" ht="12.75">
      <c r="A872" s="4"/>
    </row>
    <row r="873" ht="12.75">
      <c r="A873" s="4"/>
    </row>
    <row r="874" ht="12.75">
      <c r="A874" s="4"/>
    </row>
    <row r="875" ht="12.75">
      <c r="A875" s="4"/>
    </row>
    <row r="876" ht="12.75">
      <c r="A876" s="4"/>
    </row>
    <row r="877" ht="12.75">
      <c r="A877" s="4"/>
    </row>
    <row r="878" ht="12.75">
      <c r="A878" s="4"/>
    </row>
    <row r="879" ht="12.75">
      <c r="A879" s="4"/>
    </row>
    <row r="880" ht="12.75">
      <c r="A880" s="4"/>
    </row>
    <row r="881" ht="12.75">
      <c r="A881" s="4"/>
    </row>
    <row r="882" ht="12.75">
      <c r="A882" s="4"/>
    </row>
    <row r="883" ht="12.75">
      <c r="A883" s="4"/>
    </row>
    <row r="884" ht="12.75">
      <c r="A884" s="4"/>
    </row>
    <row r="885" ht="12.75">
      <c r="A885" s="4"/>
    </row>
    <row r="886" ht="12.75">
      <c r="A886" s="4"/>
    </row>
    <row r="887" ht="12.75">
      <c r="A887" s="4"/>
    </row>
    <row r="888" ht="12.75">
      <c r="A888" s="4"/>
    </row>
    <row r="889" ht="12.75">
      <c r="A889" s="4"/>
    </row>
    <row r="890" ht="12.75">
      <c r="A890" s="4"/>
    </row>
    <row r="891" ht="12.75">
      <c r="A891" s="4"/>
    </row>
    <row r="892" ht="12.75">
      <c r="A892" s="4"/>
    </row>
    <row r="893" ht="12.75">
      <c r="A893" s="4"/>
    </row>
    <row r="894" ht="12.75">
      <c r="A894" s="4"/>
    </row>
    <row r="895" ht="12.75">
      <c r="A895" s="4"/>
    </row>
    <row r="896" ht="12.75">
      <c r="A896" s="4"/>
    </row>
    <row r="897" ht="12.75">
      <c r="A897" s="4"/>
    </row>
    <row r="898" ht="12.75">
      <c r="A898" s="4"/>
    </row>
    <row r="899" ht="12.75">
      <c r="A899" s="4"/>
    </row>
    <row r="900" ht="12.75">
      <c r="A900" s="4"/>
    </row>
    <row r="901" ht="12.75">
      <c r="A901" s="4"/>
    </row>
    <row r="902" ht="12.75">
      <c r="A902" s="4"/>
    </row>
    <row r="903" ht="12.75">
      <c r="A903" s="4"/>
    </row>
    <row r="904" ht="12.75">
      <c r="A904" s="4"/>
    </row>
    <row r="905" ht="12.75">
      <c r="A905" s="4"/>
    </row>
    <row r="906" ht="12.75">
      <c r="A906" s="4"/>
    </row>
    <row r="907" ht="12.75">
      <c r="A907" s="4"/>
    </row>
    <row r="908" ht="12.75">
      <c r="A908" s="4"/>
    </row>
    <row r="909" ht="12.75">
      <c r="A909" s="4"/>
    </row>
    <row r="910" ht="12.75">
      <c r="A910" s="4"/>
    </row>
    <row r="911" ht="12.75">
      <c r="A911" s="4"/>
    </row>
    <row r="912" ht="12.75">
      <c r="A912" s="4"/>
    </row>
    <row r="913" ht="12.75">
      <c r="A913" s="4"/>
    </row>
    <row r="914" ht="12.75">
      <c r="A914" s="4"/>
    </row>
    <row r="915" ht="12.75">
      <c r="A915" s="4"/>
    </row>
    <row r="916" ht="12.75">
      <c r="A916" s="4"/>
    </row>
    <row r="917" ht="12.75">
      <c r="A917" s="4"/>
    </row>
    <row r="918" ht="12.75">
      <c r="A918" s="4"/>
    </row>
    <row r="919" ht="12.75">
      <c r="A919" s="4"/>
    </row>
    <row r="920" ht="12.75">
      <c r="A920" s="4"/>
    </row>
    <row r="921" ht="12.75">
      <c r="A921" s="4"/>
    </row>
    <row r="922" ht="12.75">
      <c r="A922" s="4"/>
    </row>
    <row r="923" ht="12.75">
      <c r="A923" s="4"/>
    </row>
    <row r="924" ht="12.75">
      <c r="A924" s="4"/>
    </row>
    <row r="925" ht="12.75">
      <c r="A925" s="4"/>
    </row>
    <row r="926" ht="12.75">
      <c r="A926" s="4"/>
    </row>
    <row r="927" ht="12.75">
      <c r="A927" s="4"/>
    </row>
    <row r="928" ht="12.75">
      <c r="A928" s="4"/>
    </row>
    <row r="929" ht="12.75">
      <c r="A929" s="4"/>
    </row>
    <row r="930" ht="12.75">
      <c r="A930" s="4"/>
    </row>
    <row r="931" ht="12.75">
      <c r="A931" s="4"/>
    </row>
    <row r="932" ht="12.75">
      <c r="A932" s="4"/>
    </row>
    <row r="933" ht="12.75">
      <c r="A933" s="4"/>
    </row>
    <row r="934" ht="12.75">
      <c r="A934" s="4"/>
    </row>
    <row r="935" ht="12.75">
      <c r="A935" s="4"/>
    </row>
    <row r="936" ht="12.75">
      <c r="A936" s="4"/>
    </row>
    <row r="937" ht="12.75">
      <c r="A937" s="4"/>
    </row>
    <row r="938" ht="12.75">
      <c r="A938" s="4"/>
    </row>
    <row r="939" ht="12.75">
      <c r="A939" s="4"/>
    </row>
    <row r="940" ht="12.75">
      <c r="A940" s="4"/>
    </row>
    <row r="941" ht="12.75">
      <c r="A941" s="4"/>
    </row>
    <row r="942" ht="12.75">
      <c r="A942" s="4"/>
    </row>
    <row r="943" ht="12.75">
      <c r="A943" s="4"/>
    </row>
    <row r="944" ht="12.75">
      <c r="A944" s="4"/>
    </row>
    <row r="945" ht="12.75">
      <c r="A945" s="4"/>
    </row>
    <row r="946" ht="12.75">
      <c r="A946" s="4"/>
    </row>
    <row r="947" ht="12.75">
      <c r="A947" s="4"/>
    </row>
    <row r="948" ht="12.75">
      <c r="A948" s="4"/>
    </row>
    <row r="949" ht="12.75">
      <c r="A949" s="4"/>
    </row>
    <row r="950" ht="12.75">
      <c r="A950" s="4"/>
    </row>
    <row r="951" ht="12.75">
      <c r="A951" s="4"/>
    </row>
    <row r="952" ht="12.75">
      <c r="A952" s="4"/>
    </row>
    <row r="953" ht="12.75">
      <c r="A953" s="4"/>
    </row>
    <row r="954" ht="12.75">
      <c r="A954" s="4"/>
    </row>
    <row r="955" ht="12.75">
      <c r="A955" s="4"/>
    </row>
    <row r="956" ht="12.75">
      <c r="A956" s="4"/>
    </row>
    <row r="957" ht="12.75">
      <c r="A957" s="4"/>
    </row>
    <row r="958" ht="12.75">
      <c r="A958" s="4"/>
    </row>
    <row r="959" ht="12.75">
      <c r="A959" s="4"/>
    </row>
    <row r="960" ht="12.75">
      <c r="A960" s="4"/>
    </row>
    <row r="961" ht="12.75">
      <c r="A961" s="4"/>
    </row>
    <row r="962" ht="12.75">
      <c r="A962" s="4"/>
    </row>
    <row r="963" ht="12.75">
      <c r="A963" s="4"/>
    </row>
    <row r="964" ht="12.75">
      <c r="A964" s="4"/>
    </row>
    <row r="965" ht="12.75">
      <c r="A965" s="4"/>
    </row>
    <row r="966" ht="12.75">
      <c r="A966" s="4"/>
    </row>
    <row r="967" ht="12.75">
      <c r="A967" s="4"/>
    </row>
    <row r="968" ht="12.75">
      <c r="A968" s="3"/>
    </row>
    <row r="969" ht="12.75">
      <c r="A969" s="3"/>
    </row>
    <row r="970" ht="12.75">
      <c r="A970" s="3"/>
    </row>
    <row r="971" ht="12.75">
      <c r="A971" s="3"/>
    </row>
    <row r="972" ht="12.75">
      <c r="A972" s="3"/>
    </row>
    <row r="973" ht="12.75">
      <c r="A973" s="3"/>
    </row>
    <row r="974" ht="12.75">
      <c r="A974" s="3"/>
    </row>
    <row r="975" ht="12.75">
      <c r="A975" s="3"/>
    </row>
    <row r="976" ht="12.75">
      <c r="A976" s="3"/>
    </row>
    <row r="977" ht="12.75">
      <c r="A977" s="3"/>
    </row>
    <row r="978" ht="12.75">
      <c r="A978" s="3"/>
    </row>
    <row r="979" ht="12.75">
      <c r="A979" s="3"/>
    </row>
    <row r="980" ht="12.75">
      <c r="A980" s="3"/>
    </row>
    <row r="981" ht="12.75">
      <c r="A981" s="3"/>
    </row>
    <row r="982" ht="12.75">
      <c r="A982" s="3"/>
    </row>
    <row r="983" ht="12.75">
      <c r="A983" s="3"/>
    </row>
    <row r="984" ht="12.75">
      <c r="A984" s="3"/>
    </row>
    <row r="985" ht="12.75">
      <c r="A985" s="3"/>
    </row>
    <row r="986" ht="12.75">
      <c r="A986" s="3"/>
    </row>
    <row r="987" ht="12.75">
      <c r="A987" s="3"/>
    </row>
    <row r="988" ht="12.75">
      <c r="A988" s="3"/>
    </row>
    <row r="989" ht="12.75">
      <c r="A989" s="3"/>
    </row>
    <row r="990" ht="12.75">
      <c r="A990" s="3"/>
    </row>
    <row r="991" ht="12.75">
      <c r="A991" s="3"/>
    </row>
    <row r="992" ht="12.75">
      <c r="A992" s="3"/>
    </row>
    <row r="993" ht="12.75">
      <c r="A993" s="3"/>
    </row>
    <row r="994" ht="12.75">
      <c r="A994" s="3"/>
    </row>
    <row r="995" ht="12.75">
      <c r="A995" s="3"/>
    </row>
    <row r="996" ht="12.75">
      <c r="A996" s="3"/>
    </row>
    <row r="997" ht="12.75">
      <c r="A997" s="3"/>
    </row>
    <row r="998" ht="12.75">
      <c r="A998" s="3"/>
    </row>
    <row r="999" ht="12.75">
      <c r="A999" s="3"/>
    </row>
    <row r="1000" ht="12.75">
      <c r="A1000" s="3"/>
    </row>
    <row r="1001" ht="12.75">
      <c r="A1001" s="3"/>
    </row>
    <row r="1002" ht="12.75">
      <c r="A1002" s="3"/>
    </row>
    <row r="1003" ht="12.75">
      <c r="A1003" s="3"/>
    </row>
    <row r="1004" ht="12.75">
      <c r="A1004" s="3"/>
    </row>
    <row r="1005" ht="12.75">
      <c r="A1005" s="3"/>
    </row>
    <row r="1006" ht="12.75">
      <c r="A1006" s="3"/>
    </row>
    <row r="1007" ht="12.75">
      <c r="A1007" s="3"/>
    </row>
    <row r="1008" ht="12.75">
      <c r="A1008" s="3"/>
    </row>
    <row r="1009" ht="12.75">
      <c r="A1009" s="3"/>
    </row>
    <row r="1010" ht="12.75">
      <c r="A1010" s="3"/>
    </row>
    <row r="1011" ht="12.75">
      <c r="A1011" s="3"/>
    </row>
    <row r="1012" ht="12.75">
      <c r="A1012" s="3"/>
    </row>
    <row r="1013" ht="12.75">
      <c r="A1013" s="3"/>
    </row>
    <row r="1014" ht="12.75">
      <c r="A1014" s="3"/>
    </row>
    <row r="1015" ht="12.75">
      <c r="A1015" s="3"/>
    </row>
    <row r="1016" ht="12.75">
      <c r="A1016" s="3"/>
    </row>
    <row r="1017" ht="12.75">
      <c r="A1017" s="3"/>
    </row>
    <row r="1018" ht="12.75">
      <c r="A1018" s="3"/>
    </row>
    <row r="1019" ht="12.75">
      <c r="A1019" s="3"/>
    </row>
    <row r="1020" ht="12.75">
      <c r="A1020" s="3"/>
    </row>
    <row r="1021" ht="12.75">
      <c r="A1021" s="3"/>
    </row>
    <row r="1022" ht="12.75">
      <c r="A1022" s="3"/>
    </row>
    <row r="1023" ht="12.75">
      <c r="A1023" s="3"/>
    </row>
    <row r="1024" ht="12.75">
      <c r="A1024" s="3"/>
    </row>
    <row r="1025" ht="12.75">
      <c r="A1025" s="3"/>
    </row>
    <row r="1026" ht="12.75">
      <c r="A1026" s="3"/>
    </row>
    <row r="1027" ht="12.75">
      <c r="A1027" s="3"/>
    </row>
    <row r="1028" ht="12.75">
      <c r="A1028" s="3"/>
    </row>
    <row r="1029" ht="12.75">
      <c r="A1029" s="3"/>
    </row>
    <row r="1030" ht="12.75">
      <c r="A1030" s="3"/>
    </row>
    <row r="1031" ht="12.75">
      <c r="A1031" s="3"/>
    </row>
    <row r="1032" ht="12.75">
      <c r="A1032" s="3"/>
    </row>
    <row r="1033" ht="12.75">
      <c r="A1033" s="3"/>
    </row>
    <row r="1034" ht="12.75">
      <c r="A1034" s="3"/>
    </row>
    <row r="1035" ht="12.75">
      <c r="A1035" s="3"/>
    </row>
    <row r="1036" ht="12.75">
      <c r="A1036" s="3"/>
    </row>
    <row r="1037" ht="12.75">
      <c r="A1037" s="3"/>
    </row>
    <row r="1038" ht="12.75">
      <c r="A1038" s="3"/>
    </row>
    <row r="1039" ht="12.75">
      <c r="A1039" s="3"/>
    </row>
    <row r="1040" ht="12.75">
      <c r="A1040" s="3"/>
    </row>
    <row r="1041" ht="12.75">
      <c r="A1041" s="3"/>
    </row>
    <row r="1042" ht="12.75">
      <c r="A1042" s="3"/>
    </row>
    <row r="1043" ht="12.75">
      <c r="A1043" s="3"/>
    </row>
    <row r="1044" ht="12.75">
      <c r="A1044" s="3"/>
    </row>
    <row r="1045" ht="12.75">
      <c r="A1045" s="3"/>
    </row>
    <row r="1046" ht="12.75">
      <c r="A1046" s="3"/>
    </row>
    <row r="1047" ht="12.75">
      <c r="A1047" s="3"/>
    </row>
    <row r="1048" ht="12.75">
      <c r="A1048" s="3"/>
    </row>
    <row r="1049" ht="12.75">
      <c r="A1049" s="3"/>
    </row>
    <row r="1050" ht="12.75">
      <c r="A1050" s="3"/>
    </row>
    <row r="1051" ht="12.75">
      <c r="A1051" s="3"/>
    </row>
    <row r="1052" ht="12.75">
      <c r="A1052" s="3"/>
    </row>
    <row r="1053" ht="12.75">
      <c r="A1053" s="3"/>
    </row>
    <row r="1054" ht="12.75">
      <c r="A1054" s="3"/>
    </row>
    <row r="1055" ht="12.75">
      <c r="A1055" s="3"/>
    </row>
    <row r="1056" ht="12.75">
      <c r="A1056" s="3"/>
    </row>
    <row r="1057" ht="12.75">
      <c r="A1057" s="3"/>
    </row>
    <row r="1058" ht="12.75">
      <c r="A1058" s="3"/>
    </row>
    <row r="1059" ht="12.75">
      <c r="A1059" s="3"/>
    </row>
    <row r="1060" ht="12.75">
      <c r="A1060" s="3"/>
    </row>
    <row r="1061" ht="12.75">
      <c r="A1061" s="3"/>
    </row>
    <row r="1062" ht="12.75">
      <c r="A1062" s="3"/>
    </row>
    <row r="1063" ht="12.75">
      <c r="A1063" s="3"/>
    </row>
    <row r="1064" ht="12.75">
      <c r="A1064" s="3"/>
    </row>
    <row r="1065" ht="12.75">
      <c r="A1065" s="3"/>
    </row>
    <row r="1066" ht="12.75">
      <c r="A1066" s="3"/>
    </row>
    <row r="1067" ht="12.75">
      <c r="A1067" s="3"/>
    </row>
    <row r="1068" ht="12.75">
      <c r="A1068" s="3"/>
    </row>
    <row r="1069" ht="12.75">
      <c r="A1069" s="3"/>
    </row>
    <row r="1070" ht="12.75">
      <c r="A1070" s="3"/>
    </row>
    <row r="1071" ht="12.75">
      <c r="A1071" s="3"/>
    </row>
    <row r="1072" ht="12.75">
      <c r="A1072" s="3"/>
    </row>
    <row r="1073" ht="12.75">
      <c r="A1073" s="3"/>
    </row>
    <row r="1074" ht="12.75">
      <c r="A1074" s="3"/>
    </row>
    <row r="1075" ht="12.75">
      <c r="A1075" s="3"/>
    </row>
    <row r="1076" ht="12.75">
      <c r="A1076" s="3"/>
    </row>
    <row r="1077" ht="12.75">
      <c r="A1077" s="3"/>
    </row>
    <row r="1078" ht="12.75">
      <c r="A1078" s="3"/>
    </row>
    <row r="1079" ht="12.75">
      <c r="A1079" s="3"/>
    </row>
    <row r="1080" ht="12.75">
      <c r="A1080" s="3"/>
    </row>
    <row r="1081" ht="12.75">
      <c r="A1081" s="3"/>
    </row>
    <row r="1082" ht="12.75">
      <c r="A1082" s="3"/>
    </row>
    <row r="1083" ht="12.75">
      <c r="A1083" s="3"/>
    </row>
    <row r="1084" ht="12.75">
      <c r="A1084" s="3"/>
    </row>
    <row r="1085" ht="12.75">
      <c r="A1085" s="3"/>
    </row>
    <row r="1086" ht="12.75">
      <c r="A1086" s="3"/>
    </row>
    <row r="1087" ht="12.75">
      <c r="A1087" s="3"/>
    </row>
    <row r="1088" ht="12.75">
      <c r="A1088" s="3"/>
    </row>
    <row r="1089" ht="12.75">
      <c r="A1089" s="3"/>
    </row>
    <row r="1090" ht="12.75">
      <c r="A1090" s="3"/>
    </row>
    <row r="1091" ht="12.75">
      <c r="A1091" s="3"/>
    </row>
    <row r="1092" ht="12.75">
      <c r="A1092" s="3"/>
    </row>
    <row r="1093" ht="12.75">
      <c r="A1093" s="3"/>
    </row>
    <row r="1094" ht="12.75">
      <c r="A1094" s="3"/>
    </row>
    <row r="1095" ht="12.75">
      <c r="A1095" s="3"/>
    </row>
    <row r="1096" ht="12.75">
      <c r="A1096" s="3"/>
    </row>
    <row r="1097" ht="12.75">
      <c r="A1097" s="3"/>
    </row>
    <row r="1098" ht="12.75">
      <c r="A1098" s="3"/>
    </row>
    <row r="1099" ht="12.75">
      <c r="A1099" s="3"/>
    </row>
    <row r="1100" ht="12.75">
      <c r="A1100" s="3"/>
    </row>
    <row r="1101" ht="12.75">
      <c r="A1101" s="3"/>
    </row>
    <row r="1102" ht="12.75">
      <c r="A1102" s="3"/>
    </row>
    <row r="1103" ht="12.75">
      <c r="A1103" s="3"/>
    </row>
    <row r="1104" ht="12.75">
      <c r="A1104" s="3"/>
    </row>
    <row r="1105" ht="12.75">
      <c r="A1105" s="3"/>
    </row>
    <row r="1106" ht="12.75">
      <c r="A1106" s="3"/>
    </row>
    <row r="1107" ht="12.75">
      <c r="A1107" s="3"/>
    </row>
    <row r="1108" ht="12.75">
      <c r="A1108" s="3"/>
    </row>
    <row r="1109" ht="12.75">
      <c r="A1109" s="3"/>
    </row>
    <row r="1110" ht="12.75">
      <c r="A1110" s="3"/>
    </row>
    <row r="1111" ht="12.75">
      <c r="A1111" s="3"/>
    </row>
    <row r="1112" ht="12.75">
      <c r="A1112" s="3"/>
    </row>
    <row r="1113" ht="12.75">
      <c r="A1113" s="3"/>
    </row>
    <row r="1114" ht="12.75">
      <c r="A1114" s="3"/>
    </row>
    <row r="1115" ht="12.75">
      <c r="A1115" s="3"/>
    </row>
    <row r="1116" ht="12.75">
      <c r="A1116" s="3"/>
    </row>
    <row r="1117" ht="12.75">
      <c r="A1117" s="3"/>
    </row>
    <row r="1118" ht="12.75">
      <c r="A1118" s="3"/>
    </row>
    <row r="1119" ht="12.75">
      <c r="A1119" s="3"/>
    </row>
    <row r="1120" ht="12.75">
      <c r="A1120" s="3"/>
    </row>
    <row r="1121" ht="12.75">
      <c r="A1121" s="3"/>
    </row>
    <row r="1122" ht="12.75">
      <c r="A1122" s="3"/>
    </row>
    <row r="1123" ht="12.75">
      <c r="A1123" s="3"/>
    </row>
    <row r="1124" ht="12.75">
      <c r="A1124" s="3"/>
    </row>
    <row r="1125" ht="12.75">
      <c r="A1125" s="3"/>
    </row>
    <row r="1126" ht="12.75">
      <c r="A1126" s="3"/>
    </row>
    <row r="1127" ht="12.75">
      <c r="A1127" s="3"/>
    </row>
    <row r="1128" ht="12.75">
      <c r="A1128" s="3"/>
    </row>
    <row r="1129" ht="12.75">
      <c r="A1129" s="3"/>
    </row>
    <row r="1130" ht="12.75">
      <c r="A1130" s="3"/>
    </row>
    <row r="1131" ht="12.75">
      <c r="A1131" s="3"/>
    </row>
    <row r="1132" ht="12.75">
      <c r="A1132" s="3"/>
    </row>
    <row r="1133" ht="12.75">
      <c r="A1133" s="3"/>
    </row>
    <row r="1134" ht="12.75">
      <c r="A1134" s="3"/>
    </row>
    <row r="1135" ht="12.75">
      <c r="A1135" s="3"/>
    </row>
    <row r="1136" ht="12.75">
      <c r="A1136" s="3"/>
    </row>
    <row r="1137" ht="12.75">
      <c r="A1137" s="3"/>
    </row>
    <row r="1138" ht="12.75">
      <c r="A1138" s="3"/>
    </row>
    <row r="1139" ht="12.75">
      <c r="A1139" s="3"/>
    </row>
    <row r="1140" ht="12.75">
      <c r="A1140" s="3"/>
    </row>
    <row r="1141" ht="12.75">
      <c r="A1141" s="3"/>
    </row>
    <row r="1142" ht="12.75">
      <c r="A1142" s="3"/>
    </row>
    <row r="1143" ht="12.75">
      <c r="A1143" s="3"/>
    </row>
    <row r="1144" ht="12.75">
      <c r="A1144" s="3"/>
    </row>
    <row r="1145" ht="12.75">
      <c r="A1145" s="3"/>
    </row>
    <row r="1146" ht="12.75">
      <c r="A1146" s="3"/>
    </row>
    <row r="1147" ht="12.75">
      <c r="A1147" s="3"/>
    </row>
    <row r="1148" ht="12.75">
      <c r="A1148" s="3"/>
    </row>
    <row r="1149" ht="12.75">
      <c r="A1149" s="3"/>
    </row>
    <row r="1150" ht="12.75">
      <c r="A1150" s="3"/>
    </row>
    <row r="1151" ht="12.75">
      <c r="A1151" s="3"/>
    </row>
    <row r="1152" ht="12.75">
      <c r="A1152" s="3"/>
    </row>
    <row r="1153" ht="12.75">
      <c r="A1153" s="3"/>
    </row>
    <row r="1154" ht="12.75">
      <c r="A1154" s="3"/>
    </row>
    <row r="1155" ht="12.75">
      <c r="A1155" s="3"/>
    </row>
    <row r="1156" ht="12.75">
      <c r="A1156" s="3"/>
    </row>
    <row r="1157" ht="12.75">
      <c r="A1157" s="3"/>
    </row>
    <row r="1158" ht="12.75">
      <c r="A1158" s="3"/>
    </row>
    <row r="1159" ht="12.75">
      <c r="A1159" s="3"/>
    </row>
    <row r="1160" ht="12.75">
      <c r="A1160" s="3"/>
    </row>
    <row r="1161" ht="12.75">
      <c r="A1161" s="3"/>
    </row>
    <row r="1162" ht="12.75">
      <c r="A1162" s="3"/>
    </row>
    <row r="1163" ht="12.75">
      <c r="A1163" s="3"/>
    </row>
    <row r="1164" ht="12.75">
      <c r="A1164" s="3"/>
    </row>
    <row r="1165" ht="12.75">
      <c r="A1165" s="3"/>
    </row>
    <row r="1166" ht="12.75">
      <c r="A1166" s="3"/>
    </row>
    <row r="1167" ht="12.75">
      <c r="A1167" s="3"/>
    </row>
    <row r="1168" ht="12.75">
      <c r="A1168" s="3"/>
    </row>
    <row r="1169" ht="12.75">
      <c r="A1169" s="3"/>
    </row>
    <row r="1170" ht="12.75">
      <c r="A1170" s="3"/>
    </row>
    <row r="1171" ht="12.75">
      <c r="A1171" s="3"/>
    </row>
    <row r="1172" ht="12.75">
      <c r="A1172" s="3"/>
    </row>
    <row r="1173" ht="12.75">
      <c r="A1173" s="3"/>
    </row>
    <row r="1174" ht="12.75">
      <c r="A1174" s="3"/>
    </row>
    <row r="1175" ht="12.75">
      <c r="A1175" s="3"/>
    </row>
    <row r="1176" ht="12.75">
      <c r="A1176" s="3"/>
    </row>
    <row r="1177" ht="12.75">
      <c r="A1177" s="3"/>
    </row>
    <row r="1178" ht="12.75">
      <c r="A1178" s="3"/>
    </row>
    <row r="1179" ht="12.75">
      <c r="A1179" s="3"/>
    </row>
    <row r="1180" ht="12.75">
      <c r="A1180" s="3"/>
    </row>
    <row r="1181" ht="12.75">
      <c r="A1181" s="3"/>
    </row>
    <row r="1182" ht="12.75">
      <c r="A1182" s="3"/>
    </row>
    <row r="1183" ht="12.75">
      <c r="A1183" s="3"/>
    </row>
    <row r="1184" ht="12.75">
      <c r="A1184" s="3"/>
    </row>
    <row r="1185" ht="12.75">
      <c r="A1185" s="3"/>
    </row>
    <row r="1186" ht="12.75">
      <c r="A1186" s="3"/>
    </row>
    <row r="1187" ht="12.75">
      <c r="A1187" s="3"/>
    </row>
    <row r="1188" ht="12.75">
      <c r="A1188" s="3"/>
    </row>
    <row r="1189" ht="12.75">
      <c r="A1189" s="3"/>
    </row>
    <row r="1190" ht="12.75">
      <c r="A1190" s="3"/>
    </row>
    <row r="1191" ht="12.75">
      <c r="A1191" s="3"/>
    </row>
    <row r="1192" ht="12.75">
      <c r="A1192" s="3"/>
    </row>
    <row r="1193" ht="12.75">
      <c r="A1193" s="3"/>
    </row>
    <row r="1194" ht="12.75">
      <c r="A1194" s="3"/>
    </row>
    <row r="1195" ht="12.75">
      <c r="A1195" s="3"/>
    </row>
    <row r="1196" ht="12.75">
      <c r="A1196" s="3"/>
    </row>
    <row r="1197" ht="12.75">
      <c r="A1197" s="3"/>
    </row>
    <row r="1198" ht="12.75">
      <c r="A1198" s="3"/>
    </row>
    <row r="1199" ht="12.75">
      <c r="A1199" s="3"/>
    </row>
    <row r="1200" ht="12.75">
      <c r="A1200" s="3"/>
    </row>
    <row r="1201" ht="12.75">
      <c r="A1201" s="3"/>
    </row>
    <row r="1202" ht="12.75">
      <c r="A1202" s="3"/>
    </row>
    <row r="1203" ht="12.75">
      <c r="A1203" s="3"/>
    </row>
    <row r="1204" ht="12.75">
      <c r="A1204" s="3"/>
    </row>
    <row r="1205" ht="12.75">
      <c r="A1205" s="3"/>
    </row>
    <row r="1206" ht="12.75">
      <c r="A1206" s="3"/>
    </row>
    <row r="1207" ht="12.75">
      <c r="A1207" s="3"/>
    </row>
    <row r="1208" ht="12.75">
      <c r="A1208" s="3"/>
    </row>
    <row r="1209" ht="12.75">
      <c r="A1209" s="3"/>
    </row>
    <row r="1210" ht="12.75">
      <c r="A1210" s="3"/>
    </row>
    <row r="1211" ht="12.75">
      <c r="A1211" s="3"/>
    </row>
    <row r="1212" ht="12.75">
      <c r="A1212" s="3"/>
    </row>
    <row r="1213" ht="12.75">
      <c r="A1213" s="3"/>
    </row>
    <row r="1214" ht="12.75">
      <c r="A1214" s="3"/>
    </row>
    <row r="1215" ht="12.75">
      <c r="A1215" s="3"/>
    </row>
    <row r="1216" ht="12.75">
      <c r="A1216" s="3"/>
    </row>
    <row r="1217" ht="12.75">
      <c r="A1217" s="3"/>
    </row>
    <row r="1218" ht="12.75">
      <c r="A1218" s="3"/>
    </row>
    <row r="1219" ht="12.75">
      <c r="A1219" s="3"/>
    </row>
    <row r="1220" ht="12.75">
      <c r="A1220" s="3"/>
    </row>
    <row r="1221" ht="12.75">
      <c r="A1221" s="3"/>
    </row>
    <row r="1222" ht="12.75">
      <c r="A1222" s="3"/>
    </row>
    <row r="1223" ht="12.75">
      <c r="A1223" s="3"/>
    </row>
    <row r="1224" ht="12.75">
      <c r="A1224" s="3"/>
    </row>
    <row r="1225" ht="12.75">
      <c r="A1225" s="3"/>
    </row>
    <row r="1226" ht="12.75">
      <c r="A1226" s="3"/>
    </row>
    <row r="1227" ht="12.75">
      <c r="A1227" s="3"/>
    </row>
    <row r="1228" ht="12.75">
      <c r="A1228" s="3"/>
    </row>
    <row r="1229" ht="12.75">
      <c r="A1229" s="3"/>
    </row>
    <row r="1230" ht="12.75">
      <c r="A1230" s="3"/>
    </row>
    <row r="1231" ht="12.75">
      <c r="A1231" s="3"/>
    </row>
    <row r="1232" ht="12.75">
      <c r="A1232" s="3"/>
    </row>
    <row r="1233" ht="12.75">
      <c r="A1233" s="3"/>
    </row>
    <row r="1234" ht="12.75">
      <c r="A1234" s="3"/>
    </row>
    <row r="1235" ht="12.75">
      <c r="A1235" s="3"/>
    </row>
    <row r="1236" ht="12.75">
      <c r="A1236" s="3"/>
    </row>
    <row r="1237" ht="12.75">
      <c r="A1237" s="3"/>
    </row>
    <row r="1238" ht="12.75">
      <c r="A1238" s="3"/>
    </row>
    <row r="1239" ht="12.75">
      <c r="A1239" s="3"/>
    </row>
    <row r="1240" ht="12.75">
      <c r="A1240" s="3"/>
    </row>
    <row r="1241" ht="12.75">
      <c r="A1241" s="3"/>
    </row>
    <row r="1242" ht="12.75">
      <c r="A1242" s="3"/>
    </row>
    <row r="1243" ht="12.75">
      <c r="A1243" s="3"/>
    </row>
    <row r="1244" ht="12.75">
      <c r="A1244" s="3"/>
    </row>
    <row r="1245" ht="12.75">
      <c r="A1245" s="3"/>
    </row>
    <row r="1246" ht="12.75">
      <c r="A1246" s="3"/>
    </row>
    <row r="1247" ht="12.75">
      <c r="A1247" s="3"/>
    </row>
    <row r="1248" ht="12.75">
      <c r="A1248" s="3"/>
    </row>
    <row r="1249" ht="12.75">
      <c r="A1249" s="3"/>
    </row>
    <row r="1250" ht="12.75">
      <c r="A1250" s="3"/>
    </row>
    <row r="1251" ht="12.75">
      <c r="A1251" s="3"/>
    </row>
    <row r="1252" ht="12.75">
      <c r="A1252" s="3"/>
    </row>
    <row r="1253" ht="12.75">
      <c r="A1253" s="3"/>
    </row>
    <row r="1254" ht="12.75">
      <c r="A1254" s="3"/>
    </row>
    <row r="1255" ht="12.75">
      <c r="A1255" s="3"/>
    </row>
    <row r="1256" ht="12.75">
      <c r="A1256" s="3"/>
    </row>
    <row r="1257" ht="12.75">
      <c r="A1257" s="3"/>
    </row>
    <row r="1258" ht="12.75">
      <c r="A1258" s="3"/>
    </row>
    <row r="1259" ht="12.75">
      <c r="A1259" s="3"/>
    </row>
    <row r="1260" ht="12.75">
      <c r="A1260" s="3"/>
    </row>
    <row r="1261" ht="12.75">
      <c r="A1261" s="3"/>
    </row>
    <row r="1262" ht="12.75">
      <c r="A1262" s="3"/>
    </row>
    <row r="1263" ht="12.75">
      <c r="A1263" s="3"/>
    </row>
    <row r="1264" ht="12.75">
      <c r="A1264" s="3"/>
    </row>
    <row r="1265" ht="12.75">
      <c r="A1265" s="3"/>
    </row>
    <row r="1266" ht="12.75">
      <c r="A1266" s="3"/>
    </row>
    <row r="1267" ht="12.75">
      <c r="A1267" s="3"/>
    </row>
    <row r="1268" ht="12.75">
      <c r="A1268" s="3"/>
    </row>
    <row r="1269" ht="12.75">
      <c r="A1269" s="3"/>
    </row>
    <row r="1270" ht="12.75">
      <c r="A1270" s="3"/>
    </row>
    <row r="1271" ht="12.75">
      <c r="A1271" s="3"/>
    </row>
    <row r="1272" ht="12.75">
      <c r="A1272" s="6"/>
    </row>
    <row r="1273" ht="12.75">
      <c r="A1273" s="3"/>
    </row>
    <row r="1274" ht="12.75">
      <c r="A1274" s="3"/>
    </row>
    <row r="1275" ht="12.75">
      <c r="A1275" s="3"/>
    </row>
    <row r="1276" ht="12.75">
      <c r="A1276" s="3"/>
    </row>
    <row r="1277" ht="12.75">
      <c r="A1277" s="3"/>
    </row>
    <row r="1278" ht="12.75">
      <c r="A1278" s="3"/>
    </row>
    <row r="1279" ht="12.75">
      <c r="A1279" s="3"/>
    </row>
    <row r="1280" ht="12.75">
      <c r="A1280" s="3"/>
    </row>
    <row r="1281" ht="12.75">
      <c r="A1281" s="3"/>
    </row>
    <row r="1282" ht="12.75">
      <c r="A1282" s="3"/>
    </row>
    <row r="1283" ht="12.75">
      <c r="A1283" s="3"/>
    </row>
    <row r="1284" ht="12.75">
      <c r="A1284" s="3"/>
    </row>
    <row r="1285" ht="12.75">
      <c r="A1285" s="3"/>
    </row>
    <row r="1286" ht="12.75">
      <c r="A1286" s="3"/>
    </row>
    <row r="1287" ht="12.75">
      <c r="A1287" s="3"/>
    </row>
    <row r="1288" ht="12.75">
      <c r="A1288" s="3"/>
    </row>
    <row r="1289" ht="12.75">
      <c r="A1289" s="3"/>
    </row>
    <row r="1290" ht="12.75">
      <c r="A1290" s="3"/>
    </row>
    <row r="1291" ht="12.75">
      <c r="A1291" s="3"/>
    </row>
    <row r="1292" ht="12.75">
      <c r="A1292" s="3"/>
    </row>
    <row r="1293" ht="12.75">
      <c r="A1293" s="3"/>
    </row>
    <row r="1294" ht="12.75">
      <c r="A1294" s="3"/>
    </row>
    <row r="1295" ht="12.75">
      <c r="A1295" s="3"/>
    </row>
    <row r="1296" ht="12.75">
      <c r="A1296" s="3"/>
    </row>
    <row r="1297" ht="12.75">
      <c r="A1297" s="3"/>
    </row>
    <row r="1298" ht="12.75">
      <c r="A1298" s="3"/>
    </row>
    <row r="1299" ht="12.75">
      <c r="A1299" s="3"/>
    </row>
    <row r="1300" ht="12.75">
      <c r="A1300" s="3"/>
    </row>
    <row r="1301" ht="12.75">
      <c r="A1301" s="3"/>
    </row>
    <row r="1302" ht="12.75">
      <c r="A1302" s="3"/>
    </row>
    <row r="1303" ht="12.75">
      <c r="A1303" s="3"/>
    </row>
    <row r="1304" ht="12.75">
      <c r="A1304" s="3"/>
    </row>
    <row r="1305" ht="12.75">
      <c r="A1305" s="3"/>
    </row>
    <row r="1306" ht="12.75">
      <c r="A1306" s="3"/>
    </row>
    <row r="1307" ht="12.75">
      <c r="A1307" s="3"/>
    </row>
    <row r="1308" ht="12.75">
      <c r="A1308" s="3"/>
    </row>
    <row r="1309" ht="12.75">
      <c r="A1309" s="3"/>
    </row>
    <row r="1310" ht="12.75">
      <c r="A1310" s="3"/>
    </row>
    <row r="1311" ht="12.75">
      <c r="A1311" s="3"/>
    </row>
    <row r="1312" ht="12.75">
      <c r="A1312" s="3"/>
    </row>
    <row r="1313" ht="12.75">
      <c r="A1313" s="3"/>
    </row>
    <row r="1314" ht="12.75">
      <c r="A1314" s="3"/>
    </row>
    <row r="1315" ht="12.75">
      <c r="A1315" s="3"/>
    </row>
    <row r="1316" ht="12.75">
      <c r="A1316" s="3"/>
    </row>
    <row r="1317" ht="12.75">
      <c r="A1317" s="3"/>
    </row>
    <row r="1318" ht="12.75">
      <c r="A1318" s="3"/>
    </row>
    <row r="1319" ht="12.75">
      <c r="A1319" s="3"/>
    </row>
    <row r="1320" ht="12.75">
      <c r="A1320" s="3"/>
    </row>
    <row r="1321" ht="12.75">
      <c r="A1321" s="3"/>
    </row>
    <row r="1322" ht="12.75">
      <c r="A1322" s="3"/>
    </row>
    <row r="1323" ht="12.75">
      <c r="A1323" s="3"/>
    </row>
    <row r="1324" ht="12.75">
      <c r="A1324" s="3"/>
    </row>
    <row r="1325" ht="12.75">
      <c r="A1325" s="3"/>
    </row>
    <row r="1326" ht="12.75">
      <c r="A1326" s="3"/>
    </row>
    <row r="1327" ht="12.75">
      <c r="A1327" s="3"/>
    </row>
    <row r="1328" ht="12.75">
      <c r="A1328" s="3"/>
    </row>
    <row r="1329" ht="12.75">
      <c r="A1329" s="3"/>
    </row>
    <row r="1330" ht="12.75">
      <c r="A1330" s="3"/>
    </row>
    <row r="1331" ht="12.75">
      <c r="A1331" s="3"/>
    </row>
    <row r="1332" ht="12.75">
      <c r="A1332" s="3"/>
    </row>
    <row r="1333" ht="12.75">
      <c r="A1333" s="7"/>
    </row>
    <row r="1334" ht="12.75">
      <c r="A1334" s="3"/>
    </row>
    <row r="1335" ht="12.75">
      <c r="A1335" s="3"/>
    </row>
    <row r="1336" ht="12.75">
      <c r="A1336" s="3"/>
    </row>
    <row r="1337" ht="12.75">
      <c r="A1337" s="3"/>
    </row>
    <row r="1338" ht="12.75">
      <c r="A1338" s="3"/>
    </row>
    <row r="1339" ht="12.75">
      <c r="A1339" s="3"/>
    </row>
    <row r="1340" ht="12.75">
      <c r="A1340" s="3"/>
    </row>
    <row r="1341" ht="12.75">
      <c r="A1341" s="3"/>
    </row>
    <row r="1342" ht="12.75">
      <c r="A1342" s="3"/>
    </row>
    <row r="1343" ht="12.75">
      <c r="A1343" s="3"/>
    </row>
    <row r="1344" ht="12.75">
      <c r="A1344" s="3"/>
    </row>
    <row r="1345" ht="12.75">
      <c r="A1345" s="3"/>
    </row>
    <row r="1346" ht="12.75">
      <c r="A1346" s="3"/>
    </row>
    <row r="1347" ht="12.75">
      <c r="A1347" s="3"/>
    </row>
    <row r="1348" ht="12.75">
      <c r="A1348" s="3"/>
    </row>
    <row r="1349" ht="12.75">
      <c r="A1349" s="3"/>
    </row>
    <row r="1350" ht="12.75">
      <c r="A1350" s="3"/>
    </row>
    <row r="1351" ht="12.75">
      <c r="A1351" s="3"/>
    </row>
    <row r="1352" ht="12.75">
      <c r="A1352" s="3"/>
    </row>
    <row r="1353" ht="12.75">
      <c r="A1353" s="3"/>
    </row>
    <row r="1354" ht="12.75">
      <c r="A1354" s="3"/>
    </row>
    <row r="1355" ht="12.75">
      <c r="A1355" s="3"/>
    </row>
    <row r="1356" ht="12.75">
      <c r="A1356" s="3"/>
    </row>
    <row r="1357" ht="12.75">
      <c r="A1357" s="3"/>
    </row>
    <row r="1358" ht="12.75">
      <c r="A1358" s="3"/>
    </row>
    <row r="1359" ht="12.75">
      <c r="A1359" s="3"/>
    </row>
    <row r="1360" ht="12.75">
      <c r="A1360" s="3"/>
    </row>
    <row r="1361" ht="12.75">
      <c r="A1361" s="3"/>
    </row>
    <row r="1362" ht="12.75">
      <c r="A1362" s="3"/>
    </row>
    <row r="1363" ht="12.75">
      <c r="A1363" s="3"/>
    </row>
    <row r="1364" ht="12.75">
      <c r="A1364" s="3"/>
    </row>
    <row r="1365" ht="12.75">
      <c r="A1365" s="3"/>
    </row>
    <row r="1366" ht="12.75">
      <c r="A1366" s="3"/>
    </row>
  </sheetData>
  <sheetProtection/>
  <mergeCells count="1">
    <mergeCell ref="C1:C2"/>
  </mergeCells>
  <conditionalFormatting sqref="B3:AY3">
    <cfRule type="cellIs" priority="1" dxfId="5" operator="equal" stopIfTrue="1">
      <formula>"OFF"</formula>
    </cfRule>
  </conditionalFormatting>
  <dataValidations count="1">
    <dataValidation type="list" showInputMessage="1" showErrorMessage="1" sqref="B3:AY3">
      <formula1>"ON,OFF"</formula1>
    </dataValidation>
  </dataValidations>
  <printOptions horizontalCentered="1"/>
  <pageMargins left="0.75" right="0.75" top="1" bottom="1" header="0.5" footer="0.5"/>
  <pageSetup horizontalDpi="360" verticalDpi="360" orientation="portrait" paperSize="9"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codeName="Sheet3">
    <tabColor rgb="FFFF0000"/>
    <pageSetUpPr fitToPage="1"/>
  </sheetPr>
  <dimension ref="A1:BP61"/>
  <sheetViews>
    <sheetView showGridLines="0" zoomScalePageLayoutView="0" workbookViewId="0" topLeftCell="A1">
      <pane xSplit="1" ySplit="11" topLeftCell="B12" activePane="bottomRight" state="frozen"/>
      <selection pane="topLeft" activeCell="D237" sqref="D237"/>
      <selection pane="topRight" activeCell="D237" sqref="D237"/>
      <selection pane="bottomLeft" activeCell="D237" sqref="D237"/>
      <selection pane="bottomRight" activeCell="G4" sqref="G4:G7"/>
    </sheetView>
  </sheetViews>
  <sheetFormatPr defaultColWidth="9.33203125" defaultRowHeight="12.75"/>
  <cols>
    <col min="1" max="1" width="33.83203125" style="39" customWidth="1"/>
    <col min="2" max="2" width="16.33203125" style="39" customWidth="1"/>
    <col min="3" max="3" width="15.66015625" style="39" customWidth="1"/>
    <col min="4" max="11" width="14.83203125" style="39" customWidth="1"/>
    <col min="12" max="26" width="7.83203125" style="39" customWidth="1"/>
    <col min="27" max="27" width="18.66015625" style="2" customWidth="1"/>
    <col min="28" max="28" width="3" style="60" customWidth="1"/>
    <col min="29" max="16384" width="9.33203125" style="60" customWidth="1"/>
  </cols>
  <sheetData>
    <row r="1" s="39" customFormat="1" ht="3.75" customHeight="1">
      <c r="BP1" s="40"/>
    </row>
    <row r="2" spans="1:68" s="42" customFormat="1" ht="3.75" customHeight="1" thickBot="1">
      <c r="A2" s="41"/>
      <c r="B2" s="41"/>
      <c r="C2" s="41"/>
      <c r="D2" s="41"/>
      <c r="E2" s="41"/>
      <c r="F2" s="41"/>
      <c r="G2" s="41"/>
      <c r="H2" s="41"/>
      <c r="I2" s="41"/>
      <c r="J2" s="41"/>
      <c r="K2" s="41"/>
      <c r="L2" s="41"/>
      <c r="M2" s="41"/>
      <c r="N2" s="41"/>
      <c r="O2" s="41"/>
      <c r="P2" s="41"/>
      <c r="Q2" s="41"/>
      <c r="R2" s="41"/>
      <c r="S2" s="41"/>
      <c r="T2" s="41"/>
      <c r="U2" s="41"/>
      <c r="V2" s="41"/>
      <c r="W2" s="41"/>
      <c r="X2" s="41"/>
      <c r="Y2" s="41"/>
      <c r="Z2" s="41"/>
      <c r="AA2" s="41"/>
      <c r="BP2" s="43" t="str">
        <f>IF(A12&lt;&gt;"",TEXT(B12,"0.00")&amp;"*"&amp;A12&amp;" + ","")&amp;IF(A13&lt;&gt;"",TEXT(B13,"0.00")&amp;"*"&amp;A13&amp;" + ","")&amp;IF(A14&lt;&gt;"",TEXT(B14,"0.00")&amp;"*"&amp;A14&amp;" + ","")&amp;IF(A15&lt;&gt;"",TEXT(B15,"0.00")&amp;"*"&amp;A15&amp;" + ","")&amp;IF(A16&lt;&gt;"",TEXT(B16,"0.00")&amp;"*"&amp;A16&amp;" + ","")&amp;IF(A17&lt;&gt;"",TEXT(B17,"0.00")&amp;"*"&amp;A17&amp;" + ","")&amp;IF(A18&lt;&gt;"",TEXT(B18,"0.00")&amp;"*"&amp;A18&amp;" + ","")&amp;IF(A19&lt;&gt;"",TEXT(B19,"0.00")&amp;"*"&amp;A19&amp;" + ","")&amp;IF(A20&lt;&gt;"",TEXT(B20,"0.00")&amp;"*"&amp;A20&amp;" + ","")&amp;IF(A21&lt;&gt;"",TEXT(B21,"0.00")&amp;"*"&amp;A21&amp;" + ","")</f>
        <v>19196.27*HDD + 39094.92*CDD + 675923.67*NoD in Month + -1112714.23*Spring Fall + 625.75*CustCount + </v>
      </c>
    </row>
    <row r="3" spans="1:68" s="39" customFormat="1" ht="22.5" customHeight="1" thickBot="1" thickTop="1">
      <c r="A3" s="712" t="s">
        <v>7</v>
      </c>
      <c r="B3" s="713"/>
      <c r="C3" s="720" t="str">
        <f>TEXT(B5,"00.00%")&amp;" of the change in "&amp;TEXT(Input!$A$4,"###")&amp;" can be explained by the change in the "&amp;COUNT(B12:B977)&amp;" independent variables"</f>
        <v>90.18% of the change in WS can be explained by the change in the 5 independent variables</v>
      </c>
      <c r="D3" s="721"/>
      <c r="E3" s="721"/>
      <c r="F3" s="721"/>
      <c r="G3" s="724" t="s">
        <v>37</v>
      </c>
      <c r="H3" s="725"/>
      <c r="I3" s="725"/>
      <c r="J3" s="726"/>
      <c r="K3" s="44"/>
      <c r="L3" s="707" t="str">
        <f>"Actual versus Predicted "&amp;TEXT(Input!A4,"###")</f>
        <v>Actual versus Predicted WS</v>
      </c>
      <c r="M3" s="44"/>
      <c r="N3" s="44"/>
      <c r="O3" s="44"/>
      <c r="P3" s="44"/>
      <c r="Q3" s="44"/>
      <c r="R3" s="44"/>
      <c r="S3" s="44"/>
      <c r="T3" s="44"/>
      <c r="U3" s="44"/>
      <c r="V3" s="44"/>
      <c r="W3" s="44"/>
      <c r="X3" s="44"/>
      <c r="Y3" s="44"/>
      <c r="Z3" s="44"/>
      <c r="AA3" s="45"/>
      <c r="AE3" s="38" t="s">
        <v>11</v>
      </c>
      <c r="AF3" s="38"/>
      <c r="AG3" s="38">
        <v>1.6339399814605713</v>
      </c>
      <c r="BP3" s="40" t="e">
        <f>IF(A22&lt;&gt;"",TEXT(B22,"0.00")&amp;"*"&amp;A22&amp;" + ","")&amp;IF(A23&lt;&gt;"",TEXT(B23,"0.00")&amp;"*"&amp;A23&amp;" + ","")&amp;IF(A24&lt;&gt;"",TEXT(B24,"0.00")&amp;"*"&amp;A24&amp;" + ","")&amp;IF(A25&lt;&gt;"",TEXT(B25,"0.00")&amp;"*"&amp;A25&amp;" + ","")&amp;IF(A26&lt;&gt;"",TEXT(B26,"0.00")&amp;"*"&amp;A26&amp;" + ","")&amp;IF(A45&lt;&gt;"",TEXT(B45,"0.00")&amp;"*"&amp;A45&amp;" + ","")&amp;IF(A46&lt;&gt;"",TEXT(B46,"0.00")&amp;"*"&amp;A46&amp;" + ","")&amp;IF(A48&lt;&gt;"",TEXT(B48,"0.00")&amp;"*"&amp;A48&amp;" + ","")&amp;IF(A49&lt;&gt;"",TEXT(B49,"0.00")&amp;"*"&amp;A49&amp;" + ","")&amp;IF(#REF!&lt;&gt;"",TEXT(#REF!,"0.00")&amp;"*"&amp;#REF!&amp;" + ","")</f>
        <v>#REF!</v>
      </c>
    </row>
    <row r="4" spans="1:33" s="39" customFormat="1" ht="15.75" customHeight="1">
      <c r="A4" s="46" t="s">
        <v>173</v>
      </c>
      <c r="B4" s="47">
        <v>0.9059197902679443</v>
      </c>
      <c r="C4" s="722"/>
      <c r="D4" s="723"/>
      <c r="E4" s="723"/>
      <c r="F4" s="723"/>
      <c r="G4" s="48">
        <v>1.262262225151062</v>
      </c>
      <c r="H4" s="49" t="s">
        <v>20</v>
      </c>
      <c r="I4" s="50"/>
      <c r="J4" s="51"/>
      <c r="K4" s="52"/>
      <c r="L4" s="708"/>
      <c r="M4" s="52"/>
      <c r="N4" s="52"/>
      <c r="O4" s="52"/>
      <c r="P4" s="52"/>
      <c r="Q4" s="53"/>
      <c r="R4" s="53"/>
      <c r="S4" s="53"/>
      <c r="T4" s="53"/>
      <c r="U4" s="53"/>
      <c r="V4" s="53"/>
      <c r="W4" s="53"/>
      <c r="X4" s="53"/>
      <c r="Y4" s="53"/>
      <c r="Z4" s="53"/>
      <c r="AA4" s="54"/>
      <c r="AE4" s="38" t="s">
        <v>9</v>
      </c>
      <c r="AF4" s="38"/>
      <c r="AG4" s="38">
        <v>1.7714600563049316</v>
      </c>
    </row>
    <row r="5" spans="1:33" s="39" customFormat="1" ht="15.75" customHeight="1">
      <c r="A5" s="46" t="s">
        <v>21</v>
      </c>
      <c r="B5" s="55">
        <v>0.9017934203147888</v>
      </c>
      <c r="C5" s="722"/>
      <c r="D5" s="723"/>
      <c r="E5" s="723"/>
      <c r="F5" s="723"/>
      <c r="G5" s="56" t="str">
        <f>TEXT(AG3,"0.00")&amp;" - "&amp;TEXT(AG4,"0.00")</f>
        <v>1.63 - 1.77</v>
      </c>
      <c r="H5" s="57" t="s">
        <v>189</v>
      </c>
      <c r="I5" s="58"/>
      <c r="J5" s="59"/>
      <c r="L5" s="708"/>
      <c r="M5" s="60"/>
      <c r="N5" s="60"/>
      <c r="O5" s="60"/>
      <c r="P5" s="60"/>
      <c r="Q5" s="60"/>
      <c r="R5" s="60"/>
      <c r="S5" s="60"/>
      <c r="T5" s="60"/>
      <c r="U5" s="60"/>
      <c r="V5" s="60"/>
      <c r="W5" s="60"/>
      <c r="X5" s="61"/>
      <c r="Y5" s="61"/>
      <c r="Z5" s="61"/>
      <c r="AA5" s="62"/>
      <c r="AE5" s="38" t="s">
        <v>8</v>
      </c>
      <c r="AF5" s="38"/>
      <c r="AG5" s="38">
        <v>1.6853100061416626</v>
      </c>
    </row>
    <row r="6" spans="1:33" s="39" customFormat="1" ht="15.75" customHeight="1">
      <c r="A6" s="46" t="s">
        <v>0</v>
      </c>
      <c r="B6" s="55">
        <v>1370758.25</v>
      </c>
      <c r="C6" s="63" t="s">
        <v>35</v>
      </c>
      <c r="D6" s="52"/>
      <c r="E6" s="52"/>
      <c r="F6" s="52"/>
      <c r="G6" s="64">
        <v>2.2899999618530273</v>
      </c>
      <c r="H6" s="65" t="s">
        <v>44</v>
      </c>
      <c r="I6" s="58"/>
      <c r="J6" s="59"/>
      <c r="L6" s="708"/>
      <c r="M6" s="60"/>
      <c r="N6" s="60"/>
      <c r="O6" s="60"/>
      <c r="P6" s="60"/>
      <c r="Q6" s="60"/>
      <c r="R6" s="60"/>
      <c r="S6" s="60"/>
      <c r="T6" s="60"/>
      <c r="U6" s="60"/>
      <c r="V6" s="60"/>
      <c r="W6" s="60"/>
      <c r="X6" s="61"/>
      <c r="Y6" s="61"/>
      <c r="Z6" s="61"/>
      <c r="AA6" s="66" t="s">
        <v>40</v>
      </c>
      <c r="AE6" s="38" t="s">
        <v>13</v>
      </c>
      <c r="AF6" s="38"/>
      <c r="AG6" s="38">
        <v>1.7188899517059326</v>
      </c>
    </row>
    <row r="7" spans="1:33" s="39" customFormat="1" ht="15.75" customHeight="1" thickBot="1">
      <c r="A7" s="67" t="s">
        <v>1</v>
      </c>
      <c r="B7" s="68">
        <v>219.5463104248047</v>
      </c>
      <c r="C7" s="63" t="str">
        <f>IF(B7&gt;M7,"Therefore analysis IS Significant","Therefore analysis IS NOT Significant")</f>
        <v>Therefore analysis IS Significant</v>
      </c>
      <c r="D7" s="52"/>
      <c r="E7" s="52"/>
      <c r="F7" s="52"/>
      <c r="G7" s="69">
        <v>0.8962000012397766</v>
      </c>
      <c r="H7" s="70" t="s">
        <v>45</v>
      </c>
      <c r="I7" s="71"/>
      <c r="J7" s="72"/>
      <c r="L7" s="709"/>
      <c r="M7" s="60"/>
      <c r="N7" s="60"/>
      <c r="O7" s="60"/>
      <c r="P7" s="60"/>
      <c r="Q7" s="60"/>
      <c r="R7" s="60"/>
      <c r="S7" s="60"/>
      <c r="T7" s="60"/>
      <c r="U7" s="60"/>
      <c r="V7" s="60"/>
      <c r="W7" s="60"/>
      <c r="X7" s="61"/>
      <c r="Y7" s="61"/>
      <c r="Z7" s="61"/>
      <c r="AA7" s="133">
        <v>24</v>
      </c>
      <c r="AE7" s="38" t="s">
        <v>12</v>
      </c>
      <c r="AF7" s="38"/>
      <c r="AG7" s="38"/>
    </row>
    <row r="8" spans="1:27" s="39" customFormat="1" ht="9.75" customHeight="1" thickBot="1">
      <c r="A8" s="73"/>
      <c r="B8" s="53"/>
      <c r="C8" s="53"/>
      <c r="D8" s="53"/>
      <c r="E8" s="53"/>
      <c r="F8" s="53"/>
      <c r="G8" s="53"/>
      <c r="H8" s="53"/>
      <c r="I8" s="53"/>
      <c r="J8" s="53"/>
      <c r="K8" s="53"/>
      <c r="L8" s="53"/>
      <c r="M8" s="53"/>
      <c r="N8" s="53"/>
      <c r="O8" s="53"/>
      <c r="P8" s="53"/>
      <c r="Q8" s="53"/>
      <c r="R8" s="53"/>
      <c r="S8" s="53"/>
      <c r="T8" s="53"/>
      <c r="U8" s="53"/>
      <c r="V8" s="53"/>
      <c r="W8" s="53"/>
      <c r="X8" s="53"/>
      <c r="Y8" s="53"/>
      <c r="Z8" s="53"/>
      <c r="AA8" s="54"/>
    </row>
    <row r="9" spans="1:27" s="39" customFormat="1" ht="24.75" customHeight="1" thickBot="1">
      <c r="A9" s="719" t="s">
        <v>2</v>
      </c>
      <c r="B9" s="717"/>
      <c r="C9" s="717"/>
      <c r="D9" s="717"/>
      <c r="E9" s="718"/>
      <c r="F9" s="716" t="s">
        <v>3</v>
      </c>
      <c r="G9" s="717"/>
      <c r="H9" s="718"/>
      <c r="I9" s="142" t="s">
        <v>16</v>
      </c>
      <c r="J9" s="716" t="s">
        <v>24</v>
      </c>
      <c r="K9" s="718"/>
      <c r="L9" s="74"/>
      <c r="M9" s="75"/>
      <c r="N9" s="717" t="s">
        <v>34</v>
      </c>
      <c r="O9" s="717"/>
      <c r="P9" s="717"/>
      <c r="Q9" s="717"/>
      <c r="R9" s="717"/>
      <c r="S9" s="717"/>
      <c r="T9" s="717"/>
      <c r="U9" s="717"/>
      <c r="V9" s="717"/>
      <c r="W9" s="717"/>
      <c r="X9" s="717"/>
      <c r="Y9" s="75"/>
      <c r="Z9" s="143" t="s">
        <v>36</v>
      </c>
      <c r="AA9" s="76"/>
    </row>
    <row r="10" spans="1:27" s="39" customFormat="1" ht="29.25" customHeight="1">
      <c r="A10" s="77"/>
      <c r="B10" s="78" t="s">
        <v>4</v>
      </c>
      <c r="C10" s="79" t="s">
        <v>0</v>
      </c>
      <c r="D10" s="79" t="s">
        <v>22</v>
      </c>
      <c r="E10" s="80" t="s">
        <v>23</v>
      </c>
      <c r="F10" s="81" t="s">
        <v>14</v>
      </c>
      <c r="G10" s="82" t="s">
        <v>38</v>
      </c>
      <c r="H10" s="83" t="s">
        <v>5</v>
      </c>
      <c r="I10" s="84" t="str">
        <f>"Dl="&amp;TEXT(AG5,"0.00")&amp;" Du="&amp;TEXT(AG6,"0.00")</f>
        <v>Dl=1.69 Du=1.72</v>
      </c>
      <c r="J10" s="714" t="s">
        <v>18</v>
      </c>
      <c r="K10" s="710" t="s">
        <v>48</v>
      </c>
      <c r="L10" s="729" t="s">
        <v>9</v>
      </c>
      <c r="M10" s="730"/>
      <c r="N10" s="731"/>
      <c r="O10" s="732" t="s">
        <v>8</v>
      </c>
      <c r="P10" s="730"/>
      <c r="Q10" s="731"/>
      <c r="R10" s="732" t="s">
        <v>32</v>
      </c>
      <c r="S10" s="730"/>
      <c r="T10" s="730"/>
      <c r="U10" s="731"/>
      <c r="V10" s="732" t="s">
        <v>33</v>
      </c>
      <c r="W10" s="730"/>
      <c r="X10" s="730"/>
      <c r="Y10" s="730"/>
      <c r="Z10" s="731"/>
      <c r="AA10" s="727" t="s">
        <v>19</v>
      </c>
    </row>
    <row r="11" spans="1:27" s="39" customFormat="1" ht="15" customHeight="1">
      <c r="A11" s="85" t="s">
        <v>6</v>
      </c>
      <c r="B11" s="86">
        <v>-4288518.6304474</v>
      </c>
      <c r="C11" s="87">
        <v>7325843.5601785</v>
      </c>
      <c r="D11" s="87">
        <v>-0.5853959</v>
      </c>
      <c r="E11" s="88">
        <v>0.5594386</v>
      </c>
      <c r="F11" s="89"/>
      <c r="G11" s="90"/>
      <c r="H11" s="91"/>
      <c r="I11" s="92" t="s">
        <v>17</v>
      </c>
      <c r="J11" s="715"/>
      <c r="K11" s="711"/>
      <c r="L11" s="93" t="s">
        <v>27</v>
      </c>
      <c r="M11" s="94" t="s">
        <v>10</v>
      </c>
      <c r="N11" s="95" t="s">
        <v>28</v>
      </c>
      <c r="O11" s="96" t="s">
        <v>27</v>
      </c>
      <c r="P11" s="94" t="s">
        <v>10</v>
      </c>
      <c r="Q11" s="97" t="s">
        <v>28</v>
      </c>
      <c r="R11" s="96" t="s">
        <v>29</v>
      </c>
      <c r="S11" s="94" t="s">
        <v>30</v>
      </c>
      <c r="T11" s="94" t="s">
        <v>10</v>
      </c>
      <c r="U11" s="97" t="s">
        <v>28</v>
      </c>
      <c r="V11" s="96" t="s">
        <v>29</v>
      </c>
      <c r="W11" s="94" t="s">
        <v>30</v>
      </c>
      <c r="X11" s="94" t="s">
        <v>31</v>
      </c>
      <c r="Y11" s="94" t="s">
        <v>10</v>
      </c>
      <c r="Z11" s="97" t="s">
        <v>28</v>
      </c>
      <c r="AA11" s="728"/>
    </row>
    <row r="12" spans="1:27" ht="12.75">
      <c r="A12" s="98" t="s">
        <v>50</v>
      </c>
      <c r="B12" s="99">
        <v>19196.2696339</v>
      </c>
      <c r="C12" s="100">
        <v>1086.5753501</v>
      </c>
      <c r="D12" s="100">
        <v>17.6667634</v>
      </c>
      <c r="E12" s="101">
        <v>0</v>
      </c>
      <c r="F12" s="102">
        <v>0.6823455</v>
      </c>
      <c r="G12" s="103">
        <v>13880.4571384</v>
      </c>
      <c r="H12" s="104">
        <v>33325674</v>
      </c>
      <c r="I12" s="105">
        <v>0.3452495</v>
      </c>
      <c r="J12" s="106">
        <v>0.7957669</v>
      </c>
      <c r="K12" s="107"/>
      <c r="L12" s="108">
        <v>-0.61139</v>
      </c>
      <c r="M12" s="109">
        <v>341.73709</v>
      </c>
      <c r="N12" s="110">
        <v>0.00667</v>
      </c>
      <c r="O12" s="111">
        <v>0</v>
      </c>
      <c r="P12" s="109">
        <v>0</v>
      </c>
      <c r="Q12" s="112">
        <v>0</v>
      </c>
      <c r="R12" s="113">
        <v>-0.93787</v>
      </c>
      <c r="S12" s="114">
        <v>0.00265</v>
      </c>
      <c r="T12" s="109">
        <v>348.5914</v>
      </c>
      <c r="U12" s="110">
        <v>0.0068</v>
      </c>
      <c r="V12" s="111">
        <v>-5.48655</v>
      </c>
      <c r="W12" s="114">
        <v>0.094</v>
      </c>
      <c r="X12" s="114">
        <v>-0.0005</v>
      </c>
      <c r="Y12" s="109">
        <v>397.99895</v>
      </c>
      <c r="Z12" s="112">
        <v>0.01068</v>
      </c>
      <c r="AA12" s="8" t="s">
        <v>9</v>
      </c>
    </row>
    <row r="13" spans="1:27" ht="12.75">
      <c r="A13" s="115" t="s">
        <v>51</v>
      </c>
      <c r="B13" s="116">
        <v>39094.9184247</v>
      </c>
      <c r="C13" s="117">
        <v>4884.2813877</v>
      </c>
      <c r="D13" s="117">
        <v>8.0042314</v>
      </c>
      <c r="E13" s="118">
        <v>0</v>
      </c>
      <c r="F13" s="119">
        <v>0.0752269</v>
      </c>
      <c r="G13" s="120">
        <v>-22639.7570747</v>
      </c>
      <c r="H13" s="121">
        <v>38321924</v>
      </c>
      <c r="I13" s="122">
        <v>0.6923966</v>
      </c>
      <c r="J13" s="123">
        <v>0.7561</v>
      </c>
      <c r="K13" s="124"/>
      <c r="L13" s="125">
        <v>0.13092</v>
      </c>
      <c r="M13" s="126">
        <v>26.16674</v>
      </c>
      <c r="N13" s="127">
        <v>0.00739</v>
      </c>
      <c r="O13" s="128">
        <v>0</v>
      </c>
      <c r="P13" s="126">
        <v>0</v>
      </c>
      <c r="Q13" s="129">
        <v>0</v>
      </c>
      <c r="R13" s="130">
        <v>0.42717</v>
      </c>
      <c r="S13" s="131">
        <v>-0.00241</v>
      </c>
      <c r="T13" s="126">
        <v>19.94714</v>
      </c>
      <c r="U13" s="127">
        <v>0.00978</v>
      </c>
      <c r="V13" s="128">
        <v>0.63419</v>
      </c>
      <c r="W13" s="131">
        <v>-0.00657</v>
      </c>
      <c r="X13" s="131">
        <v>2E-05</v>
      </c>
      <c r="Y13" s="126">
        <v>17.69853</v>
      </c>
      <c r="Z13" s="129">
        <v>0.00998</v>
      </c>
      <c r="AA13" s="8" t="s">
        <v>9</v>
      </c>
    </row>
    <row r="14" spans="1:27" ht="12.75">
      <c r="A14" s="115" t="s">
        <v>188</v>
      </c>
      <c r="B14" s="116">
        <v>675923.6702457</v>
      </c>
      <c r="C14" s="117">
        <v>155866.4702544</v>
      </c>
      <c r="D14" s="117">
        <v>4.336556</v>
      </c>
      <c r="E14" s="118">
        <v>3.14E-05</v>
      </c>
      <c r="F14" s="119">
        <v>0.0001621</v>
      </c>
      <c r="G14" s="120">
        <v>65761.1989452</v>
      </c>
      <c r="H14" s="121">
        <v>35546448</v>
      </c>
      <c r="I14" s="122">
        <v>2.9427485</v>
      </c>
      <c r="J14" s="123">
        <v>0.0620296</v>
      </c>
      <c r="K14" s="124"/>
      <c r="L14" s="125">
        <v>0.00034</v>
      </c>
      <c r="M14" s="126">
        <v>30.40429</v>
      </c>
      <c r="N14" s="127">
        <v>0.00019</v>
      </c>
      <c r="O14" s="128">
        <v>1.00001</v>
      </c>
      <c r="P14" s="126">
        <v>30.39167</v>
      </c>
      <c r="Q14" s="129">
        <v>0.00019</v>
      </c>
      <c r="R14" s="130">
        <v>-0.00043</v>
      </c>
      <c r="S14" s="131">
        <v>1E-05</v>
      </c>
      <c r="T14" s="126">
        <v>30.42034</v>
      </c>
      <c r="U14" s="127">
        <v>0.00025</v>
      </c>
      <c r="V14" s="128">
        <v>0.00928</v>
      </c>
      <c r="W14" s="131">
        <v>-0.00019</v>
      </c>
      <c r="X14" s="131">
        <v>0</v>
      </c>
      <c r="Y14" s="126">
        <v>30.31487</v>
      </c>
      <c r="Z14" s="129">
        <v>0.00193</v>
      </c>
      <c r="AA14" s="8" t="s">
        <v>9</v>
      </c>
    </row>
    <row r="15" spans="1:27" ht="12.75">
      <c r="A15" s="115" t="s">
        <v>228</v>
      </c>
      <c r="B15" s="116">
        <v>-1112714.2301092</v>
      </c>
      <c r="C15" s="117">
        <v>405497.1838976</v>
      </c>
      <c r="D15" s="117">
        <v>-2.7440739</v>
      </c>
      <c r="E15" s="118">
        <v>0.0070509</v>
      </c>
      <c r="F15" s="119">
        <v>0.4751127</v>
      </c>
      <c r="G15" s="120">
        <v>-6004844.3333333</v>
      </c>
      <c r="H15" s="121">
        <v>40549652</v>
      </c>
      <c r="I15" s="122">
        <v>1.3445756</v>
      </c>
      <c r="J15" s="123">
        <v>0.6058388</v>
      </c>
      <c r="K15" s="124"/>
      <c r="L15" s="125">
        <v>0.00042</v>
      </c>
      <c r="M15" s="126">
        <v>0.47437</v>
      </c>
      <c r="N15" s="127">
        <v>0.00083</v>
      </c>
      <c r="O15" s="128">
        <v>0</v>
      </c>
      <c r="P15" s="126">
        <v>0</v>
      </c>
      <c r="Q15" s="129">
        <v>0</v>
      </c>
      <c r="R15" s="130">
        <v>0.00063</v>
      </c>
      <c r="S15" s="131">
        <v>0</v>
      </c>
      <c r="T15" s="126">
        <v>0.46989</v>
      </c>
      <c r="U15" s="127">
        <v>0.00085</v>
      </c>
      <c r="V15" s="128">
        <v>0.00678</v>
      </c>
      <c r="W15" s="131">
        <v>-0.00013</v>
      </c>
      <c r="X15" s="131">
        <v>0</v>
      </c>
      <c r="Y15" s="126">
        <v>0.4031</v>
      </c>
      <c r="Z15" s="129">
        <v>0.00276</v>
      </c>
      <c r="AA15" s="8" t="s">
        <v>9</v>
      </c>
    </row>
    <row r="16" spans="1:27" ht="12.75">
      <c r="A16" s="115" t="s">
        <v>244</v>
      </c>
      <c r="B16" s="116">
        <v>625.7520268</v>
      </c>
      <c r="C16" s="117">
        <v>233.4232945</v>
      </c>
      <c r="D16" s="117">
        <v>2.6807608</v>
      </c>
      <c r="E16" s="118">
        <v>0.008435</v>
      </c>
      <c r="F16" s="119">
        <v>0.0010082</v>
      </c>
      <c r="G16" s="120">
        <v>257.0771244</v>
      </c>
      <c r="H16" s="121">
        <v>31528142</v>
      </c>
      <c r="I16" s="122">
        <v>0.4134378</v>
      </c>
      <c r="J16" s="123">
        <v>-0.0274387</v>
      </c>
      <c r="K16" s="124"/>
      <c r="L16" s="125">
        <v>15.39955</v>
      </c>
      <c r="M16" s="126">
        <v>22466.47776</v>
      </c>
      <c r="N16" s="127">
        <v>0.98315</v>
      </c>
      <c r="O16" s="128">
        <v>1.00066</v>
      </c>
      <c r="P16" s="126">
        <v>22481.12639</v>
      </c>
      <c r="Q16" s="129">
        <v>0.98494</v>
      </c>
      <c r="R16" s="130">
        <v>8.81156</v>
      </c>
      <c r="S16" s="131">
        <v>0.05356</v>
      </c>
      <c r="T16" s="126">
        <v>22604.78986</v>
      </c>
      <c r="U16" s="127">
        <v>0.99457</v>
      </c>
      <c r="V16" s="128">
        <v>5.48872</v>
      </c>
      <c r="W16" s="131">
        <v>0.12029</v>
      </c>
      <c r="X16" s="131">
        <v>-0.00036</v>
      </c>
      <c r="Y16" s="126">
        <v>22640.88233</v>
      </c>
      <c r="Z16" s="129">
        <v>0.99505</v>
      </c>
      <c r="AA16" s="8" t="s">
        <v>9</v>
      </c>
    </row>
    <row r="17" spans="1:27" ht="12.75">
      <c r="A17" s="115"/>
      <c r="B17" s="132"/>
      <c r="C17" s="117"/>
      <c r="D17" s="117"/>
      <c r="E17" s="118"/>
      <c r="F17" s="119"/>
      <c r="G17" s="120"/>
      <c r="H17" s="121"/>
      <c r="I17" s="122"/>
      <c r="J17" s="123"/>
      <c r="K17" s="124"/>
      <c r="L17" s="125"/>
      <c r="M17" s="126"/>
      <c r="N17" s="127"/>
      <c r="O17" s="128"/>
      <c r="P17" s="126"/>
      <c r="Q17" s="129"/>
      <c r="R17" s="130"/>
      <c r="S17" s="131"/>
      <c r="T17" s="126"/>
      <c r="U17" s="127"/>
      <c r="V17" s="128"/>
      <c r="W17" s="131"/>
      <c r="X17" s="131"/>
      <c r="Y17" s="126"/>
      <c r="Z17" s="129"/>
      <c r="AA17" s="8"/>
    </row>
    <row r="18" spans="1:27" ht="12.75">
      <c r="A18" s="115"/>
      <c r="B18" s="132"/>
      <c r="C18" s="117"/>
      <c r="D18" s="117"/>
      <c r="E18" s="118"/>
      <c r="F18" s="119"/>
      <c r="G18" s="120"/>
      <c r="H18" s="121"/>
      <c r="I18" s="122"/>
      <c r="J18" s="123"/>
      <c r="K18" s="124"/>
      <c r="L18" s="125"/>
      <c r="M18" s="126"/>
      <c r="N18" s="127"/>
      <c r="O18" s="128"/>
      <c r="P18" s="126"/>
      <c r="Q18" s="129"/>
      <c r="R18" s="130"/>
      <c r="S18" s="131"/>
      <c r="T18" s="126"/>
      <c r="U18" s="127"/>
      <c r="V18" s="128"/>
      <c r="W18" s="131"/>
      <c r="X18" s="131"/>
      <c r="Y18" s="126"/>
      <c r="Z18" s="129"/>
      <c r="AA18" s="8"/>
    </row>
    <row r="19" spans="1:27" ht="12.75">
      <c r="A19" s="115"/>
      <c r="B19" s="132"/>
      <c r="C19" s="117"/>
      <c r="D19" s="117"/>
      <c r="E19" s="118"/>
      <c r="F19" s="119"/>
      <c r="G19" s="120"/>
      <c r="H19" s="121"/>
      <c r="I19" s="122"/>
      <c r="J19" s="123"/>
      <c r="K19" s="124"/>
      <c r="L19" s="125"/>
      <c r="M19" s="126"/>
      <c r="N19" s="127"/>
      <c r="O19" s="128"/>
      <c r="P19" s="126"/>
      <c r="Q19" s="129"/>
      <c r="R19" s="130"/>
      <c r="S19" s="131"/>
      <c r="T19" s="126"/>
      <c r="U19" s="127"/>
      <c r="V19" s="128"/>
      <c r="W19" s="131"/>
      <c r="X19" s="131"/>
      <c r="Y19" s="126"/>
      <c r="Z19" s="129"/>
      <c r="AA19" s="9"/>
    </row>
    <row r="20" spans="1:27" ht="12.75">
      <c r="A20" s="115"/>
      <c r="B20" s="132"/>
      <c r="C20" s="117"/>
      <c r="D20" s="117"/>
      <c r="E20" s="118"/>
      <c r="F20" s="119"/>
      <c r="G20" s="120"/>
      <c r="H20" s="121"/>
      <c r="I20" s="122"/>
      <c r="J20" s="123"/>
      <c r="K20" s="124"/>
      <c r="L20" s="125"/>
      <c r="M20" s="126"/>
      <c r="N20" s="127"/>
      <c r="O20" s="128"/>
      <c r="P20" s="126"/>
      <c r="Q20" s="129"/>
      <c r="R20" s="130"/>
      <c r="S20" s="131"/>
      <c r="T20" s="126"/>
      <c r="U20" s="127"/>
      <c r="V20" s="128"/>
      <c r="W20" s="131"/>
      <c r="X20" s="131"/>
      <c r="Y20" s="126"/>
      <c r="Z20" s="129"/>
      <c r="AA20" s="9"/>
    </row>
    <row r="21" spans="1:27" ht="12.75">
      <c r="A21" s="115"/>
      <c r="B21" s="132"/>
      <c r="C21" s="117"/>
      <c r="D21" s="117"/>
      <c r="E21" s="118"/>
      <c r="F21" s="119"/>
      <c r="G21" s="120"/>
      <c r="H21" s="121"/>
      <c r="I21" s="122"/>
      <c r="J21" s="123"/>
      <c r="K21" s="124"/>
      <c r="L21" s="125"/>
      <c r="M21" s="126"/>
      <c r="N21" s="127"/>
      <c r="O21" s="128"/>
      <c r="P21" s="126"/>
      <c r="Q21" s="129"/>
      <c r="R21" s="130"/>
      <c r="S21" s="131"/>
      <c r="T21" s="126"/>
      <c r="U21" s="127"/>
      <c r="V21" s="128"/>
      <c r="W21" s="131"/>
      <c r="X21" s="131"/>
      <c r="Y21" s="126"/>
      <c r="Z21" s="129"/>
      <c r="AA21" s="9"/>
    </row>
    <row r="22" spans="1:27" ht="12.75">
      <c r="A22" s="115"/>
      <c r="B22" s="132"/>
      <c r="C22" s="117"/>
      <c r="D22" s="117"/>
      <c r="E22" s="118"/>
      <c r="F22" s="119"/>
      <c r="G22" s="120"/>
      <c r="H22" s="121"/>
      <c r="I22" s="122"/>
      <c r="J22" s="123"/>
      <c r="K22" s="124"/>
      <c r="L22" s="125"/>
      <c r="M22" s="126"/>
      <c r="N22" s="127"/>
      <c r="O22" s="128"/>
      <c r="P22" s="126"/>
      <c r="Q22" s="129"/>
      <c r="R22" s="130"/>
      <c r="S22" s="131"/>
      <c r="T22" s="126"/>
      <c r="U22" s="127"/>
      <c r="V22" s="128"/>
      <c r="W22" s="131"/>
      <c r="X22" s="131"/>
      <c r="Y22" s="126"/>
      <c r="Z22" s="129"/>
      <c r="AA22" s="9"/>
    </row>
    <row r="23" spans="1:27" ht="12.75">
      <c r="A23" s="115"/>
      <c r="B23" s="132"/>
      <c r="C23" s="117"/>
      <c r="D23" s="117"/>
      <c r="E23" s="118"/>
      <c r="F23" s="119"/>
      <c r="G23" s="120"/>
      <c r="H23" s="121"/>
      <c r="I23" s="122"/>
      <c r="J23" s="123"/>
      <c r="K23" s="124"/>
      <c r="L23" s="125"/>
      <c r="M23" s="126"/>
      <c r="N23" s="127"/>
      <c r="O23" s="128"/>
      <c r="P23" s="126"/>
      <c r="Q23" s="129"/>
      <c r="R23" s="130"/>
      <c r="S23" s="131"/>
      <c r="T23" s="126"/>
      <c r="U23" s="127"/>
      <c r="V23" s="128"/>
      <c r="W23" s="131"/>
      <c r="X23" s="131"/>
      <c r="Y23" s="126"/>
      <c r="Z23" s="129"/>
      <c r="AA23" s="9"/>
    </row>
    <row r="24" spans="1:27" ht="12.75">
      <c r="A24" s="115"/>
      <c r="B24" s="132"/>
      <c r="C24" s="117"/>
      <c r="D24" s="117"/>
      <c r="E24" s="118"/>
      <c r="F24" s="119"/>
      <c r="G24" s="120"/>
      <c r="H24" s="121"/>
      <c r="I24" s="122"/>
      <c r="J24" s="123"/>
      <c r="K24" s="124"/>
      <c r="L24" s="125"/>
      <c r="M24" s="126"/>
      <c r="N24" s="127"/>
      <c r="O24" s="128"/>
      <c r="P24" s="126"/>
      <c r="Q24" s="129"/>
      <c r="R24" s="130"/>
      <c r="S24" s="131"/>
      <c r="T24" s="126"/>
      <c r="U24" s="127"/>
      <c r="V24" s="128"/>
      <c r="W24" s="131"/>
      <c r="X24" s="131"/>
      <c r="Y24" s="126"/>
      <c r="Z24" s="129"/>
      <c r="AA24" s="9"/>
    </row>
    <row r="25" spans="1:27" ht="12.75">
      <c r="A25" s="115"/>
      <c r="B25" s="132"/>
      <c r="C25" s="117"/>
      <c r="D25" s="117"/>
      <c r="E25" s="118"/>
      <c r="F25" s="119"/>
      <c r="G25" s="120"/>
      <c r="H25" s="121"/>
      <c r="I25" s="122"/>
      <c r="J25" s="123"/>
      <c r="K25" s="124"/>
      <c r="L25" s="125"/>
      <c r="M25" s="126"/>
      <c r="N25" s="127"/>
      <c r="O25" s="128"/>
      <c r="P25" s="126"/>
      <c r="Q25" s="129"/>
      <c r="R25" s="130"/>
      <c r="S25" s="131"/>
      <c r="T25" s="126"/>
      <c r="U25" s="127"/>
      <c r="V25" s="128"/>
      <c r="W25" s="131"/>
      <c r="X25" s="131"/>
      <c r="Y25" s="126"/>
      <c r="Z25" s="129"/>
      <c r="AA25" s="9"/>
    </row>
    <row r="26" spans="1:27" ht="12.75">
      <c r="A26" s="115"/>
      <c r="B26" s="132"/>
      <c r="C26" s="117"/>
      <c r="D26" s="117"/>
      <c r="E26" s="118"/>
      <c r="F26" s="119"/>
      <c r="G26" s="120"/>
      <c r="H26" s="121"/>
      <c r="I26" s="122"/>
      <c r="J26" s="123"/>
      <c r="K26" s="124"/>
      <c r="L26" s="125"/>
      <c r="M26" s="126"/>
      <c r="N26" s="127"/>
      <c r="O26" s="128"/>
      <c r="P26" s="126"/>
      <c r="Q26" s="129"/>
      <c r="R26" s="130"/>
      <c r="S26" s="131"/>
      <c r="T26" s="126"/>
      <c r="U26" s="127"/>
      <c r="V26" s="128"/>
      <c r="W26" s="131"/>
      <c r="X26" s="131"/>
      <c r="Y26" s="126"/>
      <c r="Z26" s="129"/>
      <c r="AA26" s="9"/>
    </row>
    <row r="27" spans="1:27" ht="12.75">
      <c r="A27" s="115"/>
      <c r="B27" s="132"/>
      <c r="C27" s="117"/>
      <c r="D27" s="117"/>
      <c r="E27" s="118"/>
      <c r="F27" s="119"/>
      <c r="G27" s="120"/>
      <c r="H27" s="121"/>
      <c r="I27" s="122"/>
      <c r="J27" s="123"/>
      <c r="K27" s="124"/>
      <c r="L27" s="125"/>
      <c r="M27" s="126"/>
      <c r="N27" s="127"/>
      <c r="O27" s="128"/>
      <c r="P27" s="126"/>
      <c r="Q27" s="129"/>
      <c r="R27" s="130"/>
      <c r="S27" s="131"/>
      <c r="T27" s="126"/>
      <c r="U27" s="127"/>
      <c r="V27" s="128"/>
      <c r="W27" s="131"/>
      <c r="X27" s="131"/>
      <c r="Y27" s="126"/>
      <c r="Z27" s="129"/>
      <c r="AA27" s="9"/>
    </row>
    <row r="28" spans="1:27" ht="12.75">
      <c r="A28" s="115"/>
      <c r="B28" s="132"/>
      <c r="C28" s="117"/>
      <c r="D28" s="117"/>
      <c r="E28" s="118"/>
      <c r="F28" s="119"/>
      <c r="G28" s="120"/>
      <c r="H28" s="121"/>
      <c r="I28" s="122"/>
      <c r="J28" s="123"/>
      <c r="K28" s="124"/>
      <c r="L28" s="125"/>
      <c r="M28" s="126"/>
      <c r="N28" s="127"/>
      <c r="O28" s="128"/>
      <c r="P28" s="126"/>
      <c r="Q28" s="129"/>
      <c r="R28" s="130"/>
      <c r="S28" s="131"/>
      <c r="T28" s="126"/>
      <c r="U28" s="127"/>
      <c r="V28" s="128"/>
      <c r="W28" s="131"/>
      <c r="X28" s="131"/>
      <c r="Y28" s="126"/>
      <c r="Z28" s="129"/>
      <c r="AA28" s="9"/>
    </row>
    <row r="29" spans="1:27" ht="12.75">
      <c r="A29" s="115"/>
      <c r="B29" s="132"/>
      <c r="C29" s="117"/>
      <c r="D29" s="117"/>
      <c r="E29" s="118"/>
      <c r="F29" s="119"/>
      <c r="G29" s="120"/>
      <c r="H29" s="121"/>
      <c r="I29" s="122"/>
      <c r="J29" s="123"/>
      <c r="K29" s="124"/>
      <c r="L29" s="125"/>
      <c r="M29" s="126"/>
      <c r="N29" s="127"/>
      <c r="O29" s="128"/>
      <c r="P29" s="126"/>
      <c r="Q29" s="129"/>
      <c r="R29" s="130"/>
      <c r="S29" s="131"/>
      <c r="T29" s="126"/>
      <c r="U29" s="127"/>
      <c r="V29" s="128"/>
      <c r="W29" s="131"/>
      <c r="X29" s="131"/>
      <c r="Y29" s="126"/>
      <c r="Z29" s="129"/>
      <c r="AA29" s="9"/>
    </row>
    <row r="30" spans="1:27" ht="12.75">
      <c r="A30" s="115"/>
      <c r="B30" s="132"/>
      <c r="C30" s="117"/>
      <c r="D30" s="117"/>
      <c r="E30" s="118"/>
      <c r="F30" s="119"/>
      <c r="G30" s="120"/>
      <c r="H30" s="121"/>
      <c r="I30" s="122"/>
      <c r="J30" s="123"/>
      <c r="K30" s="124"/>
      <c r="L30" s="125"/>
      <c r="M30" s="126"/>
      <c r="N30" s="127"/>
      <c r="O30" s="128"/>
      <c r="P30" s="126"/>
      <c r="Q30" s="129"/>
      <c r="R30" s="130"/>
      <c r="S30" s="131"/>
      <c r="T30" s="126"/>
      <c r="U30" s="127"/>
      <c r="V30" s="128"/>
      <c r="W30" s="131"/>
      <c r="X30" s="131"/>
      <c r="Y30" s="126"/>
      <c r="Z30" s="129"/>
      <c r="AA30" s="9"/>
    </row>
    <row r="31" spans="1:27" ht="12.75">
      <c r="A31" s="115"/>
      <c r="B31" s="132"/>
      <c r="C31" s="117"/>
      <c r="D31" s="117"/>
      <c r="E31" s="118"/>
      <c r="F31" s="119"/>
      <c r="G31" s="120"/>
      <c r="H31" s="121"/>
      <c r="I31" s="122"/>
      <c r="J31" s="123"/>
      <c r="K31" s="124"/>
      <c r="L31" s="125"/>
      <c r="M31" s="126"/>
      <c r="N31" s="127"/>
      <c r="O31" s="128"/>
      <c r="P31" s="126"/>
      <c r="Q31" s="129"/>
      <c r="R31" s="130"/>
      <c r="S31" s="131"/>
      <c r="T31" s="126"/>
      <c r="U31" s="127"/>
      <c r="V31" s="128"/>
      <c r="W31" s="131"/>
      <c r="X31" s="131"/>
      <c r="Y31" s="126"/>
      <c r="Z31" s="129"/>
      <c r="AA31" s="9"/>
    </row>
    <row r="32" spans="1:27" ht="12.75">
      <c r="A32" s="115"/>
      <c r="B32" s="132"/>
      <c r="C32" s="117"/>
      <c r="D32" s="117"/>
      <c r="E32" s="118"/>
      <c r="F32" s="119"/>
      <c r="G32" s="120"/>
      <c r="H32" s="121"/>
      <c r="I32" s="122"/>
      <c r="J32" s="123"/>
      <c r="K32" s="124"/>
      <c r="L32" s="125"/>
      <c r="M32" s="126"/>
      <c r="N32" s="127"/>
      <c r="O32" s="128"/>
      <c r="P32" s="126"/>
      <c r="Q32" s="129"/>
      <c r="R32" s="130"/>
      <c r="S32" s="131"/>
      <c r="T32" s="126"/>
      <c r="U32" s="127"/>
      <c r="V32" s="128"/>
      <c r="W32" s="131"/>
      <c r="X32" s="131"/>
      <c r="Y32" s="126"/>
      <c r="Z32" s="129"/>
      <c r="AA32" s="9"/>
    </row>
    <row r="33" spans="1:27" ht="12.75">
      <c r="A33" s="115"/>
      <c r="B33" s="132"/>
      <c r="C33" s="117"/>
      <c r="D33" s="117"/>
      <c r="E33" s="118"/>
      <c r="F33" s="119"/>
      <c r="G33" s="120"/>
      <c r="H33" s="121"/>
      <c r="I33" s="122"/>
      <c r="J33" s="123"/>
      <c r="K33" s="124"/>
      <c r="L33" s="125"/>
      <c r="M33" s="126"/>
      <c r="N33" s="127"/>
      <c r="O33" s="128"/>
      <c r="P33" s="126"/>
      <c r="Q33" s="129"/>
      <c r="R33" s="130"/>
      <c r="S33" s="131"/>
      <c r="T33" s="126"/>
      <c r="U33" s="127"/>
      <c r="V33" s="128"/>
      <c r="W33" s="131"/>
      <c r="X33" s="131"/>
      <c r="Y33" s="126"/>
      <c r="Z33" s="129"/>
      <c r="AA33" s="9"/>
    </row>
    <row r="34" spans="1:27" ht="12.75">
      <c r="A34" s="115"/>
      <c r="B34" s="132"/>
      <c r="C34" s="117"/>
      <c r="D34" s="117"/>
      <c r="E34" s="118"/>
      <c r="F34" s="119"/>
      <c r="G34" s="120"/>
      <c r="H34" s="121"/>
      <c r="I34" s="122"/>
      <c r="J34" s="123"/>
      <c r="K34" s="124"/>
      <c r="L34" s="125"/>
      <c r="M34" s="126"/>
      <c r="N34" s="127"/>
      <c r="O34" s="128"/>
      <c r="P34" s="126"/>
      <c r="Q34" s="129"/>
      <c r="R34" s="130"/>
      <c r="S34" s="131"/>
      <c r="T34" s="126"/>
      <c r="U34" s="127"/>
      <c r="V34" s="128"/>
      <c r="W34" s="131"/>
      <c r="X34" s="131"/>
      <c r="Y34" s="126"/>
      <c r="Z34" s="129"/>
      <c r="AA34" s="9"/>
    </row>
    <row r="35" spans="1:27" ht="12.75">
      <c r="A35" s="115"/>
      <c r="B35" s="132"/>
      <c r="C35" s="117"/>
      <c r="D35" s="117"/>
      <c r="E35" s="118"/>
      <c r="F35" s="119"/>
      <c r="G35" s="120"/>
      <c r="H35" s="121"/>
      <c r="I35" s="122"/>
      <c r="J35" s="123"/>
      <c r="K35" s="124"/>
      <c r="L35" s="125"/>
      <c r="M35" s="126"/>
      <c r="N35" s="127"/>
      <c r="O35" s="128"/>
      <c r="P35" s="126"/>
      <c r="Q35" s="129"/>
      <c r="R35" s="130"/>
      <c r="S35" s="131"/>
      <c r="T35" s="126"/>
      <c r="U35" s="127"/>
      <c r="V35" s="128"/>
      <c r="W35" s="131"/>
      <c r="X35" s="131"/>
      <c r="Y35" s="126"/>
      <c r="Z35" s="129"/>
      <c r="AA35" s="9"/>
    </row>
    <row r="36" spans="1:27" ht="12.75">
      <c r="A36" s="115"/>
      <c r="B36" s="132"/>
      <c r="C36" s="117"/>
      <c r="D36" s="117"/>
      <c r="E36" s="118"/>
      <c r="F36" s="119"/>
      <c r="G36" s="120"/>
      <c r="H36" s="121"/>
      <c r="I36" s="122"/>
      <c r="J36" s="123"/>
      <c r="K36" s="124"/>
      <c r="L36" s="125"/>
      <c r="M36" s="126"/>
      <c r="N36" s="127"/>
      <c r="O36" s="128"/>
      <c r="P36" s="126"/>
      <c r="Q36" s="129"/>
      <c r="R36" s="130"/>
      <c r="S36" s="131"/>
      <c r="T36" s="126"/>
      <c r="U36" s="127"/>
      <c r="V36" s="128"/>
      <c r="W36" s="131"/>
      <c r="X36" s="131"/>
      <c r="Y36" s="126"/>
      <c r="Z36" s="129"/>
      <c r="AA36" s="9"/>
    </row>
    <row r="37" spans="1:27" ht="12.75">
      <c r="A37" s="115"/>
      <c r="B37" s="132"/>
      <c r="C37" s="117"/>
      <c r="D37" s="117"/>
      <c r="E37" s="118"/>
      <c r="F37" s="119"/>
      <c r="G37" s="120"/>
      <c r="H37" s="121"/>
      <c r="I37" s="122"/>
      <c r="J37" s="123"/>
      <c r="K37" s="124"/>
      <c r="L37" s="125"/>
      <c r="M37" s="126"/>
      <c r="N37" s="127"/>
      <c r="O37" s="128"/>
      <c r="P37" s="126"/>
      <c r="Q37" s="129"/>
      <c r="R37" s="130"/>
      <c r="S37" s="131"/>
      <c r="T37" s="126"/>
      <c r="U37" s="127"/>
      <c r="V37" s="128"/>
      <c r="W37" s="131"/>
      <c r="X37" s="131"/>
      <c r="Y37" s="126"/>
      <c r="Z37" s="129"/>
      <c r="AA37" s="9"/>
    </row>
    <row r="38" spans="1:27" ht="12.75">
      <c r="A38" s="115"/>
      <c r="B38" s="132"/>
      <c r="C38" s="117"/>
      <c r="D38" s="117"/>
      <c r="E38" s="118"/>
      <c r="F38" s="119"/>
      <c r="G38" s="120"/>
      <c r="H38" s="121"/>
      <c r="I38" s="122"/>
      <c r="J38" s="123"/>
      <c r="K38" s="124"/>
      <c r="L38" s="125"/>
      <c r="M38" s="126"/>
      <c r="N38" s="127"/>
      <c r="O38" s="128"/>
      <c r="P38" s="126"/>
      <c r="Q38" s="129"/>
      <c r="R38" s="130"/>
      <c r="S38" s="131"/>
      <c r="T38" s="126"/>
      <c r="U38" s="127"/>
      <c r="V38" s="128"/>
      <c r="W38" s="131"/>
      <c r="X38" s="131"/>
      <c r="Y38" s="126"/>
      <c r="Z38" s="129"/>
      <c r="AA38" s="9"/>
    </row>
    <row r="39" spans="1:27" ht="12.75">
      <c r="A39" s="115"/>
      <c r="B39" s="132"/>
      <c r="C39" s="117"/>
      <c r="D39" s="117"/>
      <c r="E39" s="118"/>
      <c r="F39" s="119"/>
      <c r="G39" s="120"/>
      <c r="H39" s="121"/>
      <c r="I39" s="122"/>
      <c r="J39" s="123"/>
      <c r="K39" s="124"/>
      <c r="L39" s="125"/>
      <c r="M39" s="126"/>
      <c r="N39" s="127"/>
      <c r="O39" s="128"/>
      <c r="P39" s="126"/>
      <c r="Q39" s="129"/>
      <c r="R39" s="130"/>
      <c r="S39" s="131"/>
      <c r="T39" s="126"/>
      <c r="U39" s="127"/>
      <c r="V39" s="128"/>
      <c r="W39" s="131"/>
      <c r="X39" s="131"/>
      <c r="Y39" s="126"/>
      <c r="Z39" s="129"/>
      <c r="AA39" s="9"/>
    </row>
    <row r="40" spans="1:27" ht="12.75">
      <c r="A40" s="115"/>
      <c r="B40" s="132"/>
      <c r="C40" s="117"/>
      <c r="D40" s="117"/>
      <c r="E40" s="118"/>
      <c r="F40" s="119"/>
      <c r="G40" s="120"/>
      <c r="H40" s="121"/>
      <c r="I40" s="122"/>
      <c r="J40" s="123"/>
      <c r="K40" s="124"/>
      <c r="L40" s="125"/>
      <c r="M40" s="126"/>
      <c r="N40" s="127"/>
      <c r="O40" s="128"/>
      <c r="P40" s="126"/>
      <c r="Q40" s="129"/>
      <c r="R40" s="130"/>
      <c r="S40" s="131"/>
      <c r="T40" s="126"/>
      <c r="U40" s="127"/>
      <c r="V40" s="128"/>
      <c r="W40" s="131"/>
      <c r="X40" s="131"/>
      <c r="Y40" s="126"/>
      <c r="Z40" s="129"/>
      <c r="AA40" s="9"/>
    </row>
    <row r="41" spans="1:27" ht="12.75">
      <c r="A41" s="115"/>
      <c r="B41" s="132"/>
      <c r="C41" s="117"/>
      <c r="D41" s="117"/>
      <c r="E41" s="118"/>
      <c r="F41" s="119"/>
      <c r="G41" s="120"/>
      <c r="H41" s="121"/>
      <c r="I41" s="122"/>
      <c r="J41" s="123"/>
      <c r="K41" s="124"/>
      <c r="L41" s="125"/>
      <c r="M41" s="126"/>
      <c r="N41" s="127"/>
      <c r="O41" s="128"/>
      <c r="P41" s="126"/>
      <c r="Q41" s="129"/>
      <c r="R41" s="130"/>
      <c r="S41" s="131"/>
      <c r="T41" s="126"/>
      <c r="U41" s="127"/>
      <c r="V41" s="128"/>
      <c r="W41" s="131"/>
      <c r="X41" s="131"/>
      <c r="Y41" s="126"/>
      <c r="Z41" s="129"/>
      <c r="AA41" s="9"/>
    </row>
    <row r="42" spans="1:27" ht="12.75">
      <c r="A42" s="115"/>
      <c r="B42" s="132"/>
      <c r="C42" s="117"/>
      <c r="D42" s="117"/>
      <c r="E42" s="118"/>
      <c r="F42" s="119"/>
      <c r="G42" s="120"/>
      <c r="H42" s="121"/>
      <c r="I42" s="122"/>
      <c r="J42" s="123"/>
      <c r="K42" s="124"/>
      <c r="L42" s="125"/>
      <c r="M42" s="126"/>
      <c r="N42" s="127"/>
      <c r="O42" s="128"/>
      <c r="P42" s="126"/>
      <c r="Q42" s="129"/>
      <c r="R42" s="130"/>
      <c r="S42" s="131"/>
      <c r="T42" s="126"/>
      <c r="U42" s="127"/>
      <c r="V42" s="128"/>
      <c r="W42" s="131"/>
      <c r="X42" s="131"/>
      <c r="Y42" s="126"/>
      <c r="Z42" s="129"/>
      <c r="AA42" s="9"/>
    </row>
    <row r="43" spans="1:27" ht="12.75">
      <c r="A43" s="115"/>
      <c r="B43" s="132"/>
      <c r="C43" s="117"/>
      <c r="D43" s="117"/>
      <c r="E43" s="118"/>
      <c r="F43" s="119"/>
      <c r="G43" s="120"/>
      <c r="H43" s="121"/>
      <c r="I43" s="122"/>
      <c r="J43" s="123"/>
      <c r="K43" s="124"/>
      <c r="L43" s="125"/>
      <c r="M43" s="126"/>
      <c r="N43" s="127"/>
      <c r="O43" s="128"/>
      <c r="P43" s="126"/>
      <c r="Q43" s="129"/>
      <c r="R43" s="130"/>
      <c r="S43" s="131"/>
      <c r="T43" s="126"/>
      <c r="U43" s="127"/>
      <c r="V43" s="128"/>
      <c r="W43" s="131"/>
      <c r="X43" s="131"/>
      <c r="Y43" s="126"/>
      <c r="Z43" s="129"/>
      <c r="AA43" s="9"/>
    </row>
    <row r="44" spans="1:27" ht="12.75">
      <c r="A44" s="115"/>
      <c r="B44" s="132"/>
      <c r="C44" s="117"/>
      <c r="D44" s="117"/>
      <c r="E44" s="118"/>
      <c r="F44" s="119"/>
      <c r="G44" s="120"/>
      <c r="H44" s="121"/>
      <c r="I44" s="122"/>
      <c r="J44" s="123"/>
      <c r="K44" s="124"/>
      <c r="L44" s="125"/>
      <c r="M44" s="126"/>
      <c r="N44" s="127"/>
      <c r="O44" s="128"/>
      <c r="P44" s="126"/>
      <c r="Q44" s="129"/>
      <c r="R44" s="130"/>
      <c r="S44" s="131"/>
      <c r="T44" s="126"/>
      <c r="U44" s="127"/>
      <c r="V44" s="128"/>
      <c r="W44" s="131"/>
      <c r="X44" s="131"/>
      <c r="Y44" s="126"/>
      <c r="Z44" s="129"/>
      <c r="AA44" s="9"/>
    </row>
    <row r="45" spans="1:27" ht="12.75">
      <c r="A45" s="115"/>
      <c r="B45" s="132"/>
      <c r="C45" s="117"/>
      <c r="D45" s="117"/>
      <c r="E45" s="118"/>
      <c r="F45" s="119"/>
      <c r="G45" s="120"/>
      <c r="H45" s="121"/>
      <c r="I45" s="122"/>
      <c r="J45" s="123"/>
      <c r="K45" s="124"/>
      <c r="L45" s="125"/>
      <c r="M45" s="126"/>
      <c r="N45" s="127"/>
      <c r="O45" s="128"/>
      <c r="P45" s="126"/>
      <c r="Q45" s="129"/>
      <c r="R45" s="130"/>
      <c r="S45" s="131"/>
      <c r="T45" s="126"/>
      <c r="U45" s="127"/>
      <c r="V45" s="128"/>
      <c r="W45" s="131"/>
      <c r="X45" s="131"/>
      <c r="Y45" s="126"/>
      <c r="Z45" s="129"/>
      <c r="AA45" s="9"/>
    </row>
    <row r="46" spans="1:27" ht="12.75">
      <c r="A46" s="115"/>
      <c r="B46" s="132"/>
      <c r="C46" s="117"/>
      <c r="D46" s="117"/>
      <c r="E46" s="118"/>
      <c r="F46" s="119"/>
      <c r="G46" s="120"/>
      <c r="H46" s="121"/>
      <c r="I46" s="122"/>
      <c r="J46" s="123"/>
      <c r="K46" s="124"/>
      <c r="L46" s="125"/>
      <c r="M46" s="126"/>
      <c r="N46" s="127"/>
      <c r="O46" s="128"/>
      <c r="P46" s="126"/>
      <c r="Q46" s="129"/>
      <c r="R46" s="130"/>
      <c r="S46" s="131"/>
      <c r="T46" s="126"/>
      <c r="U46" s="127"/>
      <c r="V46" s="128"/>
      <c r="W46" s="131"/>
      <c r="X46" s="131"/>
      <c r="Y46" s="126"/>
      <c r="Z46" s="129"/>
      <c r="AA46" s="9"/>
    </row>
    <row r="47" spans="1:27" ht="12.75">
      <c r="A47" s="115"/>
      <c r="B47" s="132"/>
      <c r="C47" s="117"/>
      <c r="D47" s="117"/>
      <c r="E47" s="118"/>
      <c r="F47" s="119"/>
      <c r="G47" s="120"/>
      <c r="H47" s="121"/>
      <c r="I47" s="122"/>
      <c r="J47" s="123"/>
      <c r="K47" s="124"/>
      <c r="L47" s="125"/>
      <c r="M47" s="126"/>
      <c r="N47" s="127"/>
      <c r="O47" s="128"/>
      <c r="P47" s="126"/>
      <c r="Q47" s="129"/>
      <c r="R47" s="130"/>
      <c r="S47" s="131"/>
      <c r="T47" s="126"/>
      <c r="U47" s="127"/>
      <c r="V47" s="128"/>
      <c r="W47" s="131"/>
      <c r="X47" s="131"/>
      <c r="Y47" s="126"/>
      <c r="Z47" s="129"/>
      <c r="AA47" s="9"/>
    </row>
    <row r="48" spans="1:27" ht="12.75">
      <c r="A48" s="115"/>
      <c r="B48" s="132"/>
      <c r="C48" s="117"/>
      <c r="D48" s="117"/>
      <c r="E48" s="118"/>
      <c r="F48" s="119"/>
      <c r="G48" s="120"/>
      <c r="H48" s="121"/>
      <c r="I48" s="122"/>
      <c r="J48" s="123"/>
      <c r="K48" s="124"/>
      <c r="L48" s="125"/>
      <c r="M48" s="126"/>
      <c r="N48" s="127"/>
      <c r="O48" s="128"/>
      <c r="P48" s="126"/>
      <c r="Q48" s="129"/>
      <c r="R48" s="130"/>
      <c r="S48" s="131"/>
      <c r="T48" s="126"/>
      <c r="U48" s="127"/>
      <c r="V48" s="128"/>
      <c r="W48" s="131"/>
      <c r="X48" s="131"/>
      <c r="Y48" s="126"/>
      <c r="Z48" s="129"/>
      <c r="AA48" s="9"/>
    </row>
    <row r="49" spans="1:27" ht="12.75">
      <c r="A49" s="115"/>
      <c r="B49" s="132"/>
      <c r="C49" s="117"/>
      <c r="D49" s="117"/>
      <c r="E49" s="118"/>
      <c r="F49" s="119"/>
      <c r="G49" s="120"/>
      <c r="H49" s="121"/>
      <c r="I49" s="122"/>
      <c r="J49" s="123"/>
      <c r="K49" s="124"/>
      <c r="L49" s="125"/>
      <c r="M49" s="126"/>
      <c r="N49" s="127"/>
      <c r="O49" s="128"/>
      <c r="P49" s="126"/>
      <c r="Q49" s="129"/>
      <c r="R49" s="130"/>
      <c r="S49" s="131"/>
      <c r="T49" s="126"/>
      <c r="U49" s="127"/>
      <c r="V49" s="128"/>
      <c r="W49" s="131"/>
      <c r="X49" s="131"/>
      <c r="Y49" s="126"/>
      <c r="Z49" s="129"/>
      <c r="AA49" s="9"/>
    </row>
    <row r="50" spans="1:27" ht="12.75">
      <c r="A50" s="115"/>
      <c r="B50" s="132"/>
      <c r="C50" s="117"/>
      <c r="D50" s="117"/>
      <c r="E50" s="118"/>
      <c r="F50" s="119"/>
      <c r="G50" s="120"/>
      <c r="H50" s="121"/>
      <c r="I50" s="122"/>
      <c r="J50" s="123"/>
      <c r="K50" s="124"/>
      <c r="L50" s="125"/>
      <c r="M50" s="126"/>
      <c r="N50" s="127"/>
      <c r="O50" s="128"/>
      <c r="P50" s="126"/>
      <c r="Q50" s="129"/>
      <c r="R50" s="130"/>
      <c r="S50" s="131"/>
      <c r="T50" s="126"/>
      <c r="U50" s="127"/>
      <c r="V50" s="128"/>
      <c r="W50" s="131"/>
      <c r="X50" s="131"/>
      <c r="Y50" s="126"/>
      <c r="Z50" s="129"/>
      <c r="AA50" s="9"/>
    </row>
    <row r="51" spans="1:27" ht="12.75">
      <c r="A51" s="115"/>
      <c r="B51" s="132"/>
      <c r="C51" s="117"/>
      <c r="D51" s="117"/>
      <c r="E51" s="118"/>
      <c r="F51" s="119"/>
      <c r="G51" s="120"/>
      <c r="H51" s="121"/>
      <c r="I51" s="122"/>
      <c r="J51" s="123"/>
      <c r="K51" s="124"/>
      <c r="L51" s="125"/>
      <c r="M51" s="126"/>
      <c r="N51" s="127"/>
      <c r="O51" s="128"/>
      <c r="P51" s="126"/>
      <c r="Q51" s="129"/>
      <c r="R51" s="130"/>
      <c r="S51" s="131"/>
      <c r="T51" s="126"/>
      <c r="U51" s="127"/>
      <c r="V51" s="128"/>
      <c r="W51" s="131"/>
      <c r="X51" s="131"/>
      <c r="Y51" s="126"/>
      <c r="Z51" s="129"/>
      <c r="AA51" s="9"/>
    </row>
    <row r="52" spans="1:27" ht="12.75">
      <c r="A52" s="115"/>
      <c r="B52" s="132"/>
      <c r="C52" s="117"/>
      <c r="D52" s="117"/>
      <c r="E52" s="118"/>
      <c r="F52" s="119"/>
      <c r="G52" s="120"/>
      <c r="H52" s="121"/>
      <c r="I52" s="122"/>
      <c r="J52" s="123"/>
      <c r="K52" s="124"/>
      <c r="L52" s="125"/>
      <c r="M52" s="126"/>
      <c r="N52" s="127"/>
      <c r="O52" s="128"/>
      <c r="P52" s="126"/>
      <c r="Q52" s="129"/>
      <c r="R52" s="130"/>
      <c r="S52" s="131"/>
      <c r="T52" s="126"/>
      <c r="U52" s="127"/>
      <c r="V52" s="128"/>
      <c r="W52" s="131"/>
      <c r="X52" s="131"/>
      <c r="Y52" s="126"/>
      <c r="Z52" s="129"/>
      <c r="AA52" s="9"/>
    </row>
    <row r="53" spans="1:27" ht="12.75">
      <c r="A53" s="115"/>
      <c r="B53" s="132"/>
      <c r="C53" s="117"/>
      <c r="D53" s="117"/>
      <c r="E53" s="118"/>
      <c r="F53" s="119"/>
      <c r="G53" s="120"/>
      <c r="H53" s="121"/>
      <c r="I53" s="122"/>
      <c r="J53" s="123"/>
      <c r="K53" s="124"/>
      <c r="L53" s="125"/>
      <c r="M53" s="126"/>
      <c r="N53" s="127"/>
      <c r="O53" s="128"/>
      <c r="P53" s="126"/>
      <c r="Q53" s="129"/>
      <c r="R53" s="130"/>
      <c r="S53" s="131"/>
      <c r="T53" s="126"/>
      <c r="U53" s="127"/>
      <c r="V53" s="128"/>
      <c r="W53" s="131"/>
      <c r="X53" s="131"/>
      <c r="Y53" s="126"/>
      <c r="Z53" s="129"/>
      <c r="AA53" s="9"/>
    </row>
    <row r="54" spans="1:27" ht="12.75">
      <c r="A54" s="115"/>
      <c r="B54" s="132"/>
      <c r="C54" s="117"/>
      <c r="D54" s="117"/>
      <c r="E54" s="118"/>
      <c r="F54" s="119"/>
      <c r="G54" s="120"/>
      <c r="H54" s="121"/>
      <c r="I54" s="122"/>
      <c r="J54" s="123"/>
      <c r="K54" s="124"/>
      <c r="L54" s="125"/>
      <c r="M54" s="126"/>
      <c r="N54" s="127"/>
      <c r="O54" s="128"/>
      <c r="P54" s="126"/>
      <c r="Q54" s="129"/>
      <c r="R54" s="130"/>
      <c r="S54" s="131"/>
      <c r="T54" s="126"/>
      <c r="U54" s="127"/>
      <c r="V54" s="128"/>
      <c r="W54" s="131"/>
      <c r="X54" s="131"/>
      <c r="Y54" s="126"/>
      <c r="Z54" s="129"/>
      <c r="AA54" s="9"/>
    </row>
    <row r="55" spans="1:27" ht="12.75">
      <c r="A55" s="115"/>
      <c r="B55" s="132"/>
      <c r="C55" s="117"/>
      <c r="D55" s="117"/>
      <c r="E55" s="118"/>
      <c r="F55" s="119"/>
      <c r="G55" s="120"/>
      <c r="H55" s="121"/>
      <c r="I55" s="122"/>
      <c r="J55" s="123"/>
      <c r="K55" s="124"/>
      <c r="L55" s="125"/>
      <c r="M55" s="126"/>
      <c r="N55" s="127"/>
      <c r="O55" s="128"/>
      <c r="P55" s="126"/>
      <c r="Q55" s="129"/>
      <c r="R55" s="130"/>
      <c r="S55" s="131"/>
      <c r="T55" s="126"/>
      <c r="U55" s="127"/>
      <c r="V55" s="128"/>
      <c r="W55" s="131"/>
      <c r="X55" s="131"/>
      <c r="Y55" s="126"/>
      <c r="Z55" s="129"/>
      <c r="AA55" s="9"/>
    </row>
    <row r="56" spans="1:27" ht="12.75">
      <c r="A56" s="115"/>
      <c r="B56" s="132"/>
      <c r="C56" s="117"/>
      <c r="D56" s="117"/>
      <c r="E56" s="118"/>
      <c r="F56" s="119"/>
      <c r="G56" s="120"/>
      <c r="H56" s="121"/>
      <c r="I56" s="122"/>
      <c r="J56" s="123"/>
      <c r="K56" s="124"/>
      <c r="L56" s="125"/>
      <c r="M56" s="126"/>
      <c r="N56" s="127"/>
      <c r="O56" s="128"/>
      <c r="P56" s="126"/>
      <c r="Q56" s="129"/>
      <c r="R56" s="130"/>
      <c r="S56" s="131"/>
      <c r="T56" s="126"/>
      <c r="U56" s="127"/>
      <c r="V56" s="128"/>
      <c r="W56" s="131"/>
      <c r="X56" s="131"/>
      <c r="Y56" s="126"/>
      <c r="Z56" s="129"/>
      <c r="AA56" s="9"/>
    </row>
    <row r="57" spans="1:27" ht="12.75">
      <c r="A57" s="115"/>
      <c r="B57" s="132"/>
      <c r="C57" s="117"/>
      <c r="D57" s="117"/>
      <c r="E57" s="118"/>
      <c r="F57" s="119"/>
      <c r="G57" s="120"/>
      <c r="H57" s="121"/>
      <c r="I57" s="122"/>
      <c r="J57" s="123"/>
      <c r="K57" s="124"/>
      <c r="L57" s="125"/>
      <c r="M57" s="126"/>
      <c r="N57" s="127"/>
      <c r="O57" s="128"/>
      <c r="P57" s="126"/>
      <c r="Q57" s="129"/>
      <c r="R57" s="130"/>
      <c r="S57" s="131"/>
      <c r="T57" s="126"/>
      <c r="U57" s="127"/>
      <c r="V57" s="128"/>
      <c r="W57" s="131"/>
      <c r="X57" s="131"/>
      <c r="Y57" s="126"/>
      <c r="Z57" s="129"/>
      <c r="AA57" s="9"/>
    </row>
    <row r="58" spans="1:27" ht="12.75">
      <c r="A58" s="115"/>
      <c r="B58" s="132"/>
      <c r="C58" s="117"/>
      <c r="D58" s="117"/>
      <c r="E58" s="118"/>
      <c r="F58" s="119"/>
      <c r="G58" s="120"/>
      <c r="H58" s="121"/>
      <c r="I58" s="122"/>
      <c r="J58" s="123"/>
      <c r="K58" s="124"/>
      <c r="L58" s="125"/>
      <c r="M58" s="126"/>
      <c r="N58" s="127"/>
      <c r="O58" s="128"/>
      <c r="P58" s="126"/>
      <c r="Q58" s="129"/>
      <c r="R58" s="130"/>
      <c r="S58" s="131"/>
      <c r="T58" s="126"/>
      <c r="U58" s="127"/>
      <c r="V58" s="128"/>
      <c r="W58" s="131"/>
      <c r="X58" s="131"/>
      <c r="Y58" s="126"/>
      <c r="Z58" s="129"/>
      <c r="AA58" s="9"/>
    </row>
    <row r="59" spans="1:27" ht="12.75">
      <c r="A59" s="115"/>
      <c r="B59" s="132"/>
      <c r="C59" s="117"/>
      <c r="D59" s="117"/>
      <c r="E59" s="118"/>
      <c r="F59" s="119"/>
      <c r="G59" s="120"/>
      <c r="H59" s="121"/>
      <c r="I59" s="122"/>
      <c r="J59" s="123"/>
      <c r="K59" s="124"/>
      <c r="L59" s="125"/>
      <c r="M59" s="126"/>
      <c r="N59" s="127"/>
      <c r="O59" s="128"/>
      <c r="P59" s="126"/>
      <c r="Q59" s="129"/>
      <c r="R59" s="130"/>
      <c r="S59" s="131"/>
      <c r="T59" s="126"/>
      <c r="U59" s="127"/>
      <c r="V59" s="128"/>
      <c r="W59" s="131"/>
      <c r="X59" s="131"/>
      <c r="Y59" s="126"/>
      <c r="Z59" s="129"/>
      <c r="AA59" s="9"/>
    </row>
    <row r="60" spans="1:27" ht="12.75">
      <c r="A60" s="115"/>
      <c r="B60" s="132"/>
      <c r="C60" s="117"/>
      <c r="D60" s="117"/>
      <c r="E60" s="118"/>
      <c r="F60" s="119"/>
      <c r="G60" s="120"/>
      <c r="H60" s="121"/>
      <c r="I60" s="122"/>
      <c r="J60" s="123"/>
      <c r="K60" s="124"/>
      <c r="L60" s="125"/>
      <c r="M60" s="126"/>
      <c r="N60" s="127"/>
      <c r="O60" s="128"/>
      <c r="P60" s="126"/>
      <c r="Q60" s="129"/>
      <c r="R60" s="130"/>
      <c r="S60" s="131"/>
      <c r="T60" s="126"/>
      <c r="U60" s="127"/>
      <c r="V60" s="128"/>
      <c r="W60" s="131"/>
      <c r="X60" s="131"/>
      <c r="Y60" s="126"/>
      <c r="Z60" s="129"/>
      <c r="AA60" s="9"/>
    </row>
    <row r="61" spans="1:27" ht="12.75">
      <c r="A61" s="115"/>
      <c r="B61" s="132"/>
      <c r="C61" s="117"/>
      <c r="D61" s="117"/>
      <c r="E61" s="118"/>
      <c r="F61" s="119"/>
      <c r="G61" s="120"/>
      <c r="H61" s="121"/>
      <c r="I61" s="122"/>
      <c r="J61" s="123"/>
      <c r="K61" s="124"/>
      <c r="L61" s="125"/>
      <c r="M61" s="126"/>
      <c r="N61" s="127"/>
      <c r="O61" s="128"/>
      <c r="P61" s="126"/>
      <c r="Q61" s="129"/>
      <c r="R61" s="130"/>
      <c r="S61" s="131"/>
      <c r="T61" s="126"/>
      <c r="U61" s="127"/>
      <c r="V61" s="128"/>
      <c r="W61" s="131"/>
      <c r="X61" s="131"/>
      <c r="Y61" s="126"/>
      <c r="Z61" s="129"/>
      <c r="AA61" s="9"/>
    </row>
  </sheetData>
  <sheetProtection/>
  <mergeCells count="15">
    <mergeCell ref="N9:X9"/>
    <mergeCell ref="AA10:AA11"/>
    <mergeCell ref="L10:N10"/>
    <mergeCell ref="O10:Q10"/>
    <mergeCell ref="R10:U10"/>
    <mergeCell ref="V10:Z10"/>
    <mergeCell ref="L3:L7"/>
    <mergeCell ref="K10:K11"/>
    <mergeCell ref="A3:B3"/>
    <mergeCell ref="J10:J11"/>
    <mergeCell ref="F9:H9"/>
    <mergeCell ref="A9:E9"/>
    <mergeCell ref="J9:K9"/>
    <mergeCell ref="C3:F5"/>
    <mergeCell ref="G3:J3"/>
  </mergeCells>
  <conditionalFormatting sqref="K13:K61">
    <cfRule type="cellIs" priority="2" dxfId="6" operator="greaterThanOrEqual" stopIfTrue="1">
      <formula>0.9</formula>
    </cfRule>
  </conditionalFormatting>
  <conditionalFormatting sqref="J12:J61">
    <cfRule type="cellIs" priority="3" dxfId="6" operator="greaterThan" stopIfTrue="1">
      <formula>0.9</formula>
    </cfRule>
  </conditionalFormatting>
  <conditionalFormatting sqref="I12:I61">
    <cfRule type="cellIs" priority="6" dxfId="7" operator="between" stopIfTrue="1">
      <formula>0</formula>
      <formula>$AG$5</formula>
    </cfRule>
    <cfRule type="cellIs" priority="7" dxfId="6" operator="between" stopIfTrue="1">
      <formula>4-$AG$6</formula>
      <formula>4</formula>
    </cfRule>
  </conditionalFormatting>
  <conditionalFormatting sqref="N12:N61 U12:U61 Z12:Z61 Q12:Q61">
    <cfRule type="cellIs" priority="8" dxfId="6" operator="equal" stopIfTrue="1">
      <formula>MAX($N12,$Q12,$U12,$Z12)</formula>
    </cfRule>
  </conditionalFormatting>
  <dataValidations count="1">
    <dataValidation type="list" showInputMessage="1" showErrorMessage="1" sqref="AA12:AA44">
      <formula1>$AE$3:$AE$7</formula1>
    </dataValidation>
  </dataValidations>
  <printOptions horizontalCentered="1"/>
  <pageMargins left="0.748031496062992" right="0.748031496062992" top="0.984251968503937" bottom="0.984251968503937" header="0.511811023622047" footer="0.511811023622047"/>
  <pageSetup fitToHeight="1" fitToWidth="1" horizontalDpi="600" verticalDpi="600" orientation="landscape" paperSize="9" scale="46" r:id="rId2"/>
  <headerFooter alignWithMargins="0">
    <oddHeader>&amp;C&amp;A</oddHeader>
  </headerFooter>
  <drawing r:id="rId1"/>
</worksheet>
</file>

<file path=xl/worksheets/sheet5.xml><?xml version="1.0" encoding="utf-8"?>
<worksheet xmlns="http://schemas.openxmlformats.org/spreadsheetml/2006/main" xmlns:r="http://schemas.openxmlformats.org/officeDocument/2006/relationships">
  <sheetPr codeName="Sheet1">
    <tabColor rgb="FFFF0000"/>
  </sheetPr>
  <dimension ref="B1:BA253"/>
  <sheetViews>
    <sheetView showGridLines="0" zoomScalePageLayoutView="0" workbookViewId="0" topLeftCell="A1">
      <pane xSplit="3" ySplit="3" topLeftCell="D118" activePane="bottomRight" state="frozen"/>
      <selection pane="topLeft" activeCell="D237" sqref="D237"/>
      <selection pane="topRight" activeCell="D237" sqref="D237"/>
      <selection pane="bottomLeft" activeCell="D237" sqref="D237"/>
      <selection pane="bottomRight" activeCell="L135" sqref="L135"/>
    </sheetView>
  </sheetViews>
  <sheetFormatPr defaultColWidth="9.33203125" defaultRowHeight="12.75"/>
  <cols>
    <col min="1" max="1" width="2.83203125" style="2" customWidth="1"/>
    <col min="2" max="2" width="15" style="2" customWidth="1"/>
    <col min="3" max="53" width="14.83203125" style="2" customWidth="1"/>
    <col min="54" max="16384" width="9.33203125" style="2" customWidth="1"/>
  </cols>
  <sheetData>
    <row r="1" spans="2:17" ht="22.5" customHeight="1" thickBot="1">
      <c r="B1" s="733" t="s">
        <v>15</v>
      </c>
      <c r="C1" s="733"/>
      <c r="D1" s="734"/>
      <c r="E1" s="10"/>
      <c r="F1" s="10"/>
      <c r="G1" s="10"/>
      <c r="H1" s="10"/>
      <c r="I1" s="10"/>
      <c r="J1" s="10"/>
      <c r="K1" s="10"/>
      <c r="L1" s="10"/>
      <c r="M1" s="10"/>
      <c r="N1" s="10"/>
      <c r="O1" s="10"/>
      <c r="P1" s="11"/>
      <c r="Q1" s="10"/>
    </row>
    <row r="2" spans="2:53" ht="16.5" customHeight="1" thickBot="1">
      <c r="B2" s="26" t="s">
        <v>39</v>
      </c>
      <c r="C2" s="25">
        <v>-4288518.6304474</v>
      </c>
      <c r="D2" s="25">
        <v>19196.2696339</v>
      </c>
      <c r="E2" s="25">
        <v>39094.9184247</v>
      </c>
      <c r="F2" s="25">
        <v>675923.6702457</v>
      </c>
      <c r="G2" s="25">
        <v>-1112714.2301092</v>
      </c>
      <c r="H2" s="25">
        <v>625.7520268</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row>
    <row r="3" spans="2:53" ht="25.5" customHeight="1" thickBot="1">
      <c r="B3" s="27" t="str">
        <f>"Actual "&amp;Input!A4</f>
        <v>Actual WS</v>
      </c>
      <c r="C3" s="23" t="str">
        <f>"Predicted "&amp;Input!A4</f>
        <v>Predicted WS</v>
      </c>
      <c r="D3" s="24" t="s">
        <v>50</v>
      </c>
      <c r="E3" s="24" t="s">
        <v>51</v>
      </c>
      <c r="F3" s="24" t="s">
        <v>188</v>
      </c>
      <c r="G3" s="24" t="s">
        <v>228</v>
      </c>
      <c r="H3" s="24" t="s">
        <v>244</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row>
    <row r="4" spans="2:53" ht="12.75">
      <c r="B4" s="448">
        <v>45827932</v>
      </c>
      <c r="C4" s="610">
        <f>SUMPRODUCT(D2:H2,D4:H4)+C2</f>
        <v>42817040.28927486</v>
      </c>
      <c r="D4" s="684">
        <v>624.4000000000001</v>
      </c>
      <c r="E4" s="684">
        <v>0</v>
      </c>
      <c r="F4" s="29">
        <v>31</v>
      </c>
      <c r="G4" s="29">
        <v>0</v>
      </c>
      <c r="H4" s="29">
        <v>22638</v>
      </c>
      <c r="I4" s="29"/>
      <c r="J4" s="29"/>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row>
    <row r="5" spans="2:53" ht="12.75">
      <c r="B5" s="135">
        <v>41082656</v>
      </c>
      <c r="C5" s="136">
        <f>SUMPRODUCT(D2:H2,D5:H5)+C2</f>
        <v>40928065.80104564</v>
      </c>
      <c r="D5" s="684">
        <v>631.4999999999999</v>
      </c>
      <c r="E5" s="684">
        <v>0</v>
      </c>
      <c r="F5" s="29">
        <v>28</v>
      </c>
      <c r="G5" s="29">
        <v>0</v>
      </c>
      <c r="H5" s="29">
        <v>22642</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row>
    <row r="6" spans="2:53" ht="12.75">
      <c r="B6" s="135">
        <v>42975876</v>
      </c>
      <c r="C6" s="136">
        <f>SUMPRODUCT(D2:H2,D6:H6)+C2</f>
        <v>41484734.43491621</v>
      </c>
      <c r="D6" s="684">
        <v>554.8</v>
      </c>
      <c r="E6" s="684">
        <v>0</v>
      </c>
      <c r="F6" s="29">
        <v>31</v>
      </c>
      <c r="G6" s="29">
        <v>0</v>
      </c>
      <c r="H6" s="29">
        <v>22644</v>
      </c>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row>
    <row r="7" spans="2:53" ht="12.75">
      <c r="B7" s="135">
        <v>36308876</v>
      </c>
      <c r="C7" s="136">
        <f>SUMPRODUCT(D2:H2,D7:H7)+C2</f>
        <v>35933542.94455094</v>
      </c>
      <c r="D7" s="684">
        <v>358.6</v>
      </c>
      <c r="E7" s="684">
        <v>0</v>
      </c>
      <c r="F7" s="29">
        <v>30</v>
      </c>
      <c r="G7" s="29">
        <v>1</v>
      </c>
      <c r="H7" s="29">
        <v>22650</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row>
    <row r="8" spans="2:53" ht="12.75">
      <c r="B8" s="135">
        <v>34245332</v>
      </c>
      <c r="C8" s="136">
        <f>SUMPRODUCT(D2:H2,D8:H8)+C2</f>
        <v>32799431.70401876</v>
      </c>
      <c r="D8" s="684">
        <v>109.10000000000001</v>
      </c>
      <c r="E8" s="684">
        <v>23.1</v>
      </c>
      <c r="F8" s="29">
        <v>31</v>
      </c>
      <c r="G8" s="29">
        <v>1</v>
      </c>
      <c r="H8" s="29">
        <v>22772</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row>
    <row r="9" spans="2:53" ht="12.75">
      <c r="B9" s="135">
        <v>33534202</v>
      </c>
      <c r="C9" s="136">
        <f>SUMPRODUCT(D2:H2,D9:H9)+C2</f>
        <v>32037699.018910427</v>
      </c>
      <c r="D9" s="684">
        <v>32.99999999999999</v>
      </c>
      <c r="E9" s="684">
        <v>59.6</v>
      </c>
      <c r="F9" s="29">
        <v>30</v>
      </c>
      <c r="G9" s="29">
        <v>1</v>
      </c>
      <c r="H9" s="29">
        <v>22689</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row>
    <row r="10" spans="2:53" ht="13.5" customHeight="1">
      <c r="B10" s="135">
        <v>34321064</v>
      </c>
      <c r="C10" s="136">
        <f>SUMPRODUCT(D2:H2,D10:H10)+C2</f>
        <v>35611049.93148913</v>
      </c>
      <c r="D10" s="684">
        <v>1.2999999999999998</v>
      </c>
      <c r="E10" s="684">
        <v>120.80000000000003</v>
      </c>
      <c r="F10" s="29">
        <v>31</v>
      </c>
      <c r="G10" s="29">
        <v>0</v>
      </c>
      <c r="H10" s="29">
        <v>22690</v>
      </c>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row>
    <row r="11" spans="2:53" ht="12.75">
      <c r="B11" s="135">
        <v>34126512</v>
      </c>
      <c r="C11" s="136">
        <f>SUMPRODUCT(D2:H2,D11:H11)+C2</f>
        <v>34623130.34623572</v>
      </c>
      <c r="D11" s="684">
        <v>4.4</v>
      </c>
      <c r="E11" s="684">
        <v>93.79999999999998</v>
      </c>
      <c r="F11" s="29">
        <v>31</v>
      </c>
      <c r="G11" s="29">
        <v>0</v>
      </c>
      <c r="H11" s="29">
        <v>22703</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row>
    <row r="12" spans="2:53" ht="12.75">
      <c r="B12" s="135">
        <v>32127846</v>
      </c>
      <c r="C12" s="136">
        <f>SUMPRODUCT(D2:H2,D12:H12)+C2</f>
        <v>31782292.122924168</v>
      </c>
      <c r="D12" s="684">
        <v>82.99999999999999</v>
      </c>
      <c r="E12" s="684">
        <v>28.099999999999998</v>
      </c>
      <c r="F12" s="29">
        <v>30</v>
      </c>
      <c r="G12" s="29">
        <v>1</v>
      </c>
      <c r="H12" s="29">
        <v>22715</v>
      </c>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row>
    <row r="13" spans="2:53" ht="12.75">
      <c r="B13" s="135">
        <v>35018160</v>
      </c>
      <c r="C13" s="136">
        <f>SUMPRODUCT(D2:H2,D13:H13)+C2</f>
        <v>33795681.92834253</v>
      </c>
      <c r="D13" s="684">
        <v>208.5</v>
      </c>
      <c r="E13" s="684">
        <v>0.4</v>
      </c>
      <c r="F13" s="29">
        <v>31</v>
      </c>
      <c r="G13" s="29">
        <v>1</v>
      </c>
      <c r="H13" s="29">
        <v>22733</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row>
    <row r="14" spans="2:53" ht="12.75">
      <c r="B14" s="135">
        <v>39153192</v>
      </c>
      <c r="C14" s="136">
        <f>SUMPRODUCT(D2:H2,D14:H14)+C2</f>
        <v>38285108.72315058</v>
      </c>
      <c r="D14" s="684">
        <v>478.20000000000005</v>
      </c>
      <c r="E14" s="684">
        <v>0</v>
      </c>
      <c r="F14" s="29">
        <v>30</v>
      </c>
      <c r="G14" s="29">
        <v>1</v>
      </c>
      <c r="H14" s="29">
        <v>22739</v>
      </c>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row>
    <row r="15" spans="2:53" ht="12.75">
      <c r="B15" s="135">
        <v>46270576</v>
      </c>
      <c r="C15" s="136">
        <f>SUMPRODUCT(D2:H2,D15:H15)+C2</f>
        <v>44107339.142082706</v>
      </c>
      <c r="D15" s="684">
        <v>687.9</v>
      </c>
      <c r="E15" s="684">
        <v>0</v>
      </c>
      <c r="F15" s="29">
        <v>31</v>
      </c>
      <c r="G15" s="29">
        <v>0</v>
      </c>
      <c r="H15" s="29">
        <v>22752</v>
      </c>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row>
    <row r="16" spans="2:53" ht="12" customHeight="1">
      <c r="B16" s="135">
        <v>48560156</v>
      </c>
      <c r="C16" s="136">
        <f>SUMPRODUCT(D2:H2,D16:H16)+C2</f>
        <v>46762056.11980211</v>
      </c>
      <c r="D16" s="29">
        <v>825.9000000000001</v>
      </c>
      <c r="E16" s="29">
        <v>0</v>
      </c>
      <c r="F16" s="29">
        <v>31</v>
      </c>
      <c r="G16" s="29">
        <v>0</v>
      </c>
      <c r="H16" s="29">
        <v>22761</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row>
    <row r="17" spans="2:53" ht="12.75">
      <c r="B17" s="135">
        <v>43502028</v>
      </c>
      <c r="C17" s="136">
        <f>SUMPRODUCT(D2:H2,D17:H17)+C2</f>
        <v>43705580.03582039</v>
      </c>
      <c r="D17" s="29">
        <v>737.0999999999999</v>
      </c>
      <c r="E17" s="29">
        <v>0</v>
      </c>
      <c r="F17" s="29">
        <v>29</v>
      </c>
      <c r="G17" s="29">
        <v>0</v>
      </c>
      <c r="H17" s="29">
        <v>22761</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row>
    <row r="18" spans="2:53" ht="12.75">
      <c r="B18" s="135">
        <v>44749296</v>
      </c>
      <c r="C18" s="136">
        <f>SUMPRODUCT(D2:H2,D18:H18)+C2</f>
        <v>44173561.36671064</v>
      </c>
      <c r="D18" s="29">
        <v>690.6</v>
      </c>
      <c r="E18" s="29">
        <v>0</v>
      </c>
      <c r="F18" s="29">
        <v>31</v>
      </c>
      <c r="G18" s="29">
        <v>0</v>
      </c>
      <c r="H18" s="29">
        <v>22775</v>
      </c>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row>
    <row r="19" spans="2:53" ht="12.75">
      <c r="B19" s="135">
        <v>36703500</v>
      </c>
      <c r="C19" s="136">
        <f>SUMPRODUCT(D2:H2,D19:H19)+C2</f>
        <v>35979754.041550115</v>
      </c>
      <c r="D19" s="29">
        <v>356.90000000000003</v>
      </c>
      <c r="E19" s="29">
        <v>0</v>
      </c>
      <c r="F19" s="29">
        <v>30</v>
      </c>
      <c r="G19" s="29">
        <v>1</v>
      </c>
      <c r="H19" s="29">
        <v>22776</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2:53" ht="12.75">
      <c r="B20" s="135">
        <v>33120208</v>
      </c>
      <c r="C20" s="136">
        <f>SUMPRODUCT(D2:H2,D20:H20)+C2</f>
        <v>32808714.587483022</v>
      </c>
      <c r="D20" s="29">
        <v>132.10000000000005</v>
      </c>
      <c r="E20" s="29">
        <v>11.9</v>
      </c>
      <c r="F20" s="29">
        <v>31</v>
      </c>
      <c r="G20" s="29">
        <v>1</v>
      </c>
      <c r="H20" s="29">
        <v>22781</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row>
    <row r="21" spans="2:53" ht="12.75">
      <c r="B21" s="135">
        <v>31986696</v>
      </c>
      <c r="C21" s="136">
        <f>SUMPRODUCT(D2:H2,D21:H21)+C2</f>
        <v>32062262.507798065</v>
      </c>
      <c r="D21" s="29">
        <v>14.1</v>
      </c>
      <c r="E21" s="29">
        <v>68.1</v>
      </c>
      <c r="F21" s="29">
        <v>30</v>
      </c>
      <c r="G21" s="29">
        <v>1</v>
      </c>
      <c r="H21" s="29">
        <v>22777</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row>
    <row r="22" spans="2:53" ht="12.75">
      <c r="B22" s="135">
        <v>33114324</v>
      </c>
      <c r="C22" s="136">
        <f>SUMPRODUCT(D2:H2,D22:H22)+C2</f>
        <v>33783534.140845</v>
      </c>
      <c r="D22" s="29">
        <v>4</v>
      </c>
      <c r="E22" s="29">
        <v>71</v>
      </c>
      <c r="F22" s="29">
        <v>31</v>
      </c>
      <c r="G22" s="29">
        <v>0</v>
      </c>
      <c r="H22" s="29">
        <v>22798</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row>
    <row r="23" spans="2:53" ht="12.75">
      <c r="B23" s="135">
        <v>32996892</v>
      </c>
      <c r="C23" s="136">
        <f>SUMPRODUCT(D2:H2,D23:H23)+C2</f>
        <v>34305410.37839608</v>
      </c>
      <c r="D23" s="29">
        <v>8.799999999999999</v>
      </c>
      <c r="E23" s="29">
        <v>81.79999999999998</v>
      </c>
      <c r="F23" s="29">
        <v>31</v>
      </c>
      <c r="G23" s="29">
        <v>0</v>
      </c>
      <c r="H23" s="29">
        <v>22810</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row>
    <row r="24" spans="2:53" ht="12.75">
      <c r="B24" s="135">
        <v>31808440</v>
      </c>
      <c r="C24" s="136">
        <f>SUMPRODUCT(D2:H2,D24:H24)+C2</f>
        <v>31668998.280376304</v>
      </c>
      <c r="D24" s="29">
        <v>69.70000000000002</v>
      </c>
      <c r="E24" s="29">
        <v>30.099999999999998</v>
      </c>
      <c r="F24" s="29">
        <v>30</v>
      </c>
      <c r="G24" s="29">
        <v>1</v>
      </c>
      <c r="H24" s="29">
        <v>22817</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row>
    <row r="25" spans="2:53" ht="12.75">
      <c r="B25" s="135">
        <v>34772520</v>
      </c>
      <c r="C25" s="136">
        <f>SUMPRODUCT(D2:H2,D25:H25)+C2</f>
        <v>34196117.86579358</v>
      </c>
      <c r="D25" s="29">
        <v>224.30000000000004</v>
      </c>
      <c r="E25" s="29">
        <v>1.3</v>
      </c>
      <c r="F25" s="29">
        <v>31</v>
      </c>
      <c r="G25" s="29">
        <v>1</v>
      </c>
      <c r="H25" s="29">
        <v>22832</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row>
    <row r="26" spans="2:53" ht="12.75">
      <c r="B26" s="135">
        <v>39442096</v>
      </c>
      <c r="C26" s="136">
        <f>SUMPRODUCT(D2:H2,D26:H26)+C2</f>
        <v>38426929.64159039</v>
      </c>
      <c r="D26" s="29">
        <v>482.1</v>
      </c>
      <c r="E26" s="29">
        <v>0</v>
      </c>
      <c r="F26" s="29">
        <v>30</v>
      </c>
      <c r="G26" s="29">
        <v>1</v>
      </c>
      <c r="H26" s="29">
        <v>22846</v>
      </c>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row>
    <row r="27" spans="2:53" ht="12.75">
      <c r="B27" s="135">
        <v>42249292</v>
      </c>
      <c r="C27" s="136">
        <f>SUMPRODUCT(D2:H2,D27:H27)+C2</f>
        <v>41664133.034628965</v>
      </c>
      <c r="D27" s="29">
        <v>557.3</v>
      </c>
      <c r="E27" s="29">
        <v>0</v>
      </c>
      <c r="F27" s="29">
        <v>31</v>
      </c>
      <c r="G27" s="29">
        <v>0</v>
      </c>
      <c r="H27" s="29">
        <v>22854</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row>
    <row r="28" spans="2:53" ht="12.75">
      <c r="B28" s="135">
        <v>48032768</v>
      </c>
      <c r="C28" s="136">
        <f>SUMPRODUCT(D2:H2,D28:H28)+C2</f>
        <v>46178427.52961246</v>
      </c>
      <c r="D28" s="684">
        <v>792.3999999999997</v>
      </c>
      <c r="E28" s="684">
        <v>0</v>
      </c>
      <c r="F28" s="29">
        <v>31</v>
      </c>
      <c r="G28" s="29">
        <v>0</v>
      </c>
      <c r="H28" s="29">
        <v>22856</v>
      </c>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row>
    <row r="29" spans="2:53" ht="12.75">
      <c r="B29" s="135">
        <v>47536664</v>
      </c>
      <c r="C29" s="136">
        <f>SUMPRODUCT(D2:H2,D29:H29)+C2</f>
        <v>45395656.811673716</v>
      </c>
      <c r="D29" s="684">
        <v>856.8</v>
      </c>
      <c r="E29" s="684">
        <v>0</v>
      </c>
      <c r="F29" s="29">
        <v>28</v>
      </c>
      <c r="G29" s="29">
        <v>0</v>
      </c>
      <c r="H29" s="29">
        <v>22870</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row>
    <row r="30" spans="2:53" ht="12.75">
      <c r="B30" s="135">
        <v>43095044</v>
      </c>
      <c r="C30" s="136">
        <f>SUMPRODUCT(D2:H2,D30:H30)+C2</f>
        <v>42790116.45569715</v>
      </c>
      <c r="D30" s="684">
        <v>615.4999999999999</v>
      </c>
      <c r="E30" s="684">
        <v>0</v>
      </c>
      <c r="F30" s="29">
        <v>31</v>
      </c>
      <c r="G30" s="29">
        <v>0</v>
      </c>
      <c r="H30" s="29">
        <v>22868</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row>
    <row r="31" spans="2:53" ht="12.75">
      <c r="B31" s="135">
        <v>34966160</v>
      </c>
      <c r="C31" s="136">
        <f>SUMPRODUCT(D2:H2,D31:H31)+C2</f>
        <v>35204289.86767043</v>
      </c>
      <c r="D31" s="684">
        <v>313.7</v>
      </c>
      <c r="E31" s="684">
        <v>0</v>
      </c>
      <c r="F31" s="29">
        <v>30</v>
      </c>
      <c r="G31" s="29">
        <v>1</v>
      </c>
      <c r="H31" s="29">
        <v>22862</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row>
    <row r="32" spans="2:53" ht="12.75">
      <c r="B32" s="135">
        <v>32451518</v>
      </c>
      <c r="C32" s="136">
        <f>SUMPRODUCT(D2:H2,D32:H32)+C2</f>
        <v>32912590.622646037</v>
      </c>
      <c r="D32" s="684">
        <v>89.3</v>
      </c>
      <c r="E32" s="684">
        <v>34.1</v>
      </c>
      <c r="F32" s="29">
        <v>31</v>
      </c>
      <c r="G32" s="29">
        <v>1</v>
      </c>
      <c r="H32" s="29">
        <v>22873</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row>
    <row r="33" spans="2:53" ht="12.75">
      <c r="B33" s="135">
        <v>31428888</v>
      </c>
      <c r="C33" s="136">
        <f>SUMPRODUCT(D2:H2,D33:H33)+C2</f>
        <v>31098400.126447234</v>
      </c>
      <c r="D33" s="684">
        <v>33.800000000000004</v>
      </c>
      <c r="E33" s="684">
        <v>32.3</v>
      </c>
      <c r="F33" s="29">
        <v>30</v>
      </c>
      <c r="G33" s="29">
        <v>1</v>
      </c>
      <c r="H33" s="29">
        <v>22869</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row>
    <row r="34" spans="2:53" ht="12.75">
      <c r="B34" s="135">
        <v>34059072</v>
      </c>
      <c r="C34" s="136">
        <f>SUMPRODUCT(D2:H2,D34:H34)+C2</f>
        <v>35539545.063341305</v>
      </c>
      <c r="D34" s="684">
        <v>4</v>
      </c>
      <c r="E34" s="684">
        <v>114.29999999999998</v>
      </c>
      <c r="F34" s="29">
        <v>31</v>
      </c>
      <c r="G34" s="29">
        <v>0</v>
      </c>
      <c r="H34" s="29">
        <v>22899</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row>
    <row r="35" spans="2:53" ht="12.75">
      <c r="B35" s="135">
        <v>34233108</v>
      </c>
      <c r="C35" s="136">
        <f>SUMPRODUCT(D2:H2,D35:H35)+C2</f>
        <v>34558753.72037688</v>
      </c>
      <c r="D35" s="684">
        <v>4.4</v>
      </c>
      <c r="E35" s="684">
        <v>88.6</v>
      </c>
      <c r="F35" s="29">
        <v>31</v>
      </c>
      <c r="G35" s="29">
        <v>0</v>
      </c>
      <c r="H35" s="29">
        <v>22925</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row>
    <row r="36" spans="2:53" ht="12.75">
      <c r="B36" s="135">
        <v>33226978</v>
      </c>
      <c r="C36" s="136">
        <f>SUMPRODUCT(D2:H2,D36:H36)+C2</f>
        <v>33023849.025935624</v>
      </c>
      <c r="D36" s="684">
        <v>31.099999999999994</v>
      </c>
      <c r="E36" s="684">
        <v>81.9</v>
      </c>
      <c r="F36" s="29">
        <v>30</v>
      </c>
      <c r="G36" s="29">
        <v>1</v>
      </c>
      <c r="H36" s="29">
        <v>22930</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row>
    <row r="37" spans="2:53" ht="12.75">
      <c r="B37" s="135">
        <v>38729356</v>
      </c>
      <c r="C37" s="136">
        <f>SUMPRODUCT(D2:H2,D37:H37)+C2</f>
        <v>34724281.88733832</v>
      </c>
      <c r="D37" s="684">
        <v>249.8</v>
      </c>
      <c r="E37" s="684">
        <v>0</v>
      </c>
      <c r="F37" s="29">
        <v>31</v>
      </c>
      <c r="G37" s="29">
        <v>1</v>
      </c>
      <c r="H37" s="29">
        <v>22975</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row>
    <row r="38" spans="2:53" ht="12.75">
      <c r="B38" s="135">
        <v>35403760</v>
      </c>
      <c r="C38" s="136">
        <f>SUMPRODUCT(D2:H2,D38:H38)+C2</f>
        <v>35878971.8463739</v>
      </c>
      <c r="D38" s="684">
        <v>345</v>
      </c>
      <c r="E38" s="684">
        <v>0</v>
      </c>
      <c r="F38" s="29">
        <v>30</v>
      </c>
      <c r="G38" s="29">
        <v>1</v>
      </c>
      <c r="H38" s="29">
        <v>22980</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row>
    <row r="39" spans="2:53" ht="12.75">
      <c r="B39" s="135">
        <v>42249292</v>
      </c>
      <c r="C39" s="136">
        <f>SUMPRODUCT(D2:H2,D39:H39)+C2</f>
        <v>39214689.02934333</v>
      </c>
      <c r="D39" s="684">
        <v>429.70000000000005</v>
      </c>
      <c r="E39" s="684">
        <v>0</v>
      </c>
      <c r="F39" s="29">
        <v>31</v>
      </c>
      <c r="G39" s="29">
        <v>0</v>
      </c>
      <c r="H39" s="29">
        <v>22854</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row>
    <row r="40" spans="2:53" ht="12.75">
      <c r="B40" s="135">
        <v>44182308</v>
      </c>
      <c r="C40" s="136">
        <f>SUMPRODUCT(D2:H2,D40:H40)+C2</f>
        <v>43901560.84506386</v>
      </c>
      <c r="D40" s="29">
        <v>670.4</v>
      </c>
      <c r="E40" s="29">
        <v>0</v>
      </c>
      <c r="F40" s="29">
        <v>31</v>
      </c>
      <c r="G40" s="29">
        <v>0</v>
      </c>
      <c r="H40" s="29">
        <v>22960</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row>
    <row r="41" spans="2:53" ht="12.75">
      <c r="B41" s="135">
        <v>40734588</v>
      </c>
      <c r="C41" s="136">
        <f>SUMPRODUCT(D2:H2,D41:H41)+C2</f>
        <v>40317216.78109735</v>
      </c>
      <c r="D41" s="29">
        <v>588.4</v>
      </c>
      <c r="E41" s="29">
        <v>0</v>
      </c>
      <c r="F41" s="29">
        <v>28</v>
      </c>
      <c r="G41" s="29">
        <v>0</v>
      </c>
      <c r="H41" s="29">
        <v>22988</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row>
    <row r="42" spans="2:53" ht="12.75">
      <c r="B42" s="135">
        <v>39051916</v>
      </c>
      <c r="C42" s="136">
        <f>SUMPRODUCT(D2:H2,D42:H42)+C2</f>
        <v>40198632.99234948</v>
      </c>
      <c r="D42" s="29">
        <v>476.0999999999998</v>
      </c>
      <c r="E42" s="29">
        <v>0</v>
      </c>
      <c r="F42" s="29">
        <v>31</v>
      </c>
      <c r="G42" s="29">
        <v>0</v>
      </c>
      <c r="H42" s="29">
        <v>23003</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row>
    <row r="43" spans="2:53" ht="12.75">
      <c r="B43" s="135">
        <v>35582404</v>
      </c>
      <c r="C43" s="136">
        <f>SUMPRODUCT(D2:H2,D43:H43)+C2</f>
        <v>36851841.37886572</v>
      </c>
      <c r="D43" s="29">
        <v>394.8</v>
      </c>
      <c r="E43" s="29">
        <v>0</v>
      </c>
      <c r="F43" s="29">
        <v>30</v>
      </c>
      <c r="G43" s="29">
        <v>1</v>
      </c>
      <c r="H43" s="29">
        <v>23007</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row>
    <row r="44" spans="2:53" ht="12.75">
      <c r="B44" s="135">
        <v>32158070</v>
      </c>
      <c r="C44" s="136">
        <f>SUMPRODUCT(D2:H2,D44:H44)+C2</f>
        <v>34130277.47048388</v>
      </c>
      <c r="D44" s="29">
        <v>142.50000000000003</v>
      </c>
      <c r="E44" s="29">
        <v>36.9</v>
      </c>
      <c r="F44" s="29">
        <v>31</v>
      </c>
      <c r="G44" s="29">
        <v>1</v>
      </c>
      <c r="H44" s="29">
        <v>23012</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row>
    <row r="45" spans="2:53" ht="12.75">
      <c r="B45" s="135">
        <v>32230294</v>
      </c>
      <c r="C45" s="136">
        <f>SUMPRODUCT(D2:H2,D45:H45)+C2</f>
        <v>33023089.317252573</v>
      </c>
      <c r="D45" s="29">
        <v>24.200000000000003</v>
      </c>
      <c r="E45" s="29">
        <v>83.7</v>
      </c>
      <c r="F45" s="29">
        <v>30</v>
      </c>
      <c r="G45" s="29">
        <v>1</v>
      </c>
      <c r="H45" s="29">
        <v>23028</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row>
    <row r="46" spans="2:53" ht="12.75">
      <c r="B46" s="135">
        <v>36050964</v>
      </c>
      <c r="C46" s="136">
        <f>SUMPRODUCT(D2:H2,D46:H46)+C2</f>
        <v>38000210.17005113</v>
      </c>
      <c r="D46" s="29">
        <v>0</v>
      </c>
      <c r="E46" s="29">
        <v>176.89999999999998</v>
      </c>
      <c r="F46" s="29">
        <v>31</v>
      </c>
      <c r="G46" s="29">
        <v>0</v>
      </c>
      <c r="H46" s="29">
        <v>23043</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row>
    <row r="47" spans="2:53" ht="12.75">
      <c r="B47" s="135">
        <v>38144564</v>
      </c>
      <c r="C47" s="136">
        <f>SUMPRODUCT(D2:H2,D47:H47)+C2</f>
        <v>38744115.97779248</v>
      </c>
      <c r="D47" s="29">
        <v>0</v>
      </c>
      <c r="E47" s="29">
        <v>195.4</v>
      </c>
      <c r="F47" s="29">
        <v>31</v>
      </c>
      <c r="G47" s="29">
        <v>0</v>
      </c>
      <c r="H47" s="29">
        <v>23076</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row>
    <row r="48" spans="2:53" ht="12.75">
      <c r="B48" s="135">
        <v>32958786</v>
      </c>
      <c r="C48" s="136">
        <f>SUMPRODUCT(D2:H2,D48:H48)+C2</f>
        <v>32531082.003630992</v>
      </c>
      <c r="D48" s="29">
        <v>25.900000000000006</v>
      </c>
      <c r="E48" s="29">
        <v>69.4</v>
      </c>
      <c r="F48" s="29">
        <v>30</v>
      </c>
      <c r="G48" s="29">
        <v>1</v>
      </c>
      <c r="H48" s="29">
        <v>23083</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row>
    <row r="49" spans="2:53" ht="12.75">
      <c r="B49" s="135">
        <v>33427318</v>
      </c>
      <c r="C49" s="136">
        <f>SUMPRODUCT(D2:H2,D49:H49)+C2</f>
        <v>33891722.952423945</v>
      </c>
      <c r="D49" s="29">
        <v>194.20000000000002</v>
      </c>
      <c r="E49" s="29">
        <v>4.1</v>
      </c>
      <c r="F49" s="29">
        <v>31</v>
      </c>
      <c r="G49" s="29">
        <v>1</v>
      </c>
      <c r="H49" s="29">
        <v>23094</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row>
    <row r="50" spans="2:53" ht="12.75">
      <c r="B50" s="135">
        <v>34938644</v>
      </c>
      <c r="C50" s="136">
        <f>SUMPRODUCT(D2:H2,D50:H50)+C2</f>
        <v>35830866.99686902</v>
      </c>
      <c r="D50" s="29">
        <v>337.80000000000007</v>
      </c>
      <c r="E50" s="29">
        <v>0</v>
      </c>
      <c r="F50" s="29">
        <v>30</v>
      </c>
      <c r="G50" s="29">
        <v>1</v>
      </c>
      <c r="H50" s="29">
        <v>23124</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row>
    <row r="51" spans="2:53" ht="12.75">
      <c r="B51" s="135">
        <v>41527820</v>
      </c>
      <c r="C51" s="136">
        <f>SUMPRODUCT(D2:H2,D51:H51)+C2</f>
        <v>42833870.041482896</v>
      </c>
      <c r="D51" s="29">
        <v>607.9999999999999</v>
      </c>
      <c r="E51" s="29">
        <v>0</v>
      </c>
      <c r="F51" s="29">
        <v>31</v>
      </c>
      <c r="G51" s="29">
        <v>0</v>
      </c>
      <c r="H51" s="29">
        <v>23168</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row>
    <row r="52" spans="2:53" ht="12.75">
      <c r="B52" s="135">
        <v>41870352</v>
      </c>
      <c r="C52" s="136">
        <f>SUMPRODUCT(D2:H2,D52:H52)+C2</f>
        <v>42950015.50438781</v>
      </c>
      <c r="D52" s="684">
        <v>608.9</v>
      </c>
      <c r="E52" s="684">
        <v>0</v>
      </c>
      <c r="F52" s="29">
        <v>31</v>
      </c>
      <c r="G52" s="29">
        <v>0</v>
      </c>
      <c r="H52" s="29">
        <v>23326</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row>
    <row r="53" spans="2:53" ht="12.75">
      <c r="B53" s="135">
        <v>36769364</v>
      </c>
      <c r="C53" s="136">
        <f>SUMPRODUCT(D2:H2,D53:H53)+C2</f>
        <v>38951941.427307956</v>
      </c>
      <c r="D53" s="684">
        <v>510.4</v>
      </c>
      <c r="E53" s="684">
        <v>0</v>
      </c>
      <c r="F53" s="29">
        <v>28</v>
      </c>
      <c r="G53" s="29">
        <v>0</v>
      </c>
      <c r="H53" s="29">
        <v>23199</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row>
    <row r="54" spans="2:53" ht="12.75">
      <c r="B54" s="135">
        <v>40358688</v>
      </c>
      <c r="C54" s="136">
        <f>SUMPRODUCT(D2:H2,D54:H54)+C2</f>
        <v>42204975.4509487</v>
      </c>
      <c r="D54" s="684">
        <v>574</v>
      </c>
      <c r="E54" s="684">
        <v>0</v>
      </c>
      <c r="F54" s="29">
        <v>31</v>
      </c>
      <c r="G54" s="29">
        <v>0</v>
      </c>
      <c r="H54" s="29">
        <v>23206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row>
    <row r="55" spans="2:53" ht="12.75">
      <c r="B55" s="135">
        <v>32359460</v>
      </c>
      <c r="C55" s="136">
        <f>SUMPRODUCT(D2:H2,D55:H55)+C2</f>
        <v>34343221.21957165</v>
      </c>
      <c r="D55" s="684">
        <v>257.49999999999994</v>
      </c>
      <c r="E55" s="684">
        <v>0</v>
      </c>
      <c r="F55" s="29">
        <v>30</v>
      </c>
      <c r="G55" s="29">
        <v>1</v>
      </c>
      <c r="H55" s="29">
        <v>23210</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row>
    <row r="56" spans="2:53" ht="12.75">
      <c r="B56" s="135">
        <v>32466960</v>
      </c>
      <c r="C56" s="136">
        <f>SUMPRODUCT(D2:H2,D56:H56)+C2</f>
        <v>33480102.7045564</v>
      </c>
      <c r="D56" s="684">
        <v>177</v>
      </c>
      <c r="E56" s="684">
        <v>0</v>
      </c>
      <c r="F56" s="29">
        <v>31</v>
      </c>
      <c r="G56" s="29">
        <v>1</v>
      </c>
      <c r="H56" s="29">
        <v>23220</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row>
    <row r="57" spans="2:53" ht="12.75">
      <c r="B57" s="135">
        <v>31942168</v>
      </c>
      <c r="C57" s="136">
        <f>SUMPRODUCT(D2:H2,D57:H57)+C2</f>
        <v>30297741.311310235</v>
      </c>
      <c r="D57" s="684">
        <v>26.699999999999996</v>
      </c>
      <c r="E57" s="684">
        <v>9</v>
      </c>
      <c r="F57" s="29">
        <v>30</v>
      </c>
      <c r="G57" s="29">
        <v>1</v>
      </c>
      <c r="H57" s="29">
        <v>23263</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row>
    <row r="58" spans="2:53" ht="12.75">
      <c r="B58" s="135">
        <v>34485256</v>
      </c>
      <c r="C58" s="136">
        <f>SUMPRODUCT(D2:H2,D58:H58)+C2</f>
        <v>34004022.10814024</v>
      </c>
      <c r="D58" s="684">
        <v>0</v>
      </c>
      <c r="E58" s="684">
        <v>68.2</v>
      </c>
      <c r="F58" s="29">
        <v>31</v>
      </c>
      <c r="G58" s="29">
        <v>0</v>
      </c>
      <c r="H58" s="29">
        <v>23448</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row>
    <row r="59" spans="2:53" ht="12.75">
      <c r="B59" s="135">
        <v>33750092</v>
      </c>
      <c r="C59" s="136">
        <f>SUMPRODUCT(D2:H2,D59:H59)+C2</f>
        <v>36022997.847866885</v>
      </c>
      <c r="D59" s="684">
        <v>11.6</v>
      </c>
      <c r="E59" s="684">
        <v>116.49999999999999</v>
      </c>
      <c r="F59" s="29">
        <v>31</v>
      </c>
      <c r="G59" s="29">
        <v>0</v>
      </c>
      <c r="H59" s="29">
        <v>23301</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row>
    <row r="60" spans="2:53" ht="12.75">
      <c r="B60" s="135">
        <v>32126296</v>
      </c>
      <c r="C60" s="136">
        <f>SUMPRODUCT(D2:H2,D60:H60)+C2</f>
        <v>33361501.248781133</v>
      </c>
      <c r="D60" s="684">
        <v>49.1</v>
      </c>
      <c r="E60" s="684">
        <v>75.2</v>
      </c>
      <c r="F60" s="29">
        <v>30</v>
      </c>
      <c r="G60" s="29">
        <v>1</v>
      </c>
      <c r="H60" s="29">
        <v>23336</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row>
    <row r="61" spans="2:53" ht="12.75">
      <c r="B61" s="135">
        <v>32454034</v>
      </c>
      <c r="C61" s="136">
        <f>SUMPRODUCT(D2:H2,D61:H61)+C2</f>
        <v>35910216.917612344</v>
      </c>
      <c r="D61" s="684">
        <v>153.99999999999997</v>
      </c>
      <c r="E61" s="684">
        <v>71.49999999999999</v>
      </c>
      <c r="F61" s="29">
        <v>31</v>
      </c>
      <c r="G61" s="29">
        <v>1</v>
      </c>
      <c r="H61" s="29">
        <v>23342</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row>
    <row r="62" spans="2:53" ht="12.75">
      <c r="B62" s="135">
        <v>37086664</v>
      </c>
      <c r="C62" s="136">
        <f>SUMPRODUCT(D2:H2,D62:H62)+C2</f>
        <v>37763685.57054425</v>
      </c>
      <c r="D62" s="684">
        <v>414.2</v>
      </c>
      <c r="E62" s="684">
        <v>8.1</v>
      </c>
      <c r="F62" s="29">
        <v>30</v>
      </c>
      <c r="G62" s="29">
        <v>1</v>
      </c>
      <c r="H62" s="29">
        <v>23363</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row>
    <row r="63" spans="2:53" ht="12.75">
      <c r="B63" s="135">
        <v>42555872</v>
      </c>
      <c r="C63" s="136">
        <f>SUMPRODUCT(D2:H2,D63:H63)+C2</f>
        <v>45083337.00152284</v>
      </c>
      <c r="D63" s="684">
        <v>718.4999999999999</v>
      </c>
      <c r="E63" s="684">
        <v>0</v>
      </c>
      <c r="F63" s="29">
        <v>31</v>
      </c>
      <c r="G63" s="29">
        <v>0</v>
      </c>
      <c r="H63" s="29">
        <v>23373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row>
    <row r="64" spans="2:53" ht="12.75">
      <c r="B64" s="135">
        <v>45303344</v>
      </c>
      <c r="C64" s="136">
        <f>SUMPRODUCT(D2:H2,D64:H64)+C2</f>
        <v>45365140.827194266</v>
      </c>
      <c r="D64" s="29">
        <v>732.2999999999998</v>
      </c>
      <c r="E64" s="29">
        <v>0</v>
      </c>
      <c r="F64" s="29">
        <v>31</v>
      </c>
      <c r="G64" s="29">
        <v>0</v>
      </c>
      <c r="H64" s="29">
        <v>23400</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row>
    <row r="65" spans="2:53" ht="12.75">
      <c r="B65" s="135">
        <v>38010440</v>
      </c>
      <c r="C65" s="136">
        <f>SUMPRODUCT(D2:H2,D65:H65)+C2</f>
        <v>39939502.9786079</v>
      </c>
      <c r="D65" s="29">
        <v>555.0000000000002</v>
      </c>
      <c r="E65" s="29">
        <v>0</v>
      </c>
      <c r="F65" s="29">
        <v>28</v>
      </c>
      <c r="G65" s="29">
        <v>0</v>
      </c>
      <c r="H65" s="29">
        <v>23409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row>
    <row r="66" spans="2:53" ht="12.75">
      <c r="B66" s="135">
        <v>40822740</v>
      </c>
      <c r="C66" s="136">
        <f>SUMPRODUCT(D2:H2,D66:H66)+C2</f>
        <v>41953083.735925496</v>
      </c>
      <c r="D66" s="29">
        <v>553.9999999999999</v>
      </c>
      <c r="E66" s="29">
        <v>0</v>
      </c>
      <c r="F66" s="29">
        <v>31</v>
      </c>
      <c r="G66" s="29">
        <v>0</v>
      </c>
      <c r="H66" s="29">
        <v>23417</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row>
    <row r="67" spans="2:53" ht="12.75">
      <c r="B67" s="135">
        <v>37268116</v>
      </c>
      <c r="C67" s="136">
        <f>SUMPRODUCT(D2:H2,D67:H67)+C2</f>
        <v>37937339.59097428</v>
      </c>
      <c r="D67" s="29">
        <v>437.20000000000005</v>
      </c>
      <c r="E67" s="29">
        <v>0</v>
      </c>
      <c r="F67" s="29">
        <v>30</v>
      </c>
      <c r="G67" s="29">
        <v>1</v>
      </c>
      <c r="H67" s="29">
        <v>23441</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row>
    <row r="68" spans="2:53" ht="12.75">
      <c r="B68" s="135">
        <v>33661736</v>
      </c>
      <c r="C68" s="136">
        <f>SUMPRODUCT(D2:H2,D68:H68)+C2</f>
        <v>33369736.01263835</v>
      </c>
      <c r="D68" s="29">
        <v>75.3</v>
      </c>
      <c r="E68" s="29">
        <v>43.4</v>
      </c>
      <c r="F68" s="29">
        <v>31</v>
      </c>
      <c r="G68" s="29">
        <v>1</v>
      </c>
      <c r="H68" s="29">
        <v>23452</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row>
    <row r="69" spans="2:53" ht="12.75">
      <c r="B69" s="135">
        <v>33150240</v>
      </c>
      <c r="C69" s="136">
        <f>SUMPRODUCT(D2:H2,D69:H69)+C2</f>
        <v>32192200.606228877</v>
      </c>
      <c r="D69" s="29">
        <v>14.799999999999999</v>
      </c>
      <c r="E69" s="29">
        <v>60.5</v>
      </c>
      <c r="F69" s="29">
        <v>30</v>
      </c>
      <c r="G69" s="29">
        <v>1</v>
      </c>
      <c r="H69" s="29">
        <v>23438</v>
      </c>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row>
    <row r="70" spans="2:53" ht="12.75">
      <c r="B70" s="135">
        <v>36985444</v>
      </c>
      <c r="C70" s="136">
        <f>SUMPRODUCT(D2:H2,D70:H70)+C2</f>
        <v>37904133.50350836</v>
      </c>
      <c r="D70" s="29">
        <v>0</v>
      </c>
      <c r="E70" s="29">
        <v>167.8</v>
      </c>
      <c r="F70" s="29">
        <v>31</v>
      </c>
      <c r="G70" s="29">
        <v>0</v>
      </c>
      <c r="H70" s="29">
        <v>23458</v>
      </c>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row>
    <row r="71" spans="2:53" ht="12.75">
      <c r="B71" s="135">
        <v>37978824</v>
      </c>
      <c r="C71" s="136">
        <f>SUMPRODUCT(D2:H2,D71:H71)+C2</f>
        <v>37729823.01216526</v>
      </c>
      <c r="D71" s="29">
        <v>1.2</v>
      </c>
      <c r="E71" s="29">
        <v>162.4</v>
      </c>
      <c r="F71" s="29">
        <v>31</v>
      </c>
      <c r="G71" s="29">
        <v>0</v>
      </c>
      <c r="H71" s="29">
        <v>23480</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row>
    <row r="72" spans="2:53" ht="12.75">
      <c r="B72" s="135">
        <v>33668648</v>
      </c>
      <c r="C72" s="136">
        <f>SUMPRODUCT(D2:H2,D72:H72)+C2</f>
        <v>33368233.22331934</v>
      </c>
      <c r="D72" s="29">
        <v>41.39999999999999</v>
      </c>
      <c r="E72" s="29">
        <v>76.39999999999998</v>
      </c>
      <c r="F72" s="29">
        <v>30</v>
      </c>
      <c r="G72" s="29">
        <v>1</v>
      </c>
      <c r="H72" s="29">
        <v>23508</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row>
    <row r="73" spans="2:53" ht="12.75">
      <c r="B73" s="135">
        <v>32878906</v>
      </c>
      <c r="C73" s="136">
        <f>SUMPRODUCT(D2:H2,D73:H73)+C2</f>
        <v>36137932.5741809</v>
      </c>
      <c r="D73" s="29">
        <v>289.40000000000003</v>
      </c>
      <c r="E73" s="29">
        <v>8.2</v>
      </c>
      <c r="F73" s="29">
        <v>31</v>
      </c>
      <c r="G73" s="29">
        <v>1</v>
      </c>
      <c r="H73" s="29">
        <v>23507</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row>
    <row r="74" spans="2:53" ht="12.75">
      <c r="B74" s="135">
        <v>39246376</v>
      </c>
      <c r="C74" s="136">
        <f>SUMPRODUCT(D2:H2,D74:H74)+C2</f>
        <v>39085925.01555519</v>
      </c>
      <c r="D74" s="29">
        <v>494.1</v>
      </c>
      <c r="E74" s="29">
        <v>0</v>
      </c>
      <c r="F74" s="29">
        <v>30</v>
      </c>
      <c r="G74" s="29">
        <v>1</v>
      </c>
      <c r="H74" s="29">
        <v>23531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row>
    <row r="75" spans="2:53" ht="12.75">
      <c r="B75" s="135">
        <v>41296484</v>
      </c>
      <c r="C75" s="136">
        <f>SUMPRODUCT(D2:H2,D75:H75)+C2</f>
        <v>42218715.68789494</v>
      </c>
      <c r="D75" s="29">
        <v>563.6000000000001</v>
      </c>
      <c r="E75" s="29">
        <v>0</v>
      </c>
      <c r="F75" s="29">
        <v>31</v>
      </c>
      <c r="G75" s="29">
        <v>0</v>
      </c>
      <c r="H75" s="29">
        <v>23547</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row>
    <row r="76" spans="2:53" ht="12.75">
      <c r="B76" s="135">
        <v>46360880</v>
      </c>
      <c r="C76" s="136">
        <f>SUMPRODUCT(D2:H2,D76:H76)+C2</f>
        <v>46085884.04180105</v>
      </c>
      <c r="D76" s="684">
        <v>764.5</v>
      </c>
      <c r="E76" s="684">
        <v>0</v>
      </c>
      <c r="F76" s="29">
        <v>31</v>
      </c>
      <c r="G76" s="29">
        <v>0</v>
      </c>
      <c r="H76" s="29">
        <v>23564</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row>
    <row r="77" spans="2:53" ht="12.75">
      <c r="B77" s="135">
        <v>40126452</v>
      </c>
      <c r="C77" s="136">
        <f>SUMPRODUCT(D2:H2,D77:H77)+C2</f>
        <v>41329400.76787903</v>
      </c>
      <c r="D77" s="684">
        <v>621.7000000000002</v>
      </c>
      <c r="E77" s="684">
        <v>0</v>
      </c>
      <c r="F77" s="29">
        <v>28</v>
      </c>
      <c r="G77" s="29">
        <v>0</v>
      </c>
      <c r="H77" s="29">
        <v>23584</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row>
    <row r="78" spans="2:53" ht="12.75">
      <c r="B78" s="135">
        <v>41742644</v>
      </c>
      <c r="C78" s="136">
        <f>SUMPRODUCT(D2:H2,D78:H78)+C2</f>
        <v>42844791.05170491</v>
      </c>
      <c r="D78" s="684">
        <v>593.9000000000001</v>
      </c>
      <c r="E78" s="684">
        <v>0</v>
      </c>
      <c r="F78" s="29">
        <v>31</v>
      </c>
      <c r="G78" s="29">
        <v>0</v>
      </c>
      <c r="H78" s="29">
        <v>23618</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row>
    <row r="79" spans="2:53" ht="12.75">
      <c r="B79" s="135">
        <v>36007112</v>
      </c>
      <c r="C79" s="136">
        <f>SUMPRODUCT(D2:H2,D79:H79)+C2</f>
        <v>36302117.14035772</v>
      </c>
      <c r="D79" s="684">
        <v>346.8</v>
      </c>
      <c r="E79" s="684">
        <v>0</v>
      </c>
      <c r="F79" s="29">
        <v>30</v>
      </c>
      <c r="G79" s="29">
        <v>1</v>
      </c>
      <c r="H79" s="29">
        <v>23601</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row>
    <row r="80" spans="2:53" ht="12.75">
      <c r="B80" s="135">
        <v>33884252</v>
      </c>
      <c r="C80" s="136">
        <f>SUMPRODUCT(D2:H2,D80:H80)+C2</f>
        <v>33799679.5694904</v>
      </c>
      <c r="D80" s="684">
        <v>180.99999999999997</v>
      </c>
      <c r="E80" s="684">
        <v>0</v>
      </c>
      <c r="F80" s="29">
        <v>31</v>
      </c>
      <c r="G80" s="29">
        <v>1</v>
      </c>
      <c r="H80" s="29">
        <v>23608</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row>
    <row r="81" spans="2:53" ht="12.75">
      <c r="B81" s="135">
        <v>32413450</v>
      </c>
      <c r="C81" s="136">
        <f>SUMPRODUCT(D2:H2,D81:H81)+C2</f>
        <v>31944693.046425562</v>
      </c>
      <c r="D81" s="684">
        <v>35.5</v>
      </c>
      <c r="E81" s="684">
        <v>41.300000000000004</v>
      </c>
      <c r="F81" s="29">
        <v>30</v>
      </c>
      <c r="G81" s="29">
        <v>1</v>
      </c>
      <c r="H81" s="29">
        <v>23607</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row>
    <row r="82" spans="2:53" ht="12.75">
      <c r="B82" s="135">
        <v>37948388</v>
      </c>
      <c r="C82" s="136">
        <f>SUMPRODUCT(D2:H2,D82:H82)+C2</f>
        <v>37985337.95391093</v>
      </c>
      <c r="D82" s="684">
        <v>0</v>
      </c>
      <c r="E82" s="684">
        <v>166.90000000000003</v>
      </c>
      <c r="F82" s="29">
        <v>31</v>
      </c>
      <c r="G82" s="29">
        <v>0</v>
      </c>
      <c r="H82" s="29">
        <v>23644</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row>
    <row r="83" spans="2:53" ht="12.75">
      <c r="B83" s="135">
        <v>35859380</v>
      </c>
      <c r="C83" s="136">
        <f>SUMPRODUCT(D2:H2,D83:H83)+C2</f>
        <v>35527441.32125292</v>
      </c>
      <c r="D83" s="684">
        <v>0.8999999999999999</v>
      </c>
      <c r="E83" s="684">
        <v>103.30000000000003</v>
      </c>
      <c r="F83" s="29">
        <v>31</v>
      </c>
      <c r="G83" s="29">
        <v>0</v>
      </c>
      <c r="H83" s="29">
        <v>23662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row>
    <row r="84" spans="2:53" ht="12.75">
      <c r="B84" s="135">
        <v>32309084</v>
      </c>
      <c r="C84" s="136">
        <f>SUMPRODUCT(D2:H2,D84:H84)+C2</f>
        <v>31443831.23619834</v>
      </c>
      <c r="D84" s="684">
        <v>38.400000000000006</v>
      </c>
      <c r="E84" s="684">
        <v>25.400000000000002</v>
      </c>
      <c r="F84" s="29">
        <v>30</v>
      </c>
      <c r="G84" s="29">
        <v>1</v>
      </c>
      <c r="H84" s="29">
        <v>23711</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row>
    <row r="85" spans="2:53" ht="12.75">
      <c r="B85" s="135">
        <v>34937472</v>
      </c>
      <c r="C85" s="136">
        <f>SUMPRODUCT(D2:H2,D85:H85)+C2</f>
        <v>35143301.373514615</v>
      </c>
      <c r="D85" s="684">
        <v>236.5</v>
      </c>
      <c r="E85" s="684">
        <v>5.1</v>
      </c>
      <c r="F85" s="29">
        <v>31</v>
      </c>
      <c r="G85" s="29">
        <v>1</v>
      </c>
      <c r="H85" s="29">
        <v>23734</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row>
    <row r="86" spans="2:53" ht="12.75">
      <c r="B86" s="135">
        <v>40083048</v>
      </c>
      <c r="C86" s="136">
        <f>SUMPRODUCT(D2:H2,D86:H86)+C2</f>
        <v>39586527.07018087</v>
      </c>
      <c r="D86" s="684">
        <v>513.3000000000001</v>
      </c>
      <c r="E86" s="684">
        <v>0</v>
      </c>
      <c r="F86" s="29">
        <v>30</v>
      </c>
      <c r="G86" s="29">
        <v>1</v>
      </c>
      <c r="H86" s="29">
        <v>23742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row>
    <row r="87" spans="2:53" ht="12.75">
      <c r="B87" s="135">
        <v>42216028</v>
      </c>
      <c r="C87" s="136">
        <f>SUMPRODUCT(D2:H2,D87:H87)+C2</f>
        <v>42721651.267095864</v>
      </c>
      <c r="D87" s="684">
        <v>582.4</v>
      </c>
      <c r="E87" s="684">
        <v>0</v>
      </c>
      <c r="F87" s="29">
        <v>31</v>
      </c>
      <c r="G87" s="29">
        <v>0</v>
      </c>
      <c r="H87" s="29">
        <v>23774</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row>
    <row r="88" spans="2:53" ht="12.75">
      <c r="B88" s="135">
        <v>43447688</v>
      </c>
      <c r="C88" s="136">
        <f>SUMPRODUCT(D2:H2,D88:H88)+C2</f>
        <v>43157989.9689292</v>
      </c>
      <c r="D88" s="29">
        <v>605</v>
      </c>
      <c r="E88" s="29">
        <v>0</v>
      </c>
      <c r="F88" s="29">
        <v>31</v>
      </c>
      <c r="G88" s="29">
        <v>0</v>
      </c>
      <c r="H88" s="29">
        <v>23778</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row>
    <row r="89" spans="2:53" ht="12.75">
      <c r="B89" s="135">
        <v>41046124</v>
      </c>
      <c r="C89" s="136">
        <f>SUMPRODUCT(D2:H2,D89:H89)+C2</f>
        <v>41277023.14439942</v>
      </c>
      <c r="D89" s="29">
        <v>611.8</v>
      </c>
      <c r="E89" s="29">
        <v>0</v>
      </c>
      <c r="F89" s="29">
        <v>28</v>
      </c>
      <c r="G89" s="29">
        <v>0</v>
      </c>
      <c r="H89" s="29">
        <v>23804</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row>
    <row r="90" spans="2:53" ht="12.75">
      <c r="B90" s="135">
        <v>39146164</v>
      </c>
      <c r="C90" s="136">
        <f>SUMPRODUCT(D2:H2,D90:H90)+C2</f>
        <v>40370851.290400825</v>
      </c>
      <c r="D90" s="29">
        <v>458.69999999999993</v>
      </c>
      <c r="E90" s="29">
        <v>0</v>
      </c>
      <c r="F90" s="29">
        <v>31</v>
      </c>
      <c r="G90" s="29">
        <v>0</v>
      </c>
      <c r="H90" s="29">
        <v>23812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row>
    <row r="91" spans="2:53" ht="12.75">
      <c r="B91" s="135">
        <v>33162782</v>
      </c>
      <c r="C91" s="136">
        <f>SUMPRODUCT(D2:H2,D91:H91)+C2</f>
        <v>36740453.52571317</v>
      </c>
      <c r="D91" s="29">
        <v>362.2999999999999</v>
      </c>
      <c r="E91" s="29">
        <v>0</v>
      </c>
      <c r="F91" s="29">
        <v>30</v>
      </c>
      <c r="G91" s="29">
        <v>1</v>
      </c>
      <c r="H91" s="29">
        <v>23826</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row>
    <row r="92" spans="2:53" ht="12.75">
      <c r="B92" s="135">
        <v>33144752</v>
      </c>
      <c r="C92" s="136">
        <f>SUMPRODUCT(D2:H2,D92:H92)+C2</f>
        <v>35408041.21253043</v>
      </c>
      <c r="D92" s="29">
        <v>208.09999999999997</v>
      </c>
      <c r="E92" s="29">
        <v>24.2</v>
      </c>
      <c r="F92" s="29">
        <v>31</v>
      </c>
      <c r="G92" s="29">
        <v>1</v>
      </c>
      <c r="H92" s="29">
        <v>23835</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row>
    <row r="93" spans="2:53" ht="12.75">
      <c r="B93" s="135">
        <v>34594856</v>
      </c>
      <c r="C93" s="136">
        <f>SUMPRODUCT(D2:H2,D93:H93)+C2</f>
        <v>34076482.08134761</v>
      </c>
      <c r="D93" s="29">
        <v>23.799999999999997</v>
      </c>
      <c r="E93" s="29">
        <v>97.70000000000002</v>
      </c>
      <c r="F93" s="29">
        <v>30</v>
      </c>
      <c r="G93" s="29">
        <v>1</v>
      </c>
      <c r="H93" s="29">
        <v>23849</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row>
    <row r="94" spans="2:53" ht="12.75">
      <c r="B94" s="135">
        <v>40573552</v>
      </c>
      <c r="C94" s="136">
        <f>SUMPRODUCT(D2:H2,D94:H94)+C2</f>
        <v>40021449.138530284</v>
      </c>
      <c r="D94" s="29">
        <v>0</v>
      </c>
      <c r="E94" s="29">
        <v>215.7</v>
      </c>
      <c r="F94" s="29">
        <v>31</v>
      </c>
      <c r="G94" s="29">
        <v>0</v>
      </c>
      <c r="H94" s="29">
        <v>23849</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row>
    <row r="95" spans="2:53" ht="12.75">
      <c r="B95" s="135">
        <v>38203280</v>
      </c>
      <c r="C95" s="136">
        <f>SUMPRODUCT(D2:H2,D95:H95)+C2</f>
        <v>36566118.942814305</v>
      </c>
      <c r="D95" s="29">
        <v>0.8</v>
      </c>
      <c r="E95" s="29">
        <v>126.69999999999999</v>
      </c>
      <c r="F95" s="29">
        <v>31</v>
      </c>
      <c r="G95" s="29">
        <v>0</v>
      </c>
      <c r="H95" s="29">
        <v>23863</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row>
    <row r="96" spans="2:53" ht="12.75">
      <c r="B96" s="135">
        <v>32819206</v>
      </c>
      <c r="C96" s="136">
        <f>SUMPRODUCT(D2:H2,D96:H96)+C2</f>
        <v>32447132.9100166</v>
      </c>
      <c r="D96" s="29">
        <v>69.10000000000001</v>
      </c>
      <c r="E96" s="29">
        <v>33.300000000000004</v>
      </c>
      <c r="F96" s="29">
        <v>30</v>
      </c>
      <c r="G96" s="29">
        <v>1</v>
      </c>
      <c r="H96" s="29">
        <v>23879</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row>
    <row r="97" spans="2:53" ht="12.75">
      <c r="B97" s="135">
        <v>35693648</v>
      </c>
      <c r="C97" s="136">
        <f>SUMPRODUCT(D2:H2,D97:H97)+C2</f>
        <v>35699754.799757265</v>
      </c>
      <c r="D97" s="29">
        <v>270.3</v>
      </c>
      <c r="E97" s="29">
        <v>0</v>
      </c>
      <c r="F97" s="29">
        <v>31</v>
      </c>
      <c r="G97" s="29">
        <v>1</v>
      </c>
      <c r="H97" s="29">
        <v>23905</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row>
    <row r="98" spans="2:53" ht="12.75">
      <c r="B98" s="135">
        <v>36622836</v>
      </c>
      <c r="C98" s="136">
        <f>SUMPRODUCT(D2:H2,D98:H98)+C2</f>
        <v>36277008.56954132</v>
      </c>
      <c r="D98" s="29">
        <v>334.79999999999995</v>
      </c>
      <c r="E98" s="29">
        <v>0</v>
      </c>
      <c r="F98" s="29">
        <v>30</v>
      </c>
      <c r="G98" s="29">
        <v>1</v>
      </c>
      <c r="H98" s="29">
        <v>23929</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row>
    <row r="99" spans="2:53" ht="12.75">
      <c r="B99" s="135">
        <v>42343068</v>
      </c>
      <c r="C99" s="136">
        <f>SUMPRODUCT(D2:H2,D99:H99)+C2</f>
        <v>42543797.20842117</v>
      </c>
      <c r="D99" s="29">
        <v>567.3</v>
      </c>
      <c r="E99" s="29">
        <v>0</v>
      </c>
      <c r="F99" s="29">
        <v>31</v>
      </c>
      <c r="G99" s="29">
        <v>0</v>
      </c>
      <c r="H99" s="29">
        <v>23953</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row>
    <row r="100" spans="2:53" ht="12.75">
      <c r="B100" s="135">
        <v>43527340</v>
      </c>
      <c r="C100" s="136">
        <f>SUMPRODUCT(D2:H2,D100:H100)+C2</f>
        <v>43589654.936404794</v>
      </c>
      <c r="D100" s="684">
        <v>621</v>
      </c>
      <c r="E100" s="684">
        <v>0</v>
      </c>
      <c r="F100" s="29">
        <v>31</v>
      </c>
      <c r="G100" s="29">
        <v>0</v>
      </c>
      <c r="H100" s="29">
        <v>23977</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row>
    <row r="101" spans="2:53" ht="12.75">
      <c r="B101" s="135">
        <v>41279332</v>
      </c>
      <c r="C101" s="136">
        <f>SUMPRODUCT(D2:H2,D101:H101)+C2</f>
        <v>41186676.69048191</v>
      </c>
      <c r="D101" s="684">
        <v>600.9</v>
      </c>
      <c r="E101" s="684">
        <v>0</v>
      </c>
      <c r="F101" s="29">
        <v>28</v>
      </c>
      <c r="G101" s="29">
        <v>0</v>
      </c>
      <c r="H101" s="29">
        <v>23994</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row>
    <row r="102" spans="2:53" ht="12.75">
      <c r="B102" s="135">
        <v>40171240</v>
      </c>
      <c r="C102" s="136">
        <f>SUMPRODUCT(D2:H2,D102:H102)+C2</f>
        <v>40533768.48300183</v>
      </c>
      <c r="D102" s="684">
        <v>460.7</v>
      </c>
      <c r="E102" s="684">
        <v>0</v>
      </c>
      <c r="F102" s="29">
        <v>31</v>
      </c>
      <c r="G102" s="29">
        <v>0</v>
      </c>
      <c r="H102" s="29">
        <v>24011</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row>
    <row r="103" spans="2:53" ht="12.75">
      <c r="B103" s="135">
        <v>34273200</v>
      </c>
      <c r="C103" s="136">
        <f>SUMPRODUCT(D2:H2,D103:H103)+C2</f>
        <v>35719501.89216336</v>
      </c>
      <c r="D103" s="684">
        <v>302.4</v>
      </c>
      <c r="E103" s="684">
        <v>0</v>
      </c>
      <c r="F103" s="29">
        <v>30</v>
      </c>
      <c r="G103" s="29">
        <v>1</v>
      </c>
      <c r="H103" s="29">
        <v>24032</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row>
    <row r="104" spans="2:53" ht="12.75">
      <c r="B104" s="135">
        <v>33543166</v>
      </c>
      <c r="C104" s="136">
        <f>SUMPRODUCT(D2:H2,D104:H104)+C2</f>
        <v>34836378.08318721</v>
      </c>
      <c r="D104" s="684">
        <v>164.2</v>
      </c>
      <c r="E104" s="684">
        <v>27.9</v>
      </c>
      <c r="F104" s="29">
        <v>31</v>
      </c>
      <c r="G104" s="29">
        <v>1</v>
      </c>
      <c r="H104" s="29">
        <v>24037</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row>
    <row r="105" spans="2:53" ht="12.75">
      <c r="B105" s="135">
        <v>37512788</v>
      </c>
      <c r="C105" s="136">
        <f>SUMPRODUCT(D2:H2,D105:H105)+C2</f>
        <v>34846036.9793019</v>
      </c>
      <c r="D105" s="684">
        <v>7</v>
      </c>
      <c r="E105" s="684">
        <v>122</v>
      </c>
      <c r="F105" s="29">
        <v>30</v>
      </c>
      <c r="G105" s="29">
        <v>1</v>
      </c>
      <c r="H105" s="29">
        <v>24076</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row>
    <row r="106" spans="2:53" ht="12.75">
      <c r="B106" s="135">
        <v>38597540</v>
      </c>
      <c r="C106" s="136">
        <f>SUMPRODUCT(D2:H2,D106:H106)+C2</f>
        <v>35793014.99066765</v>
      </c>
      <c r="D106" s="684">
        <v>4.4</v>
      </c>
      <c r="E106" s="684">
        <v>101.7</v>
      </c>
      <c r="F106" s="29">
        <v>31</v>
      </c>
      <c r="G106" s="29">
        <v>0</v>
      </c>
      <c r="H106" s="29">
        <v>24079</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row>
    <row r="107" spans="2:53" ht="12.75">
      <c r="B107" s="135">
        <v>40059212</v>
      </c>
      <c r="C107" s="136">
        <f>SUMPRODUCT(D2:H2,D107:H107)+C2</f>
        <v>38729813.70009945</v>
      </c>
      <c r="D107" s="684">
        <v>0</v>
      </c>
      <c r="E107" s="684">
        <v>178.5</v>
      </c>
      <c r="F107" s="29">
        <v>31</v>
      </c>
      <c r="G107" s="29">
        <v>0</v>
      </c>
      <c r="H107" s="29">
        <v>24109</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row>
    <row r="108" spans="2:53" ht="12.75">
      <c r="B108" s="135">
        <v>34178604</v>
      </c>
      <c r="C108" s="136">
        <f>SUMPRODUCT(D2:H2,D108:H108)+C2</f>
        <v>31636478.833401073</v>
      </c>
      <c r="D108" s="684">
        <v>35.6</v>
      </c>
      <c r="E108" s="684">
        <v>24.9</v>
      </c>
      <c r="F108" s="29">
        <v>30</v>
      </c>
      <c r="G108" s="29">
        <v>1</v>
      </c>
      <c r="H108" s="29">
        <v>24136</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row>
    <row r="109" spans="2:53" ht="12.75">
      <c r="B109" s="135">
        <v>34477684</v>
      </c>
      <c r="C109" s="136">
        <f>SUMPRODUCT(D2:H2,D109:H109)+C2</f>
        <v>33670542.2583007</v>
      </c>
      <c r="D109" s="684">
        <v>145.2</v>
      </c>
      <c r="E109" s="684">
        <v>5.6</v>
      </c>
      <c r="F109" s="29">
        <v>31</v>
      </c>
      <c r="G109" s="29">
        <v>1</v>
      </c>
      <c r="H109" s="29">
        <v>24150</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row>
    <row r="110" spans="2:53" ht="12.75">
      <c r="B110" s="135">
        <v>38088840</v>
      </c>
      <c r="C110" s="136">
        <f>SUMPRODUCT(D2:H2,D110:H110)+C2</f>
        <v>37955541.27467763</v>
      </c>
      <c r="D110" s="684">
        <v>413.7</v>
      </c>
      <c r="E110" s="684">
        <v>0</v>
      </c>
      <c r="F110" s="29">
        <v>30</v>
      </c>
      <c r="G110" s="29">
        <v>1</v>
      </c>
      <c r="H110" s="29">
        <v>24191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row>
    <row r="111" spans="2:53" ht="12.75">
      <c r="B111" s="135">
        <v>41741160</v>
      </c>
      <c r="C111" s="136">
        <f>SUMPRODUCT(D2:H2,D111:H111)+C2</f>
        <v>40367262.70257552</v>
      </c>
      <c r="D111" s="684">
        <v>445.8</v>
      </c>
      <c r="E111" s="684">
        <v>0</v>
      </c>
      <c r="F111" s="29">
        <v>31</v>
      </c>
      <c r="G111" s="29">
        <v>0</v>
      </c>
      <c r="H111" s="29">
        <v>24202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row>
    <row r="112" spans="2:53" ht="12.75">
      <c r="B112" s="135">
        <v>47203416</v>
      </c>
      <c r="C112" s="136">
        <f>SUMPRODUCT(D2:H2,D112:H112)+C2</f>
        <v>45984791.88002939</v>
      </c>
      <c r="D112" s="29">
        <v>737.1</v>
      </c>
      <c r="E112" s="29">
        <v>0</v>
      </c>
      <c r="F112" s="29">
        <v>31</v>
      </c>
      <c r="G112" s="29">
        <v>0</v>
      </c>
      <c r="H112" s="29">
        <v>24243</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row>
    <row r="113" spans="2:53" ht="12.75">
      <c r="B113" s="135">
        <v>41797636</v>
      </c>
      <c r="C113" s="136">
        <f>SUMPRODUCT(D2:H2,D113:H113)+C2</f>
        <v>41042316.64507349</v>
      </c>
      <c r="D113" s="29">
        <v>585.0999999999999</v>
      </c>
      <c r="E113" s="29">
        <v>0</v>
      </c>
      <c r="F113" s="29">
        <v>28</v>
      </c>
      <c r="G113" s="29">
        <v>0</v>
      </c>
      <c r="H113" s="29">
        <v>24248</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row>
    <row r="114" spans="2:53" ht="12.75">
      <c r="B114" s="135">
        <v>42551684</v>
      </c>
      <c r="C114" s="136">
        <f>SUMPRODUCT(D2:H2,D114:H114)+C2</f>
        <v>41904036.48259111</v>
      </c>
      <c r="D114" s="29">
        <v>523.9000000000001</v>
      </c>
      <c r="E114" s="29">
        <v>0</v>
      </c>
      <c r="F114" s="29">
        <v>31</v>
      </c>
      <c r="G114" s="29">
        <v>0</v>
      </c>
      <c r="H114" s="29">
        <v>24262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row>
    <row r="115" spans="2:53" ht="12.75">
      <c r="B115" s="135">
        <v>36094612</v>
      </c>
      <c r="C115" s="136">
        <f>SUMPRODUCT(D2:H2,D115:H115)+C2</f>
        <v>36359187.25425981</v>
      </c>
      <c r="D115" s="29">
        <v>327.9</v>
      </c>
      <c r="E115" s="29">
        <v>0</v>
      </c>
      <c r="F115" s="29">
        <v>30</v>
      </c>
      <c r="G115" s="29">
        <v>1</v>
      </c>
      <c r="H115" s="29">
        <v>24272</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row>
    <row r="116" spans="2:53" ht="12.75">
      <c r="B116" s="135">
        <v>34287484</v>
      </c>
      <c r="C116" s="136">
        <f>SUMPRODUCT(D2:H2,D116:H116)+C2</f>
        <v>33980289.22317369</v>
      </c>
      <c r="D116" s="29">
        <v>98.19999999999997</v>
      </c>
      <c r="E116" s="29">
        <v>34.6</v>
      </c>
      <c r="F116" s="29">
        <v>31</v>
      </c>
      <c r="G116" s="29">
        <v>1</v>
      </c>
      <c r="H116" s="29">
        <v>24275</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row>
    <row r="117" spans="2:53" ht="12.75">
      <c r="B117" s="135">
        <v>34727204</v>
      </c>
      <c r="C117" s="136">
        <f>SUMPRODUCT(D2:H2,D117:H117)+C2</f>
        <v>32925035.961145375</v>
      </c>
      <c r="D117" s="29">
        <v>17.699999999999996</v>
      </c>
      <c r="E117" s="29">
        <v>64.2</v>
      </c>
      <c r="F117" s="29">
        <v>30</v>
      </c>
      <c r="G117" s="29">
        <v>1</v>
      </c>
      <c r="H117" s="29">
        <v>24289</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row>
    <row r="118" spans="2:53" ht="12.75">
      <c r="B118" s="135">
        <v>36965340</v>
      </c>
      <c r="C118" s="136">
        <f>SUMPRODUCT(D2:H2,D118:H118)+C2</f>
        <v>37546070.90324059</v>
      </c>
      <c r="D118" s="29">
        <v>0</v>
      </c>
      <c r="E118" s="29">
        <v>144.69999999999996</v>
      </c>
      <c r="F118" s="29">
        <v>31</v>
      </c>
      <c r="G118" s="29">
        <v>0</v>
      </c>
      <c r="H118" s="29">
        <v>24329</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row>
    <row r="119" spans="2:53" ht="12.75">
      <c r="B119" s="135">
        <v>38942956</v>
      </c>
      <c r="C119" s="136">
        <f>SUMPRODUCT(D2:H2,D119:H119)+C2</f>
        <v>37509525.65932405</v>
      </c>
      <c r="D119" s="29">
        <v>0</v>
      </c>
      <c r="E119" s="29">
        <v>140.49999999999997</v>
      </c>
      <c r="F119" s="29">
        <v>31</v>
      </c>
      <c r="G119" s="29">
        <v>0</v>
      </c>
      <c r="H119" s="29">
        <v>24533</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row>
    <row r="120" spans="2:53" ht="12.75">
      <c r="B120" s="135">
        <v>34315276</v>
      </c>
      <c r="C120" s="136">
        <f>SUMPRODUCT(D2:H2,D120:H120)+C2</f>
        <v>32926663.012920845</v>
      </c>
      <c r="D120" s="29">
        <v>52.3</v>
      </c>
      <c r="E120" s="29">
        <v>46.1</v>
      </c>
      <c r="F120" s="29">
        <v>30</v>
      </c>
      <c r="G120" s="29">
        <v>1</v>
      </c>
      <c r="H120" s="29">
        <v>24361</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row>
    <row r="121" spans="2:53" ht="12.75">
      <c r="B121" s="135">
        <v>34341916</v>
      </c>
      <c r="C121" s="136">
        <f>SUMPRODUCT(D2:H2,D121:H121)+C2</f>
        <v>35360437.08849996</v>
      </c>
      <c r="D121" s="29">
        <v>236.70000000000002</v>
      </c>
      <c r="E121" s="29">
        <v>0.2</v>
      </c>
      <c r="F121" s="29">
        <v>31</v>
      </c>
      <c r="G121" s="29">
        <v>1</v>
      </c>
      <c r="H121" s="29">
        <v>24381</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row>
    <row r="122" spans="2:53" ht="12.75">
      <c r="B122" s="135">
        <v>37142392</v>
      </c>
      <c r="C122" s="136">
        <f>SUMPRODUCT(D2:H2,D122:H122)+C2</f>
        <v>37477765.71921562</v>
      </c>
      <c r="D122" s="29">
        <v>380.09999999999997</v>
      </c>
      <c r="E122" s="29">
        <v>0.9</v>
      </c>
      <c r="F122" s="29">
        <v>30</v>
      </c>
      <c r="G122" s="29">
        <v>1</v>
      </c>
      <c r="H122" s="29">
        <v>24402</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row>
    <row r="123" spans="2:53" ht="12.75">
      <c r="B123" s="135">
        <v>42267056</v>
      </c>
      <c r="C123" s="136">
        <f>SUMPRODUCT(D2:H2,D123:H123)+C2</f>
        <v>42394382.09070809</v>
      </c>
      <c r="D123" s="29">
        <v>543.9999999999999</v>
      </c>
      <c r="E123" s="29">
        <v>0</v>
      </c>
      <c r="F123" s="29">
        <v>31</v>
      </c>
      <c r="G123" s="29">
        <v>0</v>
      </c>
      <c r="H123" s="29">
        <v>24429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row>
    <row r="124" spans="2:53" ht="12.75">
      <c r="B124" s="135"/>
      <c r="C124" s="683">
        <f>SUMPRODUCT(D2:H2,D124:H124)+C2</f>
        <v>45292195.3636142</v>
      </c>
      <c r="D124" s="682">
        <f>AVERAGE(D4,D16,D28,D40,D52,D64,D76,D88,D100,D112)</f>
        <v>698.19</v>
      </c>
      <c r="E124" s="682">
        <f>AVERAGE(E4,E16,E28,E40,E52,E64,E76,E88,E100,E112)</f>
        <v>0</v>
      </c>
      <c r="F124" s="682">
        <v>31</v>
      </c>
      <c r="G124" s="682">
        <v>0</v>
      </c>
      <c r="H124" s="682">
        <v>24329.824065625</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row>
    <row r="125" spans="2:53" ht="12.75">
      <c r="B125" s="135"/>
      <c r="C125" s="683">
        <f>SUMPRODUCT(D2:H2,D125:H125)+C2</f>
        <v>41962571.51111336</v>
      </c>
      <c r="D125" s="682">
        <f aca="true" t="shared" si="0" ref="D125:E147">AVERAGE(D5,D17,D29,D41,D53,D65,D77,D89,D101,D113)</f>
        <v>629.8699999999999</v>
      </c>
      <c r="E125" s="682">
        <f t="shared" si="0"/>
        <v>0</v>
      </c>
      <c r="F125" s="682">
        <v>28</v>
      </c>
      <c r="G125" s="682">
        <v>0</v>
      </c>
      <c r="H125" s="682">
        <v>24345.223615625</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row>
    <row r="126" spans="2:53" ht="12.75">
      <c r="B126" s="135"/>
      <c r="C126" s="683">
        <f>SUMPRODUCT(D2:H2,D126:H126)+C2</f>
        <v>42470995.94513463</v>
      </c>
      <c r="D126" s="682">
        <f t="shared" si="0"/>
        <v>550.22</v>
      </c>
      <c r="E126" s="682">
        <f t="shared" si="0"/>
        <v>0</v>
      </c>
      <c r="F126" s="682">
        <v>31</v>
      </c>
      <c r="G126" s="682">
        <v>0</v>
      </c>
      <c r="H126" s="682">
        <v>24360.623165625</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row>
    <row r="127" spans="2:53" ht="12.75">
      <c r="B127" s="135"/>
      <c r="C127" s="683">
        <f>SUMPRODUCT(D2:H2,D127:H127)+C2</f>
        <v>36768084.86853854</v>
      </c>
      <c r="D127" s="682">
        <f t="shared" si="0"/>
        <v>345.81</v>
      </c>
      <c r="E127" s="682">
        <f t="shared" si="0"/>
        <v>0</v>
      </c>
      <c r="F127" s="682">
        <v>30</v>
      </c>
      <c r="G127" s="682">
        <v>1</v>
      </c>
      <c r="H127" s="682">
        <v>24376.022715625</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row>
    <row r="128" spans="2:53" ht="12.75">
      <c r="B128" s="135"/>
      <c r="C128" s="683">
        <f>SUMPRODUCT(D2:H2,D128:H128)+C2</f>
        <v>34381356.263512105</v>
      </c>
      <c r="D128" s="682">
        <f t="shared" si="0"/>
        <v>137.68</v>
      </c>
      <c r="E128" s="682">
        <f t="shared" si="0"/>
        <v>23.61</v>
      </c>
      <c r="F128" s="682">
        <v>31</v>
      </c>
      <c r="G128" s="682">
        <v>1</v>
      </c>
      <c r="H128" s="682">
        <v>24391.422265625</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row>
    <row r="129" spans="2:53" ht="12.75">
      <c r="B129" s="135"/>
      <c r="C129" s="683">
        <f>SUMPRODUCT(D2:H2,D129:H129)+C2</f>
        <v>33087581.035678785</v>
      </c>
      <c r="D129" s="682">
        <f t="shared" si="0"/>
        <v>23.060000000000002</v>
      </c>
      <c r="E129" s="682">
        <f t="shared" si="0"/>
        <v>63.84000000000001</v>
      </c>
      <c r="F129" s="682">
        <v>30</v>
      </c>
      <c r="G129" s="682">
        <v>1</v>
      </c>
      <c r="H129" s="682">
        <v>24406.821815625</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row>
    <row r="130" spans="2:53" ht="12.75">
      <c r="B130" s="135"/>
      <c r="C130" s="683">
        <f>SUMPRODUCT(D2:H2,D130:H130)+C2</f>
        <v>37243663.55871541</v>
      </c>
      <c r="D130" s="682">
        <f t="shared" si="0"/>
        <v>1.37</v>
      </c>
      <c r="E130" s="682">
        <f t="shared" si="0"/>
        <v>134.8</v>
      </c>
      <c r="F130" s="682">
        <v>31</v>
      </c>
      <c r="G130" s="682">
        <v>0</v>
      </c>
      <c r="H130" s="682">
        <v>24422.221365625</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row>
    <row r="131" spans="2:53" ht="12.75">
      <c r="B131" s="135"/>
      <c r="C131" s="683">
        <f>SUMPRODUCT(D2:H2,D131:H131)+C2</f>
        <v>37052096.73799666</v>
      </c>
      <c r="D131" s="682">
        <f t="shared" si="0"/>
        <v>3.21</v>
      </c>
      <c r="E131" s="682">
        <f t="shared" si="0"/>
        <v>128.75</v>
      </c>
      <c r="F131" s="682">
        <v>31</v>
      </c>
      <c r="G131" s="682">
        <v>0</v>
      </c>
      <c r="H131" s="682">
        <v>24437.620915625</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row>
    <row r="132" spans="2:53" ht="12.75">
      <c r="B132" s="135"/>
      <c r="C132" s="683">
        <f>SUMPRODUCT(D2:H2,D132:H132)+C2</f>
        <v>33048150.083901484</v>
      </c>
      <c r="D132" s="682">
        <f t="shared" si="0"/>
        <v>49.56000000000001</v>
      </c>
      <c r="E132" s="682">
        <f t="shared" si="0"/>
        <v>49.08</v>
      </c>
      <c r="F132" s="682">
        <v>30</v>
      </c>
      <c r="G132" s="682">
        <v>1</v>
      </c>
      <c r="H132" s="682">
        <v>24453.020465625</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row>
    <row r="133" spans="2:53" ht="12.75">
      <c r="B133" s="135"/>
      <c r="C133" s="683">
        <f>SUMPRODUCT(D2:H2,D133:H133)+C2</f>
        <v>35480703.347477406</v>
      </c>
      <c r="D133" s="682">
        <f t="shared" si="0"/>
        <v>220.89000000000001</v>
      </c>
      <c r="E133" s="682">
        <f t="shared" si="0"/>
        <v>9.639999999999997</v>
      </c>
      <c r="F133" s="682">
        <v>31</v>
      </c>
      <c r="G133" s="682">
        <v>1</v>
      </c>
      <c r="H133" s="682">
        <v>24468.420015625</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row>
    <row r="134" spans="2:53" ht="12.75">
      <c r="B134" s="135"/>
      <c r="C134" s="683">
        <f>SUMPRODUCT(D2:H2,D134:H134)+C2</f>
        <v>38282034.13597526</v>
      </c>
      <c r="D134" s="682">
        <f t="shared" si="0"/>
        <v>419.33000000000004</v>
      </c>
      <c r="E134" s="682">
        <f t="shared" si="0"/>
        <v>0.9</v>
      </c>
      <c r="F134" s="682">
        <v>30</v>
      </c>
      <c r="G134" s="682">
        <v>1</v>
      </c>
      <c r="H134" s="682">
        <v>24483.819565625</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row>
    <row r="135" spans="2:53" ht="12.75">
      <c r="B135" s="135"/>
      <c r="C135" s="683">
        <f>SUMPRODUCT(D2:H2,D135:H135)+C2</f>
        <v>42946063.1764472</v>
      </c>
      <c r="D135" s="682">
        <f t="shared" si="0"/>
        <v>570.45</v>
      </c>
      <c r="E135" s="682">
        <f t="shared" si="0"/>
        <v>0</v>
      </c>
      <c r="F135" s="682">
        <v>31</v>
      </c>
      <c r="G135" s="682">
        <v>0</v>
      </c>
      <c r="H135" s="682">
        <v>24499.219115625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row>
    <row r="136" spans="2:53" ht="12.75">
      <c r="B136" s="135"/>
      <c r="C136" s="683">
        <f>SUMPRODUCT(D2:H2,D136:H136)+C2</f>
        <v>45549480.23273444</v>
      </c>
      <c r="D136" s="682">
        <f t="shared" si="0"/>
        <v>705.5690000000001</v>
      </c>
      <c r="E136" s="682">
        <f t="shared" si="0"/>
        <v>0</v>
      </c>
      <c r="F136" s="682">
        <v>31</v>
      </c>
      <c r="G136" s="682">
        <v>0</v>
      </c>
      <c r="H136" s="682">
        <v>24514.618665625</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row>
    <row r="137" spans="2:53" ht="12.75">
      <c r="B137" s="135"/>
      <c r="C137" s="683">
        <f>SUMPRODUCT(D2:H2,D137:H137)+C2</f>
        <v>42075078.11465473</v>
      </c>
      <c r="D137" s="682">
        <f t="shared" si="0"/>
        <v>629.7069999999999</v>
      </c>
      <c r="E137" s="682">
        <f t="shared" si="0"/>
        <v>0</v>
      </c>
      <c r="F137" s="682">
        <v>28</v>
      </c>
      <c r="G137" s="682">
        <v>0</v>
      </c>
      <c r="H137" s="682">
        <v>24530.018215625</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row>
    <row r="138" spans="2:53" ht="12.75">
      <c r="B138" s="135"/>
      <c r="C138" s="683">
        <f>SUMPRODUCT(D2:H2,D138:H138)+C2</f>
        <v>42577839.649134</v>
      </c>
      <c r="D138" s="682">
        <f t="shared" si="0"/>
        <v>549.762</v>
      </c>
      <c r="E138" s="682">
        <f t="shared" si="0"/>
        <v>0</v>
      </c>
      <c r="F138" s="682">
        <v>31</v>
      </c>
      <c r="G138" s="682">
        <v>0</v>
      </c>
      <c r="H138" s="682">
        <v>24545.417765625</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row>
    <row r="139" spans="2:53" ht="12.75">
      <c r="B139" s="135"/>
      <c r="C139" s="683">
        <f>SUMPRODUCT(D2:H2,D139:H139)+C2</f>
        <v>36859168.43516848</v>
      </c>
      <c r="D139" s="682">
        <f t="shared" si="0"/>
        <v>344.531</v>
      </c>
      <c r="E139" s="682">
        <f t="shared" si="0"/>
        <v>0</v>
      </c>
      <c r="F139" s="682">
        <v>30</v>
      </c>
      <c r="G139" s="682">
        <v>1</v>
      </c>
      <c r="H139" s="682">
        <v>24560.817315625</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row>
    <row r="140" spans="2:53" ht="12.75">
      <c r="B140" s="135"/>
      <c r="C140" s="683">
        <f>SUMPRODUCT(D2:H2,D140:H140)+C2</f>
        <v>34553848.63845715</v>
      </c>
      <c r="D140" s="682">
        <f t="shared" si="0"/>
        <v>140.538</v>
      </c>
      <c r="E140" s="682">
        <f t="shared" si="0"/>
        <v>23.661</v>
      </c>
      <c r="F140" s="682">
        <v>31</v>
      </c>
      <c r="G140" s="682">
        <v>1</v>
      </c>
      <c r="H140" s="682">
        <v>24576.216865625</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row>
    <row r="141" spans="2:53" ht="12.75">
      <c r="B141" s="135"/>
      <c r="C141" s="683">
        <f>SUMPRODUCT(D2:H2,D141:H141)+C2</f>
        <v>33200711.78456646</v>
      </c>
      <c r="D141" s="682">
        <f t="shared" si="0"/>
        <v>22.066000000000003</v>
      </c>
      <c r="E141" s="682">
        <f t="shared" si="0"/>
        <v>64.26400000000001</v>
      </c>
      <c r="F141" s="682">
        <v>30</v>
      </c>
      <c r="G141" s="682">
        <v>1</v>
      </c>
      <c r="H141" s="682">
        <v>24591.616415625</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row>
    <row r="142" spans="2:53" ht="12.75">
      <c r="B142" s="135"/>
      <c r="C142" s="683">
        <f>SUMPRODUCT(D2:H2,D142:H142)+C2</f>
        <v>37414166.41388912</v>
      </c>
      <c r="D142" s="682">
        <f t="shared" si="0"/>
        <v>1.377</v>
      </c>
      <c r="E142" s="682">
        <f t="shared" si="0"/>
        <v>136.2</v>
      </c>
      <c r="F142" s="682">
        <v>31</v>
      </c>
      <c r="G142" s="682">
        <v>0</v>
      </c>
      <c r="H142" s="682">
        <v>24607.015965625</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row>
    <row r="143" spans="2:53" ht="12.75">
      <c r="B143" s="135"/>
      <c r="C143" s="683">
        <f>SUMPRODUCT(D2:H2,D143:H143)+C2</f>
        <v>37302084.71729624</v>
      </c>
      <c r="D143" s="682">
        <f t="shared" si="0"/>
        <v>3.0909999999999997</v>
      </c>
      <c r="E143" s="682">
        <f t="shared" si="0"/>
        <v>132.245</v>
      </c>
      <c r="F143" s="682">
        <v>31</v>
      </c>
      <c r="G143" s="682">
        <v>0</v>
      </c>
      <c r="H143" s="682">
        <v>24622.415515624998</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row>
    <row r="144" spans="2:53" ht="12.75">
      <c r="B144" s="135"/>
      <c r="C144" s="683">
        <f>SUMPRODUCT(D2:H2,D144:H144)+C2</f>
        <v>33181614.492592443</v>
      </c>
      <c r="D144" s="682">
        <f t="shared" si="0"/>
        <v>46.216</v>
      </c>
      <c r="E144" s="682">
        <f t="shared" si="0"/>
        <v>51.178</v>
      </c>
      <c r="F144" s="682">
        <v>30</v>
      </c>
      <c r="G144" s="682">
        <v>1</v>
      </c>
      <c r="H144" s="682">
        <v>24637.815065625</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row>
    <row r="145" spans="2:53" ht="12.75">
      <c r="B145" s="135"/>
      <c r="C145" s="683">
        <f>SUMPRODUCT(D2:H2,D145:H145)+C2</f>
        <v>35656246.82566993</v>
      </c>
      <c r="D145" s="682">
        <f t="shared" si="0"/>
        <v>222.129</v>
      </c>
      <c r="E145" s="682">
        <f t="shared" si="0"/>
        <v>10.563999999999998</v>
      </c>
      <c r="F145" s="682">
        <v>31</v>
      </c>
      <c r="G145" s="682">
        <v>1</v>
      </c>
      <c r="H145" s="682">
        <v>24653.214615625002</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row>
    <row r="146" spans="2:53" ht="12.75">
      <c r="B146" s="135"/>
      <c r="C146" s="683">
        <f>SUMPRODUCT(D2:H2,D146:H146)+C2</f>
        <v>38288179.83479041</v>
      </c>
      <c r="D146" s="682">
        <f t="shared" si="0"/>
        <v>413.44300000000004</v>
      </c>
      <c r="E146" s="682">
        <f t="shared" si="0"/>
        <v>0.99</v>
      </c>
      <c r="F146" s="682">
        <v>30</v>
      </c>
      <c r="G146" s="682">
        <v>1</v>
      </c>
      <c r="H146" s="682">
        <v>24668.614165625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row>
    <row r="147" spans="2:53" ht="12.75">
      <c r="B147" s="135"/>
      <c r="C147" s="683">
        <f>SUMPRODUCT(D2:H2,D147:H147)+C2</f>
        <v>42836238.585088745</v>
      </c>
      <c r="D147" s="682">
        <f t="shared" si="0"/>
        <v>558.705</v>
      </c>
      <c r="E147" s="682">
        <f t="shared" si="0"/>
        <v>0</v>
      </c>
      <c r="F147" s="682">
        <v>31</v>
      </c>
      <c r="G147" s="682">
        <v>0</v>
      </c>
      <c r="H147" s="682">
        <v>24684.013715625</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row>
    <row r="148" spans="2:53" ht="12.75">
      <c r="B148" s="135"/>
      <c r="C148" s="136"/>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row>
    <row r="149" spans="2:53" ht="12.75">
      <c r="B149" s="135"/>
      <c r="C149" s="136"/>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row>
    <row r="150" spans="2:53" ht="12.75">
      <c r="B150" s="135"/>
      <c r="C150" s="136"/>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row>
    <row r="151" spans="2:53" ht="12.75">
      <c r="B151" s="135"/>
      <c r="C151" s="136"/>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row>
    <row r="152" spans="2:53" ht="12.75">
      <c r="B152" s="135"/>
      <c r="C152" s="136"/>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row>
    <row r="153" spans="2:53" ht="12.75">
      <c r="B153" s="135"/>
      <c r="C153" s="136"/>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row>
    <row r="154" spans="2:53" ht="12.75">
      <c r="B154" s="135"/>
      <c r="C154" s="136"/>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row>
    <row r="155" spans="2:53" ht="12.75">
      <c r="B155" s="135"/>
      <c r="C155" s="136"/>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row>
    <row r="156" spans="2:53" ht="12.75">
      <c r="B156" s="135"/>
      <c r="C156" s="136"/>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row>
    <row r="157" spans="2:53" ht="12.75">
      <c r="B157" s="135"/>
      <c r="C157" s="136"/>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row>
    <row r="158" spans="2:53" ht="12.75">
      <c r="B158" s="135"/>
      <c r="C158" s="136"/>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row>
    <row r="159" spans="2:53" ht="12.75">
      <c r="B159" s="135"/>
      <c r="C159" s="136"/>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row>
    <row r="160" spans="2:53" ht="12.75">
      <c r="B160" s="135"/>
      <c r="C160" s="136"/>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row>
    <row r="161" spans="2:53" ht="12.75">
      <c r="B161" s="135"/>
      <c r="C161" s="136"/>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row>
    <row r="162" spans="2:53" ht="12.75">
      <c r="B162" s="135"/>
      <c r="C162" s="136"/>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row>
    <row r="163" spans="2:53" ht="12.75">
      <c r="B163" s="135"/>
      <c r="C163" s="136"/>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row>
    <row r="164" spans="2:53" ht="12.75">
      <c r="B164" s="135"/>
      <c r="C164" s="136"/>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row>
    <row r="165" spans="2:53" ht="12.75">
      <c r="B165" s="135"/>
      <c r="C165" s="136"/>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row>
    <row r="166" spans="2:53" ht="12.75">
      <c r="B166" s="135"/>
      <c r="C166" s="136"/>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row>
    <row r="167" spans="2:53" ht="12.75">
      <c r="B167" s="135"/>
      <c r="C167" s="136"/>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row>
    <row r="168" spans="2:53" ht="12.75">
      <c r="B168" s="135"/>
      <c r="C168" s="136"/>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row>
    <row r="169" spans="2:53" ht="12.75">
      <c r="B169" s="135"/>
      <c r="C169" s="136"/>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row>
    <row r="170" spans="2:53" ht="12.75">
      <c r="B170" s="135"/>
      <c r="C170" s="136"/>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row>
    <row r="171" spans="2:53" ht="12.75">
      <c r="B171" s="135"/>
      <c r="C171" s="136"/>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row>
    <row r="172" spans="2:53" ht="12.75">
      <c r="B172" s="135"/>
      <c r="C172" s="136"/>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row>
    <row r="173" spans="2:53" ht="12.75">
      <c r="B173" s="135"/>
      <c r="C173" s="136"/>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row>
    <row r="174" spans="2:53" ht="12.75">
      <c r="B174" s="135"/>
      <c r="C174" s="136"/>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row>
    <row r="175" spans="2:53" ht="12.75">
      <c r="B175" s="135"/>
      <c r="C175" s="136"/>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row>
    <row r="176" spans="2:53" ht="12.75">
      <c r="B176" s="135"/>
      <c r="C176" s="136"/>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row>
    <row r="177" spans="2:53" ht="12.75">
      <c r="B177" s="135"/>
      <c r="C177" s="136"/>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row>
    <row r="178" spans="2:53" ht="12.75">
      <c r="B178" s="135"/>
      <c r="C178" s="136"/>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row>
    <row r="179" spans="2:53" ht="12.75">
      <c r="B179" s="135"/>
      <c r="C179" s="136"/>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row>
    <row r="180" spans="2:53" ht="12.75">
      <c r="B180" s="135"/>
      <c r="C180" s="136"/>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row>
    <row r="181" spans="2:53" ht="12.75">
      <c r="B181" s="135"/>
      <c r="C181" s="136"/>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row>
    <row r="182" spans="2:53" ht="12.75">
      <c r="B182" s="135"/>
      <c r="C182" s="136"/>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row>
    <row r="183" spans="2:53" ht="12.75">
      <c r="B183" s="135"/>
      <c r="C183" s="136"/>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row>
    <row r="184" spans="2:53" ht="12.75">
      <c r="B184" s="135"/>
      <c r="C184" s="136"/>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row>
    <row r="185" spans="2:53" ht="12.75">
      <c r="B185" s="135"/>
      <c r="C185" s="136"/>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row>
    <row r="186" spans="2:53" ht="12.75">
      <c r="B186" s="135"/>
      <c r="C186" s="136"/>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row>
    <row r="187" spans="2:53" ht="12.75">
      <c r="B187" s="135"/>
      <c r="C187" s="136"/>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row>
    <row r="188" spans="2:53" ht="12.75">
      <c r="B188" s="135"/>
      <c r="C188" s="136"/>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row>
    <row r="189" spans="2:53" ht="12.75">
      <c r="B189" s="135"/>
      <c r="C189" s="136"/>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row>
    <row r="190" spans="2:53" ht="12.75">
      <c r="B190" s="135"/>
      <c r="C190" s="136"/>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row>
    <row r="191" spans="2:53" ht="12.75">
      <c r="B191" s="135"/>
      <c r="C191" s="136"/>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row>
    <row r="192" spans="2:53" ht="12.75">
      <c r="B192" s="135"/>
      <c r="C192" s="136"/>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row>
    <row r="193" spans="2:53" ht="12.75">
      <c r="B193" s="135"/>
      <c r="C193" s="136"/>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row>
    <row r="194" spans="2:53" ht="12.75">
      <c r="B194" s="135"/>
      <c r="C194" s="136"/>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row>
    <row r="195" spans="2:53" ht="12.75">
      <c r="B195" s="135"/>
      <c r="C195" s="136"/>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row>
    <row r="196" spans="2:53" ht="12.75">
      <c r="B196" s="135"/>
      <c r="C196" s="136"/>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row>
    <row r="197" spans="2:53" ht="12.75">
      <c r="B197" s="135"/>
      <c r="C197" s="136"/>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row>
    <row r="198" spans="2:53" ht="12.75">
      <c r="B198" s="135"/>
      <c r="C198" s="136"/>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row>
    <row r="199" spans="2:53" ht="12.75">
      <c r="B199" s="135"/>
      <c r="C199" s="136"/>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row>
    <row r="200" spans="2:53" ht="12.75">
      <c r="B200" s="135"/>
      <c r="C200" s="136"/>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row>
    <row r="201" spans="2:53" ht="12.75">
      <c r="B201" s="135"/>
      <c r="C201" s="136"/>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row>
    <row r="202" spans="2:53" ht="12.75">
      <c r="B202" s="135"/>
      <c r="C202" s="136"/>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row>
    <row r="203" spans="2:53" ht="12.75">
      <c r="B203" s="135"/>
      <c r="C203" s="136"/>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row>
    <row r="204" spans="2:53" ht="12.75">
      <c r="B204" s="135"/>
      <c r="C204" s="136"/>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row>
    <row r="205" spans="2:53" ht="12.75">
      <c r="B205" s="135"/>
      <c r="C205" s="136"/>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row>
    <row r="206" spans="2:53" ht="12.75">
      <c r="B206" s="135"/>
      <c r="C206" s="136"/>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row>
    <row r="207" spans="2:53" ht="12.75">
      <c r="B207" s="135"/>
      <c r="C207" s="136"/>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row>
    <row r="208" spans="2:53" ht="12.75">
      <c r="B208" s="135"/>
      <c r="C208" s="136"/>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row>
    <row r="209" spans="2:53" ht="12.75">
      <c r="B209" s="135"/>
      <c r="C209" s="136"/>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row>
    <row r="210" spans="2:53" ht="12.75">
      <c r="B210" s="135"/>
      <c r="C210" s="136"/>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row>
    <row r="211" spans="2:53" ht="12.75">
      <c r="B211" s="135"/>
      <c r="C211" s="136"/>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row>
    <row r="212" spans="2:53" ht="12.75">
      <c r="B212" s="135"/>
      <c r="C212" s="136"/>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row>
    <row r="213" spans="2:53" ht="12.75">
      <c r="B213" s="135"/>
      <c r="C213" s="136"/>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row>
    <row r="214" spans="2:53" ht="12.75">
      <c r="B214" s="135"/>
      <c r="C214" s="136"/>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row>
    <row r="215" spans="2:53" ht="12.75">
      <c r="B215" s="135"/>
      <c r="C215" s="136"/>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row>
    <row r="216" spans="2:53" ht="12.75">
      <c r="B216" s="135"/>
      <c r="C216" s="136"/>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row>
    <row r="217" spans="2:53" ht="12.75">
      <c r="B217" s="135"/>
      <c r="C217" s="136"/>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row>
    <row r="218" spans="2:53" ht="12.75">
      <c r="B218" s="135"/>
      <c r="C218" s="136"/>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row>
    <row r="219" spans="2:53" ht="12.75">
      <c r="B219" s="135"/>
      <c r="C219" s="136"/>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row>
    <row r="220" spans="2:53" ht="12.75">
      <c r="B220" s="135"/>
      <c r="C220" s="136"/>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row>
    <row r="221" spans="2:53" ht="12.75">
      <c r="B221" s="135"/>
      <c r="C221" s="136"/>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row>
    <row r="222" spans="2:53" ht="12.75">
      <c r="B222" s="135"/>
      <c r="C222" s="136"/>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row>
    <row r="223" spans="2:53" ht="12.75">
      <c r="B223" s="135"/>
      <c r="C223" s="136"/>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row>
    <row r="224" spans="2:53" ht="12.75">
      <c r="B224" s="135"/>
      <c r="C224" s="136"/>
      <c r="D224" s="29"/>
      <c r="E224" s="29"/>
      <c r="F224" s="643"/>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row>
    <row r="225" spans="2:53" ht="12.75">
      <c r="B225" s="135"/>
      <c r="C225" s="136"/>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row>
    <row r="226" spans="2:53" ht="12.75">
      <c r="B226" s="135"/>
      <c r="C226" s="136"/>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row>
    <row r="227" spans="2:53" ht="12.75">
      <c r="B227" s="135"/>
      <c r="C227" s="136"/>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row>
    <row r="228" spans="2:53" ht="12.75">
      <c r="B228" s="135"/>
      <c r="C228" s="136"/>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row>
    <row r="229" spans="2:53" ht="12.75">
      <c r="B229" s="135"/>
      <c r="C229" s="136"/>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row>
    <row r="230" spans="2:53" ht="12.75">
      <c r="B230" s="135"/>
      <c r="C230" s="136"/>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row>
    <row r="231" spans="2:53" ht="12.75">
      <c r="B231" s="135"/>
      <c r="C231" s="136"/>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row>
    <row r="232" spans="2:53" ht="12.75">
      <c r="B232" s="135"/>
      <c r="C232" s="136"/>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row>
    <row r="233" spans="2:53" ht="12.75">
      <c r="B233" s="135"/>
      <c r="C233" s="136"/>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row>
    <row r="234" spans="2:53" ht="12.75">
      <c r="B234" s="135"/>
      <c r="C234" s="136"/>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row>
    <row r="235" spans="2:53" ht="12.75">
      <c r="B235" s="135"/>
      <c r="C235" s="136"/>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row>
    <row r="236" spans="2:53" ht="12.75">
      <c r="B236" s="135"/>
      <c r="C236" s="136"/>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row>
    <row r="237" spans="2:53" ht="12.75">
      <c r="B237" s="135"/>
      <c r="C237" s="136"/>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row>
    <row r="238" spans="2:53" ht="12.75">
      <c r="B238" s="135"/>
      <c r="C238" s="136"/>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row>
    <row r="239" spans="2:53" ht="12.75">
      <c r="B239" s="135"/>
      <c r="C239" s="136"/>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row>
    <row r="240" spans="2:53" ht="12.75">
      <c r="B240" s="135"/>
      <c r="C240" s="136"/>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row>
    <row r="241" spans="2:53" ht="12.75">
      <c r="B241" s="135"/>
      <c r="C241" s="136"/>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row>
    <row r="242" spans="2:53" ht="12.75">
      <c r="B242" s="135"/>
      <c r="C242" s="136"/>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row>
    <row r="243" spans="2:53" ht="12.75">
      <c r="B243" s="135"/>
      <c r="C243" s="136"/>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row>
    <row r="244" spans="2:53" ht="12.75">
      <c r="B244" s="135"/>
      <c r="C244" s="136"/>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row>
    <row r="245" spans="2:53" ht="12.75">
      <c r="B245" s="135"/>
      <c r="C245" s="136"/>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row>
    <row r="246" spans="2:53" ht="12.75">
      <c r="B246" s="135"/>
      <c r="C246" s="136"/>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row>
    <row r="247" spans="2:53" ht="12.75">
      <c r="B247" s="135"/>
      <c r="C247" s="136"/>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row>
    <row r="248" spans="2:53" ht="12.75">
      <c r="B248" s="135"/>
      <c r="C248" s="136"/>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row>
    <row r="249" spans="2:53" ht="12.75">
      <c r="B249" s="135"/>
      <c r="C249" s="136"/>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row>
    <row r="250" spans="2:53" ht="12.75">
      <c r="B250" s="135"/>
      <c r="C250" s="136"/>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row>
    <row r="251" spans="2:53" ht="12.75">
      <c r="B251" s="135"/>
      <c r="C251" s="136"/>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row>
    <row r="252" spans="2:53" ht="12.75">
      <c r="B252" s="135"/>
      <c r="C252" s="136"/>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row>
    <row r="253" spans="2:53" ht="12.75">
      <c r="B253" s="135"/>
      <c r="C253" s="136"/>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row>
  </sheetData>
  <sheetProtection/>
  <mergeCells count="1">
    <mergeCell ref="B1:D1"/>
  </mergeCells>
  <printOptions horizontalCentered="1"/>
  <pageMargins left="0.75" right="0.75" top="1" bottom="1" header="0.5" footer="0.5"/>
  <pageSetup fitToHeight="4"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AQ101"/>
  <sheetViews>
    <sheetView showGridLine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00" sqref="A100"/>
    </sheetView>
  </sheetViews>
  <sheetFormatPr defaultColWidth="9.33203125" defaultRowHeight="12.75"/>
  <cols>
    <col min="1" max="21" width="9.33203125" style="12" customWidth="1"/>
    <col min="22" max="22" width="2.5" style="12" customWidth="1"/>
    <col min="23" max="16384" width="9.33203125" style="12" customWidth="1"/>
  </cols>
  <sheetData>
    <row r="1" spans="1:43" ht="12.75">
      <c r="A1" s="13" t="s">
        <v>26</v>
      </c>
      <c r="B1" s="14">
        <v>2</v>
      </c>
      <c r="C1" s="14">
        <v>3</v>
      </c>
      <c r="D1" s="14">
        <v>4</v>
      </c>
      <c r="E1" s="14">
        <v>5</v>
      </c>
      <c r="F1" s="14">
        <v>6</v>
      </c>
      <c r="G1" s="14">
        <v>7</v>
      </c>
      <c r="H1" s="14">
        <v>8</v>
      </c>
      <c r="I1" s="14">
        <v>9</v>
      </c>
      <c r="J1" s="14">
        <v>10</v>
      </c>
      <c r="K1" s="14">
        <v>11</v>
      </c>
      <c r="L1" s="14">
        <v>12</v>
      </c>
      <c r="M1" s="14">
        <v>13</v>
      </c>
      <c r="N1" s="14">
        <v>14</v>
      </c>
      <c r="O1" s="14">
        <v>15</v>
      </c>
      <c r="P1" s="14">
        <v>16</v>
      </c>
      <c r="Q1" s="14">
        <v>17</v>
      </c>
      <c r="R1" s="14">
        <v>18</v>
      </c>
      <c r="S1" s="14">
        <v>19</v>
      </c>
      <c r="T1" s="14">
        <v>20</v>
      </c>
      <c r="U1" s="15">
        <v>21</v>
      </c>
      <c r="W1" s="13" t="s">
        <v>25</v>
      </c>
      <c r="X1" s="14">
        <v>2</v>
      </c>
      <c r="Y1" s="14">
        <v>3</v>
      </c>
      <c r="Z1" s="14">
        <v>4</v>
      </c>
      <c r="AA1" s="14">
        <v>5</v>
      </c>
      <c r="AB1" s="14">
        <v>6</v>
      </c>
      <c r="AC1" s="14">
        <v>7</v>
      </c>
      <c r="AD1" s="14">
        <v>8</v>
      </c>
      <c r="AE1" s="14">
        <v>9</v>
      </c>
      <c r="AF1" s="14">
        <v>10</v>
      </c>
      <c r="AG1" s="14">
        <v>11</v>
      </c>
      <c r="AH1" s="14">
        <v>12</v>
      </c>
      <c r="AI1" s="14">
        <v>13</v>
      </c>
      <c r="AJ1" s="14">
        <v>14</v>
      </c>
      <c r="AK1" s="14">
        <v>15</v>
      </c>
      <c r="AL1" s="14">
        <v>16</v>
      </c>
      <c r="AM1" s="14">
        <v>17</v>
      </c>
      <c r="AN1" s="14">
        <v>18</v>
      </c>
      <c r="AO1" s="14">
        <v>19</v>
      </c>
      <c r="AP1" s="14">
        <v>20</v>
      </c>
      <c r="AQ1" s="15">
        <v>21</v>
      </c>
    </row>
    <row r="2" spans="1:43" ht="12.75">
      <c r="A2" s="16">
        <v>5</v>
      </c>
      <c r="B2" s="18">
        <v>0.61018</v>
      </c>
      <c r="C2" s="18">
        <v>0.46723</v>
      </c>
      <c r="D2" s="18">
        <v>0.36744</v>
      </c>
      <c r="E2" s="18">
        <v>0.29571</v>
      </c>
      <c r="F2" s="18">
        <v>0.24269</v>
      </c>
      <c r="G2" s="18">
        <v>0.20253</v>
      </c>
      <c r="H2" s="18">
        <v>0.17144</v>
      </c>
      <c r="I2" s="18">
        <v>0.14693</v>
      </c>
      <c r="J2" s="18">
        <v>0.12726</v>
      </c>
      <c r="K2" s="18">
        <v>0.11127</v>
      </c>
      <c r="L2" s="18">
        <v>0.09809</v>
      </c>
      <c r="M2" s="18">
        <v>0.08711</v>
      </c>
      <c r="N2" s="18">
        <v>0.07786</v>
      </c>
      <c r="O2" s="18">
        <v>0.07001</v>
      </c>
      <c r="P2" s="18">
        <v>0.06327</v>
      </c>
      <c r="Q2" s="18">
        <v>0.05747</v>
      </c>
      <c r="R2" s="18">
        <v>0.05242</v>
      </c>
      <c r="S2" s="18">
        <v>0.04801</v>
      </c>
      <c r="T2" s="18">
        <v>0.04413</v>
      </c>
      <c r="U2" s="19">
        <v>0.0407</v>
      </c>
      <c r="W2" s="16">
        <v>5</v>
      </c>
      <c r="X2" s="18">
        <v>1.31988</v>
      </c>
      <c r="Y2" s="18">
        <v>1.69926</v>
      </c>
      <c r="Z2" s="18">
        <v>2.12816</v>
      </c>
      <c r="AA2" s="18">
        <v>2.5881</v>
      </c>
      <c r="AB2" s="18">
        <v>2.29593</v>
      </c>
      <c r="AC2" s="18">
        <v>2.57158</v>
      </c>
      <c r="AD2" s="18">
        <v>2.84769</v>
      </c>
      <c r="AE2" s="18">
        <v>3.11121</v>
      </c>
      <c r="AF2" s="18">
        <v>3.36038</v>
      </c>
      <c r="AG2" s="18">
        <v>2.97399</v>
      </c>
      <c r="AH2" s="18">
        <v>3.1593</v>
      </c>
      <c r="AI2" s="18">
        <v>3.33481</v>
      </c>
      <c r="AJ2" s="18">
        <v>3.49566</v>
      </c>
      <c r="AK2" s="18">
        <v>3.64241</v>
      </c>
      <c r="AL2" s="18">
        <v>3.327</v>
      </c>
      <c r="AM2" s="18">
        <v>3.45402</v>
      </c>
      <c r="AN2" s="18">
        <v>3.57167</v>
      </c>
      <c r="AO2" s="18">
        <v>3.67769</v>
      </c>
      <c r="AP2" s="18">
        <v>3.77297</v>
      </c>
      <c r="AQ2" s="19">
        <v>3.52786</v>
      </c>
    </row>
    <row r="3" spans="1:43" ht="12.75">
      <c r="A3" s="16">
        <v>10</v>
      </c>
      <c r="B3" s="18">
        <v>0.87913</v>
      </c>
      <c r="C3" s="18">
        <v>0.69715</v>
      </c>
      <c r="D3" s="18">
        <v>0.52534</v>
      </c>
      <c r="E3" s="18">
        <v>0.37602</v>
      </c>
      <c r="F3" s="18">
        <v>0.24269</v>
      </c>
      <c r="G3" s="18">
        <v>0.20253</v>
      </c>
      <c r="H3" s="18">
        <v>0.17144</v>
      </c>
      <c r="I3" s="18">
        <v>0.14693</v>
      </c>
      <c r="J3" s="18">
        <v>0.12726</v>
      </c>
      <c r="K3" s="18">
        <v>0.11127</v>
      </c>
      <c r="L3" s="18">
        <v>0.09809</v>
      </c>
      <c r="M3" s="18">
        <v>0.08711</v>
      </c>
      <c r="N3" s="18">
        <v>0.07786</v>
      </c>
      <c r="O3" s="18">
        <v>0.07001</v>
      </c>
      <c r="P3" s="18">
        <v>0.06327</v>
      </c>
      <c r="Q3" s="18">
        <v>0.05747</v>
      </c>
      <c r="R3" s="18">
        <v>0.05242</v>
      </c>
      <c r="S3" s="18">
        <v>0.04801</v>
      </c>
      <c r="T3" s="18">
        <v>0.04413</v>
      </c>
      <c r="U3" s="19">
        <v>0.0407</v>
      </c>
      <c r="W3" s="16">
        <v>10</v>
      </c>
      <c r="X3" s="18">
        <v>1.31971</v>
      </c>
      <c r="Y3" s="18">
        <v>1.55066</v>
      </c>
      <c r="Z3" s="18">
        <v>1.77882</v>
      </c>
      <c r="AA3" s="18">
        <v>2.02955</v>
      </c>
      <c r="AB3" s="18">
        <v>2.29593</v>
      </c>
      <c r="AC3" s="18">
        <v>2.57158</v>
      </c>
      <c r="AD3" s="18">
        <v>2.84769</v>
      </c>
      <c r="AE3" s="18">
        <v>3.11121</v>
      </c>
      <c r="AF3" s="18">
        <v>3.36038</v>
      </c>
      <c r="AG3" s="18">
        <v>2.97399</v>
      </c>
      <c r="AH3" s="18">
        <v>3.1593</v>
      </c>
      <c r="AI3" s="18">
        <v>3.33481</v>
      </c>
      <c r="AJ3" s="18">
        <v>3.49566</v>
      </c>
      <c r="AK3" s="18">
        <v>3.64241</v>
      </c>
      <c r="AL3" s="18">
        <v>3.327</v>
      </c>
      <c r="AM3" s="18">
        <v>3.45402</v>
      </c>
      <c r="AN3" s="18">
        <v>3.57167</v>
      </c>
      <c r="AO3" s="18">
        <v>3.67769</v>
      </c>
      <c r="AP3" s="18">
        <v>3.77297</v>
      </c>
      <c r="AQ3" s="19">
        <v>3.52786</v>
      </c>
    </row>
    <row r="4" spans="1:43" ht="12.75">
      <c r="A4" s="16">
        <v>15</v>
      </c>
      <c r="B4" s="18">
        <v>1.07697</v>
      </c>
      <c r="C4" s="18">
        <v>0.94554</v>
      </c>
      <c r="D4" s="18">
        <v>0.81396</v>
      </c>
      <c r="E4" s="18">
        <v>0.68519</v>
      </c>
      <c r="F4" s="18">
        <v>0.56197</v>
      </c>
      <c r="G4" s="18">
        <v>0.44707</v>
      </c>
      <c r="H4" s="18">
        <v>0.3429</v>
      </c>
      <c r="I4" s="18">
        <v>0.2509</v>
      </c>
      <c r="J4" s="18">
        <v>0.17531</v>
      </c>
      <c r="K4" s="18">
        <v>0.11127</v>
      </c>
      <c r="L4" s="18">
        <v>0.09809</v>
      </c>
      <c r="M4" s="18">
        <v>0.08711</v>
      </c>
      <c r="N4" s="18">
        <v>0.07786</v>
      </c>
      <c r="O4" s="18">
        <v>0.07001</v>
      </c>
      <c r="P4" s="18">
        <v>0.06327</v>
      </c>
      <c r="Q4" s="18">
        <v>0.05747</v>
      </c>
      <c r="R4" s="18">
        <v>0.05242</v>
      </c>
      <c r="S4" s="18">
        <v>0.04801</v>
      </c>
      <c r="T4" s="18">
        <v>0.04413</v>
      </c>
      <c r="U4" s="19">
        <v>0.0407</v>
      </c>
      <c r="W4" s="16">
        <v>15</v>
      </c>
      <c r="X4" s="18">
        <v>1.36054</v>
      </c>
      <c r="Y4" s="18">
        <v>1.53525</v>
      </c>
      <c r="Z4" s="18">
        <v>1.68509</v>
      </c>
      <c r="AA4" s="18">
        <v>1.84815</v>
      </c>
      <c r="AB4" s="18">
        <v>2.02262</v>
      </c>
      <c r="AC4" s="18">
        <v>2.20614</v>
      </c>
      <c r="AD4" s="18">
        <v>2.39602</v>
      </c>
      <c r="AE4" s="18">
        <v>2.58939</v>
      </c>
      <c r="AF4" s="18">
        <v>2.78312</v>
      </c>
      <c r="AG4" s="18">
        <v>2.97399</v>
      </c>
      <c r="AH4" s="18">
        <v>3.1593</v>
      </c>
      <c r="AI4" s="18">
        <v>3.33481</v>
      </c>
      <c r="AJ4" s="18">
        <v>3.49566</v>
      </c>
      <c r="AK4" s="18">
        <v>3.64241</v>
      </c>
      <c r="AL4" s="18">
        <v>3.327</v>
      </c>
      <c r="AM4" s="18">
        <v>3.45402</v>
      </c>
      <c r="AN4" s="18">
        <v>3.57167</v>
      </c>
      <c r="AO4" s="18">
        <v>3.67769</v>
      </c>
      <c r="AP4" s="18">
        <v>3.77297</v>
      </c>
      <c r="AQ4" s="19">
        <v>3.52786</v>
      </c>
    </row>
    <row r="5" spans="1:43" ht="12.75">
      <c r="A5" s="16">
        <v>20</v>
      </c>
      <c r="B5" s="18">
        <v>1.20149</v>
      </c>
      <c r="C5" s="18">
        <v>1.1004</v>
      </c>
      <c r="D5" s="18">
        <v>0.99755</v>
      </c>
      <c r="E5" s="18">
        <v>0.89425</v>
      </c>
      <c r="F5" s="18">
        <v>0.79179</v>
      </c>
      <c r="G5" s="18">
        <v>0.69146</v>
      </c>
      <c r="H5" s="18">
        <v>0.59454</v>
      </c>
      <c r="I5" s="18">
        <v>0.5022</v>
      </c>
      <c r="J5" s="18">
        <v>0.41559</v>
      </c>
      <c r="K5" s="18">
        <v>0.33571</v>
      </c>
      <c r="L5" s="18">
        <v>0.26349</v>
      </c>
      <c r="M5" s="18">
        <v>0.19978</v>
      </c>
      <c r="N5" s="18">
        <v>0.14472</v>
      </c>
      <c r="O5" s="18">
        <v>0.10024</v>
      </c>
      <c r="P5" s="18">
        <v>0.06327</v>
      </c>
      <c r="Q5" s="18">
        <v>0.05747</v>
      </c>
      <c r="R5" s="18">
        <v>0.05242</v>
      </c>
      <c r="S5" s="18">
        <v>0.04801</v>
      </c>
      <c r="T5" s="18">
        <v>0.04413</v>
      </c>
      <c r="U5" s="19">
        <v>0.0407</v>
      </c>
      <c r="W5" s="16">
        <v>20</v>
      </c>
      <c r="X5" s="18">
        <v>1.41073</v>
      </c>
      <c r="Y5" s="18">
        <v>1.53668</v>
      </c>
      <c r="Z5" s="18">
        <v>1.65649</v>
      </c>
      <c r="AA5" s="18">
        <v>1.77526</v>
      </c>
      <c r="AB5" s="18">
        <v>1.90184</v>
      </c>
      <c r="AC5" s="18">
        <v>2.03522</v>
      </c>
      <c r="AD5" s="18">
        <v>2.17427</v>
      </c>
      <c r="AE5" s="18">
        <v>2.31774</v>
      </c>
      <c r="AF5" s="18">
        <v>2.46431</v>
      </c>
      <c r="AG5" s="18">
        <v>2.6126</v>
      </c>
      <c r="AH5" s="18">
        <v>2.76111</v>
      </c>
      <c r="AI5" s="18">
        <v>2.90835</v>
      </c>
      <c r="AJ5" s="18">
        <v>3.05282</v>
      </c>
      <c r="AK5" s="18">
        <v>3.19285</v>
      </c>
      <c r="AL5" s="18">
        <v>3.327</v>
      </c>
      <c r="AM5" s="18">
        <v>3.45402</v>
      </c>
      <c r="AN5" s="18">
        <v>3.57167</v>
      </c>
      <c r="AO5" s="18">
        <v>3.67769</v>
      </c>
      <c r="AP5" s="18">
        <v>3.77297</v>
      </c>
      <c r="AQ5" s="19">
        <v>3.52786</v>
      </c>
    </row>
    <row r="6" spans="1:43" ht="12.75">
      <c r="A6" s="16">
        <v>25</v>
      </c>
      <c r="B6" s="18">
        <v>1.28791</v>
      </c>
      <c r="C6" s="18">
        <v>1.20625</v>
      </c>
      <c r="D6" s="18">
        <v>1.12276</v>
      </c>
      <c r="E6" s="18">
        <v>1.03811</v>
      </c>
      <c r="F6" s="18">
        <v>0.95297</v>
      </c>
      <c r="G6" s="18">
        <v>0.86803</v>
      </c>
      <c r="H6" s="18">
        <v>0.784</v>
      </c>
      <c r="I6" s="18">
        <v>0.70154</v>
      </c>
      <c r="J6" s="18">
        <v>0.62133</v>
      </c>
      <c r="K6" s="18">
        <v>0.54401</v>
      </c>
      <c r="L6" s="18">
        <v>0.47019</v>
      </c>
      <c r="M6" s="18">
        <v>0.40046</v>
      </c>
      <c r="N6" s="18">
        <v>0.33536</v>
      </c>
      <c r="O6" s="18">
        <v>0.27536</v>
      </c>
      <c r="P6" s="18">
        <v>0.2209</v>
      </c>
      <c r="Q6" s="18">
        <v>0.17231</v>
      </c>
      <c r="R6" s="18">
        <v>0.12995</v>
      </c>
      <c r="S6" s="18">
        <v>0.09371</v>
      </c>
      <c r="T6" s="18">
        <v>0.06465</v>
      </c>
      <c r="U6" s="19">
        <v>0.0407</v>
      </c>
      <c r="W6" s="16">
        <v>25</v>
      </c>
      <c r="X6" s="18">
        <v>1.45371</v>
      </c>
      <c r="Y6" s="18">
        <v>1.54954</v>
      </c>
      <c r="Z6" s="18">
        <v>1.64987</v>
      </c>
      <c r="AA6" s="18">
        <v>1.7426</v>
      </c>
      <c r="AB6" s="18">
        <v>1.84088</v>
      </c>
      <c r="AC6" s="18">
        <v>1.9442</v>
      </c>
      <c r="AD6" s="18">
        <v>2.05196</v>
      </c>
      <c r="AE6" s="18">
        <v>2.16358</v>
      </c>
      <c r="AF6" s="18">
        <v>2.27837</v>
      </c>
      <c r="AG6" s="18">
        <v>2.39562</v>
      </c>
      <c r="AH6" s="18">
        <v>2.51459</v>
      </c>
      <c r="AI6" s="18">
        <v>2.63447</v>
      </c>
      <c r="AJ6" s="18">
        <v>2.75449</v>
      </c>
      <c r="AK6" s="18">
        <v>2.87381</v>
      </c>
      <c r="AL6" s="18">
        <v>2.9916</v>
      </c>
      <c r="AM6" s="18">
        <v>3.107</v>
      </c>
      <c r="AN6" s="18">
        <v>3.21917</v>
      </c>
      <c r="AO6" s="18">
        <v>3.32728</v>
      </c>
      <c r="AP6" s="18">
        <v>3.43042</v>
      </c>
      <c r="AQ6" s="19">
        <v>3.52786</v>
      </c>
    </row>
    <row r="7" spans="1:43" ht="12.75">
      <c r="A7" s="16">
        <v>30</v>
      </c>
      <c r="B7" s="18">
        <v>1.35204</v>
      </c>
      <c r="C7" s="18">
        <v>1.28373</v>
      </c>
      <c r="D7" s="18">
        <v>1.2138</v>
      </c>
      <c r="E7" s="18">
        <v>1.14262</v>
      </c>
      <c r="F7" s="18">
        <v>1.0706</v>
      </c>
      <c r="G7" s="18">
        <v>0.99815</v>
      </c>
      <c r="H7" s="18">
        <v>0.92564</v>
      </c>
      <c r="I7" s="18">
        <v>0.85351</v>
      </c>
      <c r="J7" s="18">
        <v>0.78217</v>
      </c>
      <c r="K7" s="18">
        <v>0.71202</v>
      </c>
      <c r="L7" s="18">
        <v>0.64345</v>
      </c>
      <c r="M7" s="18">
        <v>0.57685</v>
      </c>
      <c r="N7" s="18">
        <v>0.51259</v>
      </c>
      <c r="O7" s="18">
        <v>0.45105</v>
      </c>
      <c r="P7" s="18">
        <v>0.39255</v>
      </c>
      <c r="Q7" s="18">
        <v>0.3374</v>
      </c>
      <c r="R7" s="18">
        <v>0.2859</v>
      </c>
      <c r="S7" s="18">
        <v>0.2383</v>
      </c>
      <c r="T7" s="18">
        <v>0.19485</v>
      </c>
      <c r="U7" s="19">
        <v>0.15572</v>
      </c>
      <c r="W7" s="16">
        <v>30</v>
      </c>
      <c r="X7" s="18">
        <v>1.48936</v>
      </c>
      <c r="Y7" s="18">
        <v>1.56661</v>
      </c>
      <c r="Z7" s="18">
        <v>1.64981</v>
      </c>
      <c r="AA7" s="18">
        <v>1.7277</v>
      </c>
      <c r="AB7" s="18">
        <v>1.80758</v>
      </c>
      <c r="AC7" s="18">
        <v>1.89129</v>
      </c>
      <c r="AD7" s="18">
        <v>1.97849</v>
      </c>
      <c r="AE7" s="18">
        <v>2.06882</v>
      </c>
      <c r="AF7" s="18">
        <v>2.1619</v>
      </c>
      <c r="AG7" s="18">
        <v>2.25735</v>
      </c>
      <c r="AH7" s="18">
        <v>2.35473</v>
      </c>
      <c r="AI7" s="18">
        <v>2.45359</v>
      </c>
      <c r="AJ7" s="18">
        <v>2.55348</v>
      </c>
      <c r="AK7" s="18">
        <v>2.65392</v>
      </c>
      <c r="AL7" s="18">
        <v>2.75442</v>
      </c>
      <c r="AM7" s="18">
        <v>2.85449</v>
      </c>
      <c r="AN7" s="18">
        <v>2.95361</v>
      </c>
      <c r="AO7" s="18">
        <v>3.05127</v>
      </c>
      <c r="AP7" s="18">
        <v>3.14697</v>
      </c>
      <c r="AQ7" s="19">
        <v>3.2402</v>
      </c>
    </row>
    <row r="8" spans="1:43" ht="12.75">
      <c r="A8" s="16">
        <v>35</v>
      </c>
      <c r="B8" s="18">
        <v>1.40194</v>
      </c>
      <c r="C8" s="18">
        <v>1.34332</v>
      </c>
      <c r="D8" s="18">
        <v>1.2833</v>
      </c>
      <c r="E8" s="18">
        <v>1.22214</v>
      </c>
      <c r="F8" s="18">
        <v>1.16007</v>
      </c>
      <c r="G8" s="18">
        <v>1.09735</v>
      </c>
      <c r="H8" s="18">
        <v>1.03424</v>
      </c>
      <c r="I8" s="18">
        <v>0.97099</v>
      </c>
      <c r="J8" s="18">
        <v>0.90788</v>
      </c>
      <c r="K8" s="18">
        <v>0.84516</v>
      </c>
      <c r="L8" s="18">
        <v>0.78311</v>
      </c>
      <c r="M8" s="18">
        <v>0.72197</v>
      </c>
      <c r="N8" s="18">
        <v>0.662</v>
      </c>
      <c r="O8" s="18">
        <v>0.60346</v>
      </c>
      <c r="P8" s="18">
        <v>0.54659</v>
      </c>
      <c r="Q8" s="18">
        <v>0.49162</v>
      </c>
      <c r="R8" s="18">
        <v>0.43878</v>
      </c>
      <c r="S8" s="18">
        <v>0.38829</v>
      </c>
      <c r="T8" s="18">
        <v>0.34034</v>
      </c>
      <c r="U8" s="19">
        <v>0.29513</v>
      </c>
      <c r="W8" s="16">
        <v>35</v>
      </c>
      <c r="X8" s="18">
        <v>1.51914</v>
      </c>
      <c r="Y8" s="18">
        <v>1.58382</v>
      </c>
      <c r="Z8" s="18">
        <v>1.65282</v>
      </c>
      <c r="AA8" s="18">
        <v>1.72152</v>
      </c>
      <c r="AB8" s="18">
        <v>1.78863</v>
      </c>
      <c r="AC8" s="18">
        <v>1.8587</v>
      </c>
      <c r="AD8" s="18">
        <v>1.93153</v>
      </c>
      <c r="AE8" s="18">
        <v>2.00692</v>
      </c>
      <c r="AF8" s="18">
        <v>2.0846</v>
      </c>
      <c r="AG8" s="18">
        <v>2.16437</v>
      </c>
      <c r="AH8" s="18">
        <v>2.24594</v>
      </c>
      <c r="AI8" s="18">
        <v>2.32904</v>
      </c>
      <c r="AJ8" s="18">
        <v>2.4134</v>
      </c>
      <c r="AK8" s="18">
        <v>2.49872</v>
      </c>
      <c r="AL8" s="18">
        <v>2.58469</v>
      </c>
      <c r="AM8" s="18">
        <v>2.671</v>
      </c>
      <c r="AN8" s="18">
        <v>2.75733</v>
      </c>
      <c r="AO8" s="18">
        <v>2.84336</v>
      </c>
      <c r="AP8" s="18">
        <v>2.92876</v>
      </c>
      <c r="AQ8" s="19">
        <v>3.0132</v>
      </c>
    </row>
    <row r="9" spans="1:43" ht="12.75">
      <c r="A9" s="16">
        <v>40</v>
      </c>
      <c r="B9" s="18">
        <v>1.44214</v>
      </c>
      <c r="C9" s="18">
        <v>1.39083</v>
      </c>
      <c r="D9" s="18">
        <v>1.33835</v>
      </c>
      <c r="E9" s="18">
        <v>1.28484</v>
      </c>
      <c r="F9" s="18">
        <v>1.23047</v>
      </c>
      <c r="G9" s="18">
        <v>1.17541</v>
      </c>
      <c r="H9" s="18">
        <v>1.11983</v>
      </c>
      <c r="I9" s="18">
        <v>1.06391</v>
      </c>
      <c r="J9" s="18">
        <v>1.00782</v>
      </c>
      <c r="K9" s="18">
        <v>0.95174</v>
      </c>
      <c r="L9" s="18">
        <v>0.89585</v>
      </c>
      <c r="M9" s="18">
        <v>0.84035</v>
      </c>
      <c r="N9" s="18">
        <v>0.78539</v>
      </c>
      <c r="O9" s="18">
        <v>0.73115</v>
      </c>
      <c r="P9" s="18">
        <v>0.67782</v>
      </c>
      <c r="Q9" s="18">
        <v>0.62556</v>
      </c>
      <c r="R9" s="18">
        <v>0.57454</v>
      </c>
      <c r="S9" s="18">
        <v>0.52492</v>
      </c>
      <c r="T9" s="18">
        <v>0.47687</v>
      </c>
      <c r="U9" s="19">
        <v>0.43054</v>
      </c>
      <c r="W9" s="16">
        <v>40</v>
      </c>
      <c r="X9" s="18">
        <v>1.54436</v>
      </c>
      <c r="Y9" s="18">
        <v>1.59999</v>
      </c>
      <c r="Z9" s="18">
        <v>1.65889</v>
      </c>
      <c r="AA9" s="18">
        <v>1.71996</v>
      </c>
      <c r="AB9" s="18">
        <v>1.77772</v>
      </c>
      <c r="AC9" s="18">
        <v>1.83784</v>
      </c>
      <c r="AD9" s="18">
        <v>1.90017</v>
      </c>
      <c r="AE9" s="18">
        <v>1.9646</v>
      </c>
      <c r="AF9" s="18">
        <v>2.03095</v>
      </c>
      <c r="AG9" s="18">
        <v>2.09907</v>
      </c>
      <c r="AH9" s="18">
        <v>2.16881</v>
      </c>
      <c r="AI9" s="18">
        <v>2.23997</v>
      </c>
      <c r="AJ9" s="18">
        <v>2.31237</v>
      </c>
      <c r="AK9" s="18">
        <v>2.38581</v>
      </c>
      <c r="AL9" s="18">
        <v>2.46011</v>
      </c>
      <c r="AM9" s="18">
        <v>2.53505</v>
      </c>
      <c r="AN9" s="18">
        <v>2.61043</v>
      </c>
      <c r="AO9" s="18">
        <v>2.68601</v>
      </c>
      <c r="AP9" s="18">
        <v>2.76161</v>
      </c>
      <c r="AQ9" s="19">
        <v>2.83698</v>
      </c>
    </row>
    <row r="10" spans="1:43" ht="12.75">
      <c r="A10" s="16">
        <v>45</v>
      </c>
      <c r="B10" s="18">
        <v>1.47538</v>
      </c>
      <c r="C10" s="18">
        <v>1.4298</v>
      </c>
      <c r="D10" s="18">
        <v>1.3832</v>
      </c>
      <c r="E10" s="18">
        <v>1.33571</v>
      </c>
      <c r="F10" s="18">
        <v>1.28744</v>
      </c>
      <c r="G10" s="18">
        <v>1.23849</v>
      </c>
      <c r="H10" s="18">
        <v>1.18899</v>
      </c>
      <c r="I10" s="18">
        <v>1.13907</v>
      </c>
      <c r="J10" s="18">
        <v>1.08886</v>
      </c>
      <c r="K10" s="18">
        <v>1.03846</v>
      </c>
      <c r="L10" s="18">
        <v>0.98802</v>
      </c>
      <c r="M10" s="18">
        <v>0.93765</v>
      </c>
      <c r="N10" s="18">
        <v>0.8875</v>
      </c>
      <c r="O10" s="18">
        <v>0.83769</v>
      </c>
      <c r="P10" s="18">
        <v>0.78833</v>
      </c>
      <c r="Q10" s="18">
        <v>0.73955</v>
      </c>
      <c r="R10" s="18">
        <v>0.69149</v>
      </c>
      <c r="S10" s="18">
        <v>0.64427</v>
      </c>
      <c r="T10" s="18">
        <v>0.59801</v>
      </c>
      <c r="U10" s="19">
        <v>0.55282</v>
      </c>
      <c r="W10" s="16">
        <v>45</v>
      </c>
      <c r="X10" s="18">
        <v>1.56602</v>
      </c>
      <c r="Y10" s="18">
        <v>1.61482</v>
      </c>
      <c r="Z10" s="18">
        <v>1.66618</v>
      </c>
      <c r="AA10" s="18">
        <v>1.71999</v>
      </c>
      <c r="AB10" s="18">
        <v>1.77159</v>
      </c>
      <c r="AC10" s="18">
        <v>1.82415</v>
      </c>
      <c r="AD10" s="18">
        <v>1.87852</v>
      </c>
      <c r="AE10" s="18">
        <v>1.93463</v>
      </c>
      <c r="AF10" s="18">
        <v>1.99236</v>
      </c>
      <c r="AG10" s="18">
        <v>2.0516</v>
      </c>
      <c r="AH10" s="18">
        <v>2.11224</v>
      </c>
      <c r="AI10" s="18">
        <v>2.17415</v>
      </c>
      <c r="AJ10" s="18">
        <v>2.23723</v>
      </c>
      <c r="AK10" s="18">
        <v>2.30131</v>
      </c>
      <c r="AL10" s="18">
        <v>2.36628</v>
      </c>
      <c r="AM10" s="18">
        <v>2.43199</v>
      </c>
      <c r="AN10" s="18">
        <v>2.49829</v>
      </c>
      <c r="AO10" s="18">
        <v>2.56505</v>
      </c>
      <c r="AP10" s="18">
        <v>2.63211</v>
      </c>
      <c r="AQ10" s="19">
        <v>2.6993</v>
      </c>
    </row>
    <row r="11" spans="1:43" ht="12.75">
      <c r="A11" s="16">
        <v>50</v>
      </c>
      <c r="B11" s="18">
        <v>1.50345</v>
      </c>
      <c r="C11" s="18">
        <v>1.46246</v>
      </c>
      <c r="D11" s="18">
        <v>1.42059</v>
      </c>
      <c r="E11" s="18">
        <v>1.37793</v>
      </c>
      <c r="F11" s="18">
        <v>1.33457</v>
      </c>
      <c r="G11" s="18">
        <v>1.29059</v>
      </c>
      <c r="H11" s="18">
        <v>1.24607</v>
      </c>
      <c r="I11" s="18">
        <v>1.2011</v>
      </c>
      <c r="J11" s="18">
        <v>1.15579</v>
      </c>
      <c r="K11" s="18">
        <v>1.11021</v>
      </c>
      <c r="L11" s="18">
        <v>1.06445</v>
      </c>
      <c r="M11" s="18">
        <v>1.01862</v>
      </c>
      <c r="N11" s="18">
        <v>0.9728</v>
      </c>
      <c r="O11" s="18">
        <v>0.92709</v>
      </c>
      <c r="P11" s="18">
        <v>0.88159</v>
      </c>
      <c r="Q11" s="18">
        <v>0.83638</v>
      </c>
      <c r="R11" s="18">
        <v>0.79156</v>
      </c>
      <c r="S11" s="18">
        <v>0.74723</v>
      </c>
      <c r="T11" s="18">
        <v>0.70348</v>
      </c>
      <c r="U11" s="19">
        <v>0.6604</v>
      </c>
      <c r="W11" s="16">
        <v>50</v>
      </c>
      <c r="X11" s="18">
        <v>1.58486</v>
      </c>
      <c r="Y11" s="18">
        <v>1.62833</v>
      </c>
      <c r="Z11" s="18">
        <v>1.67385</v>
      </c>
      <c r="AA11" s="18">
        <v>1.72135</v>
      </c>
      <c r="AB11" s="18">
        <v>1.76844</v>
      </c>
      <c r="AC11" s="18">
        <v>1.81508</v>
      </c>
      <c r="AD11" s="18">
        <v>1.86324</v>
      </c>
      <c r="AE11" s="18">
        <v>1.91283</v>
      </c>
      <c r="AF11" s="18">
        <v>1.96381</v>
      </c>
      <c r="AG11" s="18">
        <v>2.01609</v>
      </c>
      <c r="AH11" s="18">
        <v>2.06959</v>
      </c>
      <c r="AI11" s="18">
        <v>2.1242</v>
      </c>
      <c r="AJ11" s="18">
        <v>2.17987</v>
      </c>
      <c r="AK11" s="18">
        <v>2.23647</v>
      </c>
      <c r="AL11" s="18">
        <v>2.29392</v>
      </c>
      <c r="AM11" s="18">
        <v>2.35213</v>
      </c>
      <c r="AN11" s="18">
        <v>2.41097</v>
      </c>
      <c r="AO11" s="18">
        <v>2.47036</v>
      </c>
      <c r="AP11" s="18">
        <v>2.53019</v>
      </c>
      <c r="AQ11" s="19">
        <v>2.59033</v>
      </c>
    </row>
    <row r="12" spans="1:43" ht="12.75">
      <c r="A12" s="16">
        <v>55</v>
      </c>
      <c r="B12" s="18">
        <v>1.52755</v>
      </c>
      <c r="C12" s="18">
        <v>1.49031</v>
      </c>
      <c r="D12" s="18">
        <v>1.45232</v>
      </c>
      <c r="E12" s="18">
        <v>1.41362</v>
      </c>
      <c r="F12" s="18">
        <v>1.37431</v>
      </c>
      <c r="G12" s="18">
        <v>1.33442</v>
      </c>
      <c r="H12" s="18">
        <v>1.29403</v>
      </c>
      <c r="I12" s="18">
        <v>1.25319</v>
      </c>
      <c r="J12" s="18">
        <v>1.21199</v>
      </c>
      <c r="K12" s="18">
        <v>1.17049</v>
      </c>
      <c r="L12" s="18">
        <v>1.12875</v>
      </c>
      <c r="M12" s="18">
        <v>1.08685</v>
      </c>
      <c r="N12" s="18">
        <v>1.04485</v>
      </c>
      <c r="O12" s="18">
        <v>1.00284</v>
      </c>
      <c r="P12" s="18">
        <v>0.96087</v>
      </c>
      <c r="Q12" s="18">
        <v>0.91902</v>
      </c>
      <c r="R12" s="18">
        <v>0.87736</v>
      </c>
      <c r="S12" s="18">
        <v>0.83597</v>
      </c>
      <c r="T12" s="18">
        <v>0.79492</v>
      </c>
      <c r="U12" s="19">
        <v>0.75427</v>
      </c>
      <c r="W12" s="16">
        <v>55</v>
      </c>
      <c r="X12" s="18">
        <v>1.60144</v>
      </c>
      <c r="Y12" s="18">
        <v>1.64062</v>
      </c>
      <c r="Z12" s="18">
        <v>1.68149</v>
      </c>
      <c r="AA12" s="18">
        <v>1.72399</v>
      </c>
      <c r="AB12" s="18">
        <v>1.7672</v>
      </c>
      <c r="AC12" s="18">
        <v>1.80908</v>
      </c>
      <c r="AD12" s="18">
        <v>1.85226</v>
      </c>
      <c r="AE12" s="18">
        <v>1.89665</v>
      </c>
      <c r="AF12" s="18">
        <v>1.94223</v>
      </c>
      <c r="AG12" s="18">
        <v>1.98893</v>
      </c>
      <c r="AH12" s="18">
        <v>2.03668</v>
      </c>
      <c r="AI12" s="18">
        <v>2.08543</v>
      </c>
      <c r="AJ12" s="18">
        <v>2.1351</v>
      </c>
      <c r="AK12" s="18">
        <v>2.18564</v>
      </c>
      <c r="AL12" s="18">
        <v>2.23698</v>
      </c>
      <c r="AM12" s="18">
        <v>2.28902</v>
      </c>
      <c r="AN12" s="18">
        <v>2.34171</v>
      </c>
      <c r="AO12" s="18">
        <v>2.39495</v>
      </c>
      <c r="AP12" s="18">
        <v>2.44869</v>
      </c>
      <c r="AQ12" s="19">
        <v>2.50283</v>
      </c>
    </row>
    <row r="13" spans="1:43" ht="12.75">
      <c r="A13" s="16">
        <v>60</v>
      </c>
      <c r="B13" s="18">
        <v>1.54853</v>
      </c>
      <c r="C13" s="18">
        <v>1.51442</v>
      </c>
      <c r="D13" s="18">
        <v>1.47965</v>
      </c>
      <c r="E13" s="18">
        <v>1.44427</v>
      </c>
      <c r="F13" s="18">
        <v>1.40832</v>
      </c>
      <c r="G13" s="18">
        <v>1.37186</v>
      </c>
      <c r="H13" s="18">
        <v>1.33493</v>
      </c>
      <c r="I13" s="18">
        <v>1.29758</v>
      </c>
      <c r="J13" s="18">
        <v>1.25987</v>
      </c>
      <c r="K13" s="18">
        <v>1.22183</v>
      </c>
      <c r="L13" s="18">
        <v>1.18354</v>
      </c>
      <c r="M13" s="18">
        <v>1.14505</v>
      </c>
      <c r="N13" s="18">
        <v>1.1064</v>
      </c>
      <c r="O13" s="18">
        <v>1.06764</v>
      </c>
      <c r="P13" s="18">
        <v>1.02885</v>
      </c>
      <c r="Q13" s="18">
        <v>0.99007</v>
      </c>
      <c r="R13" s="18">
        <v>0.95135</v>
      </c>
      <c r="S13" s="18">
        <v>0.91276</v>
      </c>
      <c r="T13" s="18">
        <v>0.87435</v>
      </c>
      <c r="U13" s="19">
        <v>0.83616</v>
      </c>
      <c r="W13" s="16">
        <v>60</v>
      </c>
      <c r="X13" s="18">
        <v>1.61617</v>
      </c>
      <c r="Y13" s="18">
        <v>1.65184</v>
      </c>
      <c r="Z13" s="18">
        <v>1.68891</v>
      </c>
      <c r="AA13" s="18">
        <v>1.72735</v>
      </c>
      <c r="AB13" s="18">
        <v>1.76708</v>
      </c>
      <c r="AC13" s="18">
        <v>1.8052</v>
      </c>
      <c r="AD13" s="18">
        <v>1.84429</v>
      </c>
      <c r="AE13" s="18">
        <v>1.88444</v>
      </c>
      <c r="AF13" s="18">
        <v>1.92561</v>
      </c>
      <c r="AG13" s="18">
        <v>1.96775</v>
      </c>
      <c r="AH13" s="18">
        <v>2.01081</v>
      </c>
      <c r="AI13" s="18">
        <v>2.05475</v>
      </c>
      <c r="AJ13" s="18">
        <v>2.09952</v>
      </c>
      <c r="AK13" s="18">
        <v>2.14507</v>
      </c>
      <c r="AL13" s="18">
        <v>2.19134</v>
      </c>
      <c r="AM13" s="18">
        <v>2.23829</v>
      </c>
      <c r="AN13" s="18">
        <v>2.28584</v>
      </c>
      <c r="AO13" s="18">
        <v>2.33395</v>
      </c>
      <c r="AP13" s="18">
        <v>2.38255</v>
      </c>
      <c r="AQ13" s="19">
        <v>2.43159</v>
      </c>
    </row>
    <row r="14" spans="1:43" ht="12.75">
      <c r="A14" s="16">
        <v>65</v>
      </c>
      <c r="B14" s="18">
        <v>1.56699</v>
      </c>
      <c r="C14" s="18">
        <v>1.53553</v>
      </c>
      <c r="D14" s="18">
        <v>1.50349</v>
      </c>
      <c r="E14" s="18">
        <v>1.47092</v>
      </c>
      <c r="F14" s="18">
        <v>1.43782</v>
      </c>
      <c r="G14" s="18">
        <v>1.40426</v>
      </c>
      <c r="H14" s="18">
        <v>1.37027</v>
      </c>
      <c r="I14" s="18">
        <v>1.33589</v>
      </c>
      <c r="J14" s="18">
        <v>1.30115</v>
      </c>
      <c r="K14" s="18">
        <v>1.26611</v>
      </c>
      <c r="L14" s="18">
        <v>1.2308</v>
      </c>
      <c r="M14" s="18">
        <v>1.19525</v>
      </c>
      <c r="N14" s="18">
        <v>1.15952</v>
      </c>
      <c r="O14" s="18">
        <v>1.12364</v>
      </c>
      <c r="P14" s="18">
        <v>1.08767</v>
      </c>
      <c r="Q14" s="18">
        <v>1.05165</v>
      </c>
      <c r="R14" s="18">
        <v>1.0156</v>
      </c>
      <c r="S14" s="18">
        <v>0.9796</v>
      </c>
      <c r="T14" s="18">
        <v>0.94367</v>
      </c>
      <c r="U14" s="19">
        <v>0.90785</v>
      </c>
      <c r="W14" s="16">
        <v>65</v>
      </c>
      <c r="X14" s="18">
        <v>1.62936</v>
      </c>
      <c r="Y14" s="18">
        <v>1.6621</v>
      </c>
      <c r="Z14" s="18">
        <v>1.69602</v>
      </c>
      <c r="AA14" s="18">
        <v>1.7311</v>
      </c>
      <c r="AB14" s="18">
        <v>1.76731</v>
      </c>
      <c r="AC14" s="18">
        <v>1.80279</v>
      </c>
      <c r="AD14" s="18">
        <v>1.83849</v>
      </c>
      <c r="AE14" s="18">
        <v>1.87512</v>
      </c>
      <c r="AF14" s="18">
        <v>1.91262</v>
      </c>
      <c r="AG14" s="18">
        <v>1.95098</v>
      </c>
      <c r="AH14" s="18">
        <v>1.99014</v>
      </c>
      <c r="AI14" s="18">
        <v>2.03009</v>
      </c>
      <c r="AJ14" s="18">
        <v>2.07078</v>
      </c>
      <c r="AK14" s="18">
        <v>2.11216</v>
      </c>
      <c r="AL14" s="18">
        <v>2.15421</v>
      </c>
      <c r="AM14" s="18">
        <v>2.19688</v>
      </c>
      <c r="AN14" s="18">
        <v>2.24012</v>
      </c>
      <c r="AO14" s="18">
        <v>2.28388</v>
      </c>
      <c r="AP14" s="18">
        <v>2.32813</v>
      </c>
      <c r="AQ14" s="19">
        <v>2.37281</v>
      </c>
    </row>
    <row r="15" spans="1:43" ht="12.75">
      <c r="A15" s="16">
        <v>70</v>
      </c>
      <c r="B15" s="18">
        <v>1.58341</v>
      </c>
      <c r="C15" s="18">
        <v>1.55422</v>
      </c>
      <c r="D15" s="18">
        <v>1.52452</v>
      </c>
      <c r="E15" s="18">
        <v>1.49434</v>
      </c>
      <c r="F15" s="18">
        <v>1.46369</v>
      </c>
      <c r="G15" s="18">
        <v>1.43262</v>
      </c>
      <c r="H15" s="18">
        <v>1.40115</v>
      </c>
      <c r="I15" s="18">
        <v>1.36932</v>
      </c>
      <c r="J15" s="18">
        <v>1.33716</v>
      </c>
      <c r="K15" s="18">
        <v>1.30469</v>
      </c>
      <c r="L15" s="18">
        <v>1.27196</v>
      </c>
      <c r="M15" s="18">
        <v>1.23899</v>
      </c>
      <c r="N15" s="18">
        <v>1.20582</v>
      </c>
      <c r="O15" s="18">
        <v>1.17249</v>
      </c>
      <c r="P15" s="18">
        <v>1.13902</v>
      </c>
      <c r="Q15" s="18">
        <v>1.10544</v>
      </c>
      <c r="R15" s="18">
        <v>1.07182</v>
      </c>
      <c r="S15" s="18">
        <v>1.03816</v>
      </c>
      <c r="T15" s="18">
        <v>1.00451</v>
      </c>
      <c r="U15" s="19">
        <v>0.97091</v>
      </c>
      <c r="W15" s="16">
        <v>70</v>
      </c>
      <c r="X15" s="18">
        <v>1.64127</v>
      </c>
      <c r="Y15" s="18">
        <v>1.67152</v>
      </c>
      <c r="Z15" s="18">
        <v>1.70278</v>
      </c>
      <c r="AA15" s="18">
        <v>1.73505</v>
      </c>
      <c r="AB15" s="18">
        <v>1.76827</v>
      </c>
      <c r="AC15" s="18">
        <v>1.80144</v>
      </c>
      <c r="AD15" s="18">
        <v>1.83429</v>
      </c>
      <c r="AE15" s="18">
        <v>1.86793</v>
      </c>
      <c r="AF15" s="18">
        <v>1.90235</v>
      </c>
      <c r="AG15" s="18">
        <v>1.93752</v>
      </c>
      <c r="AH15" s="18">
        <v>1.97341</v>
      </c>
      <c r="AI15" s="18">
        <v>2.01</v>
      </c>
      <c r="AJ15" s="18">
        <v>2.04724</v>
      </c>
      <c r="AK15" s="18">
        <v>2.08511</v>
      </c>
      <c r="AL15" s="18">
        <v>2.12359</v>
      </c>
      <c r="AM15" s="18">
        <v>2.16263</v>
      </c>
      <c r="AN15" s="18">
        <v>2.2022</v>
      </c>
      <c r="AO15" s="18">
        <v>2.24227</v>
      </c>
      <c r="AP15" s="18">
        <v>2.2828</v>
      </c>
      <c r="AQ15" s="19">
        <v>2.32375</v>
      </c>
    </row>
    <row r="16" spans="1:43" ht="12.75">
      <c r="A16" s="16">
        <v>75</v>
      </c>
      <c r="B16" s="18">
        <v>1.59813</v>
      </c>
      <c r="C16" s="18">
        <v>1.57091</v>
      </c>
      <c r="D16" s="18">
        <v>1.54323</v>
      </c>
      <c r="E16" s="18">
        <v>1.51511</v>
      </c>
      <c r="F16" s="18">
        <v>1.48659</v>
      </c>
      <c r="G16" s="18">
        <v>1.45767</v>
      </c>
      <c r="H16" s="18">
        <v>1.4284</v>
      </c>
      <c r="I16" s="18">
        <v>1.39877</v>
      </c>
      <c r="J16" s="18">
        <v>1.36884</v>
      </c>
      <c r="K16" s="18">
        <v>1.33863</v>
      </c>
      <c r="L16" s="18">
        <v>1.30815</v>
      </c>
      <c r="M16" s="18">
        <v>1.27744</v>
      </c>
      <c r="N16" s="18">
        <v>1.24652</v>
      </c>
      <c r="O16" s="18">
        <v>1.21542</v>
      </c>
      <c r="P16" s="18">
        <v>1.18418</v>
      </c>
      <c r="Q16" s="18">
        <v>1.15281</v>
      </c>
      <c r="R16" s="18">
        <v>1.12135</v>
      </c>
      <c r="S16" s="18">
        <v>1.08982</v>
      </c>
      <c r="T16" s="18">
        <v>1.05825</v>
      </c>
      <c r="U16" s="19">
        <v>1.02668</v>
      </c>
      <c r="W16" s="16">
        <v>75</v>
      </c>
      <c r="X16" s="18">
        <v>1.65209</v>
      </c>
      <c r="Y16" s="18">
        <v>1.6802</v>
      </c>
      <c r="Z16" s="18">
        <v>1.7092</v>
      </c>
      <c r="AA16" s="18">
        <v>1.73904</v>
      </c>
      <c r="AB16" s="18">
        <v>1.76975</v>
      </c>
      <c r="AC16" s="18">
        <v>1.80086</v>
      </c>
      <c r="AD16" s="18">
        <v>1.83126</v>
      </c>
      <c r="AE16" s="18">
        <v>1.86237</v>
      </c>
      <c r="AF16" s="18">
        <v>1.89416</v>
      </c>
      <c r="AG16" s="18">
        <v>1.92661</v>
      </c>
      <c r="AH16" s="18">
        <v>1.9597</v>
      </c>
      <c r="AI16" s="18">
        <v>1.99342</v>
      </c>
      <c r="AJ16" s="18">
        <v>2.02773</v>
      </c>
      <c r="AK16" s="18">
        <v>2.06261</v>
      </c>
      <c r="AL16" s="18">
        <v>2.09804</v>
      </c>
      <c r="AM16" s="18">
        <v>2.13398</v>
      </c>
      <c r="AN16" s="18">
        <v>2.17041</v>
      </c>
      <c r="AO16" s="18">
        <v>2.2073</v>
      </c>
      <c r="AP16" s="18">
        <v>2.24464</v>
      </c>
      <c r="AQ16" s="19">
        <v>2.28237</v>
      </c>
    </row>
    <row r="17" spans="1:43" ht="12.75">
      <c r="A17" s="16">
        <v>80</v>
      </c>
      <c r="B17" s="18">
        <v>1.61143</v>
      </c>
      <c r="C17" s="18">
        <v>1.58592</v>
      </c>
      <c r="D17" s="18">
        <v>1.56001</v>
      </c>
      <c r="E17" s="18">
        <v>1.5337</v>
      </c>
      <c r="F17" s="18">
        <v>1.50703</v>
      </c>
      <c r="G17" s="18">
        <v>1.47999</v>
      </c>
      <c r="H17" s="18">
        <v>1.45262</v>
      </c>
      <c r="I17" s="18">
        <v>1.42495</v>
      </c>
      <c r="J17" s="18">
        <v>1.39698</v>
      </c>
      <c r="K17" s="18">
        <v>1.36873</v>
      </c>
      <c r="L17" s="18">
        <v>1.34024</v>
      </c>
      <c r="M17" s="18">
        <v>1.31151</v>
      </c>
      <c r="N17" s="18">
        <v>1.28259</v>
      </c>
      <c r="O17" s="18">
        <v>1.25348</v>
      </c>
      <c r="P17" s="18">
        <v>1.22422</v>
      </c>
      <c r="Q17" s="18">
        <v>1.19481</v>
      </c>
      <c r="R17" s="18">
        <v>1.16529</v>
      </c>
      <c r="S17" s="18">
        <v>1.13568</v>
      </c>
      <c r="T17" s="18">
        <v>1.106</v>
      </c>
      <c r="U17" s="19">
        <v>1.07628</v>
      </c>
      <c r="W17" s="16">
        <v>80</v>
      </c>
      <c r="X17" s="18">
        <v>1.66197</v>
      </c>
      <c r="Y17" s="18">
        <v>1.68823</v>
      </c>
      <c r="Z17" s="18">
        <v>1.71526</v>
      </c>
      <c r="AA17" s="18">
        <v>1.74304</v>
      </c>
      <c r="AB17" s="18">
        <v>1.77156</v>
      </c>
      <c r="AC17" s="18">
        <v>1.80079</v>
      </c>
      <c r="AD17" s="18">
        <v>1.82912</v>
      </c>
      <c r="AE17" s="18">
        <v>1.85804</v>
      </c>
      <c r="AF17" s="18">
        <v>1.88756</v>
      </c>
      <c r="AG17" s="18">
        <v>1.91768</v>
      </c>
      <c r="AH17" s="18">
        <v>1.94837</v>
      </c>
      <c r="AI17" s="18">
        <v>1.97962</v>
      </c>
      <c r="AJ17" s="18">
        <v>2.0114</v>
      </c>
      <c r="AK17" s="18">
        <v>2.0437</v>
      </c>
      <c r="AL17" s="18">
        <v>2.07649</v>
      </c>
      <c r="AM17" s="18">
        <v>2.10976</v>
      </c>
      <c r="AN17" s="18">
        <v>2.14348</v>
      </c>
      <c r="AO17" s="18">
        <v>2.17762</v>
      </c>
      <c r="AP17" s="18">
        <v>2.21218</v>
      </c>
      <c r="AQ17" s="19">
        <v>2.24712</v>
      </c>
    </row>
    <row r="18" spans="1:43" ht="12.75">
      <c r="A18" s="16">
        <v>85</v>
      </c>
      <c r="B18" s="18">
        <v>1.6235</v>
      </c>
      <c r="C18" s="18">
        <v>1.59952</v>
      </c>
      <c r="D18" s="18">
        <v>1.57516</v>
      </c>
      <c r="E18" s="18">
        <v>1.55045</v>
      </c>
      <c r="F18" s="18">
        <v>1.5254</v>
      </c>
      <c r="G18" s="18">
        <v>1.50003</v>
      </c>
      <c r="H18" s="18">
        <v>1.47434</v>
      </c>
      <c r="I18" s="18">
        <v>1.44837</v>
      </c>
      <c r="J18" s="18">
        <v>1.42212</v>
      </c>
      <c r="K18" s="18">
        <v>1.39562</v>
      </c>
      <c r="L18" s="18">
        <v>1.36889</v>
      </c>
      <c r="M18" s="18">
        <v>1.34194</v>
      </c>
      <c r="N18" s="18">
        <v>1.31477</v>
      </c>
      <c r="O18" s="18">
        <v>1.28744</v>
      </c>
      <c r="P18" s="18">
        <v>1.25993</v>
      </c>
      <c r="Q18" s="18">
        <v>1.23229</v>
      </c>
      <c r="R18" s="18">
        <v>1.20451</v>
      </c>
      <c r="S18" s="18">
        <v>1.17664</v>
      </c>
      <c r="T18" s="18">
        <v>1.14868</v>
      </c>
      <c r="U18" s="19">
        <v>1.12064</v>
      </c>
      <c r="W18" s="16">
        <v>85</v>
      </c>
      <c r="X18" s="18">
        <v>1.67105</v>
      </c>
      <c r="Y18" s="18">
        <v>1.69568</v>
      </c>
      <c r="Z18" s="18">
        <v>1.721</v>
      </c>
      <c r="AA18" s="18">
        <v>1.74697</v>
      </c>
      <c r="AB18" s="18">
        <v>1.77361</v>
      </c>
      <c r="AC18" s="18">
        <v>1.80089</v>
      </c>
      <c r="AD18" s="18">
        <v>1.82768</v>
      </c>
      <c r="AE18" s="18">
        <v>1.85469</v>
      </c>
      <c r="AF18" s="18">
        <v>1.88223</v>
      </c>
      <c r="AG18" s="18">
        <v>1.91032</v>
      </c>
      <c r="AH18" s="18">
        <v>1.93892</v>
      </c>
      <c r="AI18" s="18">
        <v>1.96802</v>
      </c>
      <c r="AJ18" s="18">
        <v>1.9976</v>
      </c>
      <c r="AK18" s="18">
        <v>2.02766</v>
      </c>
      <c r="AL18" s="18">
        <v>2.05816</v>
      </c>
      <c r="AM18" s="18">
        <v>2.0891</v>
      </c>
      <c r="AN18" s="18">
        <v>2.12046</v>
      </c>
      <c r="AO18" s="18">
        <v>2.15221</v>
      </c>
      <c r="AP18" s="18">
        <v>2.18434</v>
      </c>
      <c r="AQ18" s="19">
        <v>2.21683</v>
      </c>
    </row>
    <row r="19" spans="1:43" ht="12.75">
      <c r="A19" s="16">
        <v>90</v>
      </c>
      <c r="B19" s="18">
        <v>1.63454</v>
      </c>
      <c r="C19" s="18">
        <v>1.6119</v>
      </c>
      <c r="D19" s="18">
        <v>1.58893</v>
      </c>
      <c r="E19" s="18">
        <v>1.56564</v>
      </c>
      <c r="F19" s="18">
        <v>1.54202</v>
      </c>
      <c r="G19" s="18">
        <v>1.51812</v>
      </c>
      <c r="H19" s="18">
        <v>1.49393</v>
      </c>
      <c r="I19" s="18">
        <v>1.46947</v>
      </c>
      <c r="J19" s="18">
        <v>1.44476</v>
      </c>
      <c r="K19" s="18">
        <v>1.41982</v>
      </c>
      <c r="L19" s="18">
        <v>1.39464</v>
      </c>
      <c r="M19" s="18">
        <v>1.36926</v>
      </c>
      <c r="N19" s="18">
        <v>1.34368</v>
      </c>
      <c r="O19" s="18">
        <v>1.31792</v>
      </c>
      <c r="P19" s="18">
        <v>1.292</v>
      </c>
      <c r="Q19" s="18">
        <v>1.26594</v>
      </c>
      <c r="R19" s="18">
        <v>1.23974</v>
      </c>
      <c r="S19" s="18">
        <v>1.21344</v>
      </c>
      <c r="T19" s="18">
        <v>1.18703</v>
      </c>
      <c r="U19" s="19">
        <v>1.16053</v>
      </c>
      <c r="W19" s="16">
        <v>90</v>
      </c>
      <c r="X19" s="18">
        <v>1.67942</v>
      </c>
      <c r="Y19" s="18">
        <v>1.70262</v>
      </c>
      <c r="Z19" s="18">
        <v>1.72642</v>
      </c>
      <c r="AA19" s="18">
        <v>1.75082</v>
      </c>
      <c r="AB19" s="18">
        <v>1.7758</v>
      </c>
      <c r="AC19" s="18">
        <v>1.80135</v>
      </c>
      <c r="AD19" s="18">
        <v>1.82675</v>
      </c>
      <c r="AE19" s="18">
        <v>1.85209</v>
      </c>
      <c r="AF19" s="18">
        <v>1.87791</v>
      </c>
      <c r="AG19" s="18">
        <v>1.90421</v>
      </c>
      <c r="AH19" s="18">
        <v>1.93097</v>
      </c>
      <c r="AI19" s="18">
        <v>1.9582</v>
      </c>
      <c r="AJ19" s="18">
        <v>1.98586</v>
      </c>
      <c r="AK19" s="18">
        <v>2.01394</v>
      </c>
      <c r="AL19" s="18">
        <v>2.04244</v>
      </c>
      <c r="AM19" s="18">
        <v>2.07134</v>
      </c>
      <c r="AN19" s="18">
        <v>2.10062</v>
      </c>
      <c r="AO19" s="18">
        <v>2.13027</v>
      </c>
      <c r="AP19" s="18">
        <v>2.16027</v>
      </c>
      <c r="AQ19" s="19">
        <v>2.19061</v>
      </c>
    </row>
    <row r="20" spans="1:43" ht="12.75">
      <c r="A20" s="16">
        <v>95</v>
      </c>
      <c r="B20" s="18">
        <v>1.64469</v>
      </c>
      <c r="C20" s="18">
        <v>1.62325</v>
      </c>
      <c r="D20" s="18">
        <v>1.60152</v>
      </c>
      <c r="E20" s="18">
        <v>1.57948</v>
      </c>
      <c r="F20" s="18">
        <v>1.55715</v>
      </c>
      <c r="G20" s="18">
        <v>1.53456</v>
      </c>
      <c r="H20" s="18">
        <v>1.51171</v>
      </c>
      <c r="I20" s="18">
        <v>1.48861</v>
      </c>
      <c r="J20" s="18">
        <v>1.46527</v>
      </c>
      <c r="K20" s="18">
        <v>1.44171</v>
      </c>
      <c r="L20" s="18">
        <v>1.41793</v>
      </c>
      <c r="M20" s="18">
        <v>1.39395</v>
      </c>
      <c r="N20" s="18">
        <v>1.3698</v>
      </c>
      <c r="O20" s="18">
        <v>1.34546</v>
      </c>
      <c r="P20" s="18">
        <v>1.32096</v>
      </c>
      <c r="Q20" s="18">
        <v>1.29632</v>
      </c>
      <c r="R20" s="18">
        <v>1.27155</v>
      </c>
      <c r="S20" s="18">
        <v>1.24666</v>
      </c>
      <c r="T20" s="18">
        <v>1.22166</v>
      </c>
      <c r="U20" s="19">
        <v>1.19657</v>
      </c>
      <c r="W20" s="16">
        <v>95</v>
      </c>
      <c r="X20" s="18">
        <v>1.68717</v>
      </c>
      <c r="Y20" s="18">
        <v>1.7091</v>
      </c>
      <c r="Z20" s="18">
        <v>1.73156</v>
      </c>
      <c r="AA20" s="18">
        <v>1.75455</v>
      </c>
      <c r="AB20" s="18">
        <v>1.77807</v>
      </c>
      <c r="AC20" s="18">
        <v>1.8021</v>
      </c>
      <c r="AD20" s="18">
        <v>1.82625</v>
      </c>
      <c r="AE20" s="18">
        <v>1.8501</v>
      </c>
      <c r="AF20" s="18">
        <v>1.87439</v>
      </c>
      <c r="AG20" s="18">
        <v>1.89911</v>
      </c>
      <c r="AH20" s="18">
        <v>1.92426</v>
      </c>
      <c r="AI20" s="18">
        <v>1.94982</v>
      </c>
      <c r="AJ20" s="18">
        <v>1.97578</v>
      </c>
      <c r="AK20" s="18">
        <v>2.00213</v>
      </c>
      <c r="AL20" s="18">
        <v>2.02886</v>
      </c>
      <c r="AM20" s="18">
        <v>2.05596</v>
      </c>
      <c r="AN20" s="18">
        <v>2.08341</v>
      </c>
      <c r="AO20" s="18">
        <v>2.1112</v>
      </c>
      <c r="AP20" s="18">
        <v>2.13931</v>
      </c>
      <c r="AQ20" s="19">
        <v>2.16774</v>
      </c>
    </row>
    <row r="21" spans="1:43" ht="12.75">
      <c r="A21" s="16">
        <v>100</v>
      </c>
      <c r="B21" s="18">
        <v>1.65404</v>
      </c>
      <c r="C21" s="18">
        <v>1.63369</v>
      </c>
      <c r="D21" s="18">
        <v>1.61306</v>
      </c>
      <c r="E21" s="18">
        <v>1.59216</v>
      </c>
      <c r="F21" s="18">
        <v>1.571</v>
      </c>
      <c r="G21" s="18">
        <v>1.54958</v>
      </c>
      <c r="H21" s="18">
        <v>1.52793</v>
      </c>
      <c r="I21" s="18">
        <v>1.50604</v>
      </c>
      <c r="J21" s="18">
        <v>1.48394</v>
      </c>
      <c r="K21" s="18">
        <v>1.46162</v>
      </c>
      <c r="L21" s="18">
        <v>1.4391</v>
      </c>
      <c r="M21" s="18">
        <v>1.41639</v>
      </c>
      <c r="N21" s="18">
        <v>1.3935</v>
      </c>
      <c r="O21" s="18">
        <v>1.37045</v>
      </c>
      <c r="P21" s="18">
        <v>1.34724</v>
      </c>
      <c r="Q21" s="18">
        <v>1.3239</v>
      </c>
      <c r="R21" s="18">
        <v>1.30041</v>
      </c>
      <c r="S21" s="18">
        <v>1.2768</v>
      </c>
      <c r="T21" s="18">
        <v>1.2531</v>
      </c>
      <c r="U21" s="19">
        <v>1.22928</v>
      </c>
      <c r="W21" s="16">
        <v>100</v>
      </c>
      <c r="X21" s="18">
        <v>1.69439</v>
      </c>
      <c r="Y21" s="18">
        <v>1.71517</v>
      </c>
      <c r="Z21" s="18">
        <v>1.73643</v>
      </c>
      <c r="AA21" s="18">
        <v>1.75818</v>
      </c>
      <c r="AB21" s="18">
        <v>1.78039</v>
      </c>
      <c r="AC21" s="18">
        <v>1.80306</v>
      </c>
      <c r="AD21" s="18">
        <v>1.82607</v>
      </c>
      <c r="AE21" s="18">
        <v>1.84859</v>
      </c>
      <c r="AF21" s="18">
        <v>1.87152</v>
      </c>
      <c r="AG21" s="18">
        <v>1.89484</v>
      </c>
      <c r="AH21" s="18">
        <v>1.91855</v>
      </c>
      <c r="AI21" s="18">
        <v>1.94263</v>
      </c>
      <c r="AJ21" s="18">
        <v>1.96709</v>
      </c>
      <c r="AK21" s="18">
        <v>1.9919</v>
      </c>
      <c r="AL21" s="18">
        <v>2.01706</v>
      </c>
      <c r="AM21" s="18">
        <v>2.04255</v>
      </c>
      <c r="AN21" s="18">
        <v>2.06836</v>
      </c>
      <c r="AO21" s="18">
        <v>2.0945</v>
      </c>
      <c r="AP21" s="18">
        <v>2.12095</v>
      </c>
      <c r="AQ21" s="19">
        <v>2.14768</v>
      </c>
    </row>
    <row r="22" spans="1:43" ht="12.75">
      <c r="A22" s="16">
        <v>105</v>
      </c>
      <c r="B22" s="18">
        <v>1.66271</v>
      </c>
      <c r="C22" s="18">
        <v>1.64334</v>
      </c>
      <c r="D22" s="18">
        <v>1.62371</v>
      </c>
      <c r="E22" s="18">
        <v>1.60383</v>
      </c>
      <c r="F22" s="18">
        <v>1.58372</v>
      </c>
      <c r="G22" s="18">
        <v>1.56336</v>
      </c>
      <c r="H22" s="18">
        <v>1.54279</v>
      </c>
      <c r="I22" s="18">
        <v>1.522</v>
      </c>
      <c r="J22" s="18">
        <v>1.50101</v>
      </c>
      <c r="K22" s="18">
        <v>1.47981</v>
      </c>
      <c r="L22" s="18">
        <v>1.45843</v>
      </c>
      <c r="M22" s="18">
        <v>1.43687</v>
      </c>
      <c r="N22" s="18">
        <v>1.41514</v>
      </c>
      <c r="O22" s="18">
        <v>1.39325</v>
      </c>
      <c r="P22" s="18">
        <v>1.3712</v>
      </c>
      <c r="Q22" s="18">
        <v>1.34903</v>
      </c>
      <c r="R22" s="18">
        <v>1.32672</v>
      </c>
      <c r="S22" s="18">
        <v>1.30428</v>
      </c>
      <c r="T22" s="18">
        <v>1.28174</v>
      </c>
      <c r="U22" s="19">
        <v>1.2591</v>
      </c>
      <c r="W22" s="16">
        <v>105</v>
      </c>
      <c r="X22" s="18">
        <v>1.70111</v>
      </c>
      <c r="Y22" s="18">
        <v>1.72087</v>
      </c>
      <c r="Z22" s="18">
        <v>1.74106</v>
      </c>
      <c r="AA22" s="18">
        <v>1.76168</v>
      </c>
      <c r="AB22" s="18">
        <v>1.78273</v>
      </c>
      <c r="AC22" s="18">
        <v>1.80419</v>
      </c>
      <c r="AD22" s="18">
        <v>1.82606</v>
      </c>
      <c r="AE22" s="18">
        <v>1.84749</v>
      </c>
      <c r="AF22" s="18">
        <v>1.86919</v>
      </c>
      <c r="AG22" s="18">
        <v>1.89126</v>
      </c>
      <c r="AH22" s="18">
        <v>1.91368</v>
      </c>
      <c r="AI22" s="18">
        <v>1.93644</v>
      </c>
      <c r="AJ22" s="18">
        <v>1.95954</v>
      </c>
      <c r="AK22" s="18">
        <v>1.98298</v>
      </c>
      <c r="AL22" s="18">
        <v>2.00672</v>
      </c>
      <c r="AM22" s="18">
        <v>2.03079</v>
      </c>
      <c r="AN22" s="18">
        <v>2.05515</v>
      </c>
      <c r="AO22" s="18">
        <v>2.07981</v>
      </c>
      <c r="AP22" s="18">
        <v>2.10475</v>
      </c>
      <c r="AQ22" s="19">
        <v>2.12997</v>
      </c>
    </row>
    <row r="23" spans="1:43" ht="12.75">
      <c r="A23" s="16">
        <v>110</v>
      </c>
      <c r="B23" s="18">
        <v>1.67076</v>
      </c>
      <c r="C23" s="18">
        <v>1.65228</v>
      </c>
      <c r="D23" s="18">
        <v>1.63357</v>
      </c>
      <c r="E23" s="18">
        <v>1.61462</v>
      </c>
      <c r="F23" s="18">
        <v>1.59545</v>
      </c>
      <c r="G23" s="18">
        <v>1.57606</v>
      </c>
      <c r="H23" s="18">
        <v>1.55647</v>
      </c>
      <c r="I23" s="18">
        <v>1.53667</v>
      </c>
      <c r="J23" s="18">
        <v>1.51668</v>
      </c>
      <c r="K23" s="18">
        <v>1.49651</v>
      </c>
      <c r="L23" s="18">
        <v>1.47617</v>
      </c>
      <c r="M23" s="18">
        <v>1.45564</v>
      </c>
      <c r="N23" s="18">
        <v>1.43496</v>
      </c>
      <c r="O23" s="18">
        <v>1.41412</v>
      </c>
      <c r="P23" s="18">
        <v>1.39315</v>
      </c>
      <c r="Q23" s="18">
        <v>1.37203</v>
      </c>
      <c r="R23" s="18">
        <v>1.35079</v>
      </c>
      <c r="S23" s="18">
        <v>1.32943</v>
      </c>
      <c r="T23" s="18">
        <v>1.30796</v>
      </c>
      <c r="U23" s="19">
        <v>1.28639</v>
      </c>
      <c r="W23" s="16">
        <v>110</v>
      </c>
      <c r="X23" s="18">
        <v>1.70741</v>
      </c>
      <c r="Y23" s="18">
        <v>1.72623</v>
      </c>
      <c r="Z23" s="18">
        <v>1.74545</v>
      </c>
      <c r="AA23" s="18">
        <v>1.76506</v>
      </c>
      <c r="AB23" s="18">
        <v>1.78506</v>
      </c>
      <c r="AC23" s="18">
        <v>1.80543</v>
      </c>
      <c r="AD23" s="18">
        <v>1.82618</v>
      </c>
      <c r="AE23" s="18">
        <v>1.84669</v>
      </c>
      <c r="AF23" s="18">
        <v>1.8673</v>
      </c>
      <c r="AG23" s="18">
        <v>1.88824</v>
      </c>
      <c r="AH23" s="18">
        <v>1.9095</v>
      </c>
      <c r="AI23" s="18">
        <v>1.93108</v>
      </c>
      <c r="AJ23" s="18">
        <v>1.95297</v>
      </c>
      <c r="AK23" s="18">
        <v>1.97516</v>
      </c>
      <c r="AL23" s="18">
        <v>1.99765</v>
      </c>
      <c r="AM23" s="18">
        <v>2.02042</v>
      </c>
      <c r="AN23" s="18">
        <v>2.04348</v>
      </c>
      <c r="AO23" s="18">
        <v>2.06681</v>
      </c>
      <c r="AP23" s="18">
        <v>2.0904</v>
      </c>
      <c r="AQ23" s="19">
        <v>2.11426</v>
      </c>
    </row>
    <row r="24" spans="1:43" ht="12.75">
      <c r="A24" s="16">
        <v>115</v>
      </c>
      <c r="B24" s="18">
        <v>1.67828</v>
      </c>
      <c r="C24" s="18">
        <v>1.66061</v>
      </c>
      <c r="D24" s="18">
        <v>1.64272</v>
      </c>
      <c r="E24" s="18">
        <v>1.62462</v>
      </c>
      <c r="F24" s="18">
        <v>1.60632</v>
      </c>
      <c r="G24" s="18">
        <v>1.58781</v>
      </c>
      <c r="H24" s="18">
        <v>1.56911</v>
      </c>
      <c r="I24" s="18">
        <v>1.55022</v>
      </c>
      <c r="J24" s="18">
        <v>1.53115</v>
      </c>
      <c r="K24" s="18">
        <v>1.5119</v>
      </c>
      <c r="L24" s="18">
        <v>1.4925</v>
      </c>
      <c r="M24" s="18">
        <v>1.47293</v>
      </c>
      <c r="N24" s="18">
        <v>1.4532</v>
      </c>
      <c r="O24" s="18">
        <v>1.43333</v>
      </c>
      <c r="P24" s="18">
        <v>1.41332</v>
      </c>
      <c r="Q24" s="18">
        <v>1.39318</v>
      </c>
      <c r="R24" s="18">
        <v>1.37291</v>
      </c>
      <c r="S24" s="18">
        <v>1.35254</v>
      </c>
      <c r="T24" s="18">
        <v>1.33205</v>
      </c>
      <c r="U24" s="19">
        <v>1.31146</v>
      </c>
      <c r="W24" s="16">
        <v>115</v>
      </c>
      <c r="X24" s="18">
        <v>1.71333</v>
      </c>
      <c r="Y24" s="18">
        <v>1.73129</v>
      </c>
      <c r="Z24" s="18">
        <v>1.74963</v>
      </c>
      <c r="AA24" s="18">
        <v>1.76832</v>
      </c>
      <c r="AB24" s="18">
        <v>1.78737</v>
      </c>
      <c r="AC24" s="18">
        <v>1.80676</v>
      </c>
      <c r="AD24" s="18">
        <v>1.8265</v>
      </c>
      <c r="AE24" s="18">
        <v>1.84616</v>
      </c>
      <c r="AF24" s="18">
        <v>1.86577</v>
      </c>
      <c r="AG24" s="18">
        <v>1.88569</v>
      </c>
      <c r="AH24" s="18">
        <v>1.90591</v>
      </c>
      <c r="AI24" s="18">
        <v>1.92641</v>
      </c>
      <c r="AJ24" s="18">
        <v>1.94721</v>
      </c>
      <c r="AK24" s="18">
        <v>1.96828</v>
      </c>
      <c r="AL24" s="18">
        <v>1.98963</v>
      </c>
      <c r="AM24" s="18">
        <v>2.01124</v>
      </c>
      <c r="AN24" s="18">
        <v>2.03312</v>
      </c>
      <c r="AO24" s="18">
        <v>2.05525</v>
      </c>
      <c r="AP24" s="18">
        <v>2.07763</v>
      </c>
      <c r="AQ24" s="19">
        <v>2.10024</v>
      </c>
    </row>
    <row r="25" spans="1:43" ht="12.75">
      <c r="A25" s="16">
        <v>120</v>
      </c>
      <c r="B25" s="18">
        <v>1.68531</v>
      </c>
      <c r="C25" s="18">
        <v>1.66839</v>
      </c>
      <c r="D25" s="18">
        <v>1.65126</v>
      </c>
      <c r="E25" s="18">
        <v>1.63394</v>
      </c>
      <c r="F25" s="18">
        <v>1.61642</v>
      </c>
      <c r="G25" s="18">
        <v>1.59872</v>
      </c>
      <c r="H25" s="18">
        <v>1.58083</v>
      </c>
      <c r="I25" s="18">
        <v>1.56276</v>
      </c>
      <c r="J25" s="18">
        <v>1.54454</v>
      </c>
      <c r="K25" s="18">
        <v>1.52615</v>
      </c>
      <c r="L25" s="18">
        <v>1.50759</v>
      </c>
      <c r="M25" s="18">
        <v>1.48889</v>
      </c>
      <c r="N25" s="18">
        <v>1.47004</v>
      </c>
      <c r="O25" s="18">
        <v>1.45106</v>
      </c>
      <c r="P25" s="18">
        <v>1.43193</v>
      </c>
      <c r="Q25" s="18">
        <v>1.41269</v>
      </c>
      <c r="R25" s="18">
        <v>1.39332</v>
      </c>
      <c r="S25" s="18">
        <v>1.37385</v>
      </c>
      <c r="T25" s="18">
        <v>1.35425</v>
      </c>
      <c r="U25" s="19">
        <v>1.33457</v>
      </c>
      <c r="W25" s="16">
        <v>120</v>
      </c>
      <c r="X25" s="18">
        <v>1.71889</v>
      </c>
      <c r="Y25" s="18">
        <v>1.73608</v>
      </c>
      <c r="Z25" s="18">
        <v>1.75361</v>
      </c>
      <c r="AA25" s="18">
        <v>1.77146</v>
      </c>
      <c r="AB25" s="18">
        <v>1.78964</v>
      </c>
      <c r="AC25" s="18">
        <v>1.80815</v>
      </c>
      <c r="AD25" s="18">
        <v>1.82696</v>
      </c>
      <c r="AE25" s="18">
        <v>1.84584</v>
      </c>
      <c r="AF25" s="18">
        <v>1.86455</v>
      </c>
      <c r="AG25" s="18">
        <v>1.88354</v>
      </c>
      <c r="AH25" s="18">
        <v>1.90281</v>
      </c>
      <c r="AI25" s="18">
        <v>1.92234</v>
      </c>
      <c r="AJ25" s="18">
        <v>1.94215</v>
      </c>
      <c r="AK25" s="18">
        <v>1.96221</v>
      </c>
      <c r="AL25" s="18">
        <v>1.98252</v>
      </c>
      <c r="AM25" s="18">
        <v>2.00308</v>
      </c>
      <c r="AN25" s="18">
        <v>2.02388</v>
      </c>
      <c r="AO25" s="18">
        <v>2.04493</v>
      </c>
      <c r="AP25" s="18">
        <v>2.0662</v>
      </c>
      <c r="AQ25" s="19">
        <v>2.0877</v>
      </c>
    </row>
    <row r="26" spans="1:43" ht="12.75">
      <c r="A26" s="16">
        <v>125</v>
      </c>
      <c r="B26" s="18">
        <v>1.69191</v>
      </c>
      <c r="C26" s="18">
        <v>1.67567</v>
      </c>
      <c r="D26" s="18">
        <v>1.65924</v>
      </c>
      <c r="E26" s="18">
        <v>1.64263</v>
      </c>
      <c r="F26" s="18">
        <v>1.62584</v>
      </c>
      <c r="G26" s="18">
        <v>1.60887</v>
      </c>
      <c r="H26" s="18">
        <v>1.59173</v>
      </c>
      <c r="I26" s="18">
        <v>1.57443</v>
      </c>
      <c r="J26" s="18">
        <v>1.55697</v>
      </c>
      <c r="K26" s="18">
        <v>1.53936</v>
      </c>
      <c r="L26" s="18">
        <v>1.5216</v>
      </c>
      <c r="M26" s="18">
        <v>1.50369</v>
      </c>
      <c r="N26" s="18">
        <v>1.48565</v>
      </c>
      <c r="O26" s="18">
        <v>1.46747</v>
      </c>
      <c r="P26" s="18">
        <v>1.44916</v>
      </c>
      <c r="Q26" s="18">
        <v>1.43074</v>
      </c>
      <c r="R26" s="18">
        <v>1.4122</v>
      </c>
      <c r="S26" s="18">
        <v>1.39355</v>
      </c>
      <c r="T26" s="18">
        <v>1.3748</v>
      </c>
      <c r="U26" s="19">
        <v>1.35595</v>
      </c>
      <c r="W26" s="16">
        <v>125</v>
      </c>
      <c r="X26" s="18">
        <v>1.72413</v>
      </c>
      <c r="Y26" s="18">
        <v>1.74061</v>
      </c>
      <c r="Z26" s="18">
        <v>1.7574</v>
      </c>
      <c r="AA26" s="18">
        <v>1.7745</v>
      </c>
      <c r="AB26" s="18">
        <v>1.79189</v>
      </c>
      <c r="AC26" s="18">
        <v>1.80958</v>
      </c>
      <c r="AD26" s="18">
        <v>1.82755</v>
      </c>
      <c r="AE26" s="18">
        <v>1.84571</v>
      </c>
      <c r="AF26" s="18">
        <v>1.86359</v>
      </c>
      <c r="AG26" s="18">
        <v>1.88173</v>
      </c>
      <c r="AH26" s="18">
        <v>1.90013</v>
      </c>
      <c r="AI26" s="18">
        <v>1.91878</v>
      </c>
      <c r="AJ26" s="18">
        <v>1.93768</v>
      </c>
      <c r="AK26" s="18">
        <v>1.95682</v>
      </c>
      <c r="AL26" s="18">
        <v>1.97619</v>
      </c>
      <c r="AM26" s="18">
        <v>1.99579</v>
      </c>
      <c r="AN26" s="18">
        <v>2.01562</v>
      </c>
      <c r="AO26" s="18">
        <v>2.03568</v>
      </c>
      <c r="AP26" s="18">
        <v>2.05594</v>
      </c>
      <c r="AQ26" s="19">
        <v>2.07642</v>
      </c>
    </row>
    <row r="27" spans="1:43" ht="12.75">
      <c r="A27" s="16">
        <v>130</v>
      </c>
      <c r="B27" s="18">
        <v>1.69811</v>
      </c>
      <c r="C27" s="18">
        <v>1.6825</v>
      </c>
      <c r="D27" s="18">
        <v>1.66672</v>
      </c>
      <c r="E27" s="18">
        <v>1.65076</v>
      </c>
      <c r="F27" s="18">
        <v>1.63464</v>
      </c>
      <c r="G27" s="18">
        <v>1.61836</v>
      </c>
      <c r="H27" s="18">
        <v>1.60191</v>
      </c>
      <c r="I27" s="18">
        <v>1.58531</v>
      </c>
      <c r="J27" s="18">
        <v>1.56856</v>
      </c>
      <c r="K27" s="18">
        <v>1.55166</v>
      </c>
      <c r="L27" s="18">
        <v>1.53462</v>
      </c>
      <c r="M27" s="18">
        <v>1.51745</v>
      </c>
      <c r="N27" s="18">
        <v>1.50015</v>
      </c>
      <c r="O27" s="18">
        <v>1.48272</v>
      </c>
      <c r="P27" s="18">
        <v>1.46516</v>
      </c>
      <c r="Q27" s="18">
        <v>1.4475</v>
      </c>
      <c r="R27" s="18">
        <v>1.42972</v>
      </c>
      <c r="S27" s="18">
        <v>1.41184</v>
      </c>
      <c r="T27" s="18">
        <v>1.39386</v>
      </c>
      <c r="U27" s="19">
        <v>1.37577</v>
      </c>
      <c r="W27" s="16">
        <v>130</v>
      </c>
      <c r="X27" s="18">
        <v>1.72909</v>
      </c>
      <c r="Y27" s="18">
        <v>1.74492</v>
      </c>
      <c r="Z27" s="18">
        <v>1.76103</v>
      </c>
      <c r="AA27" s="18">
        <v>1.77743</v>
      </c>
      <c r="AB27" s="18">
        <v>1.79409</v>
      </c>
      <c r="AC27" s="18">
        <v>1.81103</v>
      </c>
      <c r="AD27" s="18">
        <v>1.82823</v>
      </c>
      <c r="AE27" s="18">
        <v>1.84569</v>
      </c>
      <c r="AF27" s="18">
        <v>1.86285</v>
      </c>
      <c r="AG27" s="18">
        <v>1.88021</v>
      </c>
      <c r="AH27" s="18">
        <v>1.89782</v>
      </c>
      <c r="AI27" s="18">
        <v>1.91565</v>
      </c>
      <c r="AJ27" s="18">
        <v>1.93372</v>
      </c>
      <c r="AK27" s="18">
        <v>1.95201</v>
      </c>
      <c r="AL27" s="18">
        <v>1.97053</v>
      </c>
      <c r="AM27" s="18">
        <v>1.98925</v>
      </c>
      <c r="AN27" s="18">
        <v>2.0082</v>
      </c>
      <c r="AO27" s="18">
        <v>2.02734</v>
      </c>
      <c r="AP27" s="18">
        <v>2.04669</v>
      </c>
      <c r="AQ27" s="19">
        <v>2.06623</v>
      </c>
    </row>
    <row r="28" spans="1:43" ht="12.75">
      <c r="A28" s="16">
        <v>135</v>
      </c>
      <c r="B28" s="18">
        <v>1.70397</v>
      </c>
      <c r="C28" s="18">
        <v>1.68894</v>
      </c>
      <c r="D28" s="18">
        <v>1.67375</v>
      </c>
      <c r="E28" s="18">
        <v>1.6584</v>
      </c>
      <c r="F28" s="18">
        <v>1.6429</v>
      </c>
      <c r="G28" s="18">
        <v>1.62723</v>
      </c>
      <c r="H28" s="18">
        <v>1.61142</v>
      </c>
      <c r="I28" s="18">
        <v>1.59547</v>
      </c>
      <c r="J28" s="18">
        <v>1.57937</v>
      </c>
      <c r="K28" s="18">
        <v>1.56315</v>
      </c>
      <c r="L28" s="18">
        <v>1.54677</v>
      </c>
      <c r="M28" s="18">
        <v>1.53028</v>
      </c>
      <c r="N28" s="18">
        <v>1.51367</v>
      </c>
      <c r="O28" s="18">
        <v>1.49692</v>
      </c>
      <c r="P28" s="18">
        <v>1.48007</v>
      </c>
      <c r="Q28" s="18">
        <v>1.4631</v>
      </c>
      <c r="R28" s="18">
        <v>1.44604</v>
      </c>
      <c r="S28" s="18">
        <v>1.42885</v>
      </c>
      <c r="T28" s="18">
        <v>1.41158</v>
      </c>
      <c r="U28" s="19">
        <v>1.39422</v>
      </c>
      <c r="W28" s="16">
        <v>135</v>
      </c>
      <c r="X28" s="18">
        <v>1.73379</v>
      </c>
      <c r="Y28" s="18">
        <v>1.74902</v>
      </c>
      <c r="Z28" s="18">
        <v>1.7645</v>
      </c>
      <c r="AA28" s="18">
        <v>1.78024</v>
      </c>
      <c r="AB28" s="18">
        <v>1.79624</v>
      </c>
      <c r="AC28" s="18">
        <v>1.8125</v>
      </c>
      <c r="AD28" s="18">
        <v>1.82899</v>
      </c>
      <c r="AE28" s="18">
        <v>1.84573</v>
      </c>
      <c r="AF28" s="18">
        <v>1.86228</v>
      </c>
      <c r="AG28" s="18">
        <v>1.87893</v>
      </c>
      <c r="AH28" s="18">
        <v>1.89581</v>
      </c>
      <c r="AI28" s="18">
        <v>1.91291</v>
      </c>
      <c r="AJ28" s="18">
        <v>1.93022</v>
      </c>
      <c r="AK28" s="18">
        <v>1.94773</v>
      </c>
      <c r="AL28" s="18">
        <v>1.96545</v>
      </c>
      <c r="AM28" s="18">
        <v>1.98337</v>
      </c>
      <c r="AN28" s="18">
        <v>2.0015</v>
      </c>
      <c r="AO28" s="18">
        <v>2.01981</v>
      </c>
      <c r="AP28" s="18">
        <v>2.03832</v>
      </c>
      <c r="AQ28" s="19">
        <v>2.05701</v>
      </c>
    </row>
    <row r="29" spans="1:43" ht="12.75">
      <c r="A29" s="16">
        <v>140</v>
      </c>
      <c r="B29" s="18">
        <v>1.7095</v>
      </c>
      <c r="C29" s="18">
        <v>1.69501</v>
      </c>
      <c r="D29" s="18">
        <v>1.68038</v>
      </c>
      <c r="E29" s="18">
        <v>1.66559</v>
      </c>
      <c r="F29" s="18">
        <v>1.65066</v>
      </c>
      <c r="G29" s="18">
        <v>1.63557</v>
      </c>
      <c r="H29" s="18">
        <v>1.62036</v>
      </c>
      <c r="I29" s="18">
        <v>1.605</v>
      </c>
      <c r="J29" s="18">
        <v>1.58951</v>
      </c>
      <c r="K29" s="18">
        <v>1.57389</v>
      </c>
      <c r="L29" s="18">
        <v>1.55815</v>
      </c>
      <c r="M29" s="18">
        <v>1.54228</v>
      </c>
      <c r="N29" s="18">
        <v>1.52629</v>
      </c>
      <c r="O29" s="18">
        <v>1.5102</v>
      </c>
      <c r="P29" s="18">
        <v>1.49399</v>
      </c>
      <c r="Q29" s="18">
        <v>1.47767</v>
      </c>
      <c r="R29" s="18">
        <v>1.46125</v>
      </c>
      <c r="S29" s="18">
        <v>1.44473</v>
      </c>
      <c r="T29" s="18">
        <v>1.42813</v>
      </c>
      <c r="U29" s="19">
        <v>1.41143</v>
      </c>
      <c r="W29" s="16">
        <v>140</v>
      </c>
      <c r="X29" s="18">
        <v>1.73824</v>
      </c>
      <c r="Y29" s="18">
        <v>1.75291</v>
      </c>
      <c r="Z29" s="18">
        <v>1.76782</v>
      </c>
      <c r="AA29" s="18">
        <v>1.78297</v>
      </c>
      <c r="AB29" s="18">
        <v>1.79836</v>
      </c>
      <c r="AC29" s="18">
        <v>1.81397</v>
      </c>
      <c r="AD29" s="18">
        <v>1.82981</v>
      </c>
      <c r="AE29" s="18">
        <v>1.84589</v>
      </c>
      <c r="AF29" s="18">
        <v>1.86188</v>
      </c>
      <c r="AG29" s="18">
        <v>1.87787</v>
      </c>
      <c r="AH29" s="18">
        <v>1.89408</v>
      </c>
      <c r="AI29" s="18">
        <v>1.91048</v>
      </c>
      <c r="AJ29" s="18">
        <v>1.92709</v>
      </c>
      <c r="AK29" s="18">
        <v>1.94389</v>
      </c>
      <c r="AL29" s="18">
        <v>1.96089</v>
      </c>
      <c r="AM29" s="18">
        <v>1.97808</v>
      </c>
      <c r="AN29" s="18">
        <v>1.99544</v>
      </c>
      <c r="AO29" s="18">
        <v>2.01299</v>
      </c>
      <c r="AP29" s="18">
        <v>2.03073</v>
      </c>
      <c r="AQ29" s="19">
        <v>2.04864</v>
      </c>
    </row>
    <row r="30" spans="1:43" ht="12.75">
      <c r="A30" s="16">
        <v>145</v>
      </c>
      <c r="B30" s="18">
        <v>1.71473</v>
      </c>
      <c r="C30" s="18">
        <v>1.70075</v>
      </c>
      <c r="D30" s="18">
        <v>1.68663</v>
      </c>
      <c r="E30" s="18">
        <v>1.67236</v>
      </c>
      <c r="F30" s="18">
        <v>1.65796</v>
      </c>
      <c r="G30" s="18">
        <v>1.64343</v>
      </c>
      <c r="H30" s="18">
        <v>1.62875</v>
      </c>
      <c r="I30" s="18">
        <v>1.61395</v>
      </c>
      <c r="J30" s="18">
        <v>1.59902</v>
      </c>
      <c r="K30" s="18">
        <v>1.58398</v>
      </c>
      <c r="L30" s="18">
        <v>1.56881</v>
      </c>
      <c r="M30" s="18">
        <v>1.55352</v>
      </c>
      <c r="N30" s="18">
        <v>1.53813</v>
      </c>
      <c r="O30" s="18">
        <v>1.52263</v>
      </c>
      <c r="P30" s="18">
        <v>1.50702</v>
      </c>
      <c r="Q30" s="18">
        <v>1.49131</v>
      </c>
      <c r="R30" s="18">
        <v>1.4755</v>
      </c>
      <c r="S30" s="18">
        <v>1.45959</v>
      </c>
      <c r="T30" s="18">
        <v>1.44359</v>
      </c>
      <c r="U30" s="19">
        <v>1.42751</v>
      </c>
      <c r="W30" s="16">
        <v>145</v>
      </c>
      <c r="X30" s="18">
        <v>1.74247</v>
      </c>
      <c r="Y30" s="18">
        <v>1.75663</v>
      </c>
      <c r="Z30" s="18">
        <v>1.771</v>
      </c>
      <c r="AA30" s="18">
        <v>1.78559</v>
      </c>
      <c r="AB30" s="18">
        <v>1.8004</v>
      </c>
      <c r="AC30" s="18">
        <v>1.81544</v>
      </c>
      <c r="AD30" s="18">
        <v>1.83069</v>
      </c>
      <c r="AE30" s="18">
        <v>1.84615</v>
      </c>
      <c r="AF30" s="18">
        <v>1.8616</v>
      </c>
      <c r="AG30" s="18">
        <v>1.87699</v>
      </c>
      <c r="AH30" s="18">
        <v>1.89257</v>
      </c>
      <c r="AI30" s="18">
        <v>1.90834</v>
      </c>
      <c r="AJ30" s="18">
        <v>1.9243</v>
      </c>
      <c r="AK30" s="18">
        <v>1.94044</v>
      </c>
      <c r="AL30" s="18">
        <v>1.95677</v>
      </c>
      <c r="AM30" s="18">
        <v>1.97327</v>
      </c>
      <c r="AN30" s="18">
        <v>1.98995</v>
      </c>
      <c r="AO30" s="18">
        <v>2.0068</v>
      </c>
      <c r="AP30" s="18">
        <v>2.02382</v>
      </c>
      <c r="AQ30" s="19">
        <v>2.041</v>
      </c>
    </row>
    <row r="31" spans="1:43" ht="12.75">
      <c r="A31" s="16">
        <v>150</v>
      </c>
      <c r="B31" s="18">
        <v>1.7197</v>
      </c>
      <c r="C31" s="18">
        <v>1.70619</v>
      </c>
      <c r="D31" s="18">
        <v>1.69255</v>
      </c>
      <c r="E31" s="18">
        <v>1.67877</v>
      </c>
      <c r="F31" s="18">
        <v>1.66486</v>
      </c>
      <c r="G31" s="18">
        <v>1.65082</v>
      </c>
      <c r="H31" s="18">
        <v>1.63666</v>
      </c>
      <c r="I31" s="18">
        <v>1.62238</v>
      </c>
      <c r="J31" s="18">
        <v>1.60799</v>
      </c>
      <c r="K31" s="18">
        <v>1.59346</v>
      </c>
      <c r="L31" s="18">
        <v>1.57883</v>
      </c>
      <c r="M31" s="18">
        <v>1.56409</v>
      </c>
      <c r="N31" s="18">
        <v>1.54925</v>
      </c>
      <c r="O31" s="18">
        <v>1.5343</v>
      </c>
      <c r="P31" s="18">
        <v>1.51925</v>
      </c>
      <c r="Q31" s="18">
        <v>1.5041</v>
      </c>
      <c r="R31" s="18">
        <v>1.48885</v>
      </c>
      <c r="S31" s="18">
        <v>1.47352</v>
      </c>
      <c r="T31" s="18">
        <v>1.45809</v>
      </c>
      <c r="U31" s="19">
        <v>1.44259</v>
      </c>
      <c r="W31" s="16">
        <v>150</v>
      </c>
      <c r="X31" s="18">
        <v>1.74652</v>
      </c>
      <c r="Y31" s="18">
        <v>1.76018</v>
      </c>
      <c r="Z31" s="18">
        <v>1.77406</v>
      </c>
      <c r="AA31" s="18">
        <v>1.78814</v>
      </c>
      <c r="AB31" s="18">
        <v>1.80242</v>
      </c>
      <c r="AC31" s="18">
        <v>1.8169</v>
      </c>
      <c r="AD31" s="18">
        <v>1.83159</v>
      </c>
      <c r="AE31" s="18">
        <v>1.84648</v>
      </c>
      <c r="AF31" s="18">
        <v>1.86144</v>
      </c>
      <c r="AG31" s="18">
        <v>1.87627</v>
      </c>
      <c r="AH31" s="18">
        <v>1.89127</v>
      </c>
      <c r="AI31" s="18">
        <v>1.90645</v>
      </c>
      <c r="AJ31" s="18">
        <v>1.92182</v>
      </c>
      <c r="AK31" s="18">
        <v>1.93735</v>
      </c>
      <c r="AL31" s="18">
        <v>1.95305</v>
      </c>
      <c r="AM31" s="18">
        <v>1.96892</v>
      </c>
      <c r="AN31" s="18">
        <v>1.98496</v>
      </c>
      <c r="AO31" s="18">
        <v>2.00116</v>
      </c>
      <c r="AP31" s="18">
        <v>2.01751</v>
      </c>
      <c r="AQ31" s="19">
        <v>2.03402</v>
      </c>
    </row>
    <row r="32" spans="1:43" ht="12.75">
      <c r="A32" s="16">
        <v>155</v>
      </c>
      <c r="B32" s="18">
        <v>1.72442</v>
      </c>
      <c r="C32" s="18">
        <v>1.71135</v>
      </c>
      <c r="D32" s="18">
        <v>1.69815</v>
      </c>
      <c r="E32" s="18">
        <v>1.68483</v>
      </c>
      <c r="F32" s="18">
        <v>1.67139</v>
      </c>
      <c r="G32" s="18">
        <v>1.65782</v>
      </c>
      <c r="H32" s="18">
        <v>1.64413</v>
      </c>
      <c r="I32" s="18">
        <v>1.63034</v>
      </c>
      <c r="J32" s="18">
        <v>1.61643</v>
      </c>
      <c r="K32" s="18">
        <v>1.60241</v>
      </c>
      <c r="L32" s="18">
        <v>1.58827</v>
      </c>
      <c r="M32" s="18">
        <v>1.57404</v>
      </c>
      <c r="N32" s="18">
        <v>1.55971</v>
      </c>
      <c r="O32" s="18">
        <v>1.54527</v>
      </c>
      <c r="P32" s="18">
        <v>1.53074</v>
      </c>
      <c r="Q32" s="18">
        <v>1.51612</v>
      </c>
      <c r="R32" s="18">
        <v>1.50139</v>
      </c>
      <c r="S32" s="18">
        <v>1.48659</v>
      </c>
      <c r="T32" s="18">
        <v>1.47171</v>
      </c>
      <c r="U32" s="19">
        <v>1.45674</v>
      </c>
      <c r="W32" s="16">
        <v>155</v>
      </c>
      <c r="X32" s="18">
        <v>1.75036</v>
      </c>
      <c r="Y32" s="18">
        <v>1.76358</v>
      </c>
      <c r="Z32" s="18">
        <v>1.77698</v>
      </c>
      <c r="AA32" s="18">
        <v>1.79058</v>
      </c>
      <c r="AB32" s="18">
        <v>1.80437</v>
      </c>
      <c r="AC32" s="18">
        <v>1.81836</v>
      </c>
      <c r="AD32" s="18">
        <v>1.83253</v>
      </c>
      <c r="AE32" s="18">
        <v>1.84688</v>
      </c>
      <c r="AF32" s="18">
        <v>1.86138</v>
      </c>
      <c r="AG32" s="18">
        <v>1.87568</v>
      </c>
      <c r="AH32" s="18">
        <v>1.89015</v>
      </c>
      <c r="AI32" s="18">
        <v>1.90478</v>
      </c>
      <c r="AJ32" s="18">
        <v>1.91959</v>
      </c>
      <c r="AK32" s="18">
        <v>1.93455</v>
      </c>
      <c r="AL32" s="18">
        <v>1.94968</v>
      </c>
      <c r="AM32" s="18">
        <v>1.96497</v>
      </c>
      <c r="AN32" s="18">
        <v>1.9804</v>
      </c>
      <c r="AO32" s="18">
        <v>1.996</v>
      </c>
      <c r="AP32" s="18">
        <v>2.01174</v>
      </c>
      <c r="AQ32" s="19">
        <v>2.02763</v>
      </c>
    </row>
    <row r="33" spans="1:43" ht="12.75">
      <c r="A33" s="16">
        <v>160</v>
      </c>
      <c r="B33" s="18">
        <v>1.7289</v>
      </c>
      <c r="C33" s="18">
        <v>1.71625</v>
      </c>
      <c r="D33" s="18">
        <v>1.70348</v>
      </c>
      <c r="E33" s="18">
        <v>1.69058</v>
      </c>
      <c r="F33" s="18">
        <v>1.67756</v>
      </c>
      <c r="G33" s="18">
        <v>1.66444</v>
      </c>
      <c r="H33" s="18">
        <v>1.65121</v>
      </c>
      <c r="I33" s="18">
        <v>1.63786</v>
      </c>
      <c r="J33" s="18">
        <v>1.62441</v>
      </c>
      <c r="K33" s="18">
        <v>1.61084</v>
      </c>
      <c r="L33" s="18">
        <v>1.59718</v>
      </c>
      <c r="M33" s="18">
        <v>1.58343</v>
      </c>
      <c r="N33" s="18">
        <v>1.56957</v>
      </c>
      <c r="O33" s="18">
        <v>1.55562</v>
      </c>
      <c r="P33" s="18">
        <v>1.54158</v>
      </c>
      <c r="Q33" s="18">
        <v>1.52744</v>
      </c>
      <c r="R33" s="18">
        <v>1.51322</v>
      </c>
      <c r="S33" s="18">
        <v>1.49892</v>
      </c>
      <c r="T33" s="18">
        <v>1.48452</v>
      </c>
      <c r="U33" s="19">
        <v>1.47006</v>
      </c>
      <c r="W33" s="16">
        <v>160</v>
      </c>
      <c r="X33" s="18">
        <v>1.75405</v>
      </c>
      <c r="Y33" s="18">
        <v>1.76683</v>
      </c>
      <c r="Z33" s="18">
        <v>1.7798</v>
      </c>
      <c r="AA33" s="18">
        <v>1.79296</v>
      </c>
      <c r="AB33" s="18">
        <v>1.80629</v>
      </c>
      <c r="AC33" s="18">
        <v>1.8198</v>
      </c>
      <c r="AD33" s="18">
        <v>1.83348</v>
      </c>
      <c r="AE33" s="18">
        <v>1.84734</v>
      </c>
      <c r="AF33" s="18">
        <v>1.86138</v>
      </c>
      <c r="AG33" s="18">
        <v>1.8752</v>
      </c>
      <c r="AH33" s="18">
        <v>1.88918</v>
      </c>
      <c r="AI33" s="18">
        <v>1.90331</v>
      </c>
      <c r="AJ33" s="18">
        <v>1.91759</v>
      </c>
      <c r="AK33" s="18">
        <v>1.93204</v>
      </c>
      <c r="AL33" s="18">
        <v>1.94662</v>
      </c>
      <c r="AM33" s="18">
        <v>1.96136</v>
      </c>
      <c r="AN33" s="18">
        <v>1.97624</v>
      </c>
      <c r="AO33" s="18">
        <v>1.99127</v>
      </c>
      <c r="AP33" s="18">
        <v>2.00644</v>
      </c>
      <c r="AQ33" s="19">
        <v>2.02175</v>
      </c>
    </row>
    <row r="34" spans="1:43" ht="12.75">
      <c r="A34" s="16">
        <v>165</v>
      </c>
      <c r="B34" s="18">
        <v>1.73319</v>
      </c>
      <c r="C34" s="18">
        <v>1.72092</v>
      </c>
      <c r="D34" s="18">
        <v>1.70854</v>
      </c>
      <c r="E34" s="18">
        <v>1.69604</v>
      </c>
      <c r="F34" s="18">
        <v>1.68344</v>
      </c>
      <c r="G34" s="18">
        <v>1.67073</v>
      </c>
      <c r="H34" s="18">
        <v>1.65791</v>
      </c>
      <c r="I34" s="18">
        <v>1.64498</v>
      </c>
      <c r="J34" s="18">
        <v>1.63195</v>
      </c>
      <c r="K34" s="18">
        <v>1.61883</v>
      </c>
      <c r="L34" s="18">
        <v>1.60561</v>
      </c>
      <c r="M34" s="18">
        <v>1.5923</v>
      </c>
      <c r="N34" s="18">
        <v>1.57889</v>
      </c>
      <c r="O34" s="18">
        <v>1.56539</v>
      </c>
      <c r="P34" s="18">
        <v>1.5518</v>
      </c>
      <c r="Q34" s="18">
        <v>1.53813</v>
      </c>
      <c r="R34" s="18">
        <v>1.52437</v>
      </c>
      <c r="S34" s="18">
        <v>1.51053</v>
      </c>
      <c r="T34" s="18">
        <v>1.49661</v>
      </c>
      <c r="U34" s="19">
        <v>1.48262</v>
      </c>
      <c r="W34" s="16">
        <v>165</v>
      </c>
      <c r="X34" s="18">
        <v>1.75756</v>
      </c>
      <c r="Y34" s="18">
        <v>1.76995</v>
      </c>
      <c r="Z34" s="18">
        <v>1.78251</v>
      </c>
      <c r="AA34" s="18">
        <v>1.79525</v>
      </c>
      <c r="AB34" s="18">
        <v>1.80815</v>
      </c>
      <c r="AC34" s="18">
        <v>1.82122</v>
      </c>
      <c r="AD34" s="18">
        <v>1.83445</v>
      </c>
      <c r="AE34" s="18">
        <v>1.84785</v>
      </c>
      <c r="AF34" s="18">
        <v>1.86141</v>
      </c>
      <c r="AG34" s="18">
        <v>1.87484</v>
      </c>
      <c r="AH34" s="18">
        <v>1.88835</v>
      </c>
      <c r="AI34" s="18">
        <v>1.902</v>
      </c>
      <c r="AJ34" s="18">
        <v>1.91581</v>
      </c>
      <c r="AK34" s="18">
        <v>1.92975</v>
      </c>
      <c r="AL34" s="18">
        <v>1.94383</v>
      </c>
      <c r="AM34" s="18">
        <v>1.95806</v>
      </c>
      <c r="AN34" s="18">
        <v>1.97244</v>
      </c>
      <c r="AO34" s="18">
        <v>1.98694</v>
      </c>
      <c r="AP34" s="18">
        <v>2.00158</v>
      </c>
      <c r="AQ34" s="19">
        <v>2.01635</v>
      </c>
    </row>
    <row r="35" spans="1:43" ht="12.75">
      <c r="A35" s="16">
        <v>170</v>
      </c>
      <c r="B35" s="18">
        <v>1.73728</v>
      </c>
      <c r="C35" s="18">
        <v>1.72537</v>
      </c>
      <c r="D35" s="18">
        <v>1.71336</v>
      </c>
      <c r="E35" s="18">
        <v>1.70124</v>
      </c>
      <c r="F35" s="18">
        <v>1.68902</v>
      </c>
      <c r="G35" s="18">
        <v>1.67669</v>
      </c>
      <c r="H35" s="18">
        <v>1.66427</v>
      </c>
      <c r="I35" s="18">
        <v>1.65174</v>
      </c>
      <c r="J35" s="18">
        <v>1.63912</v>
      </c>
      <c r="K35" s="18">
        <v>1.62641</v>
      </c>
      <c r="L35" s="18">
        <v>1.61359</v>
      </c>
      <c r="M35" s="18">
        <v>1.60069</v>
      </c>
      <c r="N35" s="18">
        <v>1.5877</v>
      </c>
      <c r="O35" s="18">
        <v>1.57464</v>
      </c>
      <c r="P35" s="18">
        <v>1.56147</v>
      </c>
      <c r="Q35" s="18">
        <v>1.54823</v>
      </c>
      <c r="R35" s="18">
        <v>1.53491</v>
      </c>
      <c r="S35" s="18">
        <v>1.52151</v>
      </c>
      <c r="T35" s="18">
        <v>1.50803</v>
      </c>
      <c r="U35" s="19">
        <v>1.49449</v>
      </c>
      <c r="W35" s="16">
        <v>170</v>
      </c>
      <c r="X35" s="18">
        <v>1.76093</v>
      </c>
      <c r="Y35" s="18">
        <v>1.77295</v>
      </c>
      <c r="Z35" s="18">
        <v>1.78512</v>
      </c>
      <c r="AA35" s="18">
        <v>1.79747</v>
      </c>
      <c r="AB35" s="18">
        <v>1.80997</v>
      </c>
      <c r="AC35" s="18">
        <v>1.82262</v>
      </c>
      <c r="AD35" s="18">
        <v>1.83543</v>
      </c>
      <c r="AE35" s="18">
        <v>1.84839</v>
      </c>
      <c r="AF35" s="18">
        <v>1.86151</v>
      </c>
      <c r="AG35" s="18">
        <v>1.87456</v>
      </c>
      <c r="AH35" s="18">
        <v>1.88764</v>
      </c>
      <c r="AI35" s="18">
        <v>1.90085</v>
      </c>
      <c r="AJ35" s="18">
        <v>1.91419</v>
      </c>
      <c r="AK35" s="18">
        <v>1.92768</v>
      </c>
      <c r="AL35" s="18">
        <v>1.9413</v>
      </c>
      <c r="AM35" s="18">
        <v>1.95506</v>
      </c>
      <c r="AN35" s="18">
        <v>1.96894</v>
      </c>
      <c r="AO35" s="18">
        <v>1.98296</v>
      </c>
      <c r="AP35" s="18">
        <v>1.9971</v>
      </c>
      <c r="AQ35" s="19">
        <v>2.01136</v>
      </c>
    </row>
    <row r="36" spans="1:43" ht="12.75">
      <c r="A36" s="16">
        <v>175</v>
      </c>
      <c r="B36" s="18">
        <v>1.74119</v>
      </c>
      <c r="C36" s="18">
        <v>1.72963</v>
      </c>
      <c r="D36" s="18">
        <v>1.71796</v>
      </c>
      <c r="E36" s="18">
        <v>1.7062</v>
      </c>
      <c r="F36" s="18">
        <v>1.69433</v>
      </c>
      <c r="G36" s="18">
        <v>1.68237</v>
      </c>
      <c r="H36" s="18">
        <v>1.67031</v>
      </c>
      <c r="I36" s="18">
        <v>1.65817</v>
      </c>
      <c r="J36" s="18">
        <v>1.64593</v>
      </c>
      <c r="K36" s="18">
        <v>1.63359</v>
      </c>
      <c r="L36" s="18">
        <v>1.62117</v>
      </c>
      <c r="M36" s="18">
        <v>1.60867</v>
      </c>
      <c r="N36" s="18">
        <v>1.59607</v>
      </c>
      <c r="O36" s="18">
        <v>1.58339</v>
      </c>
      <c r="P36" s="18">
        <v>1.57064</v>
      </c>
      <c r="Q36" s="18">
        <v>1.5578</v>
      </c>
      <c r="R36" s="18">
        <v>1.54489</v>
      </c>
      <c r="S36" s="18">
        <v>1.5319</v>
      </c>
      <c r="T36" s="18">
        <v>1.51885</v>
      </c>
      <c r="U36" s="19">
        <v>1.50572</v>
      </c>
      <c r="W36" s="16">
        <v>175</v>
      </c>
      <c r="X36" s="18">
        <v>1.76416</v>
      </c>
      <c r="Y36" s="18">
        <v>1.77583</v>
      </c>
      <c r="Z36" s="18">
        <v>1.78765</v>
      </c>
      <c r="AA36" s="18">
        <v>1.79961</v>
      </c>
      <c r="AB36" s="18">
        <v>1.81174</v>
      </c>
      <c r="AC36" s="18">
        <v>1.824</v>
      </c>
      <c r="AD36" s="18">
        <v>1.83641</v>
      </c>
      <c r="AE36" s="18">
        <v>1.84898</v>
      </c>
      <c r="AF36" s="18">
        <v>1.86168</v>
      </c>
      <c r="AG36" s="18">
        <v>1.87437</v>
      </c>
      <c r="AH36" s="18">
        <v>1.88703</v>
      </c>
      <c r="AI36" s="18">
        <v>1.89982</v>
      </c>
      <c r="AJ36" s="18">
        <v>1.91275</v>
      </c>
      <c r="AK36" s="18">
        <v>1.9258</v>
      </c>
      <c r="AL36" s="18">
        <v>1.93899</v>
      </c>
      <c r="AM36" s="18">
        <v>1.95229</v>
      </c>
      <c r="AN36" s="18">
        <v>1.96573</v>
      </c>
      <c r="AO36" s="18">
        <v>1.97928</v>
      </c>
      <c r="AP36" s="18">
        <v>1.99296</v>
      </c>
      <c r="AQ36" s="19">
        <v>2.00675</v>
      </c>
    </row>
    <row r="37" spans="1:43" ht="12.75">
      <c r="A37" s="16">
        <v>180</v>
      </c>
      <c r="B37" s="18">
        <v>1.74493</v>
      </c>
      <c r="C37" s="18">
        <v>1.73369</v>
      </c>
      <c r="D37" s="18">
        <v>1.72236</v>
      </c>
      <c r="E37" s="18">
        <v>1.71092</v>
      </c>
      <c r="F37" s="18">
        <v>1.6994</v>
      </c>
      <c r="G37" s="18">
        <v>1.68779</v>
      </c>
      <c r="H37" s="18">
        <v>1.67608</v>
      </c>
      <c r="I37" s="18">
        <v>1.66428</v>
      </c>
      <c r="J37" s="18">
        <v>1.65239</v>
      </c>
      <c r="K37" s="18">
        <v>1.64043</v>
      </c>
      <c r="L37" s="18">
        <v>1.62837</v>
      </c>
      <c r="M37" s="18">
        <v>1.61623</v>
      </c>
      <c r="N37" s="18">
        <v>1.60401</v>
      </c>
      <c r="O37" s="18">
        <v>1.59171</v>
      </c>
      <c r="P37" s="18">
        <v>1.57934</v>
      </c>
      <c r="Q37" s="18">
        <v>1.56688</v>
      </c>
      <c r="R37" s="18">
        <v>1.55436</v>
      </c>
      <c r="S37" s="18">
        <v>1.54176</v>
      </c>
      <c r="T37" s="18">
        <v>1.5291</v>
      </c>
      <c r="U37" s="19">
        <v>1.51636</v>
      </c>
      <c r="W37" s="16">
        <v>180</v>
      </c>
      <c r="X37" s="18">
        <v>1.76726</v>
      </c>
      <c r="Y37" s="18">
        <v>1.7786</v>
      </c>
      <c r="Z37" s="18">
        <v>1.79007</v>
      </c>
      <c r="AA37" s="18">
        <v>1.8017</v>
      </c>
      <c r="AB37" s="18">
        <v>1.81346</v>
      </c>
      <c r="AC37" s="18">
        <v>1.82536</v>
      </c>
      <c r="AD37" s="18">
        <v>1.8374</v>
      </c>
      <c r="AE37" s="18">
        <v>1.84959</v>
      </c>
      <c r="AF37" s="18">
        <v>1.8619</v>
      </c>
      <c r="AG37" s="18">
        <v>1.87425</v>
      </c>
      <c r="AH37" s="18">
        <v>1.88652</v>
      </c>
      <c r="AI37" s="18">
        <v>1.89892</v>
      </c>
      <c r="AJ37" s="18">
        <v>1.91145</v>
      </c>
      <c r="AK37" s="18">
        <v>1.9241</v>
      </c>
      <c r="AL37" s="18">
        <v>1.93687</v>
      </c>
      <c r="AM37" s="18">
        <v>1.94976</v>
      </c>
      <c r="AN37" s="18">
        <v>1.96276</v>
      </c>
      <c r="AO37" s="18">
        <v>1.97588</v>
      </c>
      <c r="AP37" s="18">
        <v>1.98912</v>
      </c>
      <c r="AQ37" s="19">
        <v>2.00248</v>
      </c>
    </row>
    <row r="38" spans="1:43" ht="12.75">
      <c r="A38" s="16">
        <v>185</v>
      </c>
      <c r="B38" s="18">
        <v>1.74851</v>
      </c>
      <c r="C38" s="18">
        <v>1.73759</v>
      </c>
      <c r="D38" s="18">
        <v>1.72656</v>
      </c>
      <c r="E38" s="18">
        <v>1.71545</v>
      </c>
      <c r="F38" s="18">
        <v>1.70424</v>
      </c>
      <c r="G38" s="18">
        <v>1.69295</v>
      </c>
      <c r="H38" s="18">
        <v>1.68157</v>
      </c>
      <c r="I38" s="18">
        <v>1.6701</v>
      </c>
      <c r="J38" s="18">
        <v>1.65856</v>
      </c>
      <c r="K38" s="18">
        <v>1.64693</v>
      </c>
      <c r="L38" s="18">
        <v>1.63522</v>
      </c>
      <c r="M38" s="18">
        <v>1.62343</v>
      </c>
      <c r="N38" s="18">
        <v>1.61156</v>
      </c>
      <c r="O38" s="18">
        <v>1.59962</v>
      </c>
      <c r="P38" s="18">
        <v>1.5876</v>
      </c>
      <c r="Q38" s="18">
        <v>1.57551</v>
      </c>
      <c r="R38" s="18">
        <v>1.56335</v>
      </c>
      <c r="S38" s="18">
        <v>1.55112</v>
      </c>
      <c r="T38" s="18">
        <v>1.53882</v>
      </c>
      <c r="U38" s="19">
        <v>1.52646</v>
      </c>
      <c r="W38" s="16">
        <v>185</v>
      </c>
      <c r="X38" s="18">
        <v>1.77024</v>
      </c>
      <c r="Y38" s="18">
        <v>1.78127</v>
      </c>
      <c r="Z38" s="18">
        <v>1.79242</v>
      </c>
      <c r="AA38" s="18">
        <v>1.80371</v>
      </c>
      <c r="AB38" s="18">
        <v>1.81514</v>
      </c>
      <c r="AC38" s="18">
        <v>1.8267</v>
      </c>
      <c r="AD38" s="18">
        <v>1.83838</v>
      </c>
      <c r="AE38" s="18">
        <v>1.85021</v>
      </c>
      <c r="AF38" s="18">
        <v>1.86215</v>
      </c>
      <c r="AG38" s="18">
        <v>1.87419</v>
      </c>
      <c r="AH38" s="18">
        <v>1.8861</v>
      </c>
      <c r="AI38" s="18">
        <v>1.89813</v>
      </c>
      <c r="AJ38" s="18">
        <v>1.91028</v>
      </c>
      <c r="AK38" s="18">
        <v>1.92255</v>
      </c>
      <c r="AL38" s="18">
        <v>1.93493</v>
      </c>
      <c r="AM38" s="18">
        <v>1.94743</v>
      </c>
      <c r="AN38" s="18">
        <v>1.96003</v>
      </c>
      <c r="AO38" s="18">
        <v>1.97275</v>
      </c>
      <c r="AP38" s="18">
        <v>1.98558</v>
      </c>
      <c r="AQ38" s="19">
        <v>1.99852</v>
      </c>
    </row>
    <row r="39" spans="1:43" ht="12.75">
      <c r="A39" s="16">
        <v>190</v>
      </c>
      <c r="B39" s="18">
        <v>1.75196</v>
      </c>
      <c r="C39" s="18">
        <v>1.74132</v>
      </c>
      <c r="D39" s="18">
        <v>1.73059</v>
      </c>
      <c r="E39" s="18">
        <v>1.71977</v>
      </c>
      <c r="F39" s="18">
        <v>1.70887</v>
      </c>
      <c r="G39" s="18">
        <v>1.69789</v>
      </c>
      <c r="H39" s="18">
        <v>1.68682</v>
      </c>
      <c r="I39" s="18">
        <v>1.67567</v>
      </c>
      <c r="J39" s="18">
        <v>1.66444</v>
      </c>
      <c r="K39" s="18">
        <v>1.65313</v>
      </c>
      <c r="L39" s="18">
        <v>1.64175</v>
      </c>
      <c r="M39" s="18">
        <v>1.63028</v>
      </c>
      <c r="N39" s="18">
        <v>1.61875</v>
      </c>
      <c r="O39" s="18">
        <v>1.60714</v>
      </c>
      <c r="P39" s="18">
        <v>1.59547</v>
      </c>
      <c r="Q39" s="18">
        <v>1.58372</v>
      </c>
      <c r="R39" s="18">
        <v>1.5719</v>
      </c>
      <c r="S39" s="18">
        <v>1.56001</v>
      </c>
      <c r="T39" s="18">
        <v>1.54807</v>
      </c>
      <c r="U39" s="19">
        <v>1.53605</v>
      </c>
      <c r="W39" s="16">
        <v>190</v>
      </c>
      <c r="X39" s="18">
        <v>1.77311</v>
      </c>
      <c r="Y39" s="18">
        <v>1.78383</v>
      </c>
      <c r="Z39" s="18">
        <v>1.79468</v>
      </c>
      <c r="AA39" s="18">
        <v>1.80567</v>
      </c>
      <c r="AB39" s="18">
        <v>1.81678</v>
      </c>
      <c r="AC39" s="18">
        <v>1.82801</v>
      </c>
      <c r="AD39" s="18">
        <v>1.83937</v>
      </c>
      <c r="AE39" s="18">
        <v>1.85086</v>
      </c>
      <c r="AF39" s="18">
        <v>1.86246</v>
      </c>
      <c r="AG39" s="18">
        <v>1.87417</v>
      </c>
      <c r="AH39" s="18">
        <v>1.88575</v>
      </c>
      <c r="AI39" s="18">
        <v>1.89743</v>
      </c>
      <c r="AJ39" s="18">
        <v>1.90923</v>
      </c>
      <c r="AK39" s="18">
        <v>1.92114</v>
      </c>
      <c r="AL39" s="18">
        <v>1.93315</v>
      </c>
      <c r="AM39" s="18">
        <v>1.94529</v>
      </c>
      <c r="AN39" s="18">
        <v>1.95752</v>
      </c>
      <c r="AO39" s="18">
        <v>1.96985</v>
      </c>
      <c r="AP39" s="18">
        <v>1.9823</v>
      </c>
      <c r="AQ39" s="19">
        <v>1.99484</v>
      </c>
    </row>
    <row r="40" spans="1:43" ht="12.75">
      <c r="A40" s="16">
        <v>195</v>
      </c>
      <c r="B40" s="18">
        <v>1.75526</v>
      </c>
      <c r="C40" s="18">
        <v>1.7449</v>
      </c>
      <c r="D40" s="18">
        <v>1.73445</v>
      </c>
      <c r="E40" s="18">
        <v>1.72392</v>
      </c>
      <c r="F40" s="18">
        <v>1.7133</v>
      </c>
      <c r="G40" s="18">
        <v>1.70261</v>
      </c>
      <c r="H40" s="18">
        <v>1.69183</v>
      </c>
      <c r="I40" s="18">
        <v>1.68099</v>
      </c>
      <c r="J40" s="18">
        <v>1.67005</v>
      </c>
      <c r="K40" s="18">
        <v>1.65905</v>
      </c>
      <c r="L40" s="18">
        <v>1.64798</v>
      </c>
      <c r="M40" s="18">
        <v>1.63683</v>
      </c>
      <c r="N40" s="18">
        <v>1.62561</v>
      </c>
      <c r="O40" s="18">
        <v>1.61432</v>
      </c>
      <c r="P40" s="18">
        <v>1.60296</v>
      </c>
      <c r="Q40" s="18">
        <v>1.59154</v>
      </c>
      <c r="R40" s="18">
        <v>1.58005</v>
      </c>
      <c r="S40" s="18">
        <v>1.56849</v>
      </c>
      <c r="T40" s="18">
        <v>1.55687</v>
      </c>
      <c r="U40" s="19">
        <v>1.5452</v>
      </c>
      <c r="W40" s="16">
        <v>195</v>
      </c>
      <c r="X40" s="18">
        <v>1.77586</v>
      </c>
      <c r="Y40" s="18">
        <v>1.78632</v>
      </c>
      <c r="Z40" s="18">
        <v>1.79688</v>
      </c>
      <c r="AA40" s="18">
        <v>1.80757</v>
      </c>
      <c r="AB40" s="18">
        <v>1.81838</v>
      </c>
      <c r="AC40" s="18">
        <v>1.8293</v>
      </c>
      <c r="AD40" s="18">
        <v>1.84035</v>
      </c>
      <c r="AE40" s="18">
        <v>1.85151</v>
      </c>
      <c r="AF40" s="18">
        <v>1.86279</v>
      </c>
      <c r="AG40" s="18">
        <v>1.87418</v>
      </c>
      <c r="AH40" s="18">
        <v>1.88547</v>
      </c>
      <c r="AI40" s="18">
        <v>1.89683</v>
      </c>
      <c r="AJ40" s="18">
        <v>1.90828</v>
      </c>
      <c r="AK40" s="18">
        <v>1.91985</v>
      </c>
      <c r="AL40" s="18">
        <v>1.93152</v>
      </c>
      <c r="AM40" s="18">
        <v>1.9433</v>
      </c>
      <c r="AN40" s="18">
        <v>1.95518</v>
      </c>
      <c r="AO40" s="18">
        <v>1.96716</v>
      </c>
      <c r="AP40" s="18">
        <v>1.97923</v>
      </c>
      <c r="AQ40" s="19">
        <v>1.99141</v>
      </c>
    </row>
    <row r="41" spans="1:43" ht="12.75">
      <c r="A41" s="16">
        <v>200</v>
      </c>
      <c r="B41" s="18">
        <v>1.75844</v>
      </c>
      <c r="C41" s="18">
        <v>1.74833</v>
      </c>
      <c r="D41" s="18">
        <v>1.73815</v>
      </c>
      <c r="E41" s="18">
        <v>1.72789</v>
      </c>
      <c r="F41" s="18">
        <v>1.71755</v>
      </c>
      <c r="G41" s="18">
        <v>1.70713</v>
      </c>
      <c r="H41" s="18">
        <v>1.69663</v>
      </c>
      <c r="I41" s="18">
        <v>1.68607</v>
      </c>
      <c r="J41" s="18">
        <v>1.67543</v>
      </c>
      <c r="K41" s="18">
        <v>1.66471</v>
      </c>
      <c r="L41" s="18">
        <v>1.65394</v>
      </c>
      <c r="M41" s="18">
        <v>1.64308</v>
      </c>
      <c r="N41" s="18">
        <v>1.63216</v>
      </c>
      <c r="O41" s="18">
        <v>1.62117</v>
      </c>
      <c r="P41" s="18">
        <v>1.61011</v>
      </c>
      <c r="Q41" s="18">
        <v>1.599</v>
      </c>
      <c r="R41" s="18">
        <v>1.58781</v>
      </c>
      <c r="S41" s="18">
        <v>1.57657</v>
      </c>
      <c r="T41" s="18">
        <v>1.56527</v>
      </c>
      <c r="U41" s="19">
        <v>1.5539</v>
      </c>
      <c r="W41" s="16">
        <v>200</v>
      </c>
      <c r="X41" s="18">
        <v>1.77852</v>
      </c>
      <c r="Y41" s="18">
        <v>1.78871</v>
      </c>
      <c r="Z41" s="18">
        <v>1.79901</v>
      </c>
      <c r="AA41" s="18">
        <v>1.80942</v>
      </c>
      <c r="AB41" s="18">
        <v>1.81994</v>
      </c>
      <c r="AC41" s="18">
        <v>1.83057</v>
      </c>
      <c r="AD41" s="18">
        <v>1.84133</v>
      </c>
      <c r="AE41" s="18">
        <v>1.85219</v>
      </c>
      <c r="AF41" s="18">
        <v>1.86316</v>
      </c>
      <c r="AG41" s="18">
        <v>1.87423</v>
      </c>
      <c r="AH41" s="18">
        <v>1.88541</v>
      </c>
      <c r="AI41" s="18">
        <v>1.89671</v>
      </c>
      <c r="AJ41" s="18">
        <v>1.9081</v>
      </c>
      <c r="AK41" s="18">
        <v>1.91961</v>
      </c>
      <c r="AL41" s="18">
        <v>1.93122</v>
      </c>
      <c r="AM41" s="18">
        <v>1.94292</v>
      </c>
      <c r="AN41" s="18">
        <v>1.95473</v>
      </c>
      <c r="AO41" s="18">
        <v>1.96665</v>
      </c>
      <c r="AP41" s="18">
        <v>1.97865</v>
      </c>
      <c r="AQ41" s="19">
        <v>1.99075</v>
      </c>
    </row>
    <row r="42" spans="1:43" ht="12.75">
      <c r="A42" s="16">
        <v>210</v>
      </c>
      <c r="B42" s="18">
        <v>1.76445</v>
      </c>
      <c r="C42" s="18">
        <v>1.75483</v>
      </c>
      <c r="D42" s="18">
        <v>1.74513</v>
      </c>
      <c r="E42" s="18">
        <v>1.73537</v>
      </c>
      <c r="F42" s="18">
        <v>1.72554</v>
      </c>
      <c r="G42" s="18">
        <v>1.71563</v>
      </c>
      <c r="H42" s="18">
        <v>1.70566</v>
      </c>
      <c r="I42" s="18">
        <v>1.69561</v>
      </c>
      <c r="J42" s="18">
        <v>1.6855</v>
      </c>
      <c r="K42" s="18">
        <v>1.67532</v>
      </c>
      <c r="L42" s="18">
        <v>1.66508</v>
      </c>
      <c r="M42" s="18">
        <v>1.65478</v>
      </c>
      <c r="N42" s="18">
        <v>1.64441</v>
      </c>
      <c r="O42" s="18">
        <v>1.63398</v>
      </c>
      <c r="P42" s="18">
        <v>1.62348</v>
      </c>
      <c r="Q42" s="18">
        <v>1.61293</v>
      </c>
      <c r="R42" s="18">
        <v>1.60232</v>
      </c>
      <c r="S42" s="18">
        <v>1.59165</v>
      </c>
      <c r="T42" s="18">
        <v>1.58094</v>
      </c>
      <c r="U42" s="19">
        <v>1.57015</v>
      </c>
      <c r="W42" s="16">
        <v>210</v>
      </c>
      <c r="X42" s="18">
        <v>1.78358</v>
      </c>
      <c r="Y42" s="18">
        <v>1.79326</v>
      </c>
      <c r="Z42" s="18">
        <v>1.80305</v>
      </c>
      <c r="AA42" s="18">
        <v>1.81295</v>
      </c>
      <c r="AB42" s="18">
        <v>1.82294</v>
      </c>
      <c r="AC42" s="18">
        <v>1.83305</v>
      </c>
      <c r="AD42" s="18">
        <v>1.84325</v>
      </c>
      <c r="AE42" s="18">
        <v>1.85355</v>
      </c>
      <c r="AF42" s="18">
        <v>1.86394</v>
      </c>
      <c r="AG42" s="18">
        <v>1.87445</v>
      </c>
      <c r="AH42" s="18">
        <v>1.88505</v>
      </c>
      <c r="AI42" s="18">
        <v>1.89574</v>
      </c>
      <c r="AJ42" s="18">
        <v>1.90653</v>
      </c>
      <c r="AK42" s="18">
        <v>1.91742</v>
      </c>
      <c r="AL42" s="18">
        <v>1.92839</v>
      </c>
      <c r="AM42" s="18">
        <v>1.93947</v>
      </c>
      <c r="AN42" s="18">
        <v>1.95063</v>
      </c>
      <c r="AO42" s="18">
        <v>1.96188</v>
      </c>
      <c r="AP42" s="18">
        <v>1.97323</v>
      </c>
      <c r="AQ42" s="19">
        <v>1.98467</v>
      </c>
    </row>
    <row r="43" spans="1:43" ht="12.75">
      <c r="A43" s="16">
        <v>220</v>
      </c>
      <c r="B43" s="18">
        <v>1.77003</v>
      </c>
      <c r="C43" s="18">
        <v>1.76086</v>
      </c>
      <c r="D43" s="18">
        <v>1.75161</v>
      </c>
      <c r="E43" s="18">
        <v>1.74229</v>
      </c>
      <c r="F43" s="18">
        <v>1.73292</v>
      </c>
      <c r="G43" s="18">
        <v>1.72348</v>
      </c>
      <c r="H43" s="18">
        <v>1.71398</v>
      </c>
      <c r="I43" s="18">
        <v>1.70441</v>
      </c>
      <c r="J43" s="18">
        <v>1.69477</v>
      </c>
      <c r="K43" s="18">
        <v>1.68509</v>
      </c>
      <c r="L43" s="18">
        <v>1.67533</v>
      </c>
      <c r="M43" s="18">
        <v>1.66552</v>
      </c>
      <c r="N43" s="18">
        <v>1.65566</v>
      </c>
      <c r="O43" s="18">
        <v>1.64573</v>
      </c>
      <c r="P43" s="18">
        <v>1.63575</v>
      </c>
      <c r="Q43" s="18">
        <v>1.62571</v>
      </c>
      <c r="R43" s="18">
        <v>1.61562</v>
      </c>
      <c r="S43" s="18">
        <v>1.60547</v>
      </c>
      <c r="T43" s="18">
        <v>1.59527</v>
      </c>
      <c r="U43" s="19">
        <v>1.58503</v>
      </c>
      <c r="W43" s="16">
        <v>220</v>
      </c>
      <c r="X43" s="18">
        <v>1.78829</v>
      </c>
      <c r="Y43" s="18">
        <v>1.79753</v>
      </c>
      <c r="Z43" s="18">
        <v>1.80686</v>
      </c>
      <c r="AA43" s="18">
        <v>1.81628</v>
      </c>
      <c r="AB43" s="18">
        <v>1.82581</v>
      </c>
      <c r="AC43" s="18">
        <v>1.83543</v>
      </c>
      <c r="AD43" s="18">
        <v>1.84513</v>
      </c>
      <c r="AE43" s="18">
        <v>1.85492</v>
      </c>
      <c r="AF43" s="18">
        <v>1.86482</v>
      </c>
      <c r="AG43" s="18">
        <v>1.87479</v>
      </c>
      <c r="AH43" s="18">
        <v>1.88486</v>
      </c>
      <c r="AI43" s="18">
        <v>1.89502</v>
      </c>
      <c r="AJ43" s="18">
        <v>1.90526</v>
      </c>
      <c r="AK43" s="18">
        <v>1.91559</v>
      </c>
      <c r="AL43" s="18">
        <v>1.92601</v>
      </c>
      <c r="AM43" s="18">
        <v>1.93651</v>
      </c>
      <c r="AN43" s="18">
        <v>1.9471</v>
      </c>
      <c r="AO43" s="18">
        <v>1.95776</v>
      </c>
      <c r="AP43" s="18">
        <v>1.96852</v>
      </c>
      <c r="AQ43" s="19">
        <v>1.97935</v>
      </c>
    </row>
    <row r="44" spans="1:43" ht="12.75">
      <c r="A44" s="16">
        <v>230</v>
      </c>
      <c r="B44" s="18">
        <v>1.77525</v>
      </c>
      <c r="C44" s="18">
        <v>1.76647</v>
      </c>
      <c r="D44" s="18">
        <v>1.75763</v>
      </c>
      <c r="E44" s="18">
        <v>1.74873</v>
      </c>
      <c r="F44" s="18">
        <v>1.73977</v>
      </c>
      <c r="G44" s="18">
        <v>1.73075</v>
      </c>
      <c r="H44" s="18">
        <v>1.72168</v>
      </c>
      <c r="I44" s="18">
        <v>1.71254</v>
      </c>
      <c r="J44" s="18">
        <v>1.70335</v>
      </c>
      <c r="K44" s="18">
        <v>1.6941</v>
      </c>
      <c r="L44" s="18">
        <v>1.68479</v>
      </c>
      <c r="M44" s="18">
        <v>1.67544</v>
      </c>
      <c r="N44" s="18">
        <v>1.66602</v>
      </c>
      <c r="O44" s="18">
        <v>1.65655</v>
      </c>
      <c r="P44" s="18">
        <v>1.64703</v>
      </c>
      <c r="Q44" s="18">
        <v>1.63746</v>
      </c>
      <c r="R44" s="18">
        <v>1.62784</v>
      </c>
      <c r="S44" s="18">
        <v>1.61816</v>
      </c>
      <c r="T44" s="18">
        <v>1.60844</v>
      </c>
      <c r="U44" s="19">
        <v>1.59868</v>
      </c>
      <c r="W44" s="16">
        <v>230</v>
      </c>
      <c r="X44" s="18">
        <v>1.7927</v>
      </c>
      <c r="Y44" s="18">
        <v>1.80154</v>
      </c>
      <c r="Z44" s="18">
        <v>1.81045</v>
      </c>
      <c r="AA44" s="18">
        <v>1.81945</v>
      </c>
      <c r="AB44" s="18">
        <v>1.82854</v>
      </c>
      <c r="AC44" s="18">
        <v>1.83771</v>
      </c>
      <c r="AD44" s="18">
        <v>1.84697</v>
      </c>
      <c r="AE44" s="18">
        <v>1.85632</v>
      </c>
      <c r="AF44" s="18">
        <v>1.86574</v>
      </c>
      <c r="AG44" s="18">
        <v>1.87524</v>
      </c>
      <c r="AH44" s="18">
        <v>1.88483</v>
      </c>
      <c r="AI44" s="18">
        <v>1.8945</v>
      </c>
      <c r="AJ44" s="18">
        <v>1.90424</v>
      </c>
      <c r="AK44" s="18">
        <v>1.91407</v>
      </c>
      <c r="AL44" s="18">
        <v>1.92398</v>
      </c>
      <c r="AM44" s="18">
        <v>1.93397</v>
      </c>
      <c r="AN44" s="18">
        <v>1.94403</v>
      </c>
      <c r="AO44" s="18">
        <v>1.95417</v>
      </c>
      <c r="AP44" s="18">
        <v>1.96439</v>
      </c>
      <c r="AQ44" s="19">
        <v>1.97467</v>
      </c>
    </row>
    <row r="45" spans="1:43" ht="12.75">
      <c r="A45" s="16">
        <v>240</v>
      </c>
      <c r="B45" s="18">
        <v>1.78012</v>
      </c>
      <c r="C45" s="18">
        <v>1.77171</v>
      </c>
      <c r="D45" s="18">
        <v>1.76325</v>
      </c>
      <c r="E45" s="18">
        <v>1.75473</v>
      </c>
      <c r="F45" s="18">
        <v>1.74616</v>
      </c>
      <c r="G45" s="18">
        <v>1.73752</v>
      </c>
      <c r="H45" s="18">
        <v>1.72883</v>
      </c>
      <c r="I45" s="18">
        <v>1.72009</v>
      </c>
      <c r="J45" s="18">
        <v>1.71129</v>
      </c>
      <c r="K45" s="18">
        <v>1.70245</v>
      </c>
      <c r="L45" s="18">
        <v>1.69356</v>
      </c>
      <c r="M45" s="18">
        <v>1.6846</v>
      </c>
      <c r="N45" s="18">
        <v>1.67561</v>
      </c>
      <c r="O45" s="18">
        <v>1.66656</v>
      </c>
      <c r="P45" s="18">
        <v>1.65746</v>
      </c>
      <c r="Q45" s="18">
        <v>1.64832</v>
      </c>
      <c r="R45" s="18">
        <v>1.63913</v>
      </c>
      <c r="S45" s="18">
        <v>1.62988</v>
      </c>
      <c r="T45" s="18">
        <v>1.6206</v>
      </c>
      <c r="U45" s="19">
        <v>1.61128</v>
      </c>
      <c r="W45" s="16">
        <v>240</v>
      </c>
      <c r="X45" s="18">
        <v>1.79685</v>
      </c>
      <c r="Y45" s="18">
        <v>1.8053</v>
      </c>
      <c r="Z45" s="18">
        <v>1.81384</v>
      </c>
      <c r="AA45" s="18">
        <v>1.82246</v>
      </c>
      <c r="AB45" s="18">
        <v>1.83115</v>
      </c>
      <c r="AC45" s="18">
        <v>1.83992</v>
      </c>
      <c r="AD45" s="18">
        <v>1.84876</v>
      </c>
      <c r="AE45" s="18">
        <v>1.85769</v>
      </c>
      <c r="AF45" s="18">
        <v>1.86669</v>
      </c>
      <c r="AG45" s="18">
        <v>1.87576</v>
      </c>
      <c r="AH45" s="18">
        <v>1.88492</v>
      </c>
      <c r="AI45" s="18">
        <v>1.89415</v>
      </c>
      <c r="AJ45" s="18">
        <v>1.90345</v>
      </c>
      <c r="AK45" s="18">
        <v>1.91282</v>
      </c>
      <c r="AL45" s="18">
        <v>1.92226</v>
      </c>
      <c r="AM45" s="18">
        <v>1.93178</v>
      </c>
      <c r="AN45" s="18">
        <v>1.94137</v>
      </c>
      <c r="AO45" s="18">
        <v>1.95102</v>
      </c>
      <c r="AP45" s="18">
        <v>1.96075</v>
      </c>
      <c r="AQ45" s="19">
        <v>1.97055</v>
      </c>
    </row>
    <row r="46" spans="1:43" ht="12.75">
      <c r="A46" s="16">
        <v>250</v>
      </c>
      <c r="B46" s="18">
        <v>1.78469</v>
      </c>
      <c r="C46" s="18">
        <v>1.77662</v>
      </c>
      <c r="D46" s="18">
        <v>1.76851</v>
      </c>
      <c r="E46" s="18">
        <v>1.76033</v>
      </c>
      <c r="F46" s="18">
        <v>1.75211</v>
      </c>
      <c r="G46" s="18">
        <v>1.74383</v>
      </c>
      <c r="H46" s="18">
        <v>1.7355</v>
      </c>
      <c r="I46" s="18">
        <v>1.72713</v>
      </c>
      <c r="J46" s="18">
        <v>1.7187</v>
      </c>
      <c r="K46" s="18">
        <v>1.71022</v>
      </c>
      <c r="L46" s="18">
        <v>1.7017</v>
      </c>
      <c r="M46" s="18">
        <v>1.69312</v>
      </c>
      <c r="N46" s="18">
        <v>1.68451</v>
      </c>
      <c r="O46" s="18">
        <v>1.67584</v>
      </c>
      <c r="P46" s="18">
        <v>1.66714</v>
      </c>
      <c r="Q46" s="18">
        <v>1.65838</v>
      </c>
      <c r="R46" s="18">
        <v>1.64959</v>
      </c>
      <c r="S46" s="18">
        <v>1.64074</v>
      </c>
      <c r="T46" s="18">
        <v>1.63186</v>
      </c>
      <c r="U46" s="19">
        <v>1.62293</v>
      </c>
      <c r="W46" s="16">
        <v>250</v>
      </c>
      <c r="X46" s="18">
        <v>1.80075</v>
      </c>
      <c r="Y46" s="18">
        <v>1.80887</v>
      </c>
      <c r="Z46" s="18">
        <v>1.81706</v>
      </c>
      <c r="AA46" s="18">
        <v>1.82531</v>
      </c>
      <c r="AB46" s="18">
        <v>1.83364</v>
      </c>
      <c r="AC46" s="18">
        <v>1.84204</v>
      </c>
      <c r="AD46" s="18">
        <v>1.85051</v>
      </c>
      <c r="AE46" s="18">
        <v>1.85906</v>
      </c>
      <c r="AF46" s="18">
        <v>1.86768</v>
      </c>
      <c r="AG46" s="18">
        <v>1.87636</v>
      </c>
      <c r="AH46" s="18">
        <v>1.88511</v>
      </c>
      <c r="AI46" s="18">
        <v>1.89393</v>
      </c>
      <c r="AJ46" s="18">
        <v>1.90282</v>
      </c>
      <c r="AK46" s="18">
        <v>1.91178</v>
      </c>
      <c r="AL46" s="18">
        <v>1.9208</v>
      </c>
      <c r="AM46" s="18">
        <v>1.92989</v>
      </c>
      <c r="AN46" s="18">
        <v>1.93904</v>
      </c>
      <c r="AO46" s="18">
        <v>1.94827</v>
      </c>
      <c r="AP46" s="18">
        <v>1.95755</v>
      </c>
      <c r="AQ46" s="19">
        <v>1.9669</v>
      </c>
    </row>
    <row r="47" spans="1:43" ht="12.75">
      <c r="A47" s="16">
        <v>260</v>
      </c>
      <c r="B47" s="18">
        <v>1.789</v>
      </c>
      <c r="C47" s="18">
        <v>1.78125</v>
      </c>
      <c r="D47" s="18">
        <v>1.77344</v>
      </c>
      <c r="E47" s="18">
        <v>1.76558</v>
      </c>
      <c r="F47" s="18">
        <v>1.75768</v>
      </c>
      <c r="G47" s="18">
        <v>1.74973</v>
      </c>
      <c r="H47" s="18">
        <v>1.74173</v>
      </c>
      <c r="I47" s="18">
        <v>1.73369</v>
      </c>
      <c r="J47" s="18">
        <v>1.72561</v>
      </c>
      <c r="K47" s="18">
        <v>1.71747</v>
      </c>
      <c r="L47" s="18">
        <v>1.70928</v>
      </c>
      <c r="M47" s="18">
        <v>1.70107</v>
      </c>
      <c r="N47" s="18">
        <v>1.6928</v>
      </c>
      <c r="O47" s="18">
        <v>1.68449</v>
      </c>
      <c r="P47" s="18">
        <v>1.67613</v>
      </c>
      <c r="Q47" s="18">
        <v>1.66774</v>
      </c>
      <c r="R47" s="18">
        <v>1.6593</v>
      </c>
      <c r="S47" s="18">
        <v>1.65082</v>
      </c>
      <c r="T47" s="18">
        <v>1.64231</v>
      </c>
      <c r="U47" s="19">
        <v>1.63375</v>
      </c>
      <c r="W47" s="16">
        <v>260</v>
      </c>
      <c r="X47" s="18">
        <v>1.80444</v>
      </c>
      <c r="Y47" s="18">
        <v>1.81223</v>
      </c>
      <c r="Z47" s="18">
        <v>1.8201</v>
      </c>
      <c r="AA47" s="18">
        <v>1.82803</v>
      </c>
      <c r="AB47" s="18">
        <v>1.83603</v>
      </c>
      <c r="AC47" s="18">
        <v>1.84409</v>
      </c>
      <c r="AD47" s="18">
        <v>1.85222</v>
      </c>
      <c r="AE47" s="18">
        <v>1.86041</v>
      </c>
      <c r="AF47" s="18">
        <v>1.86867</v>
      </c>
      <c r="AG47" s="18">
        <v>1.87699</v>
      </c>
      <c r="AH47" s="18">
        <v>1.88538</v>
      </c>
      <c r="AI47" s="18">
        <v>1.89383</v>
      </c>
      <c r="AJ47" s="18">
        <v>1.90234</v>
      </c>
      <c r="AK47" s="18">
        <v>1.91092</v>
      </c>
      <c r="AL47" s="18">
        <v>1.91956</v>
      </c>
      <c r="AM47" s="18">
        <v>1.92826</v>
      </c>
      <c r="AN47" s="18">
        <v>1.93702</v>
      </c>
      <c r="AO47" s="18">
        <v>1.94583</v>
      </c>
      <c r="AP47" s="18">
        <v>1.95471</v>
      </c>
      <c r="AQ47" s="19">
        <v>1.96366</v>
      </c>
    </row>
    <row r="48" spans="1:43" ht="12.75">
      <c r="A48" s="16">
        <v>270</v>
      </c>
      <c r="B48" s="18">
        <v>1.79306</v>
      </c>
      <c r="C48" s="18">
        <v>1.7856</v>
      </c>
      <c r="D48" s="18">
        <v>1.77808</v>
      </c>
      <c r="E48" s="18">
        <v>1.77052</v>
      </c>
      <c r="F48" s="18">
        <v>1.76292</v>
      </c>
      <c r="G48" s="18">
        <v>1.75528</v>
      </c>
      <c r="H48" s="18">
        <v>1.74758</v>
      </c>
      <c r="I48" s="18">
        <v>1.73984</v>
      </c>
      <c r="J48" s="18">
        <v>1.73207</v>
      </c>
      <c r="K48" s="18">
        <v>1.72425</v>
      </c>
      <c r="L48" s="18">
        <v>1.71638</v>
      </c>
      <c r="M48" s="18">
        <v>1.70849</v>
      </c>
      <c r="N48" s="18">
        <v>1.70054</v>
      </c>
      <c r="O48" s="18">
        <v>1.69256</v>
      </c>
      <c r="P48" s="18">
        <v>1.68453</v>
      </c>
      <c r="Q48" s="18">
        <v>1.67647</v>
      </c>
      <c r="R48" s="18">
        <v>1.66836</v>
      </c>
      <c r="S48" s="18">
        <v>1.66022</v>
      </c>
      <c r="T48" s="18">
        <v>1.65204</v>
      </c>
      <c r="U48" s="19">
        <v>1.64382</v>
      </c>
      <c r="W48" s="16">
        <v>270</v>
      </c>
      <c r="X48" s="18">
        <v>1.80792</v>
      </c>
      <c r="Y48" s="18">
        <v>1.81543</v>
      </c>
      <c r="Z48" s="18">
        <v>1.823</v>
      </c>
      <c r="AA48" s="18">
        <v>1.83062</v>
      </c>
      <c r="AB48" s="18">
        <v>1.83831</v>
      </c>
      <c r="AC48" s="18">
        <v>1.84606</v>
      </c>
      <c r="AD48" s="18">
        <v>1.85387</v>
      </c>
      <c r="AE48" s="18">
        <v>1.86174</v>
      </c>
      <c r="AF48" s="18">
        <v>1.86967</v>
      </c>
      <c r="AG48" s="18">
        <v>1.87767</v>
      </c>
      <c r="AH48" s="18">
        <v>1.88572</v>
      </c>
      <c r="AI48" s="18">
        <v>1.89382</v>
      </c>
      <c r="AJ48" s="18">
        <v>1.902</v>
      </c>
      <c r="AK48" s="18">
        <v>1.91023</v>
      </c>
      <c r="AL48" s="18">
        <v>1.91851</v>
      </c>
      <c r="AM48" s="18">
        <v>1.92684</v>
      </c>
      <c r="AN48" s="18">
        <v>1.93524</v>
      </c>
      <c r="AO48" s="18">
        <v>1.94369</v>
      </c>
      <c r="AP48" s="18">
        <v>1.9522</v>
      </c>
      <c r="AQ48" s="19">
        <v>1.96077</v>
      </c>
    </row>
    <row r="49" spans="1:43" ht="12.75">
      <c r="A49" s="16">
        <v>280</v>
      </c>
      <c r="B49" s="18">
        <v>1.7969</v>
      </c>
      <c r="C49" s="18">
        <v>1.7897</v>
      </c>
      <c r="D49" s="18">
        <v>1.78245</v>
      </c>
      <c r="E49" s="18">
        <v>1.77517</v>
      </c>
      <c r="F49" s="18">
        <v>1.76784</v>
      </c>
      <c r="G49" s="18">
        <v>1.76048</v>
      </c>
      <c r="H49" s="18">
        <v>1.75307</v>
      </c>
      <c r="I49" s="18">
        <v>1.74563</v>
      </c>
      <c r="J49" s="18">
        <v>1.73814</v>
      </c>
      <c r="K49" s="18">
        <v>1.73061</v>
      </c>
      <c r="L49" s="18">
        <v>1.72304</v>
      </c>
      <c r="M49" s="18">
        <v>1.71543</v>
      </c>
      <c r="N49" s="18">
        <v>1.70778</v>
      </c>
      <c r="O49" s="18">
        <v>1.70011</v>
      </c>
      <c r="P49" s="18">
        <v>1.69238</v>
      </c>
      <c r="Q49" s="18">
        <v>1.68463</v>
      </c>
      <c r="R49" s="18">
        <v>1.67682</v>
      </c>
      <c r="S49" s="18">
        <v>1.669</v>
      </c>
      <c r="T49" s="18">
        <v>1.66113</v>
      </c>
      <c r="U49" s="19">
        <v>1.65323</v>
      </c>
      <c r="W49" s="16">
        <v>280</v>
      </c>
      <c r="X49" s="18">
        <v>1.81123</v>
      </c>
      <c r="Y49" s="18">
        <v>1.81846</v>
      </c>
      <c r="Z49" s="18">
        <v>1.82575</v>
      </c>
      <c r="AA49" s="18">
        <v>1.83309</v>
      </c>
      <c r="AB49" s="18">
        <v>1.84051</v>
      </c>
      <c r="AC49" s="18">
        <v>1.84797</v>
      </c>
      <c r="AD49" s="18">
        <v>1.85549</v>
      </c>
      <c r="AE49" s="18">
        <v>1.86305</v>
      </c>
      <c r="AF49" s="18">
        <v>1.87068</v>
      </c>
      <c r="AG49" s="18">
        <v>1.87837</v>
      </c>
      <c r="AH49" s="18">
        <v>1.88611</v>
      </c>
      <c r="AI49" s="18">
        <v>1.8939</v>
      </c>
      <c r="AJ49" s="18">
        <v>1.90175</v>
      </c>
      <c r="AK49" s="18">
        <v>1.90965</v>
      </c>
      <c r="AL49" s="18">
        <v>1.91761</v>
      </c>
      <c r="AM49" s="18">
        <v>1.92562</v>
      </c>
      <c r="AN49" s="18">
        <v>1.93368</v>
      </c>
      <c r="AO49" s="18">
        <v>1.9418</v>
      </c>
      <c r="AP49" s="18">
        <v>1.94996</v>
      </c>
      <c r="AQ49" s="19">
        <v>1.95819</v>
      </c>
    </row>
    <row r="50" spans="1:43" ht="12.75">
      <c r="A50" s="16">
        <v>290</v>
      </c>
      <c r="B50" s="18">
        <v>1.80053</v>
      </c>
      <c r="C50" s="18">
        <v>1.79358</v>
      </c>
      <c r="D50" s="18">
        <v>1.7866</v>
      </c>
      <c r="E50" s="18">
        <v>1.77956</v>
      </c>
      <c r="F50" s="18">
        <v>1.7725</v>
      </c>
      <c r="G50" s="18">
        <v>1.76539</v>
      </c>
      <c r="H50" s="18">
        <v>1.75825</v>
      </c>
      <c r="I50" s="18">
        <v>1.75106</v>
      </c>
      <c r="J50" s="18">
        <v>1.74384</v>
      </c>
      <c r="K50" s="18">
        <v>1.73659</v>
      </c>
      <c r="L50" s="18">
        <v>1.72929</v>
      </c>
      <c r="M50" s="18">
        <v>1.72196</v>
      </c>
      <c r="N50" s="18">
        <v>1.71459</v>
      </c>
      <c r="O50" s="18">
        <v>1.70718</v>
      </c>
      <c r="P50" s="18">
        <v>1.69975</v>
      </c>
      <c r="Q50" s="18">
        <v>1.69227</v>
      </c>
      <c r="R50" s="18">
        <v>1.68477</v>
      </c>
      <c r="S50" s="18">
        <v>1.67722</v>
      </c>
      <c r="T50" s="18">
        <v>1.66964</v>
      </c>
      <c r="U50" s="19">
        <v>1.66204</v>
      </c>
      <c r="W50" s="16">
        <v>290</v>
      </c>
      <c r="X50" s="18">
        <v>1.81436</v>
      </c>
      <c r="Y50" s="18">
        <v>1.82134</v>
      </c>
      <c r="Z50" s="18">
        <v>1.82838</v>
      </c>
      <c r="AA50" s="18">
        <v>1.83546</v>
      </c>
      <c r="AB50" s="18">
        <v>1.84261</v>
      </c>
      <c r="AC50" s="18">
        <v>1.8498</v>
      </c>
      <c r="AD50" s="18">
        <v>1.85704</v>
      </c>
      <c r="AE50" s="18">
        <v>1.86434</v>
      </c>
      <c r="AF50" s="18">
        <v>1.87169</v>
      </c>
      <c r="AG50" s="18">
        <v>1.87909</v>
      </c>
      <c r="AH50" s="18">
        <v>1.88655</v>
      </c>
      <c r="AI50" s="18">
        <v>1.89405</v>
      </c>
      <c r="AJ50" s="18">
        <v>1.90161</v>
      </c>
      <c r="AK50" s="18">
        <v>1.90921</v>
      </c>
      <c r="AL50" s="18">
        <v>1.91686</v>
      </c>
      <c r="AM50" s="18">
        <v>1.92456</v>
      </c>
      <c r="AN50" s="18">
        <v>1.93232</v>
      </c>
      <c r="AO50" s="18">
        <v>1.94012</v>
      </c>
      <c r="AP50" s="18">
        <v>1.94798</v>
      </c>
      <c r="AQ50" s="19">
        <v>1.95587</v>
      </c>
    </row>
    <row r="51" spans="1:43" ht="12.75">
      <c r="A51" s="16">
        <v>300</v>
      </c>
      <c r="B51" s="18">
        <v>1.80398</v>
      </c>
      <c r="C51" s="18">
        <v>1.79726</v>
      </c>
      <c r="D51" s="18">
        <v>1.79051</v>
      </c>
      <c r="E51" s="18">
        <v>1.78371</v>
      </c>
      <c r="F51" s="18">
        <v>1.77689</v>
      </c>
      <c r="G51" s="18">
        <v>1.77003</v>
      </c>
      <c r="H51" s="18">
        <v>1.76313</v>
      </c>
      <c r="I51" s="18">
        <v>1.75619</v>
      </c>
      <c r="J51" s="18">
        <v>1.74921</v>
      </c>
      <c r="K51" s="18">
        <v>1.74222</v>
      </c>
      <c r="L51" s="18">
        <v>1.73518</v>
      </c>
      <c r="M51" s="18">
        <v>1.7281</v>
      </c>
      <c r="N51" s="18">
        <v>1.72099</v>
      </c>
      <c r="O51" s="18">
        <v>1.71385</v>
      </c>
      <c r="P51" s="18">
        <v>1.70667</v>
      </c>
      <c r="Q51" s="18">
        <v>1.69946</v>
      </c>
      <c r="R51" s="18">
        <v>1.69221</v>
      </c>
      <c r="S51" s="18">
        <v>1.68494</v>
      </c>
      <c r="T51" s="18">
        <v>1.67764</v>
      </c>
      <c r="U51" s="19">
        <v>1.6703</v>
      </c>
      <c r="W51" s="16">
        <v>300</v>
      </c>
      <c r="X51" s="18">
        <v>1.81735</v>
      </c>
      <c r="Y51" s="18">
        <v>1.8241</v>
      </c>
      <c r="Z51" s="18">
        <v>1.83088</v>
      </c>
      <c r="AA51" s="18">
        <v>1.83773</v>
      </c>
      <c r="AB51" s="18">
        <v>1.84463</v>
      </c>
      <c r="AC51" s="18">
        <v>1.85157</v>
      </c>
      <c r="AD51" s="18">
        <v>1.85856</v>
      </c>
      <c r="AE51" s="18">
        <v>1.8656</v>
      </c>
      <c r="AF51" s="18">
        <v>1.87269</v>
      </c>
      <c r="AG51" s="18">
        <v>1.87983</v>
      </c>
      <c r="AH51" s="18">
        <v>1.88702</v>
      </c>
      <c r="AI51" s="18">
        <v>1.89425</v>
      </c>
      <c r="AJ51" s="18">
        <v>1.90152</v>
      </c>
      <c r="AK51" s="18">
        <v>1.90885</v>
      </c>
      <c r="AL51" s="18">
        <v>1.91623</v>
      </c>
      <c r="AM51" s="18">
        <v>1.92365</v>
      </c>
      <c r="AN51" s="18">
        <v>1.93111</v>
      </c>
      <c r="AO51" s="18">
        <v>1.93863</v>
      </c>
      <c r="AP51" s="18">
        <v>1.94619</v>
      </c>
      <c r="AQ51" s="19">
        <v>1.95379</v>
      </c>
    </row>
    <row r="52" spans="1:43" ht="12.75">
      <c r="A52" s="16">
        <v>310</v>
      </c>
      <c r="B52" s="18">
        <v>1.80725</v>
      </c>
      <c r="C52" s="18">
        <v>1.80076</v>
      </c>
      <c r="D52" s="18">
        <v>1.79422</v>
      </c>
      <c r="E52" s="18">
        <v>1.78766</v>
      </c>
      <c r="F52" s="18">
        <v>1.78105</v>
      </c>
      <c r="G52" s="18">
        <v>1.77441</v>
      </c>
      <c r="H52" s="18">
        <v>1.76774</v>
      </c>
      <c r="I52" s="18">
        <v>1.76104</v>
      </c>
      <c r="J52" s="18">
        <v>1.7543</v>
      </c>
      <c r="K52" s="18">
        <v>1.74753</v>
      </c>
      <c r="L52" s="18">
        <v>1.74072</v>
      </c>
      <c r="M52" s="18">
        <v>1.73389</v>
      </c>
      <c r="N52" s="18">
        <v>1.72703</v>
      </c>
      <c r="O52" s="18">
        <v>1.72012</v>
      </c>
      <c r="P52" s="18">
        <v>1.71319</v>
      </c>
      <c r="Q52" s="18">
        <v>1.70622</v>
      </c>
      <c r="R52" s="18">
        <v>1.69923</v>
      </c>
      <c r="S52" s="18">
        <v>1.69221</v>
      </c>
      <c r="T52" s="18">
        <v>1.68516</v>
      </c>
      <c r="U52" s="19">
        <v>1.67807</v>
      </c>
      <c r="W52" s="16">
        <v>310</v>
      </c>
      <c r="X52" s="18">
        <v>1.82019</v>
      </c>
      <c r="Y52" s="18">
        <v>1.82672</v>
      </c>
      <c r="Z52" s="18">
        <v>1.83329</v>
      </c>
      <c r="AA52" s="18">
        <v>1.83991</v>
      </c>
      <c r="AB52" s="18">
        <v>1.84657</v>
      </c>
      <c r="AC52" s="18">
        <v>1.85328</v>
      </c>
      <c r="AD52" s="18">
        <v>1.86003</v>
      </c>
      <c r="AE52" s="18">
        <v>1.86683</v>
      </c>
      <c r="AF52" s="18">
        <v>1.87368</v>
      </c>
      <c r="AG52" s="18">
        <v>1.88058</v>
      </c>
      <c r="AH52" s="18">
        <v>1.88751</v>
      </c>
      <c r="AI52" s="18">
        <v>1.89449</v>
      </c>
      <c r="AJ52" s="18">
        <v>1.90152</v>
      </c>
      <c r="AK52" s="18">
        <v>1.90859</v>
      </c>
      <c r="AL52" s="18">
        <v>1.91571</v>
      </c>
      <c r="AM52" s="18">
        <v>1.92286</v>
      </c>
      <c r="AN52" s="18">
        <v>1.93006</v>
      </c>
      <c r="AO52" s="18">
        <v>1.93731</v>
      </c>
      <c r="AP52" s="18">
        <v>1.94459</v>
      </c>
      <c r="AQ52" s="19">
        <v>1.95192</v>
      </c>
    </row>
    <row r="53" spans="1:43" ht="12.75">
      <c r="A53" s="16">
        <v>320</v>
      </c>
      <c r="B53" s="18">
        <v>1.81037</v>
      </c>
      <c r="C53" s="18">
        <v>1.80408</v>
      </c>
      <c r="D53" s="18">
        <v>1.79775</v>
      </c>
      <c r="E53" s="18">
        <v>1.79139</v>
      </c>
      <c r="F53" s="18">
        <v>1.785</v>
      </c>
      <c r="G53" s="18">
        <v>1.77857</v>
      </c>
      <c r="H53" s="18">
        <v>1.77211</v>
      </c>
      <c r="I53" s="18">
        <v>1.76563</v>
      </c>
      <c r="J53" s="18">
        <v>1.75911</v>
      </c>
      <c r="K53" s="18">
        <v>1.75256</v>
      </c>
      <c r="L53" s="18">
        <v>1.74598</v>
      </c>
      <c r="M53" s="18">
        <v>1.73937</v>
      </c>
      <c r="N53" s="18">
        <v>1.73272</v>
      </c>
      <c r="O53" s="18">
        <v>1.72605</v>
      </c>
      <c r="P53" s="18">
        <v>1.71935</v>
      </c>
      <c r="Q53" s="18">
        <v>1.71262</v>
      </c>
      <c r="R53" s="18">
        <v>1.70585</v>
      </c>
      <c r="S53" s="18">
        <v>1.69906</v>
      </c>
      <c r="T53" s="18">
        <v>1.69225</v>
      </c>
      <c r="U53" s="19">
        <v>1.6854</v>
      </c>
      <c r="W53" s="16">
        <v>320</v>
      </c>
      <c r="X53" s="18">
        <v>1.82291</v>
      </c>
      <c r="Y53" s="18">
        <v>1.82922</v>
      </c>
      <c r="Z53" s="18">
        <v>1.83559</v>
      </c>
      <c r="AA53" s="18">
        <v>1.84199</v>
      </c>
      <c r="AB53" s="18">
        <v>1.84844</v>
      </c>
      <c r="AC53" s="18">
        <v>1.85494</v>
      </c>
      <c r="AD53" s="18">
        <v>1.86147</v>
      </c>
      <c r="AE53" s="18">
        <v>1.86804</v>
      </c>
      <c r="AF53" s="18">
        <v>1.87466</v>
      </c>
      <c r="AG53" s="18">
        <v>1.88133</v>
      </c>
      <c r="AH53" s="18">
        <v>1.88804</v>
      </c>
      <c r="AI53" s="18">
        <v>1.89478</v>
      </c>
      <c r="AJ53" s="18">
        <v>1.90156</v>
      </c>
      <c r="AK53" s="18">
        <v>1.9084</v>
      </c>
      <c r="AL53" s="18">
        <v>1.91527</v>
      </c>
      <c r="AM53" s="18">
        <v>1.92218</v>
      </c>
      <c r="AN53" s="18">
        <v>1.92913</v>
      </c>
      <c r="AO53" s="18">
        <v>1.93613</v>
      </c>
      <c r="AP53" s="18">
        <v>1.94316</v>
      </c>
      <c r="AQ53" s="19">
        <v>1.95024</v>
      </c>
    </row>
    <row r="54" spans="1:43" ht="12.75">
      <c r="A54" s="16">
        <v>330</v>
      </c>
      <c r="B54" s="18">
        <v>1.81335</v>
      </c>
      <c r="C54" s="18">
        <v>1.80724</v>
      </c>
      <c r="D54" s="18">
        <v>1.80111</v>
      </c>
      <c r="E54" s="18">
        <v>1.79495</v>
      </c>
      <c r="F54" s="18">
        <v>1.78876</v>
      </c>
      <c r="G54" s="18">
        <v>1.78252</v>
      </c>
      <c r="H54" s="18">
        <v>1.77627</v>
      </c>
      <c r="I54" s="18">
        <v>1.76999</v>
      </c>
      <c r="J54" s="18">
        <v>1.76367</v>
      </c>
      <c r="K54" s="18">
        <v>1.75733</v>
      </c>
      <c r="L54" s="18">
        <v>1.75095</v>
      </c>
      <c r="M54" s="18">
        <v>1.74455</v>
      </c>
      <c r="N54" s="18">
        <v>1.73812</v>
      </c>
      <c r="O54" s="18">
        <v>1.73165</v>
      </c>
      <c r="P54" s="18">
        <v>1.72517</v>
      </c>
      <c r="Q54" s="18">
        <v>1.71865</v>
      </c>
      <c r="R54" s="18">
        <v>1.7121</v>
      </c>
      <c r="S54" s="18">
        <v>1.70554</v>
      </c>
      <c r="T54" s="18">
        <v>1.69893</v>
      </c>
      <c r="U54" s="19">
        <v>1.69231</v>
      </c>
      <c r="W54" s="16">
        <v>330</v>
      </c>
      <c r="X54" s="18">
        <v>1.8255</v>
      </c>
      <c r="Y54" s="18">
        <v>1.83162</v>
      </c>
      <c r="Z54" s="18">
        <v>1.83779</v>
      </c>
      <c r="AA54" s="18">
        <v>1.844</v>
      </c>
      <c r="AB54" s="18">
        <v>1.85024</v>
      </c>
      <c r="AC54" s="18">
        <v>1.85653</v>
      </c>
      <c r="AD54" s="18">
        <v>1.86286</v>
      </c>
      <c r="AE54" s="18">
        <v>1.86923</v>
      </c>
      <c r="AF54" s="18">
        <v>1.87563</v>
      </c>
      <c r="AG54" s="18">
        <v>1.88209</v>
      </c>
      <c r="AH54" s="18">
        <v>1.88857</v>
      </c>
      <c r="AI54" s="18">
        <v>1.8951</v>
      </c>
      <c r="AJ54" s="18">
        <v>1.90167</v>
      </c>
      <c r="AK54" s="18">
        <v>1.90827</v>
      </c>
      <c r="AL54" s="18">
        <v>1.91492</v>
      </c>
      <c r="AM54" s="18">
        <v>1.92159</v>
      </c>
      <c r="AN54" s="18">
        <v>1.92832</v>
      </c>
      <c r="AO54" s="18">
        <v>1.93507</v>
      </c>
      <c r="AP54" s="18">
        <v>1.94187</v>
      </c>
      <c r="AQ54" s="19">
        <v>1.9487</v>
      </c>
    </row>
    <row r="55" spans="1:43" ht="12.75">
      <c r="A55" s="16">
        <v>340</v>
      </c>
      <c r="B55" s="18">
        <v>1.81618</v>
      </c>
      <c r="C55" s="18">
        <v>1.81026</v>
      </c>
      <c r="D55" s="18">
        <v>1.80432</v>
      </c>
      <c r="E55" s="18">
        <v>1.79834</v>
      </c>
      <c r="F55" s="18">
        <v>1.79233</v>
      </c>
      <c r="G55" s="18">
        <v>1.78629</v>
      </c>
      <c r="H55" s="18">
        <v>1.78022</v>
      </c>
      <c r="I55" s="18">
        <v>1.77413</v>
      </c>
      <c r="J55" s="18">
        <v>1.768</v>
      </c>
      <c r="K55" s="18">
        <v>1.76185</v>
      </c>
      <c r="L55" s="18">
        <v>1.75567</v>
      </c>
      <c r="M55" s="18">
        <v>1.74947</v>
      </c>
      <c r="N55" s="18">
        <v>1.74323</v>
      </c>
      <c r="O55" s="18">
        <v>1.73697</v>
      </c>
      <c r="P55" s="18">
        <v>1.73068</v>
      </c>
      <c r="Q55" s="18">
        <v>1.72437</v>
      </c>
      <c r="R55" s="18">
        <v>1.71803</v>
      </c>
      <c r="S55" s="18">
        <v>1.71166</v>
      </c>
      <c r="T55" s="18">
        <v>1.70527</v>
      </c>
      <c r="U55" s="19">
        <v>1.69885</v>
      </c>
      <c r="W55" s="16">
        <v>340</v>
      </c>
      <c r="X55" s="18">
        <v>1.82799</v>
      </c>
      <c r="Y55" s="18">
        <v>1.83392</v>
      </c>
      <c r="Z55" s="18">
        <v>1.8399</v>
      </c>
      <c r="AA55" s="18">
        <v>1.84592</v>
      </c>
      <c r="AB55" s="18">
        <v>1.85198</v>
      </c>
      <c r="AC55" s="18">
        <v>1.85808</v>
      </c>
      <c r="AD55" s="18">
        <v>1.8642</v>
      </c>
      <c r="AE55" s="18">
        <v>1.87038</v>
      </c>
      <c r="AF55" s="18">
        <v>1.87659</v>
      </c>
      <c r="AG55" s="18">
        <v>1.88284</v>
      </c>
      <c r="AH55" s="18">
        <v>1.88913</v>
      </c>
      <c r="AI55" s="18">
        <v>1.89545</v>
      </c>
      <c r="AJ55" s="18">
        <v>1.9018</v>
      </c>
      <c r="AK55" s="18">
        <v>1.90819</v>
      </c>
      <c r="AL55" s="18">
        <v>1.91463</v>
      </c>
      <c r="AM55" s="18">
        <v>1.92109</v>
      </c>
      <c r="AN55" s="18">
        <v>1.9276</v>
      </c>
      <c r="AO55" s="18">
        <v>1.93414</v>
      </c>
      <c r="AP55" s="18">
        <v>1.94072</v>
      </c>
      <c r="AQ55" s="19">
        <v>1.94732</v>
      </c>
    </row>
    <row r="56" spans="1:43" ht="12.75">
      <c r="A56" s="16">
        <v>350</v>
      </c>
      <c r="B56" s="18">
        <v>1.8189</v>
      </c>
      <c r="C56" s="18">
        <v>1.81315</v>
      </c>
      <c r="D56" s="18">
        <v>1.80737</v>
      </c>
      <c r="E56" s="18">
        <v>1.80157</v>
      </c>
      <c r="F56" s="18">
        <v>1.79573</v>
      </c>
      <c r="G56" s="18">
        <v>1.78987</v>
      </c>
      <c r="H56" s="18">
        <v>1.78398</v>
      </c>
      <c r="I56" s="18">
        <v>1.77806</v>
      </c>
      <c r="J56" s="18">
        <v>1.77211</v>
      </c>
      <c r="K56" s="18">
        <v>1.76615</v>
      </c>
      <c r="L56" s="18">
        <v>1.76015</v>
      </c>
      <c r="M56" s="18">
        <v>1.75414</v>
      </c>
      <c r="N56" s="18">
        <v>1.74808</v>
      </c>
      <c r="O56" s="18">
        <v>1.74201</v>
      </c>
      <c r="P56" s="18">
        <v>1.73592</v>
      </c>
      <c r="Q56" s="18">
        <v>1.72979</v>
      </c>
      <c r="R56" s="18">
        <v>1.72364</v>
      </c>
      <c r="S56" s="18">
        <v>1.71747</v>
      </c>
      <c r="T56" s="18">
        <v>1.71127</v>
      </c>
      <c r="U56" s="19">
        <v>1.70505</v>
      </c>
      <c r="W56" s="16">
        <v>350</v>
      </c>
      <c r="X56" s="18">
        <v>1.83036</v>
      </c>
      <c r="Y56" s="18">
        <v>1.83613</v>
      </c>
      <c r="Z56" s="18">
        <v>1.84193</v>
      </c>
      <c r="AA56" s="18">
        <v>1.84778</v>
      </c>
      <c r="AB56" s="18">
        <v>1.85366</v>
      </c>
      <c r="AC56" s="18">
        <v>1.85957</v>
      </c>
      <c r="AD56" s="18">
        <v>1.86553</v>
      </c>
      <c r="AE56" s="18">
        <v>1.87151</v>
      </c>
      <c r="AF56" s="18">
        <v>1.87753</v>
      </c>
      <c r="AG56" s="18">
        <v>1.88359</v>
      </c>
      <c r="AH56" s="18">
        <v>1.88969</v>
      </c>
      <c r="AI56" s="18">
        <v>1.89581</v>
      </c>
      <c r="AJ56" s="18">
        <v>1.90198</v>
      </c>
      <c r="AK56" s="18">
        <v>1.90818</v>
      </c>
      <c r="AL56" s="18">
        <v>1.91441</v>
      </c>
      <c r="AM56" s="18">
        <v>1.92068</v>
      </c>
      <c r="AN56" s="18">
        <v>1.92698</v>
      </c>
      <c r="AO56" s="18">
        <v>1.93331</v>
      </c>
      <c r="AP56" s="18">
        <v>1.93967</v>
      </c>
      <c r="AQ56" s="19">
        <v>1.94608</v>
      </c>
    </row>
    <row r="57" spans="1:43" ht="12.75">
      <c r="A57" s="16">
        <v>360</v>
      </c>
      <c r="B57" s="18">
        <v>1.8215</v>
      </c>
      <c r="C57" s="18">
        <v>1.81591</v>
      </c>
      <c r="D57" s="18">
        <v>1.81029</v>
      </c>
      <c r="E57" s="18">
        <v>1.80465</v>
      </c>
      <c r="F57" s="18">
        <v>1.79898</v>
      </c>
      <c r="G57" s="18">
        <v>1.79328</v>
      </c>
      <c r="H57" s="18">
        <v>1.78756</v>
      </c>
      <c r="I57" s="18">
        <v>1.78182</v>
      </c>
      <c r="J57" s="18">
        <v>1.77604</v>
      </c>
      <c r="K57" s="18">
        <v>1.77025</v>
      </c>
      <c r="L57" s="18">
        <v>1.76442</v>
      </c>
      <c r="M57" s="18">
        <v>1.75858</v>
      </c>
      <c r="N57" s="18">
        <v>1.7527</v>
      </c>
      <c r="O57" s="18">
        <v>1.74681</v>
      </c>
      <c r="P57" s="18">
        <v>1.74089</v>
      </c>
      <c r="Q57" s="18">
        <v>1.73494</v>
      </c>
      <c r="R57" s="18">
        <v>1.72898</v>
      </c>
      <c r="S57" s="18">
        <v>1.72299</v>
      </c>
      <c r="T57" s="18">
        <v>1.71697</v>
      </c>
      <c r="U57" s="19">
        <v>1.71094</v>
      </c>
      <c r="W57" s="16">
        <v>360</v>
      </c>
      <c r="X57" s="18">
        <v>1.83264</v>
      </c>
      <c r="Y57" s="18">
        <v>1.83825</v>
      </c>
      <c r="Z57" s="18">
        <v>1.84389</v>
      </c>
      <c r="AA57" s="18">
        <v>1.84957</v>
      </c>
      <c r="AB57" s="18">
        <v>1.85527</v>
      </c>
      <c r="AC57" s="18">
        <v>1.86102</v>
      </c>
      <c r="AD57" s="18">
        <v>1.86681</v>
      </c>
      <c r="AE57" s="18">
        <v>1.87261</v>
      </c>
      <c r="AF57" s="18">
        <v>1.87846</v>
      </c>
      <c r="AG57" s="18">
        <v>1.88434</v>
      </c>
      <c r="AH57" s="18">
        <v>1.89026</v>
      </c>
      <c r="AI57" s="18">
        <v>1.8962</v>
      </c>
      <c r="AJ57" s="18">
        <v>1.90218</v>
      </c>
      <c r="AK57" s="18">
        <v>1.90819</v>
      </c>
      <c r="AL57" s="18">
        <v>1.91424</v>
      </c>
      <c r="AM57" s="18">
        <v>1.92032</v>
      </c>
      <c r="AN57" s="18">
        <v>1.92643</v>
      </c>
      <c r="AO57" s="18">
        <v>1.93257</v>
      </c>
      <c r="AP57" s="18">
        <v>1.93874</v>
      </c>
      <c r="AQ57" s="19">
        <v>1.94494</v>
      </c>
    </row>
    <row r="58" spans="1:43" ht="12.75">
      <c r="A58" s="16">
        <v>370</v>
      </c>
      <c r="B58" s="18">
        <v>1.82399</v>
      </c>
      <c r="C58" s="18">
        <v>1.81855</v>
      </c>
      <c r="D58" s="18">
        <v>1.81309</v>
      </c>
      <c r="E58" s="18">
        <v>1.8076</v>
      </c>
      <c r="F58" s="18">
        <v>1.80209</v>
      </c>
      <c r="G58" s="18">
        <v>1.79655</v>
      </c>
      <c r="H58" s="18">
        <v>1.79098</v>
      </c>
      <c r="I58" s="18">
        <v>1.7854</v>
      </c>
      <c r="J58" s="18">
        <v>1.77978</v>
      </c>
      <c r="K58" s="18">
        <v>1.77415</v>
      </c>
      <c r="L58" s="18">
        <v>1.76849</v>
      </c>
      <c r="M58" s="18">
        <v>1.76281</v>
      </c>
      <c r="N58" s="18">
        <v>1.75711</v>
      </c>
      <c r="O58" s="18">
        <v>1.75137</v>
      </c>
      <c r="P58" s="18">
        <v>1.74562</v>
      </c>
      <c r="Q58" s="18">
        <v>1.73985</v>
      </c>
      <c r="R58" s="18">
        <v>1.73406</v>
      </c>
      <c r="S58" s="18">
        <v>1.72824</v>
      </c>
      <c r="T58" s="18">
        <v>1.7224</v>
      </c>
      <c r="U58" s="19">
        <v>1.71653</v>
      </c>
      <c r="W58" s="16">
        <v>370</v>
      </c>
      <c r="X58" s="18">
        <v>1.83483</v>
      </c>
      <c r="Y58" s="18">
        <v>1.84029</v>
      </c>
      <c r="Z58" s="18">
        <v>1.84577</v>
      </c>
      <c r="AA58" s="18">
        <v>1.85129</v>
      </c>
      <c r="AB58" s="18">
        <v>1.85685</v>
      </c>
      <c r="AC58" s="18">
        <v>1.86242</v>
      </c>
      <c r="AD58" s="18">
        <v>1.86805</v>
      </c>
      <c r="AE58" s="18">
        <v>1.87369</v>
      </c>
      <c r="AF58" s="18">
        <v>1.87938</v>
      </c>
      <c r="AG58" s="18">
        <v>1.88509</v>
      </c>
      <c r="AH58" s="18">
        <v>1.89083</v>
      </c>
      <c r="AI58" s="18">
        <v>1.8966</v>
      </c>
      <c r="AJ58" s="18">
        <v>1.90241</v>
      </c>
      <c r="AK58" s="18">
        <v>1.90825</v>
      </c>
      <c r="AL58" s="18">
        <v>1.91412</v>
      </c>
      <c r="AM58" s="18">
        <v>1.92002</v>
      </c>
      <c r="AN58" s="18">
        <v>1.92595</v>
      </c>
      <c r="AO58" s="18">
        <v>1.93191</v>
      </c>
      <c r="AP58" s="18">
        <v>1.93789</v>
      </c>
      <c r="AQ58" s="19">
        <v>1.94392</v>
      </c>
    </row>
    <row r="59" spans="1:43" ht="12.75">
      <c r="A59" s="16">
        <v>380</v>
      </c>
      <c r="B59" s="18">
        <v>1.82639</v>
      </c>
      <c r="C59" s="18">
        <v>1.82109</v>
      </c>
      <c r="D59" s="18">
        <v>1.81577</v>
      </c>
      <c r="E59" s="18">
        <v>1.81043</v>
      </c>
      <c r="F59" s="18">
        <v>1.80506</v>
      </c>
      <c r="G59" s="18">
        <v>1.79967</v>
      </c>
      <c r="H59" s="18">
        <v>1.79426</v>
      </c>
      <c r="I59" s="18">
        <v>1.78883</v>
      </c>
      <c r="J59" s="18">
        <v>1.78336</v>
      </c>
      <c r="K59" s="18">
        <v>1.77788</v>
      </c>
      <c r="L59" s="18">
        <v>1.77238</v>
      </c>
      <c r="M59" s="18">
        <v>1.76685</v>
      </c>
      <c r="N59" s="18">
        <v>1.7613</v>
      </c>
      <c r="O59" s="18">
        <v>1.75573</v>
      </c>
      <c r="P59" s="18">
        <v>1.75014</v>
      </c>
      <c r="Q59" s="18">
        <v>1.74452</v>
      </c>
      <c r="R59" s="18">
        <v>1.73889</v>
      </c>
      <c r="S59" s="18">
        <v>1.73323</v>
      </c>
      <c r="T59" s="18">
        <v>1.72755</v>
      </c>
      <c r="U59" s="19">
        <v>1.72186</v>
      </c>
      <c r="W59" s="16">
        <v>380</v>
      </c>
      <c r="X59" s="18">
        <v>1.83694</v>
      </c>
      <c r="Y59" s="18">
        <v>1.84225</v>
      </c>
      <c r="Z59" s="18">
        <v>1.84758</v>
      </c>
      <c r="AA59" s="18">
        <v>1.85296</v>
      </c>
      <c r="AB59" s="18">
        <v>1.85836</v>
      </c>
      <c r="AC59" s="18">
        <v>1.86379</v>
      </c>
      <c r="AD59" s="18">
        <v>1.86925</v>
      </c>
      <c r="AE59" s="18">
        <v>1.87475</v>
      </c>
      <c r="AF59" s="18">
        <v>1.88027</v>
      </c>
      <c r="AG59" s="18">
        <v>1.88582</v>
      </c>
      <c r="AH59" s="18">
        <v>1.89141</v>
      </c>
      <c r="AI59" s="18">
        <v>1.89702</v>
      </c>
      <c r="AJ59" s="18">
        <v>1.90266</v>
      </c>
      <c r="AK59" s="18">
        <v>1.90834</v>
      </c>
      <c r="AL59" s="18">
        <v>1.91404</v>
      </c>
      <c r="AM59" s="18">
        <v>1.91977</v>
      </c>
      <c r="AN59" s="18">
        <v>1.92553</v>
      </c>
      <c r="AO59" s="18">
        <v>1.93132</v>
      </c>
      <c r="AP59" s="18">
        <v>1.93714</v>
      </c>
      <c r="AQ59" s="19">
        <v>1.94298</v>
      </c>
    </row>
    <row r="60" spans="1:43" ht="12.75">
      <c r="A60" s="16">
        <v>390</v>
      </c>
      <c r="B60" s="18">
        <v>1.82868</v>
      </c>
      <c r="C60" s="18">
        <v>1.82352</v>
      </c>
      <c r="D60" s="18">
        <v>1.81834</v>
      </c>
      <c r="E60" s="18">
        <v>1.81314</v>
      </c>
      <c r="F60" s="18">
        <v>1.80791</v>
      </c>
      <c r="G60" s="18">
        <v>1.80266</v>
      </c>
      <c r="H60" s="18">
        <v>1.79739</v>
      </c>
      <c r="I60" s="18">
        <v>1.7921</v>
      </c>
      <c r="J60" s="18">
        <v>1.78678</v>
      </c>
      <c r="K60" s="18">
        <v>1.78145</v>
      </c>
      <c r="L60" s="18">
        <v>1.77609</v>
      </c>
      <c r="M60" s="18">
        <v>1.77071</v>
      </c>
      <c r="N60" s="18">
        <v>1.76532</v>
      </c>
      <c r="O60" s="18">
        <v>1.75989</v>
      </c>
      <c r="P60" s="18">
        <v>1.75445</v>
      </c>
      <c r="Q60" s="18">
        <v>1.74898</v>
      </c>
      <c r="R60" s="18">
        <v>1.74351</v>
      </c>
      <c r="S60" s="18">
        <v>1.738</v>
      </c>
      <c r="T60" s="18">
        <v>1.73248</v>
      </c>
      <c r="U60" s="19">
        <v>1.72693</v>
      </c>
      <c r="W60" s="16">
        <v>390</v>
      </c>
      <c r="X60" s="18">
        <v>1.83896</v>
      </c>
      <c r="Y60" s="18">
        <v>1.84413</v>
      </c>
      <c r="Z60" s="18">
        <v>1.84933</v>
      </c>
      <c r="AA60" s="18">
        <v>1.85457</v>
      </c>
      <c r="AB60" s="18">
        <v>1.85982</v>
      </c>
      <c r="AC60" s="18">
        <v>1.86512</v>
      </c>
      <c r="AD60" s="18">
        <v>1.87043</v>
      </c>
      <c r="AE60" s="18">
        <v>1.87578</v>
      </c>
      <c r="AF60" s="18">
        <v>1.88115</v>
      </c>
      <c r="AG60" s="18">
        <v>1.88656</v>
      </c>
      <c r="AH60" s="18">
        <v>1.892</v>
      </c>
      <c r="AI60" s="18">
        <v>1.89746</v>
      </c>
      <c r="AJ60" s="18">
        <v>1.90294</v>
      </c>
      <c r="AK60" s="18">
        <v>1.90846</v>
      </c>
      <c r="AL60" s="18">
        <v>1.91401</v>
      </c>
      <c r="AM60" s="18">
        <v>1.91957</v>
      </c>
      <c r="AN60" s="18">
        <v>1.92517</v>
      </c>
      <c r="AO60" s="18">
        <v>1.9308</v>
      </c>
      <c r="AP60" s="18">
        <v>1.93646</v>
      </c>
      <c r="AQ60" s="19">
        <v>1.94213</v>
      </c>
    </row>
    <row r="61" spans="1:43" ht="12.75">
      <c r="A61" s="16">
        <v>400</v>
      </c>
      <c r="B61" s="18">
        <v>1.83089</v>
      </c>
      <c r="C61" s="18">
        <v>1.82586</v>
      </c>
      <c r="D61" s="18">
        <v>1.82081</v>
      </c>
      <c r="E61" s="18">
        <v>1.81574</v>
      </c>
      <c r="F61" s="18">
        <v>1.81064</v>
      </c>
      <c r="G61" s="18">
        <v>1.80553</v>
      </c>
      <c r="H61" s="18">
        <v>1.80039</v>
      </c>
      <c r="I61" s="18">
        <v>1.79524</v>
      </c>
      <c r="J61" s="18">
        <v>1.79006</v>
      </c>
      <c r="K61" s="18">
        <v>1.78486</v>
      </c>
      <c r="L61" s="18">
        <v>1.77964</v>
      </c>
      <c r="M61" s="18">
        <v>1.7744</v>
      </c>
      <c r="N61" s="18">
        <v>1.76915</v>
      </c>
      <c r="O61" s="18">
        <v>1.76387</v>
      </c>
      <c r="P61" s="18">
        <v>1.75856</v>
      </c>
      <c r="Q61" s="18">
        <v>1.75324</v>
      </c>
      <c r="R61" s="18">
        <v>1.74791</v>
      </c>
      <c r="S61" s="18">
        <v>1.74255</v>
      </c>
      <c r="T61" s="18">
        <v>1.73717</v>
      </c>
      <c r="U61" s="19">
        <v>1.73177</v>
      </c>
      <c r="W61" s="16">
        <v>400</v>
      </c>
      <c r="X61" s="18">
        <v>1.84091</v>
      </c>
      <c r="Y61" s="18">
        <v>1.84596</v>
      </c>
      <c r="Z61" s="18">
        <v>1.85103</v>
      </c>
      <c r="AA61" s="18">
        <v>1.85612</v>
      </c>
      <c r="AB61" s="18">
        <v>1.86124</v>
      </c>
      <c r="AC61" s="18">
        <v>1.8664</v>
      </c>
      <c r="AD61" s="18">
        <v>1.87158</v>
      </c>
      <c r="AE61" s="18">
        <v>1.87678</v>
      </c>
      <c r="AF61" s="18">
        <v>1.88202</v>
      </c>
      <c r="AG61" s="18">
        <v>1.88728</v>
      </c>
      <c r="AH61" s="18">
        <v>1.89258</v>
      </c>
      <c r="AI61" s="18">
        <v>1.89789</v>
      </c>
      <c r="AJ61" s="18">
        <v>1.90323</v>
      </c>
      <c r="AK61" s="18">
        <v>1.9086</v>
      </c>
      <c r="AL61" s="18">
        <v>1.914</v>
      </c>
      <c r="AM61" s="18">
        <v>1.91942</v>
      </c>
      <c r="AN61" s="18">
        <v>1.92486</v>
      </c>
      <c r="AO61" s="18">
        <v>1.93034</v>
      </c>
      <c r="AP61" s="18">
        <v>1.93584</v>
      </c>
      <c r="AQ61" s="19">
        <v>1.94136</v>
      </c>
    </row>
    <row r="62" spans="1:43" ht="12.75">
      <c r="A62" s="16">
        <v>410</v>
      </c>
      <c r="B62" s="18">
        <v>1.83301</v>
      </c>
      <c r="C62" s="18">
        <v>1.82811</v>
      </c>
      <c r="D62" s="18">
        <v>1.82318</v>
      </c>
      <c r="E62" s="18">
        <v>1.81824</v>
      </c>
      <c r="F62" s="18">
        <v>1.81327</v>
      </c>
      <c r="G62" s="18">
        <v>1.80828</v>
      </c>
      <c r="H62" s="18">
        <v>1.80327</v>
      </c>
      <c r="I62" s="18">
        <v>1.79825</v>
      </c>
      <c r="J62" s="18">
        <v>1.7932</v>
      </c>
      <c r="K62" s="18">
        <v>1.78814</v>
      </c>
      <c r="L62" s="18">
        <v>1.78305</v>
      </c>
      <c r="M62" s="18">
        <v>1.77794</v>
      </c>
      <c r="N62" s="18">
        <v>1.77281</v>
      </c>
      <c r="O62" s="18">
        <v>1.76767</v>
      </c>
      <c r="P62" s="18">
        <v>1.7625</v>
      </c>
      <c r="Q62" s="18">
        <v>1.75732</v>
      </c>
      <c r="R62" s="18">
        <v>1.75212</v>
      </c>
      <c r="S62" s="18">
        <v>1.7469</v>
      </c>
      <c r="T62" s="18">
        <v>1.74166</v>
      </c>
      <c r="U62" s="19">
        <v>1.7364</v>
      </c>
      <c r="W62" s="16">
        <v>410</v>
      </c>
      <c r="X62" s="18">
        <v>1.84279</v>
      </c>
      <c r="Y62" s="18">
        <v>1.84771</v>
      </c>
      <c r="Z62" s="18">
        <v>1.85265</v>
      </c>
      <c r="AA62" s="18">
        <v>1.85763</v>
      </c>
      <c r="AB62" s="18">
        <v>1.86263</v>
      </c>
      <c r="AC62" s="18">
        <v>1.86765</v>
      </c>
      <c r="AD62" s="18">
        <v>1.87269</v>
      </c>
      <c r="AE62" s="18">
        <v>1.87777</v>
      </c>
      <c r="AF62" s="18">
        <v>1.88287</v>
      </c>
      <c r="AG62" s="18">
        <v>1.888</v>
      </c>
      <c r="AH62" s="18">
        <v>1.89315</v>
      </c>
      <c r="AI62" s="18">
        <v>1.89833</v>
      </c>
      <c r="AJ62" s="18">
        <v>1.90354</v>
      </c>
      <c r="AK62" s="18">
        <v>1.90877</v>
      </c>
      <c r="AL62" s="18">
        <v>1.91401</v>
      </c>
      <c r="AM62" s="18">
        <v>1.9193</v>
      </c>
      <c r="AN62" s="18">
        <v>1.9246</v>
      </c>
      <c r="AO62" s="18">
        <v>1.92993</v>
      </c>
      <c r="AP62" s="18">
        <v>1.93528</v>
      </c>
      <c r="AQ62" s="19">
        <v>1.94066</v>
      </c>
    </row>
    <row r="63" spans="1:43" ht="12.75">
      <c r="A63" s="16">
        <v>420</v>
      </c>
      <c r="B63" s="18">
        <v>1.83507</v>
      </c>
      <c r="C63" s="18">
        <v>1.83028</v>
      </c>
      <c r="D63" s="18">
        <v>1.82546</v>
      </c>
      <c r="E63" s="18">
        <v>1.82064</v>
      </c>
      <c r="F63" s="18">
        <v>1.81579</v>
      </c>
      <c r="G63" s="18">
        <v>1.81093</v>
      </c>
      <c r="H63" s="18">
        <v>1.80604</v>
      </c>
      <c r="I63" s="18">
        <v>1.80114</v>
      </c>
      <c r="J63" s="18">
        <v>1.79621</v>
      </c>
      <c r="K63" s="18">
        <v>1.79127</v>
      </c>
      <c r="L63" s="18">
        <v>1.78631</v>
      </c>
      <c r="M63" s="18">
        <v>1.78133</v>
      </c>
      <c r="N63" s="18">
        <v>1.77633</v>
      </c>
      <c r="O63" s="18">
        <v>1.77132</v>
      </c>
      <c r="P63" s="18">
        <v>1.76628</v>
      </c>
      <c r="Q63" s="18">
        <v>1.76122</v>
      </c>
      <c r="R63" s="18">
        <v>1.75615</v>
      </c>
      <c r="S63" s="18">
        <v>1.75107</v>
      </c>
      <c r="T63" s="18">
        <v>1.74596</v>
      </c>
      <c r="U63" s="19">
        <v>1.74083</v>
      </c>
      <c r="W63" s="16">
        <v>420</v>
      </c>
      <c r="X63" s="18">
        <v>1.84461</v>
      </c>
      <c r="Y63" s="18">
        <v>1.84941</v>
      </c>
      <c r="Z63" s="18">
        <v>1.85423</v>
      </c>
      <c r="AA63" s="18">
        <v>1.85908</v>
      </c>
      <c r="AB63" s="18">
        <v>1.86396</v>
      </c>
      <c r="AC63" s="18">
        <v>1.86886</v>
      </c>
      <c r="AD63" s="18">
        <v>1.87379</v>
      </c>
      <c r="AE63" s="18">
        <v>1.87874</v>
      </c>
      <c r="AF63" s="18">
        <v>1.88371</v>
      </c>
      <c r="AG63" s="18">
        <v>1.88871</v>
      </c>
      <c r="AH63" s="18">
        <v>1.89373</v>
      </c>
      <c r="AI63" s="18">
        <v>1.89878</v>
      </c>
      <c r="AJ63" s="18">
        <v>1.90385</v>
      </c>
      <c r="AK63" s="18">
        <v>1.90895</v>
      </c>
      <c r="AL63" s="18">
        <v>1.91407</v>
      </c>
      <c r="AM63" s="18">
        <v>1.91922</v>
      </c>
      <c r="AN63" s="18">
        <v>1.92438</v>
      </c>
      <c r="AO63" s="18">
        <v>1.92957</v>
      </c>
      <c r="AP63" s="18">
        <v>1.93478</v>
      </c>
      <c r="AQ63" s="19">
        <v>1.94003</v>
      </c>
    </row>
    <row r="64" spans="1:43" ht="12.75">
      <c r="A64" s="16">
        <v>430</v>
      </c>
      <c r="B64" s="18">
        <v>1.83704</v>
      </c>
      <c r="C64" s="18">
        <v>1.83236</v>
      </c>
      <c r="D64" s="18">
        <v>1.82767</v>
      </c>
      <c r="E64" s="18">
        <v>1.82296</v>
      </c>
      <c r="F64" s="18">
        <v>1.81823</v>
      </c>
      <c r="G64" s="18">
        <v>1.81348</v>
      </c>
      <c r="H64" s="18">
        <v>1.80871</v>
      </c>
      <c r="I64" s="18">
        <v>1.80392</v>
      </c>
      <c r="J64" s="18">
        <v>1.79911</v>
      </c>
      <c r="K64" s="18">
        <v>1.79429</v>
      </c>
      <c r="L64" s="18">
        <v>1.78944</v>
      </c>
      <c r="M64" s="18">
        <v>1.78458</v>
      </c>
      <c r="N64" s="18">
        <v>1.77971</v>
      </c>
      <c r="O64" s="18">
        <v>1.77481</v>
      </c>
      <c r="P64" s="18">
        <v>1.7699</v>
      </c>
      <c r="Q64" s="18">
        <v>1.76497</v>
      </c>
      <c r="R64" s="18">
        <v>1.76002</v>
      </c>
      <c r="S64" s="18">
        <v>1.75506</v>
      </c>
      <c r="T64" s="18">
        <v>1.75007</v>
      </c>
      <c r="U64" s="19">
        <v>1.74508</v>
      </c>
      <c r="W64" s="16">
        <v>430</v>
      </c>
      <c r="X64" s="18">
        <v>1.84636</v>
      </c>
      <c r="Y64" s="18">
        <v>1.85105</v>
      </c>
      <c r="Z64" s="18">
        <v>1.85576</v>
      </c>
      <c r="AA64" s="18">
        <v>1.8605</v>
      </c>
      <c r="AB64" s="18">
        <v>1.86525</v>
      </c>
      <c r="AC64" s="18">
        <v>1.87004</v>
      </c>
      <c r="AD64" s="18">
        <v>1.87484</v>
      </c>
      <c r="AE64" s="18">
        <v>1.87967</v>
      </c>
      <c r="AF64" s="18">
        <v>1.88453</v>
      </c>
      <c r="AG64" s="18">
        <v>1.88941</v>
      </c>
      <c r="AH64" s="18">
        <v>1.89431</v>
      </c>
      <c r="AI64" s="18">
        <v>1.89923</v>
      </c>
      <c r="AJ64" s="18">
        <v>1.90417</v>
      </c>
      <c r="AK64" s="18">
        <v>1.90915</v>
      </c>
      <c r="AL64" s="18">
        <v>1.91414</v>
      </c>
      <c r="AM64" s="18">
        <v>1.91915</v>
      </c>
      <c r="AN64" s="18">
        <v>1.9242</v>
      </c>
      <c r="AO64" s="18">
        <v>1.92925</v>
      </c>
      <c r="AP64" s="18">
        <v>1.93433</v>
      </c>
      <c r="AQ64" s="19">
        <v>1.93944</v>
      </c>
    </row>
    <row r="65" spans="1:43" ht="12.75">
      <c r="A65" s="16">
        <v>440</v>
      </c>
      <c r="B65" s="18">
        <v>1.83895</v>
      </c>
      <c r="C65" s="18">
        <v>1.83438</v>
      </c>
      <c r="D65" s="18">
        <v>1.82979</v>
      </c>
      <c r="E65" s="18">
        <v>1.82518</v>
      </c>
      <c r="F65" s="18">
        <v>1.82056</v>
      </c>
      <c r="G65" s="18">
        <v>1.81592</v>
      </c>
      <c r="H65" s="18">
        <v>1.81126</v>
      </c>
      <c r="I65" s="18">
        <v>1.80659</v>
      </c>
      <c r="J65" s="18">
        <v>1.80189</v>
      </c>
      <c r="K65" s="18">
        <v>1.79718</v>
      </c>
      <c r="L65" s="18">
        <v>1.79245</v>
      </c>
      <c r="M65" s="18">
        <v>1.7877</v>
      </c>
      <c r="N65" s="18">
        <v>1.78295</v>
      </c>
      <c r="O65" s="18">
        <v>1.77817</v>
      </c>
      <c r="P65" s="18">
        <v>1.77337</v>
      </c>
      <c r="Q65" s="18">
        <v>1.76856</v>
      </c>
      <c r="R65" s="18">
        <v>1.76373</v>
      </c>
      <c r="S65" s="18">
        <v>1.75888</v>
      </c>
      <c r="T65" s="18">
        <v>1.75403</v>
      </c>
      <c r="U65" s="19">
        <v>1.74914</v>
      </c>
      <c r="W65" s="16">
        <v>440</v>
      </c>
      <c r="X65" s="18">
        <v>1.84805</v>
      </c>
      <c r="Y65" s="18">
        <v>1.85264</v>
      </c>
      <c r="Z65" s="18">
        <v>1.85724</v>
      </c>
      <c r="AA65" s="18">
        <v>1.86187</v>
      </c>
      <c r="AB65" s="18">
        <v>1.86651</v>
      </c>
      <c r="AC65" s="18">
        <v>1.87119</v>
      </c>
      <c r="AD65" s="18">
        <v>1.87588</v>
      </c>
      <c r="AE65" s="18">
        <v>1.8806</v>
      </c>
      <c r="AF65" s="18">
        <v>1.88533</v>
      </c>
      <c r="AG65" s="18">
        <v>1.8901</v>
      </c>
      <c r="AH65" s="18">
        <v>1.89488</v>
      </c>
      <c r="AI65" s="18">
        <v>1.89968</v>
      </c>
      <c r="AJ65" s="18">
        <v>1.90451</v>
      </c>
      <c r="AK65" s="18">
        <v>1.90937</v>
      </c>
      <c r="AL65" s="18">
        <v>1.91424</v>
      </c>
      <c r="AM65" s="18">
        <v>1.91913</v>
      </c>
      <c r="AN65" s="18">
        <v>1.92404</v>
      </c>
      <c r="AO65" s="18">
        <v>1.92898</v>
      </c>
      <c r="AP65" s="18">
        <v>1.93393</v>
      </c>
      <c r="AQ65" s="19">
        <v>1.93891</v>
      </c>
    </row>
    <row r="66" spans="1:43" ht="12.75">
      <c r="A66" s="16">
        <v>450</v>
      </c>
      <c r="B66" s="18">
        <v>1.84079</v>
      </c>
      <c r="C66" s="18">
        <v>1.83632</v>
      </c>
      <c r="D66" s="18">
        <v>1.83184</v>
      </c>
      <c r="E66" s="18">
        <v>1.82734</v>
      </c>
      <c r="F66" s="18">
        <v>1.82282</v>
      </c>
      <c r="G66" s="18">
        <v>1.81828</v>
      </c>
      <c r="H66" s="18">
        <v>1.81373</v>
      </c>
      <c r="I66" s="18">
        <v>1.80916</v>
      </c>
      <c r="J66" s="18">
        <v>1.80457</v>
      </c>
      <c r="K66" s="18">
        <v>1.79997</v>
      </c>
      <c r="L66" s="18">
        <v>1.79535</v>
      </c>
      <c r="M66" s="18">
        <v>1.79071</v>
      </c>
      <c r="N66" s="18">
        <v>1.78607</v>
      </c>
      <c r="O66" s="18">
        <v>1.78139</v>
      </c>
      <c r="P66" s="18">
        <v>1.77671</v>
      </c>
      <c r="Q66" s="18">
        <v>1.77201</v>
      </c>
      <c r="R66" s="18">
        <v>1.7673</v>
      </c>
      <c r="S66" s="18">
        <v>1.76256</v>
      </c>
      <c r="T66" s="18">
        <v>1.75781</v>
      </c>
      <c r="U66" s="19">
        <v>1.75305</v>
      </c>
      <c r="W66" s="16">
        <v>450</v>
      </c>
      <c r="X66" s="18">
        <v>1.8497</v>
      </c>
      <c r="Y66" s="18">
        <v>1.85418</v>
      </c>
      <c r="Z66" s="18">
        <v>1.85867</v>
      </c>
      <c r="AA66" s="18">
        <v>1.8632</v>
      </c>
      <c r="AB66" s="18">
        <v>1.86774</v>
      </c>
      <c r="AC66" s="18">
        <v>1.8723</v>
      </c>
      <c r="AD66" s="18">
        <v>1.87688</v>
      </c>
      <c r="AE66" s="18">
        <v>1.8815</v>
      </c>
      <c r="AF66" s="18">
        <v>1.88612</v>
      </c>
      <c r="AG66" s="18">
        <v>1.89077</v>
      </c>
      <c r="AH66" s="18">
        <v>1.89545</v>
      </c>
      <c r="AI66" s="18">
        <v>1.90014</v>
      </c>
      <c r="AJ66" s="18">
        <v>1.90485</v>
      </c>
      <c r="AK66" s="18">
        <v>1.90959</v>
      </c>
      <c r="AL66" s="18">
        <v>1.91434</v>
      </c>
      <c r="AM66" s="18">
        <v>1.91912</v>
      </c>
      <c r="AN66" s="18">
        <v>1.92392</v>
      </c>
      <c r="AO66" s="18">
        <v>1.92874</v>
      </c>
      <c r="AP66" s="18">
        <v>1.93358</v>
      </c>
      <c r="AQ66" s="19">
        <v>1.93844</v>
      </c>
    </row>
    <row r="67" spans="1:43" ht="12.75">
      <c r="A67" s="16">
        <v>460</v>
      </c>
      <c r="B67" s="18">
        <v>1.84257</v>
      </c>
      <c r="C67" s="18">
        <v>1.8382</v>
      </c>
      <c r="D67" s="18">
        <v>1.83381</v>
      </c>
      <c r="E67" s="18">
        <v>1.82941</v>
      </c>
      <c r="F67" s="18">
        <v>1.82499</v>
      </c>
      <c r="G67" s="18">
        <v>1.82056</v>
      </c>
      <c r="H67" s="18">
        <v>1.81611</v>
      </c>
      <c r="I67" s="18">
        <v>1.81163</v>
      </c>
      <c r="J67" s="18">
        <v>1.80716</v>
      </c>
      <c r="K67" s="18">
        <v>1.80265</v>
      </c>
      <c r="L67" s="18">
        <v>1.79813</v>
      </c>
      <c r="M67" s="18">
        <v>1.79361</v>
      </c>
      <c r="N67" s="18">
        <v>1.78906</v>
      </c>
      <c r="O67" s="18">
        <v>1.7845</v>
      </c>
      <c r="P67" s="18">
        <v>1.77992</v>
      </c>
      <c r="Q67" s="18">
        <v>1.77532</v>
      </c>
      <c r="R67" s="18">
        <v>1.77072</v>
      </c>
      <c r="S67" s="18">
        <v>1.7661</v>
      </c>
      <c r="T67" s="18">
        <v>1.76145</v>
      </c>
      <c r="U67" s="19">
        <v>1.7568</v>
      </c>
      <c r="W67" s="16">
        <v>460</v>
      </c>
      <c r="X67" s="18">
        <v>1.85128</v>
      </c>
      <c r="Y67" s="18">
        <v>1.85567</v>
      </c>
      <c r="Z67" s="18">
        <v>1.86007</v>
      </c>
      <c r="AA67" s="18">
        <v>1.86449</v>
      </c>
      <c r="AB67" s="18">
        <v>1.86893</v>
      </c>
      <c r="AC67" s="18">
        <v>1.87339</v>
      </c>
      <c r="AD67" s="18">
        <v>1.87787</v>
      </c>
      <c r="AE67" s="18">
        <v>1.88238</v>
      </c>
      <c r="AF67" s="18">
        <v>1.8869</v>
      </c>
      <c r="AG67" s="18">
        <v>1.89144</v>
      </c>
      <c r="AH67" s="18">
        <v>1.89601</v>
      </c>
      <c r="AI67" s="18">
        <v>1.9006</v>
      </c>
      <c r="AJ67" s="18">
        <v>1.9052</v>
      </c>
      <c r="AK67" s="18">
        <v>1.90983</v>
      </c>
      <c r="AL67" s="18">
        <v>1.91447</v>
      </c>
      <c r="AM67" s="18">
        <v>1.91914</v>
      </c>
      <c r="AN67" s="18">
        <v>1.92382</v>
      </c>
      <c r="AO67" s="18">
        <v>1.92853</v>
      </c>
      <c r="AP67" s="18">
        <v>1.93325</v>
      </c>
      <c r="AQ67" s="19">
        <v>1.938</v>
      </c>
    </row>
    <row r="68" spans="1:43" ht="12.75">
      <c r="A68" s="16">
        <v>470</v>
      </c>
      <c r="B68" s="18">
        <v>1.84429</v>
      </c>
      <c r="C68" s="18">
        <v>1.84002</v>
      </c>
      <c r="D68" s="18">
        <v>1.83572</v>
      </c>
      <c r="E68" s="18">
        <v>1.83142</v>
      </c>
      <c r="F68" s="18">
        <v>1.82709</v>
      </c>
      <c r="G68" s="18">
        <v>1.82275</v>
      </c>
      <c r="H68" s="18">
        <v>1.8184</v>
      </c>
      <c r="I68" s="18">
        <v>1.81403</v>
      </c>
      <c r="J68" s="18">
        <v>1.80964</v>
      </c>
      <c r="K68" s="18">
        <v>1.80524</v>
      </c>
      <c r="L68" s="18">
        <v>1.80083</v>
      </c>
      <c r="M68" s="18">
        <v>1.7964</v>
      </c>
      <c r="N68" s="18">
        <v>1.79195</v>
      </c>
      <c r="O68" s="18">
        <v>1.78749</v>
      </c>
      <c r="P68" s="18">
        <v>1.78301</v>
      </c>
      <c r="Q68" s="18">
        <v>1.77852</v>
      </c>
      <c r="R68" s="18">
        <v>1.77401</v>
      </c>
      <c r="S68" s="18">
        <v>1.76949</v>
      </c>
      <c r="T68" s="18">
        <v>1.76496</v>
      </c>
      <c r="U68" s="19">
        <v>1.76041</v>
      </c>
      <c r="W68" s="16">
        <v>470</v>
      </c>
      <c r="X68" s="18">
        <v>1.85282</v>
      </c>
      <c r="Y68" s="18">
        <v>1.85711</v>
      </c>
      <c r="Z68" s="18">
        <v>1.86141</v>
      </c>
      <c r="AA68" s="18">
        <v>1.86574</v>
      </c>
      <c r="AB68" s="18">
        <v>1.87009</v>
      </c>
      <c r="AC68" s="18">
        <v>1.87445</v>
      </c>
      <c r="AD68" s="18">
        <v>1.87883</v>
      </c>
      <c r="AE68" s="18">
        <v>1.88324</v>
      </c>
      <c r="AF68" s="18">
        <v>1.88767</v>
      </c>
      <c r="AG68" s="18">
        <v>1.89211</v>
      </c>
      <c r="AH68" s="18">
        <v>1.89657</v>
      </c>
      <c r="AI68" s="18">
        <v>1.90105</v>
      </c>
      <c r="AJ68" s="18">
        <v>1.90556</v>
      </c>
      <c r="AK68" s="18">
        <v>1.91008</v>
      </c>
      <c r="AL68" s="18">
        <v>1.91461</v>
      </c>
      <c r="AM68" s="18">
        <v>1.91918</v>
      </c>
      <c r="AN68" s="18">
        <v>1.92376</v>
      </c>
      <c r="AO68" s="18">
        <v>1.92835</v>
      </c>
      <c r="AP68" s="18">
        <v>1.93296</v>
      </c>
      <c r="AQ68" s="19">
        <v>1.9376</v>
      </c>
    </row>
    <row r="69" spans="1:43" ht="12.75">
      <c r="A69" s="16">
        <v>480</v>
      </c>
      <c r="B69" s="18">
        <v>1.84596</v>
      </c>
      <c r="C69" s="18">
        <v>1.84177</v>
      </c>
      <c r="D69" s="18">
        <v>1.83757</v>
      </c>
      <c r="E69" s="18">
        <v>1.83336</v>
      </c>
      <c r="F69" s="18">
        <v>1.82912</v>
      </c>
      <c r="G69" s="18">
        <v>1.82488</v>
      </c>
      <c r="H69" s="18">
        <v>1.82061</v>
      </c>
      <c r="I69" s="18">
        <v>1.81634</v>
      </c>
      <c r="J69" s="18">
        <v>1.81205</v>
      </c>
      <c r="K69" s="18">
        <v>1.80774</v>
      </c>
      <c r="L69" s="18">
        <v>1.80341</v>
      </c>
      <c r="M69" s="18">
        <v>1.79908</v>
      </c>
      <c r="N69" s="18">
        <v>1.79473</v>
      </c>
      <c r="O69" s="18">
        <v>1.79036</v>
      </c>
      <c r="P69" s="18">
        <v>1.78599</v>
      </c>
      <c r="Q69" s="18">
        <v>1.78159</v>
      </c>
      <c r="R69" s="18">
        <v>1.77719</v>
      </c>
      <c r="S69" s="18">
        <v>1.77276</v>
      </c>
      <c r="T69" s="18">
        <v>1.76833</v>
      </c>
      <c r="U69" s="19">
        <v>1.76388</v>
      </c>
      <c r="W69" s="16">
        <v>480</v>
      </c>
      <c r="X69" s="18">
        <v>1.85431</v>
      </c>
      <c r="Y69" s="18">
        <v>1.85851</v>
      </c>
      <c r="Z69" s="18">
        <v>1.86272</v>
      </c>
      <c r="AA69" s="18">
        <v>1.86695</v>
      </c>
      <c r="AB69" s="18">
        <v>1.87121</v>
      </c>
      <c r="AC69" s="18">
        <v>1.87548</v>
      </c>
      <c r="AD69" s="18">
        <v>1.87977</v>
      </c>
      <c r="AE69" s="18">
        <v>1.88408</v>
      </c>
      <c r="AF69" s="18">
        <v>1.88841</v>
      </c>
      <c r="AG69" s="18">
        <v>1.89276</v>
      </c>
      <c r="AH69" s="18">
        <v>1.89712</v>
      </c>
      <c r="AI69" s="18">
        <v>1.90151</v>
      </c>
      <c r="AJ69" s="18">
        <v>1.90591</v>
      </c>
      <c r="AK69" s="18">
        <v>1.91034</v>
      </c>
      <c r="AL69" s="18">
        <v>1.91477</v>
      </c>
      <c r="AM69" s="18">
        <v>1.91923</v>
      </c>
      <c r="AN69" s="18">
        <v>1.92371</v>
      </c>
      <c r="AO69" s="18">
        <v>1.9282</v>
      </c>
      <c r="AP69" s="18">
        <v>1.93271</v>
      </c>
      <c r="AQ69" s="19">
        <v>1.93725</v>
      </c>
    </row>
    <row r="70" spans="1:43" ht="12.75">
      <c r="A70" s="16">
        <v>490</v>
      </c>
      <c r="B70" s="18">
        <v>1.84758</v>
      </c>
      <c r="C70" s="18">
        <v>1.84348</v>
      </c>
      <c r="D70" s="18">
        <v>1.83937</v>
      </c>
      <c r="E70" s="18">
        <v>1.83523</v>
      </c>
      <c r="F70" s="18">
        <v>1.83109</v>
      </c>
      <c r="G70" s="18">
        <v>1.82693</v>
      </c>
      <c r="H70" s="18">
        <v>1.82275</v>
      </c>
      <c r="I70" s="18">
        <v>1.81857</v>
      </c>
      <c r="J70" s="18">
        <v>1.81437</v>
      </c>
      <c r="K70" s="18">
        <v>1.81015</v>
      </c>
      <c r="L70" s="18">
        <v>1.80592</v>
      </c>
      <c r="M70" s="18">
        <v>1.80167</v>
      </c>
      <c r="N70" s="18">
        <v>1.79741</v>
      </c>
      <c r="O70" s="18">
        <v>1.79314</v>
      </c>
      <c r="P70" s="18">
        <v>1.78885</v>
      </c>
      <c r="Q70" s="18">
        <v>1.78456</v>
      </c>
      <c r="R70" s="18">
        <v>1.78024</v>
      </c>
      <c r="S70" s="18">
        <v>1.77592</v>
      </c>
      <c r="T70" s="18">
        <v>1.77157</v>
      </c>
      <c r="U70" s="19">
        <v>1.76722</v>
      </c>
      <c r="W70" s="16">
        <v>490</v>
      </c>
      <c r="X70" s="18">
        <v>1.85576</v>
      </c>
      <c r="Y70" s="18">
        <v>1.85987</v>
      </c>
      <c r="Z70" s="18">
        <v>1.86399</v>
      </c>
      <c r="AA70" s="18">
        <v>1.86814</v>
      </c>
      <c r="AB70" s="18">
        <v>1.87231</v>
      </c>
      <c r="AC70" s="18">
        <v>1.87649</v>
      </c>
      <c r="AD70" s="18">
        <v>1.88069</v>
      </c>
      <c r="AE70" s="18">
        <v>1.88491</v>
      </c>
      <c r="AF70" s="18">
        <v>1.88915</v>
      </c>
      <c r="AG70" s="18">
        <v>1.8934</v>
      </c>
      <c r="AH70" s="18">
        <v>1.89767</v>
      </c>
      <c r="AI70" s="18">
        <v>1.90197</v>
      </c>
      <c r="AJ70" s="18">
        <v>1.90628</v>
      </c>
      <c r="AK70" s="18">
        <v>1.91059</v>
      </c>
      <c r="AL70" s="18">
        <v>1.91494</v>
      </c>
      <c r="AM70" s="18">
        <v>1.9193</v>
      </c>
      <c r="AN70" s="18">
        <v>1.92368</v>
      </c>
      <c r="AO70" s="18">
        <v>1.92807</v>
      </c>
      <c r="AP70" s="18">
        <v>1.93249</v>
      </c>
      <c r="AQ70" s="19">
        <v>1.93692</v>
      </c>
    </row>
    <row r="71" spans="1:43" ht="12.75">
      <c r="A71" s="16">
        <v>500</v>
      </c>
      <c r="B71" s="18">
        <v>1.84914</v>
      </c>
      <c r="C71" s="18">
        <v>1.84513</v>
      </c>
      <c r="D71" s="18">
        <v>1.8411</v>
      </c>
      <c r="E71" s="18">
        <v>1.83705</v>
      </c>
      <c r="F71" s="18">
        <v>1.83298</v>
      </c>
      <c r="G71" s="18">
        <v>1.82892</v>
      </c>
      <c r="H71" s="18">
        <v>1.82482</v>
      </c>
      <c r="I71" s="18">
        <v>1.82072</v>
      </c>
      <c r="J71" s="18">
        <v>1.81661</v>
      </c>
      <c r="K71" s="18">
        <v>1.81247</v>
      </c>
      <c r="L71" s="18">
        <v>1.80834</v>
      </c>
      <c r="M71" s="18">
        <v>1.80417</v>
      </c>
      <c r="N71" s="18">
        <v>1.80001</v>
      </c>
      <c r="O71" s="18">
        <v>1.79582</v>
      </c>
      <c r="P71" s="18">
        <v>1.79163</v>
      </c>
      <c r="Q71" s="18">
        <v>1.78742</v>
      </c>
      <c r="R71" s="18">
        <v>1.78319</v>
      </c>
      <c r="S71" s="18">
        <v>1.77896</v>
      </c>
      <c r="T71" s="18">
        <v>1.77471</v>
      </c>
      <c r="U71" s="19">
        <v>1.77044</v>
      </c>
      <c r="W71" s="16">
        <v>500</v>
      </c>
      <c r="X71" s="18">
        <v>1.85716</v>
      </c>
      <c r="Y71" s="18">
        <v>1.86119</v>
      </c>
      <c r="Z71" s="18">
        <v>1.86523</v>
      </c>
      <c r="AA71" s="18">
        <v>1.86929</v>
      </c>
      <c r="AB71" s="18">
        <v>1.87337</v>
      </c>
      <c r="AC71" s="18">
        <v>1.87747</v>
      </c>
      <c r="AD71" s="18">
        <v>1.88158</v>
      </c>
      <c r="AE71" s="18">
        <v>1.88572</v>
      </c>
      <c r="AF71" s="18">
        <v>1.88986</v>
      </c>
      <c r="AG71" s="18">
        <v>1.89403</v>
      </c>
      <c r="AH71" s="18">
        <v>1.89821</v>
      </c>
      <c r="AI71" s="18">
        <v>1.90242</v>
      </c>
      <c r="AJ71" s="18">
        <v>1.90663</v>
      </c>
      <c r="AK71" s="18">
        <v>1.91087</v>
      </c>
      <c r="AL71" s="18">
        <v>1.91512</v>
      </c>
      <c r="AM71" s="18">
        <v>1.91938</v>
      </c>
      <c r="AN71" s="18">
        <v>1.92368</v>
      </c>
      <c r="AO71" s="18">
        <v>1.92798</v>
      </c>
      <c r="AP71" s="18">
        <v>1.93229</v>
      </c>
      <c r="AQ71" s="19">
        <v>1.93663</v>
      </c>
    </row>
    <row r="72" spans="1:43" ht="12.75">
      <c r="A72" s="16">
        <v>550</v>
      </c>
      <c r="B72" s="18">
        <v>1.85632</v>
      </c>
      <c r="C72" s="18">
        <v>1.85267</v>
      </c>
      <c r="D72" s="18">
        <v>1.84901</v>
      </c>
      <c r="E72" s="18">
        <v>1.84533</v>
      </c>
      <c r="F72" s="18">
        <v>1.84165</v>
      </c>
      <c r="G72" s="18">
        <v>1.83794</v>
      </c>
      <c r="H72" s="18">
        <v>1.83423</v>
      </c>
      <c r="I72" s="18">
        <v>1.83051</v>
      </c>
      <c r="J72" s="18">
        <v>1.82678</v>
      </c>
      <c r="K72" s="18">
        <v>1.82303</v>
      </c>
      <c r="L72" s="18">
        <v>1.81928</v>
      </c>
      <c r="M72" s="18">
        <v>1.81551</v>
      </c>
      <c r="N72" s="18">
        <v>1.81173</v>
      </c>
      <c r="O72" s="18">
        <v>1.80794</v>
      </c>
      <c r="P72" s="18">
        <v>1.80414</v>
      </c>
      <c r="Q72" s="18">
        <v>1.80033</v>
      </c>
      <c r="R72" s="18">
        <v>1.79651</v>
      </c>
      <c r="S72" s="18">
        <v>1.79268</v>
      </c>
      <c r="T72" s="18">
        <v>1.78883</v>
      </c>
      <c r="U72" s="19">
        <v>1.78497</v>
      </c>
      <c r="W72" s="16">
        <v>550</v>
      </c>
      <c r="X72" s="18">
        <v>1.86361</v>
      </c>
      <c r="Y72" s="18">
        <v>1.86727</v>
      </c>
      <c r="Z72" s="18">
        <v>1.87094</v>
      </c>
      <c r="AA72" s="18">
        <v>1.87462</v>
      </c>
      <c r="AB72" s="18">
        <v>1.87833</v>
      </c>
      <c r="AC72" s="18">
        <v>1.88204</v>
      </c>
      <c r="AD72" s="18">
        <v>1.88578</v>
      </c>
      <c r="AE72" s="18">
        <v>1.88952</v>
      </c>
      <c r="AF72" s="18">
        <v>1.89327</v>
      </c>
      <c r="AG72" s="18">
        <v>1.89705</v>
      </c>
      <c r="AH72" s="18">
        <v>1.90084</v>
      </c>
      <c r="AI72" s="18">
        <v>1.90464</v>
      </c>
      <c r="AJ72" s="18">
        <v>1.90845</v>
      </c>
      <c r="AK72" s="18">
        <v>1.91228</v>
      </c>
      <c r="AL72" s="18">
        <v>1.91613</v>
      </c>
      <c r="AM72" s="18">
        <v>1.91998</v>
      </c>
      <c r="AN72" s="18">
        <v>1.92386</v>
      </c>
      <c r="AO72" s="18">
        <v>1.92774</v>
      </c>
      <c r="AP72" s="18">
        <v>1.93164</v>
      </c>
      <c r="AQ72" s="19">
        <v>1.93555</v>
      </c>
    </row>
    <row r="73" spans="1:43" ht="12.75">
      <c r="A73" s="16">
        <v>600</v>
      </c>
      <c r="B73" s="18">
        <v>1.86257</v>
      </c>
      <c r="C73" s="18">
        <v>1.85922</v>
      </c>
      <c r="D73" s="18">
        <v>1.85587</v>
      </c>
      <c r="E73" s="18">
        <v>1.8525</v>
      </c>
      <c r="F73" s="18">
        <v>1.84913</v>
      </c>
      <c r="G73" s="18">
        <v>1.84574</v>
      </c>
      <c r="H73" s="18">
        <v>1.84235</v>
      </c>
      <c r="I73" s="18">
        <v>1.83894</v>
      </c>
      <c r="J73" s="18">
        <v>1.83552</v>
      </c>
      <c r="K73" s="18">
        <v>1.8321</v>
      </c>
      <c r="L73" s="18">
        <v>1.82866</v>
      </c>
      <c r="M73" s="18">
        <v>1.82522</v>
      </c>
      <c r="N73" s="18">
        <v>1.82177</v>
      </c>
      <c r="O73" s="18">
        <v>1.8183</v>
      </c>
      <c r="P73" s="18">
        <v>1.81483</v>
      </c>
      <c r="Q73" s="18">
        <v>1.81134</v>
      </c>
      <c r="R73" s="18">
        <v>1.80785</v>
      </c>
      <c r="S73" s="18">
        <v>1.80435</v>
      </c>
      <c r="T73" s="18">
        <v>1.80085</v>
      </c>
      <c r="U73" s="19">
        <v>1.79733</v>
      </c>
      <c r="W73" s="16">
        <v>600</v>
      </c>
      <c r="X73" s="18">
        <v>1.86925</v>
      </c>
      <c r="Y73" s="18">
        <v>1.87259</v>
      </c>
      <c r="Z73" s="18">
        <v>1.87596</v>
      </c>
      <c r="AA73" s="18">
        <v>1.87934</v>
      </c>
      <c r="AB73" s="18">
        <v>1.88273</v>
      </c>
      <c r="AC73" s="18">
        <v>1.88612</v>
      </c>
      <c r="AD73" s="18">
        <v>1.88954</v>
      </c>
      <c r="AE73" s="18">
        <v>1.89296</v>
      </c>
      <c r="AF73" s="18">
        <v>1.8964</v>
      </c>
      <c r="AG73" s="18">
        <v>1.89984</v>
      </c>
      <c r="AH73" s="18">
        <v>1.90331</v>
      </c>
      <c r="AI73" s="18">
        <v>1.90677</v>
      </c>
      <c r="AJ73" s="18">
        <v>1.91026</v>
      </c>
      <c r="AK73" s="18">
        <v>1.91375</v>
      </c>
      <c r="AL73" s="18">
        <v>1.91727</v>
      </c>
      <c r="AM73" s="18">
        <v>1.92078</v>
      </c>
      <c r="AN73" s="18">
        <v>1.92431</v>
      </c>
      <c r="AO73" s="18">
        <v>1.92786</v>
      </c>
      <c r="AP73" s="18">
        <v>1.93141</v>
      </c>
      <c r="AQ73" s="19">
        <v>1.93497</v>
      </c>
    </row>
    <row r="74" spans="1:43" ht="12.75">
      <c r="A74" s="16">
        <v>650</v>
      </c>
      <c r="B74" s="18">
        <v>1.86807</v>
      </c>
      <c r="C74" s="18">
        <v>1.86498</v>
      </c>
      <c r="D74" s="18">
        <v>1.86189</v>
      </c>
      <c r="E74" s="18">
        <v>1.85878</v>
      </c>
      <c r="F74" s="18">
        <v>1.85567</v>
      </c>
      <c r="G74" s="18">
        <v>1.85254</v>
      </c>
      <c r="H74" s="18">
        <v>1.84942</v>
      </c>
      <c r="I74" s="18">
        <v>1.84627</v>
      </c>
      <c r="J74" s="18">
        <v>1.84313</v>
      </c>
      <c r="K74" s="18">
        <v>1.83997</v>
      </c>
      <c r="L74" s="18">
        <v>1.83681</v>
      </c>
      <c r="M74" s="18">
        <v>1.83364</v>
      </c>
      <c r="N74" s="18">
        <v>1.83045</v>
      </c>
      <c r="O74" s="18">
        <v>1.82727</v>
      </c>
      <c r="P74" s="18">
        <v>1.82408</v>
      </c>
      <c r="Q74" s="18">
        <v>1.82087</v>
      </c>
      <c r="R74" s="18">
        <v>1.81766</v>
      </c>
      <c r="S74" s="18">
        <v>1.81444</v>
      </c>
      <c r="T74" s="18">
        <v>1.8112</v>
      </c>
      <c r="U74" s="19">
        <v>1.80797</v>
      </c>
      <c r="W74" s="16">
        <v>650</v>
      </c>
      <c r="X74" s="18">
        <v>1.87423</v>
      </c>
      <c r="Y74" s="18">
        <v>1.87733</v>
      </c>
      <c r="Z74" s="18">
        <v>1.88043</v>
      </c>
      <c r="AA74" s="18">
        <v>1.88354</v>
      </c>
      <c r="AB74" s="18">
        <v>1.88667</v>
      </c>
      <c r="AC74" s="18">
        <v>1.8898</v>
      </c>
      <c r="AD74" s="18">
        <v>1.89295</v>
      </c>
      <c r="AE74" s="18">
        <v>1.8961</v>
      </c>
      <c r="AF74" s="18">
        <v>1.89926</v>
      </c>
      <c r="AG74" s="18">
        <v>1.90244</v>
      </c>
      <c r="AH74" s="18">
        <v>1.90562</v>
      </c>
      <c r="AI74" s="18">
        <v>1.90882</v>
      </c>
      <c r="AJ74" s="18">
        <v>1.91202</v>
      </c>
      <c r="AK74" s="18">
        <v>1.91523</v>
      </c>
      <c r="AL74" s="18">
        <v>1.91846</v>
      </c>
      <c r="AM74" s="18">
        <v>1.92169</v>
      </c>
      <c r="AN74" s="18">
        <v>1.92494</v>
      </c>
      <c r="AO74" s="18">
        <v>1.92819</v>
      </c>
      <c r="AP74" s="18">
        <v>1.93145</v>
      </c>
      <c r="AQ74" s="19">
        <v>1.93473</v>
      </c>
    </row>
    <row r="75" spans="1:43" ht="12.75">
      <c r="A75" s="16">
        <v>700</v>
      </c>
      <c r="B75" s="18">
        <v>1.87297</v>
      </c>
      <c r="C75" s="18">
        <v>1.8701</v>
      </c>
      <c r="D75" s="18">
        <v>1.86722</v>
      </c>
      <c r="E75" s="18">
        <v>1.86435</v>
      </c>
      <c r="F75" s="18">
        <v>1.86145</v>
      </c>
      <c r="G75" s="18">
        <v>1.85856</v>
      </c>
      <c r="H75" s="18">
        <v>1.85566</v>
      </c>
      <c r="I75" s="18">
        <v>1.85274</v>
      </c>
      <c r="J75" s="18">
        <v>1.84982</v>
      </c>
      <c r="K75" s="18">
        <v>1.8469</v>
      </c>
      <c r="L75" s="18">
        <v>1.84397</v>
      </c>
      <c r="M75" s="18">
        <v>1.84102</v>
      </c>
      <c r="N75" s="18">
        <v>1.83808</v>
      </c>
      <c r="O75" s="18">
        <v>1.83513</v>
      </c>
      <c r="P75" s="18">
        <v>1.83217</v>
      </c>
      <c r="Q75" s="18">
        <v>1.8292</v>
      </c>
      <c r="R75" s="18">
        <v>1.82622</v>
      </c>
      <c r="S75" s="18">
        <v>1.82324</v>
      </c>
      <c r="T75" s="18">
        <v>1.82025</v>
      </c>
      <c r="U75" s="19">
        <v>1.81726</v>
      </c>
      <c r="W75" s="16">
        <v>700</v>
      </c>
      <c r="X75" s="18">
        <v>1.87869</v>
      </c>
      <c r="Y75" s="18">
        <v>1.88156</v>
      </c>
      <c r="Z75" s="18">
        <v>1.88443</v>
      </c>
      <c r="AA75" s="18">
        <v>1.88732</v>
      </c>
      <c r="AB75" s="18">
        <v>1.89022</v>
      </c>
      <c r="AC75" s="18">
        <v>1.89313</v>
      </c>
      <c r="AD75" s="18">
        <v>1.89604</v>
      </c>
      <c r="AE75" s="18">
        <v>1.89897</v>
      </c>
      <c r="AF75" s="18">
        <v>1.9019</v>
      </c>
      <c r="AG75" s="18">
        <v>1.90484</v>
      </c>
      <c r="AH75" s="18">
        <v>1.90779</v>
      </c>
      <c r="AI75" s="18">
        <v>1.91074</v>
      </c>
      <c r="AJ75" s="18">
        <v>1.91371</v>
      </c>
      <c r="AK75" s="18">
        <v>1.91669</v>
      </c>
      <c r="AL75" s="18">
        <v>1.91967</v>
      </c>
      <c r="AM75" s="18">
        <v>1.92267</v>
      </c>
      <c r="AN75" s="18">
        <v>1.92567</v>
      </c>
      <c r="AO75" s="18">
        <v>1.92868</v>
      </c>
      <c r="AP75" s="18">
        <v>1.93169</v>
      </c>
      <c r="AQ75" s="19">
        <v>1.93473</v>
      </c>
    </row>
    <row r="76" spans="1:43" ht="12.75">
      <c r="A76" s="16">
        <v>750</v>
      </c>
      <c r="B76" s="18">
        <v>1.87736</v>
      </c>
      <c r="C76" s="18">
        <v>1.87468</v>
      </c>
      <c r="D76" s="18">
        <v>1.872</v>
      </c>
      <c r="E76" s="18">
        <v>1.86931</v>
      </c>
      <c r="F76" s="18">
        <v>1.86662</v>
      </c>
      <c r="G76" s="18">
        <v>1.86391</v>
      </c>
      <c r="H76" s="18">
        <v>1.86121</v>
      </c>
      <c r="I76" s="18">
        <v>1.8585</v>
      </c>
      <c r="J76" s="18">
        <v>1.85578</v>
      </c>
      <c r="K76" s="18">
        <v>1.85305</v>
      </c>
      <c r="L76" s="18">
        <v>1.85031</v>
      </c>
      <c r="M76" s="18">
        <v>1.84758</v>
      </c>
      <c r="N76" s="18">
        <v>1.84483</v>
      </c>
      <c r="O76" s="18">
        <v>1.84208</v>
      </c>
      <c r="P76" s="18">
        <v>1.83933</v>
      </c>
      <c r="Q76" s="18">
        <v>1.83656</v>
      </c>
      <c r="R76" s="18">
        <v>1.83378</v>
      </c>
      <c r="S76" s="18">
        <v>1.83102</v>
      </c>
      <c r="T76" s="18">
        <v>1.82823</v>
      </c>
      <c r="U76" s="19">
        <v>1.82545</v>
      </c>
      <c r="W76" s="16">
        <v>750</v>
      </c>
      <c r="X76" s="18">
        <v>1.8827</v>
      </c>
      <c r="Y76" s="18">
        <v>1.88537</v>
      </c>
      <c r="Z76" s="18">
        <v>1.88806</v>
      </c>
      <c r="AA76" s="18">
        <v>1.89076</v>
      </c>
      <c r="AB76" s="18">
        <v>1.89346</v>
      </c>
      <c r="AC76" s="18">
        <v>1.89616</v>
      </c>
      <c r="AD76" s="18">
        <v>1.89888</v>
      </c>
      <c r="AE76" s="18">
        <v>1.90161</v>
      </c>
      <c r="AF76" s="18">
        <v>1.90434</v>
      </c>
      <c r="AG76" s="18">
        <v>1.90708</v>
      </c>
      <c r="AH76" s="18">
        <v>1.90982</v>
      </c>
      <c r="AI76" s="18">
        <v>1.91258</v>
      </c>
      <c r="AJ76" s="18">
        <v>1.91534</v>
      </c>
      <c r="AK76" s="18">
        <v>1.91811</v>
      </c>
      <c r="AL76" s="18">
        <v>1.92088</v>
      </c>
      <c r="AM76" s="18">
        <v>1.92367</v>
      </c>
      <c r="AN76" s="18">
        <v>1.92647</v>
      </c>
      <c r="AO76" s="18">
        <v>1.92927</v>
      </c>
      <c r="AP76" s="18">
        <v>1.93207</v>
      </c>
      <c r="AQ76" s="19">
        <v>1.93489</v>
      </c>
    </row>
    <row r="77" spans="1:43" ht="12.75">
      <c r="A77" s="16">
        <v>800</v>
      </c>
      <c r="B77" s="18">
        <v>1.88132</v>
      </c>
      <c r="C77" s="18">
        <v>1.87882</v>
      </c>
      <c r="D77" s="18">
        <v>1.8763</v>
      </c>
      <c r="E77" s="18">
        <v>1.87379</v>
      </c>
      <c r="F77" s="18">
        <v>1.87126</v>
      </c>
      <c r="G77" s="18">
        <v>1.86873</v>
      </c>
      <c r="H77" s="18">
        <v>1.86619</v>
      </c>
      <c r="I77" s="18">
        <v>1.86365</v>
      </c>
      <c r="J77" s="18">
        <v>1.8611</v>
      </c>
      <c r="K77" s="18">
        <v>1.85855</v>
      </c>
      <c r="L77" s="18">
        <v>1.85599</v>
      </c>
      <c r="M77" s="18">
        <v>1.85343</v>
      </c>
      <c r="N77" s="18">
        <v>1.85086</v>
      </c>
      <c r="O77" s="18">
        <v>1.84829</v>
      </c>
      <c r="P77" s="18">
        <v>1.84571</v>
      </c>
      <c r="Q77" s="18">
        <v>1.84312</v>
      </c>
      <c r="R77" s="18">
        <v>1.84053</v>
      </c>
      <c r="S77" s="18">
        <v>1.83794</v>
      </c>
      <c r="T77" s="18">
        <v>1.83533</v>
      </c>
      <c r="U77" s="19">
        <v>1.83273</v>
      </c>
      <c r="W77" s="16">
        <v>800</v>
      </c>
      <c r="X77" s="18">
        <v>1.88633</v>
      </c>
      <c r="Y77" s="18">
        <v>1.88884</v>
      </c>
      <c r="Z77" s="18">
        <v>1.89135</v>
      </c>
      <c r="AA77" s="18">
        <v>1.89388</v>
      </c>
      <c r="AB77" s="18">
        <v>1.89641</v>
      </c>
      <c r="AC77" s="18">
        <v>1.89894</v>
      </c>
      <c r="AD77" s="18">
        <v>1.90149</v>
      </c>
      <c r="AE77" s="18">
        <v>1.90404</v>
      </c>
      <c r="AF77" s="18">
        <v>1.9066</v>
      </c>
      <c r="AG77" s="18">
        <v>1.90916</v>
      </c>
      <c r="AH77" s="18">
        <v>1.91174</v>
      </c>
      <c r="AI77" s="18">
        <v>1.91431</v>
      </c>
      <c r="AJ77" s="18">
        <v>1.9169</v>
      </c>
      <c r="AK77" s="18">
        <v>1.91948</v>
      </c>
      <c r="AL77" s="18">
        <v>1.92208</v>
      </c>
      <c r="AM77" s="18">
        <v>1.92468</v>
      </c>
      <c r="AN77" s="18">
        <v>1.9273</v>
      </c>
      <c r="AO77" s="18">
        <v>1.92991</v>
      </c>
      <c r="AP77" s="18">
        <v>1.93253</v>
      </c>
      <c r="AQ77" s="19">
        <v>1.93516</v>
      </c>
    </row>
    <row r="78" spans="1:43" ht="12.75">
      <c r="A78" s="16">
        <v>850</v>
      </c>
      <c r="B78" s="18">
        <v>1.88494</v>
      </c>
      <c r="C78" s="18">
        <v>1.88258</v>
      </c>
      <c r="D78" s="18">
        <v>1.88021</v>
      </c>
      <c r="E78" s="18">
        <v>1.87784</v>
      </c>
      <c r="F78" s="18">
        <v>1.87546</v>
      </c>
      <c r="G78" s="18">
        <v>1.87308</v>
      </c>
      <c r="H78" s="18">
        <v>1.8707</v>
      </c>
      <c r="I78" s="18">
        <v>1.86831</v>
      </c>
      <c r="J78" s="18">
        <v>1.86591</v>
      </c>
      <c r="K78" s="18">
        <v>1.86351</v>
      </c>
      <c r="L78" s="18">
        <v>1.86111</v>
      </c>
      <c r="M78" s="18">
        <v>1.8587</v>
      </c>
      <c r="N78" s="18">
        <v>1.85629</v>
      </c>
      <c r="O78" s="18">
        <v>1.85387</v>
      </c>
      <c r="P78" s="18">
        <v>1.85144</v>
      </c>
      <c r="Q78" s="18">
        <v>1.84901</v>
      </c>
      <c r="R78" s="18">
        <v>1.84657</v>
      </c>
      <c r="S78" s="18">
        <v>1.84414</v>
      </c>
      <c r="T78" s="18">
        <v>1.8417</v>
      </c>
      <c r="U78" s="19">
        <v>1.83925</v>
      </c>
      <c r="W78" s="16">
        <v>850</v>
      </c>
      <c r="X78" s="18">
        <v>1.88964</v>
      </c>
      <c r="Y78" s="18">
        <v>1.89201</v>
      </c>
      <c r="Z78" s="18">
        <v>1.89437</v>
      </c>
      <c r="AA78" s="18">
        <v>1.89675</v>
      </c>
      <c r="AB78" s="18">
        <v>1.89912</v>
      </c>
      <c r="AC78" s="18">
        <v>1.90151</v>
      </c>
      <c r="AD78" s="18">
        <v>1.90391</v>
      </c>
      <c r="AE78" s="18">
        <v>1.9063</v>
      </c>
      <c r="AF78" s="18">
        <v>1.90871</v>
      </c>
      <c r="AG78" s="18">
        <v>1.91112</v>
      </c>
      <c r="AH78" s="18">
        <v>1.91353</v>
      </c>
      <c r="AI78" s="18">
        <v>1.91595</v>
      </c>
      <c r="AJ78" s="18">
        <v>1.91838</v>
      </c>
      <c r="AK78" s="18">
        <v>1.92081</v>
      </c>
      <c r="AL78" s="18">
        <v>1.92325</v>
      </c>
      <c r="AM78" s="18">
        <v>1.9257</v>
      </c>
      <c r="AN78" s="18">
        <v>1.92814</v>
      </c>
      <c r="AO78" s="18">
        <v>1.9306</v>
      </c>
      <c r="AP78" s="18">
        <v>1.93306</v>
      </c>
      <c r="AQ78" s="19">
        <v>1.93553</v>
      </c>
    </row>
    <row r="79" spans="1:43" ht="12.75">
      <c r="A79" s="16">
        <v>900</v>
      </c>
      <c r="B79" s="18">
        <v>1.88823</v>
      </c>
      <c r="C79" s="18">
        <v>1.88601</v>
      </c>
      <c r="D79" s="18">
        <v>1.88377</v>
      </c>
      <c r="E79" s="18">
        <v>1.88153</v>
      </c>
      <c r="F79" s="18">
        <v>1.87929</v>
      </c>
      <c r="G79" s="18">
        <v>1.87705</v>
      </c>
      <c r="H79" s="18">
        <v>1.8748</v>
      </c>
      <c r="I79" s="18">
        <v>1.87254</v>
      </c>
      <c r="J79" s="18">
        <v>1.87028</v>
      </c>
      <c r="K79" s="18">
        <v>1.86802</v>
      </c>
      <c r="L79" s="18">
        <v>1.86575</v>
      </c>
      <c r="M79" s="18">
        <v>1.86347</v>
      </c>
      <c r="N79" s="18">
        <v>1.8612</v>
      </c>
      <c r="O79" s="18">
        <v>1.85892</v>
      </c>
      <c r="P79" s="18">
        <v>1.85663</v>
      </c>
      <c r="Q79" s="18">
        <v>1.85434</v>
      </c>
      <c r="R79" s="18">
        <v>1.85204</v>
      </c>
      <c r="S79" s="18">
        <v>1.84974</v>
      </c>
      <c r="T79" s="18">
        <v>1.84744</v>
      </c>
      <c r="U79" s="19">
        <v>1.84513</v>
      </c>
      <c r="W79" s="16">
        <v>900</v>
      </c>
      <c r="X79" s="18">
        <v>1.89268</v>
      </c>
      <c r="Y79" s="18">
        <v>1.89491</v>
      </c>
      <c r="Z79" s="18">
        <v>1.89714</v>
      </c>
      <c r="AA79" s="18">
        <v>1.89939</v>
      </c>
      <c r="AB79" s="18">
        <v>1.90163</v>
      </c>
      <c r="AC79" s="18">
        <v>1.90389</v>
      </c>
      <c r="AD79" s="18">
        <v>1.90614</v>
      </c>
      <c r="AE79" s="18">
        <v>1.9084</v>
      </c>
      <c r="AF79" s="18">
        <v>1.91067</v>
      </c>
      <c r="AG79" s="18">
        <v>1.91294</v>
      </c>
      <c r="AH79" s="18">
        <v>1.91522</v>
      </c>
      <c r="AI79" s="18">
        <v>1.9175</v>
      </c>
      <c r="AJ79" s="18">
        <v>1.91979</v>
      </c>
      <c r="AK79" s="18">
        <v>1.92209</v>
      </c>
      <c r="AL79" s="18">
        <v>1.92438</v>
      </c>
      <c r="AM79" s="18">
        <v>1.92668</v>
      </c>
      <c r="AN79" s="18">
        <v>1.929</v>
      </c>
      <c r="AO79" s="18">
        <v>1.93131</v>
      </c>
      <c r="AP79" s="18">
        <v>1.93363</v>
      </c>
      <c r="AQ79" s="19">
        <v>1.93596</v>
      </c>
    </row>
    <row r="80" spans="1:43" ht="12.75">
      <c r="A80" s="16">
        <v>950</v>
      </c>
      <c r="B80" s="18">
        <v>1.89127</v>
      </c>
      <c r="C80" s="18">
        <v>1.88915</v>
      </c>
      <c r="D80" s="18">
        <v>1.88704</v>
      </c>
      <c r="E80" s="18">
        <v>1.88492</v>
      </c>
      <c r="F80" s="18">
        <v>1.88279</v>
      </c>
      <c r="G80" s="18">
        <v>1.88067</v>
      </c>
      <c r="H80" s="18">
        <v>1.87854</v>
      </c>
      <c r="I80" s="18">
        <v>1.8764</v>
      </c>
      <c r="J80" s="18">
        <v>1.87426</v>
      </c>
      <c r="K80" s="18">
        <v>1.87212</v>
      </c>
      <c r="L80" s="18">
        <v>1.86998</v>
      </c>
      <c r="M80" s="18">
        <v>1.86782</v>
      </c>
      <c r="N80" s="18">
        <v>1.86567</v>
      </c>
      <c r="O80" s="18">
        <v>1.86351</v>
      </c>
      <c r="P80" s="18">
        <v>1.86135</v>
      </c>
      <c r="Q80" s="18">
        <v>1.85919</v>
      </c>
      <c r="R80" s="18">
        <v>1.85701</v>
      </c>
      <c r="S80" s="18">
        <v>1.85483</v>
      </c>
      <c r="T80" s="18">
        <v>1.85266</v>
      </c>
      <c r="U80" s="19">
        <v>1.85048</v>
      </c>
      <c r="W80" s="16">
        <v>950</v>
      </c>
      <c r="X80" s="18">
        <v>1.89548</v>
      </c>
      <c r="Y80" s="18">
        <v>1.8976</v>
      </c>
      <c r="Z80" s="18">
        <v>1.89971</v>
      </c>
      <c r="AA80" s="18">
        <v>1.90184</v>
      </c>
      <c r="AB80" s="18">
        <v>1.90396</v>
      </c>
      <c r="AC80" s="18">
        <v>1.90609</v>
      </c>
      <c r="AD80" s="18">
        <v>1.90823</v>
      </c>
      <c r="AE80" s="18">
        <v>1.91036</v>
      </c>
      <c r="AF80" s="18">
        <v>1.91251</v>
      </c>
      <c r="AG80" s="18">
        <v>1.91466</v>
      </c>
      <c r="AH80" s="18">
        <v>1.91682</v>
      </c>
      <c r="AI80" s="18">
        <v>1.91897</v>
      </c>
      <c r="AJ80" s="18">
        <v>1.92115</v>
      </c>
      <c r="AK80" s="18">
        <v>1.92331</v>
      </c>
      <c r="AL80" s="18">
        <v>1.92548</v>
      </c>
      <c r="AM80" s="18">
        <v>1.92766</v>
      </c>
      <c r="AN80" s="18">
        <v>1.92984</v>
      </c>
      <c r="AO80" s="18">
        <v>1.93203</v>
      </c>
      <c r="AP80" s="18">
        <v>1.93423</v>
      </c>
      <c r="AQ80" s="19">
        <v>1.93642</v>
      </c>
    </row>
    <row r="81" spans="1:43" ht="12.75">
      <c r="A81" s="16">
        <v>1000</v>
      </c>
      <c r="B81" s="18">
        <v>1.89407</v>
      </c>
      <c r="C81" s="18">
        <v>1.89206</v>
      </c>
      <c r="D81" s="18">
        <v>1.89005</v>
      </c>
      <c r="E81" s="18">
        <v>1.88804</v>
      </c>
      <c r="F81" s="18">
        <v>1.88602</v>
      </c>
      <c r="G81" s="18">
        <v>1.884</v>
      </c>
      <c r="H81" s="18">
        <v>1.88198</v>
      </c>
      <c r="I81" s="18">
        <v>1.87995</v>
      </c>
      <c r="J81" s="18">
        <v>1.87792</v>
      </c>
      <c r="K81" s="18">
        <v>1.87589</v>
      </c>
      <c r="L81" s="18">
        <v>1.87386</v>
      </c>
      <c r="M81" s="18">
        <v>1.87181</v>
      </c>
      <c r="N81" s="18">
        <v>1.86976</v>
      </c>
      <c r="O81" s="18">
        <v>1.86772</v>
      </c>
      <c r="P81" s="18">
        <v>1.86567</v>
      </c>
      <c r="Q81" s="18">
        <v>1.86361</v>
      </c>
      <c r="R81" s="18">
        <v>1.86155</v>
      </c>
      <c r="S81" s="18">
        <v>1.85949</v>
      </c>
      <c r="T81" s="18">
        <v>1.85742</v>
      </c>
      <c r="U81" s="19">
        <v>1.85535</v>
      </c>
      <c r="W81" s="16">
        <v>1000</v>
      </c>
      <c r="X81" s="18">
        <v>1.89807</v>
      </c>
      <c r="Y81" s="18">
        <v>1.90008</v>
      </c>
      <c r="Z81" s="18">
        <v>1.90209</v>
      </c>
      <c r="AA81" s="18">
        <v>1.9041</v>
      </c>
      <c r="AB81" s="18">
        <v>1.90612</v>
      </c>
      <c r="AC81" s="18">
        <v>1.90815</v>
      </c>
      <c r="AD81" s="18">
        <v>1.91018</v>
      </c>
      <c r="AE81" s="18">
        <v>1.91221</v>
      </c>
      <c r="AF81" s="18">
        <v>1.91424</v>
      </c>
      <c r="AG81" s="18">
        <v>1.91628</v>
      </c>
      <c r="AH81" s="18">
        <v>1.91832</v>
      </c>
      <c r="AI81" s="18">
        <v>1.92037</v>
      </c>
      <c r="AJ81" s="18">
        <v>1.92243</v>
      </c>
      <c r="AK81" s="18">
        <v>1.92448</v>
      </c>
      <c r="AL81" s="18">
        <v>1.92655</v>
      </c>
      <c r="AM81" s="18">
        <v>1.92861</v>
      </c>
      <c r="AN81" s="18">
        <v>1.93069</v>
      </c>
      <c r="AO81" s="18">
        <v>1.93276</v>
      </c>
      <c r="AP81" s="18">
        <v>1.93483</v>
      </c>
      <c r="AQ81" s="19">
        <v>1.93692</v>
      </c>
    </row>
    <row r="82" spans="1:43" ht="12.75">
      <c r="A82" s="16">
        <v>1050</v>
      </c>
      <c r="B82" s="18">
        <v>1.89666</v>
      </c>
      <c r="C82" s="18">
        <v>1.89475</v>
      </c>
      <c r="D82" s="18">
        <v>1.89284</v>
      </c>
      <c r="E82" s="18">
        <v>1.89093</v>
      </c>
      <c r="F82" s="18">
        <v>1.889</v>
      </c>
      <c r="G82" s="18">
        <v>1.88708</v>
      </c>
      <c r="H82" s="18">
        <v>1.88516</v>
      </c>
      <c r="I82" s="18">
        <v>1.88322</v>
      </c>
      <c r="J82" s="18">
        <v>1.8813</v>
      </c>
      <c r="K82" s="18">
        <v>1.87936</v>
      </c>
      <c r="L82" s="18">
        <v>1.87741</v>
      </c>
      <c r="M82" s="18">
        <v>1.87548</v>
      </c>
      <c r="N82" s="18">
        <v>1.87353</v>
      </c>
      <c r="O82" s="18">
        <v>1.87158</v>
      </c>
      <c r="P82" s="18">
        <v>1.86963</v>
      </c>
      <c r="Q82" s="18">
        <v>1.86768</v>
      </c>
      <c r="R82" s="18">
        <v>1.86571</v>
      </c>
      <c r="S82" s="18">
        <v>1.86376</v>
      </c>
      <c r="T82" s="18">
        <v>1.86179</v>
      </c>
      <c r="U82" s="19">
        <v>1.85982</v>
      </c>
      <c r="W82" s="16">
        <v>1050</v>
      </c>
      <c r="X82" s="18">
        <v>1.90048</v>
      </c>
      <c r="Y82" s="18">
        <v>1.90238</v>
      </c>
      <c r="Z82" s="18">
        <v>1.9043</v>
      </c>
      <c r="AA82" s="18">
        <v>1.90621</v>
      </c>
      <c r="AB82" s="18">
        <v>1.90814</v>
      </c>
      <c r="AC82" s="18">
        <v>1.91007</v>
      </c>
      <c r="AD82" s="18">
        <v>1.912</v>
      </c>
      <c r="AE82" s="18">
        <v>1.91393</v>
      </c>
      <c r="AF82" s="18">
        <v>1.91587</v>
      </c>
      <c r="AG82" s="18">
        <v>1.91781</v>
      </c>
      <c r="AH82" s="18">
        <v>1.91975</v>
      </c>
      <c r="AI82" s="18">
        <v>1.9217</v>
      </c>
      <c r="AJ82" s="18">
        <v>1.92366</v>
      </c>
      <c r="AK82" s="18">
        <v>1.92562</v>
      </c>
      <c r="AL82" s="18">
        <v>1.92758</v>
      </c>
      <c r="AM82" s="18">
        <v>1.92954</v>
      </c>
      <c r="AN82" s="18">
        <v>1.93151</v>
      </c>
      <c r="AO82" s="18">
        <v>1.93348</v>
      </c>
      <c r="AP82" s="18">
        <v>1.93546</v>
      </c>
      <c r="AQ82" s="19">
        <v>1.93743</v>
      </c>
    </row>
    <row r="83" spans="1:43" ht="12.75">
      <c r="A83" s="16">
        <v>1100</v>
      </c>
      <c r="B83" s="18">
        <v>1.89907</v>
      </c>
      <c r="C83" s="18">
        <v>1.89725</v>
      </c>
      <c r="D83" s="18">
        <v>1.89543</v>
      </c>
      <c r="E83" s="18">
        <v>1.8936</v>
      </c>
      <c r="F83" s="18">
        <v>1.89177</v>
      </c>
      <c r="G83" s="18">
        <v>1.88993</v>
      </c>
      <c r="H83" s="18">
        <v>1.88809</v>
      </c>
      <c r="I83" s="18">
        <v>1.88625</v>
      </c>
      <c r="J83" s="18">
        <v>1.88441</v>
      </c>
      <c r="K83" s="18">
        <v>1.88256</v>
      </c>
      <c r="L83" s="18">
        <v>1.88071</v>
      </c>
      <c r="M83" s="18">
        <v>1.87886</v>
      </c>
      <c r="N83" s="18">
        <v>1.877</v>
      </c>
      <c r="O83" s="18">
        <v>1.87514</v>
      </c>
      <c r="P83" s="18">
        <v>1.87328</v>
      </c>
      <c r="Q83" s="18">
        <v>1.87143</v>
      </c>
      <c r="R83" s="18">
        <v>1.86956</v>
      </c>
      <c r="S83" s="18">
        <v>1.86769</v>
      </c>
      <c r="T83" s="18">
        <v>1.86581</v>
      </c>
      <c r="U83" s="19">
        <v>1.86394</v>
      </c>
      <c r="W83" s="16">
        <v>1100</v>
      </c>
      <c r="X83" s="18">
        <v>1.90271</v>
      </c>
      <c r="Y83" s="18">
        <v>1.90454</v>
      </c>
      <c r="Z83" s="18">
        <v>1.90636</v>
      </c>
      <c r="AA83" s="18">
        <v>1.9082</v>
      </c>
      <c r="AB83" s="18">
        <v>1.91003</v>
      </c>
      <c r="AC83" s="18">
        <v>1.91187</v>
      </c>
      <c r="AD83" s="18">
        <v>1.91371</v>
      </c>
      <c r="AE83" s="18">
        <v>1.91555</v>
      </c>
      <c r="AF83" s="18">
        <v>1.91741</v>
      </c>
      <c r="AG83" s="18">
        <v>1.91926</v>
      </c>
      <c r="AH83" s="18">
        <v>1.92111</v>
      </c>
      <c r="AI83" s="18">
        <v>1.92297</v>
      </c>
      <c r="AJ83" s="18">
        <v>1.92483</v>
      </c>
      <c r="AK83" s="18">
        <v>1.92669</v>
      </c>
      <c r="AL83" s="18">
        <v>1.92856</v>
      </c>
      <c r="AM83" s="18">
        <v>1.93043</v>
      </c>
      <c r="AN83" s="18">
        <v>1.93232</v>
      </c>
      <c r="AO83" s="18">
        <v>1.9342</v>
      </c>
      <c r="AP83" s="18">
        <v>1.93608</v>
      </c>
      <c r="AQ83" s="19">
        <v>1.93796</v>
      </c>
    </row>
    <row r="84" spans="1:43" ht="12.75">
      <c r="A84" s="16">
        <v>1150</v>
      </c>
      <c r="B84" s="18">
        <v>1.90133</v>
      </c>
      <c r="C84" s="18">
        <v>1.89959</v>
      </c>
      <c r="D84" s="18">
        <v>1.89784</v>
      </c>
      <c r="E84" s="18">
        <v>1.89609</v>
      </c>
      <c r="F84" s="18">
        <v>1.89435</v>
      </c>
      <c r="G84" s="18">
        <v>1.89259</v>
      </c>
      <c r="H84" s="18">
        <v>1.89083</v>
      </c>
      <c r="I84" s="18">
        <v>1.88907</v>
      </c>
      <c r="J84" s="18">
        <v>1.88731</v>
      </c>
      <c r="K84" s="18">
        <v>1.88554</v>
      </c>
      <c r="L84" s="18">
        <v>1.88378</v>
      </c>
      <c r="M84" s="18">
        <v>1.882</v>
      </c>
      <c r="N84" s="18">
        <v>1.88023</v>
      </c>
      <c r="O84" s="18">
        <v>1.87846</v>
      </c>
      <c r="P84" s="18">
        <v>1.87667</v>
      </c>
      <c r="Q84" s="18">
        <v>1.87489</v>
      </c>
      <c r="R84" s="18">
        <v>1.87311</v>
      </c>
      <c r="S84" s="18">
        <v>1.87132</v>
      </c>
      <c r="T84" s="18">
        <v>1.86953</v>
      </c>
      <c r="U84" s="19">
        <v>1.86774</v>
      </c>
      <c r="W84" s="16">
        <v>1150</v>
      </c>
      <c r="X84" s="18">
        <v>1.90481</v>
      </c>
      <c r="Y84" s="18">
        <v>1.90655</v>
      </c>
      <c r="Z84" s="18">
        <v>1.90831</v>
      </c>
      <c r="AA84" s="18">
        <v>1.91005</v>
      </c>
      <c r="AB84" s="18">
        <v>1.9118</v>
      </c>
      <c r="AC84" s="18">
        <v>1.91356</v>
      </c>
      <c r="AD84" s="18">
        <v>1.91533</v>
      </c>
      <c r="AE84" s="18">
        <v>1.91709</v>
      </c>
      <c r="AF84" s="18">
        <v>1.91885</v>
      </c>
      <c r="AG84" s="18">
        <v>1.92062</v>
      </c>
      <c r="AH84" s="18">
        <v>1.92239</v>
      </c>
      <c r="AI84" s="18">
        <v>1.92417</v>
      </c>
      <c r="AJ84" s="18">
        <v>1.92595</v>
      </c>
      <c r="AK84" s="18">
        <v>1.92773</v>
      </c>
      <c r="AL84" s="18">
        <v>1.92952</v>
      </c>
      <c r="AM84" s="18">
        <v>1.93131</v>
      </c>
      <c r="AN84" s="18">
        <v>1.9331</v>
      </c>
      <c r="AO84" s="18">
        <v>1.93489</v>
      </c>
      <c r="AP84" s="18">
        <v>1.9367</v>
      </c>
      <c r="AQ84" s="19">
        <v>1.9385</v>
      </c>
    </row>
    <row r="85" spans="1:43" ht="12.75">
      <c r="A85" s="16">
        <v>1200</v>
      </c>
      <c r="B85" s="18">
        <v>1.90344</v>
      </c>
      <c r="C85" s="18">
        <v>1.90177</v>
      </c>
      <c r="D85" s="18">
        <v>1.90009</v>
      </c>
      <c r="E85" s="18">
        <v>1.89842</v>
      </c>
      <c r="F85" s="18">
        <v>1.89674</v>
      </c>
      <c r="G85" s="18">
        <v>1.89507</v>
      </c>
      <c r="H85" s="18">
        <v>1.89338</v>
      </c>
      <c r="I85" s="18">
        <v>1.8917</v>
      </c>
      <c r="J85" s="18">
        <v>1.89001</v>
      </c>
      <c r="K85" s="18">
        <v>1.88832</v>
      </c>
      <c r="L85" s="18">
        <v>1.88662</v>
      </c>
      <c r="M85" s="18">
        <v>1.88492</v>
      </c>
      <c r="N85" s="18">
        <v>1.88323</v>
      </c>
      <c r="O85" s="18">
        <v>1.88152</v>
      </c>
      <c r="P85" s="18">
        <v>1.87983</v>
      </c>
      <c r="Q85" s="18">
        <v>1.87811</v>
      </c>
      <c r="R85" s="18">
        <v>1.87641</v>
      </c>
      <c r="S85" s="18">
        <v>1.87471</v>
      </c>
      <c r="T85" s="18">
        <v>1.87299</v>
      </c>
      <c r="U85" s="19">
        <v>1.87128</v>
      </c>
      <c r="W85" s="16">
        <v>1200</v>
      </c>
      <c r="X85" s="18">
        <v>1.90678</v>
      </c>
      <c r="Y85" s="18">
        <v>1.90844</v>
      </c>
      <c r="Z85" s="18">
        <v>1.91012</v>
      </c>
      <c r="AA85" s="18">
        <v>1.9118</v>
      </c>
      <c r="AB85" s="18">
        <v>1.91348</v>
      </c>
      <c r="AC85" s="18">
        <v>1.91516</v>
      </c>
      <c r="AD85" s="18">
        <v>1.91684</v>
      </c>
      <c r="AE85" s="18">
        <v>1.91854</v>
      </c>
      <c r="AF85" s="18">
        <v>1.92023</v>
      </c>
      <c r="AG85" s="18">
        <v>1.92192</v>
      </c>
      <c r="AH85" s="18">
        <v>1.92362</v>
      </c>
      <c r="AI85" s="18">
        <v>1.92532</v>
      </c>
      <c r="AJ85" s="18">
        <v>1.92702</v>
      </c>
      <c r="AK85" s="18">
        <v>1.92873</v>
      </c>
      <c r="AL85" s="18">
        <v>1.93044</v>
      </c>
      <c r="AM85" s="18">
        <v>1.93215</v>
      </c>
      <c r="AN85" s="18">
        <v>1.93387</v>
      </c>
      <c r="AO85" s="18">
        <v>1.93559</v>
      </c>
      <c r="AP85" s="18">
        <v>1.9373</v>
      </c>
      <c r="AQ85" s="19">
        <v>1.93902</v>
      </c>
    </row>
    <row r="86" spans="1:43" ht="12.75">
      <c r="A86" s="16">
        <v>1250</v>
      </c>
      <c r="B86" s="18">
        <v>1.90542</v>
      </c>
      <c r="C86" s="18">
        <v>1.90382</v>
      </c>
      <c r="D86" s="18">
        <v>1.90221</v>
      </c>
      <c r="E86" s="18">
        <v>1.90061</v>
      </c>
      <c r="F86" s="18">
        <v>1.89899</v>
      </c>
      <c r="G86" s="18">
        <v>1.89739</v>
      </c>
      <c r="H86" s="18">
        <v>1.89577</v>
      </c>
      <c r="I86" s="18">
        <v>1.89415</v>
      </c>
      <c r="J86" s="18">
        <v>1.89253</v>
      </c>
      <c r="K86" s="18">
        <v>1.89091</v>
      </c>
      <c r="L86" s="18">
        <v>1.88928</v>
      </c>
      <c r="M86" s="18">
        <v>1.88766</v>
      </c>
      <c r="N86" s="18">
        <v>1.88602</v>
      </c>
      <c r="O86" s="18">
        <v>1.8844</v>
      </c>
      <c r="P86" s="18">
        <v>1.88276</v>
      </c>
      <c r="Q86" s="18">
        <v>1.88113</v>
      </c>
      <c r="R86" s="18">
        <v>1.87948</v>
      </c>
      <c r="S86" s="18">
        <v>1.87785</v>
      </c>
      <c r="T86" s="18">
        <v>1.87621</v>
      </c>
      <c r="U86" s="19">
        <v>1.87456</v>
      </c>
      <c r="W86" s="16">
        <v>1250</v>
      </c>
      <c r="X86" s="18">
        <v>1.90862</v>
      </c>
      <c r="Y86" s="18">
        <v>1.91023</v>
      </c>
      <c r="Z86" s="18">
        <v>1.91183</v>
      </c>
      <c r="AA86" s="18">
        <v>1.91344</v>
      </c>
      <c r="AB86" s="18">
        <v>1.91506</v>
      </c>
      <c r="AC86" s="18">
        <v>1.91667</v>
      </c>
      <c r="AD86" s="18">
        <v>1.91828</v>
      </c>
      <c r="AE86" s="18">
        <v>1.91991</v>
      </c>
      <c r="AF86" s="18">
        <v>1.92153</v>
      </c>
      <c r="AG86" s="18">
        <v>1.92316</v>
      </c>
      <c r="AH86" s="18">
        <v>1.92478</v>
      </c>
      <c r="AI86" s="18">
        <v>1.92642</v>
      </c>
      <c r="AJ86" s="18">
        <v>1.92805</v>
      </c>
      <c r="AK86" s="18">
        <v>1.92969</v>
      </c>
      <c r="AL86" s="18">
        <v>1.93132</v>
      </c>
      <c r="AM86" s="18">
        <v>1.93297</v>
      </c>
      <c r="AN86" s="18">
        <v>1.93462</v>
      </c>
      <c r="AO86" s="18">
        <v>1.93626</v>
      </c>
      <c r="AP86" s="18">
        <v>1.93791</v>
      </c>
      <c r="AQ86" s="19">
        <v>1.93957</v>
      </c>
    </row>
    <row r="87" spans="1:43" ht="12.75">
      <c r="A87" s="16">
        <v>1300</v>
      </c>
      <c r="B87" s="18">
        <v>1.90729</v>
      </c>
      <c r="C87" s="18">
        <v>1.90574</v>
      </c>
      <c r="D87" s="18">
        <v>1.9042</v>
      </c>
      <c r="E87" s="18">
        <v>1.90266</v>
      </c>
      <c r="F87" s="18">
        <v>1.90111</v>
      </c>
      <c r="G87" s="18">
        <v>1.89955</v>
      </c>
      <c r="H87" s="18">
        <v>1.898</v>
      </c>
      <c r="I87" s="18">
        <v>1.89645</v>
      </c>
      <c r="J87" s="18">
        <v>1.89489</v>
      </c>
      <c r="K87" s="18">
        <v>1.89333</v>
      </c>
      <c r="L87" s="18">
        <v>1.89177</v>
      </c>
      <c r="M87" s="18">
        <v>1.89021</v>
      </c>
      <c r="N87" s="18">
        <v>1.88864</v>
      </c>
      <c r="O87" s="18">
        <v>1.88708</v>
      </c>
      <c r="P87" s="18">
        <v>1.88551</v>
      </c>
      <c r="Q87" s="18">
        <v>1.88394</v>
      </c>
      <c r="R87" s="18">
        <v>1.88236</v>
      </c>
      <c r="S87" s="18">
        <v>1.88079</v>
      </c>
      <c r="T87" s="18">
        <v>1.87921</v>
      </c>
      <c r="U87" s="19">
        <v>1.87763</v>
      </c>
      <c r="W87" s="16">
        <v>1300</v>
      </c>
      <c r="X87" s="18">
        <v>1.91036</v>
      </c>
      <c r="Y87" s="18">
        <v>1.91191</v>
      </c>
      <c r="Z87" s="18">
        <v>1.91345</v>
      </c>
      <c r="AA87" s="18">
        <v>1.915</v>
      </c>
      <c r="AB87" s="18">
        <v>1.91655</v>
      </c>
      <c r="AC87" s="18">
        <v>1.9181</v>
      </c>
      <c r="AD87" s="18">
        <v>1.91966</v>
      </c>
      <c r="AE87" s="18">
        <v>1.92121</v>
      </c>
      <c r="AF87" s="18">
        <v>1.92277</v>
      </c>
      <c r="AG87" s="18">
        <v>1.92433</v>
      </c>
      <c r="AH87" s="18">
        <v>1.9259</v>
      </c>
      <c r="AI87" s="18">
        <v>1.92747</v>
      </c>
      <c r="AJ87" s="18">
        <v>1.92903</v>
      </c>
      <c r="AK87" s="18">
        <v>1.93061</v>
      </c>
      <c r="AL87" s="18">
        <v>1.93218</v>
      </c>
      <c r="AM87" s="18">
        <v>1.93376</v>
      </c>
      <c r="AN87" s="18">
        <v>1.93534</v>
      </c>
      <c r="AO87" s="18">
        <v>1.93692</v>
      </c>
      <c r="AP87" s="18">
        <v>1.93851</v>
      </c>
      <c r="AQ87" s="19">
        <v>1.94009</v>
      </c>
    </row>
    <row r="88" spans="1:43" ht="12.75">
      <c r="A88" s="16">
        <v>1350</v>
      </c>
      <c r="B88" s="18">
        <v>1.90905</v>
      </c>
      <c r="C88" s="18">
        <v>1.90756</v>
      </c>
      <c r="D88" s="18">
        <v>1.90607</v>
      </c>
      <c r="E88" s="18">
        <v>1.90459</v>
      </c>
      <c r="F88" s="18">
        <v>1.90309</v>
      </c>
      <c r="G88" s="18">
        <v>1.9016</v>
      </c>
      <c r="H88" s="18">
        <v>1.90011</v>
      </c>
      <c r="I88" s="18">
        <v>1.89861</v>
      </c>
      <c r="J88" s="18">
        <v>1.89711</v>
      </c>
      <c r="K88" s="18">
        <v>1.89561</v>
      </c>
      <c r="L88" s="18">
        <v>1.89411</v>
      </c>
      <c r="M88" s="18">
        <v>1.8926</v>
      </c>
      <c r="N88" s="18">
        <v>1.8911</v>
      </c>
      <c r="O88" s="18">
        <v>1.88959</v>
      </c>
      <c r="P88" s="18">
        <v>1.88808</v>
      </c>
      <c r="Q88" s="18">
        <v>1.88657</v>
      </c>
      <c r="R88" s="18">
        <v>1.88505</v>
      </c>
      <c r="S88" s="18">
        <v>1.88354</v>
      </c>
      <c r="T88" s="18">
        <v>1.88201</v>
      </c>
      <c r="U88" s="19">
        <v>1.88049</v>
      </c>
      <c r="W88" s="16">
        <v>1350</v>
      </c>
      <c r="X88" s="18">
        <v>1.91201</v>
      </c>
      <c r="Y88" s="18">
        <v>1.91349</v>
      </c>
      <c r="Z88" s="18">
        <v>1.91498</v>
      </c>
      <c r="AA88" s="18">
        <v>1.91648</v>
      </c>
      <c r="AB88" s="18">
        <v>1.91796</v>
      </c>
      <c r="AC88" s="18">
        <v>1.91946</v>
      </c>
      <c r="AD88" s="18">
        <v>1.92095</v>
      </c>
      <c r="AE88" s="18">
        <v>1.92246</v>
      </c>
      <c r="AF88" s="18">
        <v>1.92395</v>
      </c>
      <c r="AG88" s="18">
        <v>1.92546</v>
      </c>
      <c r="AH88" s="18">
        <v>1.92696</v>
      </c>
      <c r="AI88" s="18">
        <v>1.92847</v>
      </c>
      <c r="AJ88" s="18">
        <v>1.92998</v>
      </c>
      <c r="AK88" s="18">
        <v>1.9315</v>
      </c>
      <c r="AL88" s="18">
        <v>1.93301</v>
      </c>
      <c r="AM88" s="18">
        <v>1.93453</v>
      </c>
      <c r="AN88" s="18">
        <v>1.93605</v>
      </c>
      <c r="AO88" s="18">
        <v>1.93757</v>
      </c>
      <c r="AP88" s="18">
        <v>1.93909</v>
      </c>
      <c r="AQ88" s="19">
        <v>1.94062</v>
      </c>
    </row>
    <row r="89" spans="1:43" ht="12.75">
      <c r="A89" s="16">
        <v>1400</v>
      </c>
      <c r="B89" s="18">
        <v>1.9107</v>
      </c>
      <c r="C89" s="18">
        <v>1.90927</v>
      </c>
      <c r="D89" s="18">
        <v>1.90784</v>
      </c>
      <c r="E89" s="18">
        <v>1.90641</v>
      </c>
      <c r="F89" s="18">
        <v>1.90497</v>
      </c>
      <c r="G89" s="18">
        <v>1.90353</v>
      </c>
      <c r="H89" s="18">
        <v>1.90209</v>
      </c>
      <c r="I89" s="18">
        <v>1.90065</v>
      </c>
      <c r="J89" s="18">
        <v>1.8992</v>
      </c>
      <c r="K89" s="18">
        <v>1.89776</v>
      </c>
      <c r="L89" s="18">
        <v>1.89631</v>
      </c>
      <c r="M89" s="18">
        <v>1.89486</v>
      </c>
      <c r="N89" s="18">
        <v>1.89341</v>
      </c>
      <c r="O89" s="18">
        <v>1.89195</v>
      </c>
      <c r="P89" s="18">
        <v>1.8905</v>
      </c>
      <c r="Q89" s="18">
        <v>1.88904</v>
      </c>
      <c r="R89" s="18">
        <v>1.88758</v>
      </c>
      <c r="S89" s="18">
        <v>1.88612</v>
      </c>
      <c r="T89" s="18">
        <v>1.88466</v>
      </c>
      <c r="U89" s="19">
        <v>1.88319</v>
      </c>
      <c r="W89" s="16">
        <v>1400</v>
      </c>
      <c r="X89" s="18">
        <v>1.91357</v>
      </c>
      <c r="Y89" s="18">
        <v>1.915</v>
      </c>
      <c r="Z89" s="18">
        <v>1.91643</v>
      </c>
      <c r="AA89" s="18">
        <v>1.91787</v>
      </c>
      <c r="AB89" s="18">
        <v>1.9193</v>
      </c>
      <c r="AC89" s="18">
        <v>1.92074</v>
      </c>
      <c r="AD89" s="18">
        <v>1.92219</v>
      </c>
      <c r="AE89" s="18">
        <v>1.92364</v>
      </c>
      <c r="AF89" s="18">
        <v>1.92509</v>
      </c>
      <c r="AG89" s="18">
        <v>1.92653</v>
      </c>
      <c r="AH89" s="18">
        <v>1.92799</v>
      </c>
      <c r="AI89" s="18">
        <v>1.92944</v>
      </c>
      <c r="AJ89" s="18">
        <v>1.93089</v>
      </c>
      <c r="AK89" s="18">
        <v>1.93235</v>
      </c>
      <c r="AL89" s="18">
        <v>1.93381</v>
      </c>
      <c r="AM89" s="18">
        <v>1.93527</v>
      </c>
      <c r="AN89" s="18">
        <v>1.93674</v>
      </c>
      <c r="AO89" s="18">
        <v>1.9382</v>
      </c>
      <c r="AP89" s="18">
        <v>1.93967</v>
      </c>
      <c r="AQ89" s="19">
        <v>1.94114</v>
      </c>
    </row>
    <row r="90" spans="1:43" ht="12.75">
      <c r="A90" s="16">
        <v>1450</v>
      </c>
      <c r="B90" s="18">
        <v>1.91229</v>
      </c>
      <c r="C90" s="18">
        <v>1.9109</v>
      </c>
      <c r="D90" s="18">
        <v>1.90952</v>
      </c>
      <c r="E90" s="18">
        <v>1.90813</v>
      </c>
      <c r="F90" s="18">
        <v>1.90675</v>
      </c>
      <c r="G90" s="18">
        <v>1.90535</v>
      </c>
      <c r="H90" s="18">
        <v>1.90396</v>
      </c>
      <c r="I90" s="18">
        <v>1.90257</v>
      </c>
      <c r="J90" s="18">
        <v>1.90118</v>
      </c>
      <c r="K90" s="18">
        <v>1.89979</v>
      </c>
      <c r="L90" s="18">
        <v>1.89838</v>
      </c>
      <c r="M90" s="18">
        <v>1.89699</v>
      </c>
      <c r="N90" s="18">
        <v>1.89559</v>
      </c>
      <c r="O90" s="18">
        <v>1.89419</v>
      </c>
      <c r="P90" s="18">
        <v>1.89277</v>
      </c>
      <c r="Q90" s="18">
        <v>1.89137</v>
      </c>
      <c r="R90" s="18">
        <v>1.88996</v>
      </c>
      <c r="S90" s="18">
        <v>1.88856</v>
      </c>
      <c r="T90" s="18">
        <v>1.88715</v>
      </c>
      <c r="U90" s="19">
        <v>1.88573</v>
      </c>
      <c r="W90" s="16">
        <v>1450</v>
      </c>
      <c r="X90" s="18">
        <v>1.91505</v>
      </c>
      <c r="Y90" s="18">
        <v>1.91643</v>
      </c>
      <c r="Z90" s="18">
        <v>1.91781</v>
      </c>
      <c r="AA90" s="18">
        <v>1.9192</v>
      </c>
      <c r="AB90" s="18">
        <v>1.92059</v>
      </c>
      <c r="AC90" s="18">
        <v>1.92197</v>
      </c>
      <c r="AD90" s="18">
        <v>1.92337</v>
      </c>
      <c r="AE90" s="18">
        <v>1.92476</v>
      </c>
      <c r="AF90" s="18">
        <v>1.92616</v>
      </c>
      <c r="AG90" s="18">
        <v>1.92755</v>
      </c>
      <c r="AH90" s="18">
        <v>1.92895</v>
      </c>
      <c r="AI90" s="18">
        <v>1.93035</v>
      </c>
      <c r="AJ90" s="18">
        <v>1.93177</v>
      </c>
      <c r="AK90" s="18">
        <v>1.93317</v>
      </c>
      <c r="AL90" s="18">
        <v>1.93458</v>
      </c>
      <c r="AM90" s="18">
        <v>1.93599</v>
      </c>
      <c r="AN90" s="18">
        <v>1.9374</v>
      </c>
      <c r="AO90" s="18">
        <v>1.93882</v>
      </c>
      <c r="AP90" s="18">
        <v>1.94023</v>
      </c>
      <c r="AQ90" s="19">
        <v>1.94165</v>
      </c>
    </row>
    <row r="91" spans="1:43" ht="12.75">
      <c r="A91" s="16">
        <v>1500</v>
      </c>
      <c r="B91" s="18">
        <v>1.91378</v>
      </c>
      <c r="C91" s="18">
        <v>1.91244</v>
      </c>
      <c r="D91" s="18">
        <v>1.9111</v>
      </c>
      <c r="E91" s="18">
        <v>1.90976</v>
      </c>
      <c r="F91" s="18">
        <v>1.90842</v>
      </c>
      <c r="G91" s="18">
        <v>1.90708</v>
      </c>
      <c r="H91" s="18">
        <v>1.90574</v>
      </c>
      <c r="I91" s="18">
        <v>1.9044</v>
      </c>
      <c r="J91" s="18">
        <v>1.90305</v>
      </c>
      <c r="K91" s="18">
        <v>1.9017</v>
      </c>
      <c r="L91" s="18">
        <v>1.90035</v>
      </c>
      <c r="M91" s="18">
        <v>1.89899</v>
      </c>
      <c r="N91" s="18">
        <v>1.89764</v>
      </c>
      <c r="O91" s="18">
        <v>1.89629</v>
      </c>
      <c r="P91" s="18">
        <v>1.89493</v>
      </c>
      <c r="Q91" s="18">
        <v>1.89357</v>
      </c>
      <c r="R91" s="18">
        <v>1.89221</v>
      </c>
      <c r="S91" s="18">
        <v>1.89085</v>
      </c>
      <c r="T91" s="18">
        <v>1.88948</v>
      </c>
      <c r="U91" s="19">
        <v>1.88812</v>
      </c>
      <c r="W91" s="16">
        <v>1500</v>
      </c>
      <c r="X91" s="18">
        <v>1.91645</v>
      </c>
      <c r="Y91" s="18">
        <v>1.91779</v>
      </c>
      <c r="Z91" s="18">
        <v>1.91912</v>
      </c>
      <c r="AA91" s="18">
        <v>1.92046</v>
      </c>
      <c r="AB91" s="18">
        <v>1.92181</v>
      </c>
      <c r="AC91" s="18">
        <v>1.92314</v>
      </c>
      <c r="AD91" s="18">
        <v>1.92449</v>
      </c>
      <c r="AE91" s="18">
        <v>1.92584</v>
      </c>
      <c r="AF91" s="18">
        <v>1.92718</v>
      </c>
      <c r="AG91" s="18">
        <v>1.92854</v>
      </c>
      <c r="AH91" s="18">
        <v>1.9299</v>
      </c>
      <c r="AI91" s="18">
        <v>1.93124</v>
      </c>
      <c r="AJ91" s="18">
        <v>1.9326</v>
      </c>
      <c r="AK91" s="18">
        <v>1.93397</v>
      </c>
      <c r="AL91" s="18">
        <v>1.93532</v>
      </c>
      <c r="AM91" s="18">
        <v>1.93669</v>
      </c>
      <c r="AN91" s="18">
        <v>1.93805</v>
      </c>
      <c r="AO91" s="18">
        <v>1.93941</v>
      </c>
      <c r="AP91" s="18">
        <v>1.94079</v>
      </c>
      <c r="AQ91" s="19">
        <v>1.94215</v>
      </c>
    </row>
    <row r="92" spans="1:43" ht="12.75">
      <c r="A92" s="16">
        <v>1550</v>
      </c>
      <c r="B92" s="18">
        <v>1.9152</v>
      </c>
      <c r="C92" s="18">
        <v>1.91391</v>
      </c>
      <c r="D92" s="18">
        <v>1.91261</v>
      </c>
      <c r="E92" s="18">
        <v>1.91132</v>
      </c>
      <c r="F92" s="18">
        <v>1.91002</v>
      </c>
      <c r="G92" s="18">
        <v>1.90872</v>
      </c>
      <c r="H92" s="18">
        <v>1.90742</v>
      </c>
      <c r="I92" s="18">
        <v>1.90612</v>
      </c>
      <c r="J92" s="18">
        <v>1.90482</v>
      </c>
      <c r="K92" s="18">
        <v>1.90352</v>
      </c>
      <c r="L92" s="18">
        <v>1.90221</v>
      </c>
      <c r="M92" s="18">
        <v>1.9009</v>
      </c>
      <c r="N92" s="18">
        <v>1.89959</v>
      </c>
      <c r="O92" s="18">
        <v>1.89828</v>
      </c>
      <c r="P92" s="18">
        <v>1.89696</v>
      </c>
      <c r="Q92" s="18">
        <v>1.89565</v>
      </c>
      <c r="R92" s="18">
        <v>1.89433</v>
      </c>
      <c r="S92" s="18">
        <v>1.89302</v>
      </c>
      <c r="T92" s="18">
        <v>1.8917</v>
      </c>
      <c r="U92" s="19">
        <v>1.89038</v>
      </c>
      <c r="W92" s="16">
        <v>1550</v>
      </c>
      <c r="X92" s="18">
        <v>1.91778</v>
      </c>
      <c r="Y92" s="18">
        <v>1.91908</v>
      </c>
      <c r="Z92" s="18">
        <v>1.92037</v>
      </c>
      <c r="AA92" s="18">
        <v>1.92167</v>
      </c>
      <c r="AB92" s="18">
        <v>1.92297</v>
      </c>
      <c r="AC92" s="18">
        <v>1.92426</v>
      </c>
      <c r="AD92" s="18">
        <v>1.92556</v>
      </c>
      <c r="AE92" s="18">
        <v>1.92687</v>
      </c>
      <c r="AF92" s="18">
        <v>1.92818</v>
      </c>
      <c r="AG92" s="18">
        <v>1.92948</v>
      </c>
      <c r="AH92" s="18">
        <v>1.93079</v>
      </c>
      <c r="AI92" s="18">
        <v>1.9321</v>
      </c>
      <c r="AJ92" s="18">
        <v>1.93341</v>
      </c>
      <c r="AK92" s="18">
        <v>1.93473</v>
      </c>
      <c r="AL92" s="18">
        <v>1.93604</v>
      </c>
      <c r="AM92" s="18">
        <v>1.93736</v>
      </c>
      <c r="AN92" s="18">
        <v>1.93868</v>
      </c>
      <c r="AO92" s="18">
        <v>1.94</v>
      </c>
      <c r="AP92" s="18">
        <v>1.94132</v>
      </c>
      <c r="AQ92" s="19">
        <v>1.94265</v>
      </c>
    </row>
    <row r="93" spans="1:43" ht="12.75">
      <c r="A93" s="16">
        <v>1600</v>
      </c>
      <c r="B93" s="18">
        <v>1.91655</v>
      </c>
      <c r="C93" s="18">
        <v>1.91531</v>
      </c>
      <c r="D93" s="18">
        <v>1.91405</v>
      </c>
      <c r="E93" s="18">
        <v>1.91279</v>
      </c>
      <c r="F93" s="18">
        <v>1.91154</v>
      </c>
      <c r="G93" s="18">
        <v>1.91028</v>
      </c>
      <c r="H93" s="18">
        <v>1.90902</v>
      </c>
      <c r="I93" s="18">
        <v>1.90776</v>
      </c>
      <c r="J93" s="18">
        <v>1.9065</v>
      </c>
      <c r="K93" s="18">
        <v>1.90523</v>
      </c>
      <c r="L93" s="18">
        <v>1.90397</v>
      </c>
      <c r="M93" s="18">
        <v>1.9027</v>
      </c>
      <c r="N93" s="18">
        <v>1.90143</v>
      </c>
      <c r="O93" s="18">
        <v>1.90016</v>
      </c>
      <c r="P93" s="18">
        <v>1.89889</v>
      </c>
      <c r="Q93" s="18">
        <v>1.89762</v>
      </c>
      <c r="R93" s="18">
        <v>1.89634</v>
      </c>
      <c r="S93" s="18">
        <v>1.89507</v>
      </c>
      <c r="T93" s="18">
        <v>1.8938</v>
      </c>
      <c r="U93" s="19">
        <v>1.89252</v>
      </c>
      <c r="W93" s="16">
        <v>1600</v>
      </c>
      <c r="X93" s="18">
        <v>1.91905</v>
      </c>
      <c r="Y93" s="18">
        <v>1.92031</v>
      </c>
      <c r="Z93" s="18">
        <v>1.92156</v>
      </c>
      <c r="AA93" s="18">
        <v>1.92282</v>
      </c>
      <c r="AB93" s="18">
        <v>1.92407</v>
      </c>
      <c r="AC93" s="18">
        <v>1.92534</v>
      </c>
      <c r="AD93" s="18">
        <v>1.92659</v>
      </c>
      <c r="AE93" s="18">
        <v>1.92786</v>
      </c>
      <c r="AF93" s="18">
        <v>1.92912</v>
      </c>
      <c r="AG93" s="18">
        <v>1.93038</v>
      </c>
      <c r="AH93" s="18">
        <v>1.93165</v>
      </c>
      <c r="AI93" s="18">
        <v>1.93293</v>
      </c>
      <c r="AJ93" s="18">
        <v>1.93419</v>
      </c>
      <c r="AK93" s="18">
        <v>1.93547</v>
      </c>
      <c r="AL93" s="18">
        <v>1.93674</v>
      </c>
      <c r="AM93" s="18">
        <v>1.93801</v>
      </c>
      <c r="AN93" s="18">
        <v>1.93929</v>
      </c>
      <c r="AO93" s="18">
        <v>1.94057</v>
      </c>
      <c r="AP93" s="18">
        <v>1.94185</v>
      </c>
      <c r="AQ93" s="19">
        <v>1.94314</v>
      </c>
    </row>
    <row r="94" spans="1:43" ht="12.75">
      <c r="A94" s="16">
        <v>1650</v>
      </c>
      <c r="B94" s="18">
        <v>1.91785</v>
      </c>
      <c r="C94" s="18">
        <v>1.91663</v>
      </c>
      <c r="D94" s="18">
        <v>1.91542</v>
      </c>
      <c r="E94" s="18">
        <v>1.9142</v>
      </c>
      <c r="F94" s="18">
        <v>1.91298</v>
      </c>
      <c r="G94" s="18">
        <v>1.91176</v>
      </c>
      <c r="H94" s="18">
        <v>1.91054</v>
      </c>
      <c r="I94" s="18">
        <v>1.90932</v>
      </c>
      <c r="J94" s="18">
        <v>1.9081</v>
      </c>
      <c r="K94" s="18">
        <v>1.90687</v>
      </c>
      <c r="L94" s="18">
        <v>1.90565</v>
      </c>
      <c r="M94" s="18">
        <v>1.90442</v>
      </c>
      <c r="N94" s="18">
        <v>1.90319</v>
      </c>
      <c r="O94" s="18">
        <v>1.90196</v>
      </c>
      <c r="P94" s="18">
        <v>1.90073</v>
      </c>
      <c r="Q94" s="18">
        <v>1.89949</v>
      </c>
      <c r="R94" s="18">
        <v>1.89826</v>
      </c>
      <c r="S94" s="18">
        <v>1.89702</v>
      </c>
      <c r="T94" s="18">
        <v>1.89578</v>
      </c>
      <c r="U94" s="19">
        <v>1.89455</v>
      </c>
      <c r="W94" s="16">
        <v>1650</v>
      </c>
      <c r="X94" s="18">
        <v>1.92028</v>
      </c>
      <c r="Y94" s="18">
        <v>1.92149</v>
      </c>
      <c r="Z94" s="18">
        <v>1.9227</v>
      </c>
      <c r="AA94" s="18">
        <v>1.92392</v>
      </c>
      <c r="AB94" s="18">
        <v>1.92514</v>
      </c>
      <c r="AC94" s="18">
        <v>1.92636</v>
      </c>
      <c r="AD94" s="18">
        <v>1.92758</v>
      </c>
      <c r="AE94" s="18">
        <v>1.92881</v>
      </c>
      <c r="AF94" s="18">
        <v>1.93003</v>
      </c>
      <c r="AG94" s="18">
        <v>1.93126</v>
      </c>
      <c r="AH94" s="18">
        <v>1.93249</v>
      </c>
      <c r="AI94" s="18">
        <v>1.93371</v>
      </c>
      <c r="AJ94" s="18">
        <v>1.93495</v>
      </c>
      <c r="AK94" s="18">
        <v>1.93618</v>
      </c>
      <c r="AL94" s="18">
        <v>1.93741</v>
      </c>
      <c r="AM94" s="18">
        <v>1.93865</v>
      </c>
      <c r="AN94" s="18">
        <v>1.93989</v>
      </c>
      <c r="AO94" s="18">
        <v>1.94113</v>
      </c>
      <c r="AP94" s="18">
        <v>1.94237</v>
      </c>
      <c r="AQ94" s="19">
        <v>1.94361</v>
      </c>
    </row>
    <row r="95" spans="1:43" ht="12.75">
      <c r="A95" s="16">
        <v>1700</v>
      </c>
      <c r="B95" s="18">
        <v>1.91908</v>
      </c>
      <c r="C95" s="18">
        <v>1.9179</v>
      </c>
      <c r="D95" s="18">
        <v>1.91672</v>
      </c>
      <c r="E95" s="18">
        <v>1.91554</v>
      </c>
      <c r="F95" s="18">
        <v>1.91436</v>
      </c>
      <c r="G95" s="18">
        <v>1.91318</v>
      </c>
      <c r="H95" s="18">
        <v>1.91199</v>
      </c>
      <c r="I95" s="18">
        <v>1.91081</v>
      </c>
      <c r="J95" s="18">
        <v>1.90962</v>
      </c>
      <c r="K95" s="18">
        <v>1.90843</v>
      </c>
      <c r="L95" s="18">
        <v>1.90724</v>
      </c>
      <c r="M95" s="18">
        <v>1.90605</v>
      </c>
      <c r="N95" s="18">
        <v>1.90486</v>
      </c>
      <c r="O95" s="18">
        <v>1.90366</v>
      </c>
      <c r="P95" s="18">
        <v>1.90247</v>
      </c>
      <c r="Q95" s="18">
        <v>1.90127</v>
      </c>
      <c r="R95" s="18">
        <v>1.90007</v>
      </c>
      <c r="S95" s="18">
        <v>1.89887</v>
      </c>
      <c r="T95" s="18">
        <v>1.89767</v>
      </c>
      <c r="U95" s="19">
        <v>1.89647</v>
      </c>
      <c r="W95" s="16">
        <v>1700</v>
      </c>
      <c r="X95" s="18">
        <v>1.92143</v>
      </c>
      <c r="Y95" s="18">
        <v>1.92261</v>
      </c>
      <c r="Z95" s="18">
        <v>1.9238</v>
      </c>
      <c r="AA95" s="18">
        <v>1.92498</v>
      </c>
      <c r="AB95" s="18">
        <v>1.92616</v>
      </c>
      <c r="AC95" s="18">
        <v>1.92734</v>
      </c>
      <c r="AD95" s="18">
        <v>1.92853</v>
      </c>
      <c r="AE95" s="18">
        <v>1.92971</v>
      </c>
      <c r="AF95" s="18">
        <v>1.9309</v>
      </c>
      <c r="AG95" s="18">
        <v>1.9321</v>
      </c>
      <c r="AH95" s="18">
        <v>1.93329</v>
      </c>
      <c r="AI95" s="18">
        <v>1.93448</v>
      </c>
      <c r="AJ95" s="18">
        <v>1.93567</v>
      </c>
      <c r="AK95" s="18">
        <v>1.93687</v>
      </c>
      <c r="AL95" s="18">
        <v>1.93807</v>
      </c>
      <c r="AM95" s="18">
        <v>1.93926</v>
      </c>
      <c r="AN95" s="18">
        <v>1.94047</v>
      </c>
      <c r="AO95" s="18">
        <v>1.94167</v>
      </c>
      <c r="AP95" s="18">
        <v>1.94287</v>
      </c>
      <c r="AQ95" s="19">
        <v>1.94407</v>
      </c>
    </row>
    <row r="96" spans="1:43" ht="12.75">
      <c r="A96" s="16">
        <v>1750</v>
      </c>
      <c r="B96" s="18">
        <v>1.92026</v>
      </c>
      <c r="C96" s="18">
        <v>1.91912</v>
      </c>
      <c r="D96" s="18">
        <v>1.91797</v>
      </c>
      <c r="E96" s="18">
        <v>1.91682</v>
      </c>
      <c r="F96" s="18">
        <v>1.91568</v>
      </c>
      <c r="G96" s="18">
        <v>1.91452</v>
      </c>
      <c r="H96" s="18">
        <v>1.91337</v>
      </c>
      <c r="I96" s="18">
        <v>1.91222</v>
      </c>
      <c r="J96" s="18">
        <v>1.91107</v>
      </c>
      <c r="K96" s="18">
        <v>1.90991</v>
      </c>
      <c r="L96" s="18">
        <v>1.90876</v>
      </c>
      <c r="M96" s="18">
        <v>1.90761</v>
      </c>
      <c r="N96" s="18">
        <v>1.90644</v>
      </c>
      <c r="O96" s="18">
        <v>1.90528</v>
      </c>
      <c r="P96" s="18">
        <v>1.90413</v>
      </c>
      <c r="Q96" s="18">
        <v>1.90297</v>
      </c>
      <c r="R96" s="18">
        <v>1.9018</v>
      </c>
      <c r="S96" s="18">
        <v>1.90064</v>
      </c>
      <c r="T96" s="18">
        <v>1.89947</v>
      </c>
      <c r="U96" s="19">
        <v>1.89831</v>
      </c>
      <c r="W96" s="16">
        <v>1750</v>
      </c>
      <c r="X96" s="18">
        <v>1.92255</v>
      </c>
      <c r="Y96" s="18">
        <v>1.92369</v>
      </c>
      <c r="Z96" s="18">
        <v>1.92483</v>
      </c>
      <c r="AA96" s="18">
        <v>1.92598</v>
      </c>
      <c r="AB96" s="18">
        <v>1.92714</v>
      </c>
      <c r="AC96" s="18">
        <v>1.92829</v>
      </c>
      <c r="AD96" s="18">
        <v>1.92944</v>
      </c>
      <c r="AE96" s="18">
        <v>1.93059</v>
      </c>
      <c r="AF96" s="18">
        <v>1.93174</v>
      </c>
      <c r="AG96" s="18">
        <v>1.9329</v>
      </c>
      <c r="AH96" s="18">
        <v>1.93406</v>
      </c>
      <c r="AI96" s="18">
        <v>1.93522</v>
      </c>
      <c r="AJ96" s="18">
        <v>1.93637</v>
      </c>
      <c r="AK96" s="18">
        <v>1.93753</v>
      </c>
      <c r="AL96" s="18">
        <v>1.9387</v>
      </c>
      <c r="AM96" s="18">
        <v>1.93987</v>
      </c>
      <c r="AN96" s="18">
        <v>1.94103</v>
      </c>
      <c r="AO96" s="18">
        <v>1.9422</v>
      </c>
      <c r="AP96" s="18">
        <v>1.94336</v>
      </c>
      <c r="AQ96" s="19">
        <v>1.94453</v>
      </c>
    </row>
    <row r="97" spans="1:43" ht="12.75">
      <c r="A97" s="16">
        <v>1800</v>
      </c>
      <c r="B97" s="18">
        <v>1.92139</v>
      </c>
      <c r="C97" s="18">
        <v>1.92028</v>
      </c>
      <c r="D97" s="18">
        <v>1.91916</v>
      </c>
      <c r="E97" s="18">
        <v>1.91805</v>
      </c>
      <c r="F97" s="18">
        <v>1.91693</v>
      </c>
      <c r="G97" s="18">
        <v>1.91582</v>
      </c>
      <c r="H97" s="18">
        <v>1.9147</v>
      </c>
      <c r="I97" s="18">
        <v>1.91358</v>
      </c>
      <c r="J97" s="18">
        <v>1.91245</v>
      </c>
      <c r="K97" s="18">
        <v>1.91133</v>
      </c>
      <c r="L97" s="18">
        <v>1.91021</v>
      </c>
      <c r="M97" s="18">
        <v>1.90909</v>
      </c>
      <c r="N97" s="18">
        <v>1.90796</v>
      </c>
      <c r="O97" s="18">
        <v>1.90683</v>
      </c>
      <c r="P97" s="18">
        <v>1.9057</v>
      </c>
      <c r="Q97" s="18">
        <v>1.90458</v>
      </c>
      <c r="R97" s="18">
        <v>1.90345</v>
      </c>
      <c r="S97" s="18">
        <v>1.90232</v>
      </c>
      <c r="T97" s="18">
        <v>1.90118</v>
      </c>
      <c r="U97" s="19">
        <v>1.90005</v>
      </c>
      <c r="W97" s="16">
        <v>1800</v>
      </c>
      <c r="X97" s="18">
        <v>1.92361</v>
      </c>
      <c r="Y97" s="18">
        <v>1.92473</v>
      </c>
      <c r="Z97" s="18">
        <v>1.92584</v>
      </c>
      <c r="AA97" s="18">
        <v>1.92695</v>
      </c>
      <c r="AB97" s="18">
        <v>1.92807</v>
      </c>
      <c r="AC97" s="18">
        <v>1.92919</v>
      </c>
      <c r="AD97" s="18">
        <v>1.93031</v>
      </c>
      <c r="AE97" s="18">
        <v>1.93144</v>
      </c>
      <c r="AF97" s="18">
        <v>1.93255</v>
      </c>
      <c r="AG97" s="18">
        <v>1.93367</v>
      </c>
      <c r="AH97" s="18">
        <v>1.9348</v>
      </c>
      <c r="AI97" s="18">
        <v>1.93593</v>
      </c>
      <c r="AJ97" s="18">
        <v>1.93706</v>
      </c>
      <c r="AK97" s="18">
        <v>1.93818</v>
      </c>
      <c r="AL97" s="18">
        <v>1.93931</v>
      </c>
      <c r="AM97" s="18">
        <v>1.94044</v>
      </c>
      <c r="AN97" s="18">
        <v>1.94158</v>
      </c>
      <c r="AO97" s="18">
        <v>1.94271</v>
      </c>
      <c r="AP97" s="18">
        <v>1.94384</v>
      </c>
      <c r="AQ97" s="19">
        <v>1.94498</v>
      </c>
    </row>
    <row r="98" spans="1:43" ht="12.75">
      <c r="A98" s="16">
        <v>1850</v>
      </c>
      <c r="B98" s="18">
        <v>1.92247</v>
      </c>
      <c r="C98" s="18">
        <v>1.92139</v>
      </c>
      <c r="D98" s="18">
        <v>1.92031</v>
      </c>
      <c r="E98" s="18">
        <v>1.91922</v>
      </c>
      <c r="F98" s="18">
        <v>1.91814</v>
      </c>
      <c r="G98" s="18">
        <v>1.91705</v>
      </c>
      <c r="H98" s="18">
        <v>1.91596</v>
      </c>
      <c r="I98" s="18">
        <v>1.91487</v>
      </c>
      <c r="J98" s="18">
        <v>1.91378</v>
      </c>
      <c r="K98" s="18">
        <v>1.91269</v>
      </c>
      <c r="L98" s="18">
        <v>1.9116</v>
      </c>
      <c r="M98" s="18">
        <v>1.91051</v>
      </c>
      <c r="N98" s="18">
        <v>1.90941</v>
      </c>
      <c r="O98" s="18">
        <v>1.90831</v>
      </c>
      <c r="P98" s="18">
        <v>1.90722</v>
      </c>
      <c r="Q98" s="18">
        <v>1.90612</v>
      </c>
      <c r="R98" s="18">
        <v>1.90502</v>
      </c>
      <c r="S98" s="18">
        <v>1.90392</v>
      </c>
      <c r="T98" s="18">
        <v>1.90282</v>
      </c>
      <c r="U98" s="19">
        <v>1.90171</v>
      </c>
      <c r="W98" s="16">
        <v>1850</v>
      </c>
      <c r="X98" s="18">
        <v>1.92463</v>
      </c>
      <c r="Y98" s="18">
        <v>1.92572</v>
      </c>
      <c r="Z98" s="18">
        <v>1.92681</v>
      </c>
      <c r="AA98" s="18">
        <v>1.92789</v>
      </c>
      <c r="AB98" s="18">
        <v>1.92897</v>
      </c>
      <c r="AC98" s="18">
        <v>1.93006</v>
      </c>
      <c r="AD98" s="18">
        <v>1.93115</v>
      </c>
      <c r="AE98" s="18">
        <v>1.93225</v>
      </c>
      <c r="AF98" s="18">
        <v>1.93334</v>
      </c>
      <c r="AG98" s="18">
        <v>1.93443</v>
      </c>
      <c r="AH98" s="18">
        <v>1.93552</v>
      </c>
      <c r="AI98" s="18">
        <v>1.93661</v>
      </c>
      <c r="AJ98" s="18">
        <v>1.93772</v>
      </c>
      <c r="AK98" s="18">
        <v>1.93881</v>
      </c>
      <c r="AL98" s="18">
        <v>1.93991</v>
      </c>
      <c r="AM98" s="18">
        <v>1.94101</v>
      </c>
      <c r="AN98" s="18">
        <v>1.94211</v>
      </c>
      <c r="AO98" s="18">
        <v>1.94321</v>
      </c>
      <c r="AP98" s="18">
        <v>1.94432</v>
      </c>
      <c r="AQ98" s="19">
        <v>1.94542</v>
      </c>
    </row>
    <row r="99" spans="1:43" ht="12.75">
      <c r="A99" s="16">
        <v>1900</v>
      </c>
      <c r="B99" s="18">
        <v>1.92352</v>
      </c>
      <c r="C99" s="18">
        <v>1.92246</v>
      </c>
      <c r="D99" s="18">
        <v>1.92141</v>
      </c>
      <c r="E99" s="18">
        <v>1.92035</v>
      </c>
      <c r="F99" s="18">
        <v>1.91929</v>
      </c>
      <c r="G99" s="18">
        <v>1.91823</v>
      </c>
      <c r="H99" s="18">
        <v>1.91717</v>
      </c>
      <c r="I99" s="18">
        <v>1.91611</v>
      </c>
      <c r="J99" s="18">
        <v>1.91505</v>
      </c>
      <c r="K99" s="18">
        <v>1.91399</v>
      </c>
      <c r="L99" s="18">
        <v>1.91292</v>
      </c>
      <c r="M99" s="18">
        <v>1.91186</v>
      </c>
      <c r="N99" s="18">
        <v>1.91079</v>
      </c>
      <c r="O99" s="18">
        <v>1.90973</v>
      </c>
      <c r="P99" s="18">
        <v>1.90866</v>
      </c>
      <c r="Q99" s="18">
        <v>1.9076</v>
      </c>
      <c r="R99" s="18">
        <v>1.90652</v>
      </c>
      <c r="S99" s="18">
        <v>1.90546</v>
      </c>
      <c r="T99" s="18">
        <v>1.90438</v>
      </c>
      <c r="U99" s="19">
        <v>1.90331</v>
      </c>
      <c r="W99" s="16">
        <v>1900</v>
      </c>
      <c r="X99" s="18">
        <v>1.92562</v>
      </c>
      <c r="Y99" s="18">
        <v>1.92668</v>
      </c>
      <c r="Z99" s="18">
        <v>1.92773</v>
      </c>
      <c r="AA99" s="18">
        <v>1.92878</v>
      </c>
      <c r="AB99" s="18">
        <v>1.92985</v>
      </c>
      <c r="AC99" s="18">
        <v>1.9309</v>
      </c>
      <c r="AD99" s="18">
        <v>1.93196</v>
      </c>
      <c r="AE99" s="18">
        <v>1.93303</v>
      </c>
      <c r="AF99" s="18">
        <v>1.93409</v>
      </c>
      <c r="AG99" s="18">
        <v>1.93515</v>
      </c>
      <c r="AH99" s="18">
        <v>1.93622</v>
      </c>
      <c r="AI99" s="18">
        <v>1.93728</v>
      </c>
      <c r="AJ99" s="18">
        <v>1.93835</v>
      </c>
      <c r="AK99" s="18">
        <v>1.93942</v>
      </c>
      <c r="AL99" s="18">
        <v>1.94048</v>
      </c>
      <c r="AM99" s="18">
        <v>1.94156</v>
      </c>
      <c r="AN99" s="18">
        <v>1.94263</v>
      </c>
      <c r="AO99" s="18">
        <v>1.9437</v>
      </c>
      <c r="AP99" s="18">
        <v>1.94478</v>
      </c>
      <c r="AQ99" s="19">
        <v>1.94585</v>
      </c>
    </row>
    <row r="100" spans="1:43" ht="12.75">
      <c r="A100" s="16">
        <v>1950</v>
      </c>
      <c r="B100" s="18">
        <v>1.92451</v>
      </c>
      <c r="C100" s="18">
        <v>1.92349</v>
      </c>
      <c r="D100" s="18">
        <v>1.92246</v>
      </c>
      <c r="E100" s="18">
        <v>1.92142</v>
      </c>
      <c r="F100" s="18">
        <v>1.9204</v>
      </c>
      <c r="G100" s="18">
        <v>1.91937</v>
      </c>
      <c r="H100" s="18">
        <v>1.91833</v>
      </c>
      <c r="I100" s="18">
        <v>1.9173</v>
      </c>
      <c r="J100" s="18">
        <v>1.91627</v>
      </c>
      <c r="K100" s="18">
        <v>1.91523</v>
      </c>
      <c r="L100" s="18">
        <v>1.91419</v>
      </c>
      <c r="M100" s="18">
        <v>1.91316</v>
      </c>
      <c r="N100" s="18">
        <v>1.91212</v>
      </c>
      <c r="O100" s="18">
        <v>1.91108</v>
      </c>
      <c r="P100" s="18">
        <v>1.91005</v>
      </c>
      <c r="Q100" s="18">
        <v>1.909</v>
      </c>
      <c r="R100" s="18">
        <v>1.90796</v>
      </c>
      <c r="S100" s="18">
        <v>1.90692</v>
      </c>
      <c r="T100" s="18">
        <v>1.90588</v>
      </c>
      <c r="U100" s="19">
        <v>1.90483</v>
      </c>
      <c r="W100" s="16">
        <v>1950</v>
      </c>
      <c r="X100" s="18">
        <v>1.92656</v>
      </c>
      <c r="Y100" s="18">
        <v>1.92759</v>
      </c>
      <c r="Z100" s="18">
        <v>1.92862</v>
      </c>
      <c r="AA100" s="18">
        <v>1.92965</v>
      </c>
      <c r="AB100" s="18">
        <v>1.93068</v>
      </c>
      <c r="AC100" s="18">
        <v>1.93171</v>
      </c>
      <c r="AD100" s="18">
        <v>1.93274</v>
      </c>
      <c r="AE100" s="18">
        <v>1.93377</v>
      </c>
      <c r="AF100" s="18">
        <v>1.93482</v>
      </c>
      <c r="AG100" s="18">
        <v>1.93585</v>
      </c>
      <c r="AH100" s="18">
        <v>1.93688</v>
      </c>
      <c r="AI100" s="18">
        <v>1.93793</v>
      </c>
      <c r="AJ100" s="18">
        <v>1.93896</v>
      </c>
      <c r="AK100" s="18">
        <v>1.94</v>
      </c>
      <c r="AL100" s="18">
        <v>1.94105</v>
      </c>
      <c r="AM100" s="18">
        <v>1.94209</v>
      </c>
      <c r="AN100" s="18">
        <v>1.94313</v>
      </c>
      <c r="AO100" s="18">
        <v>1.94418</v>
      </c>
      <c r="AP100" s="18">
        <v>1.94522</v>
      </c>
      <c r="AQ100" s="19">
        <v>1.94627</v>
      </c>
    </row>
    <row r="101" spans="1:43" ht="13.5" thickBot="1">
      <c r="A101" s="17">
        <v>2000</v>
      </c>
      <c r="B101" s="20">
        <v>1.92548</v>
      </c>
      <c r="C101" s="20">
        <v>1.92447</v>
      </c>
      <c r="D101" s="20">
        <v>1.92347</v>
      </c>
      <c r="E101" s="20">
        <v>1.92246</v>
      </c>
      <c r="F101" s="20">
        <v>1.92146</v>
      </c>
      <c r="G101" s="20">
        <v>1.92046</v>
      </c>
      <c r="H101" s="20">
        <v>1.91945</v>
      </c>
      <c r="I101" s="20">
        <v>1.91844</v>
      </c>
      <c r="J101" s="20">
        <v>1.91744</v>
      </c>
      <c r="K101" s="20">
        <v>1.91643</v>
      </c>
      <c r="L101" s="20">
        <v>1.91542</v>
      </c>
      <c r="M101" s="20">
        <v>1.91441</v>
      </c>
      <c r="N101" s="20">
        <v>1.9134</v>
      </c>
      <c r="O101" s="20">
        <v>1.91239</v>
      </c>
      <c r="P101" s="20">
        <v>1.91137</v>
      </c>
      <c r="Q101" s="20">
        <v>1.91036</v>
      </c>
      <c r="R101" s="20">
        <v>1.90934</v>
      </c>
      <c r="S101" s="20">
        <v>1.90833</v>
      </c>
      <c r="T101" s="20">
        <v>1.90731</v>
      </c>
      <c r="U101" s="21">
        <v>1.90629</v>
      </c>
      <c r="W101" s="17">
        <v>2000</v>
      </c>
      <c r="X101" s="20">
        <v>1.92747</v>
      </c>
      <c r="Y101" s="20">
        <v>1.92847</v>
      </c>
      <c r="Z101" s="20">
        <v>1.92947</v>
      </c>
      <c r="AA101" s="20">
        <v>1.93049</v>
      </c>
      <c r="AB101" s="20">
        <v>1.93149</v>
      </c>
      <c r="AC101" s="20">
        <v>1.93249</v>
      </c>
      <c r="AD101" s="20">
        <v>1.9335</v>
      </c>
      <c r="AE101" s="20">
        <v>1.93451</v>
      </c>
      <c r="AF101" s="20">
        <v>1.93552</v>
      </c>
      <c r="AG101" s="20">
        <v>1.93652</v>
      </c>
      <c r="AH101" s="20">
        <v>1.93753</v>
      </c>
      <c r="AI101" s="20">
        <v>1.93854</v>
      </c>
      <c r="AJ101" s="20">
        <v>1.93957</v>
      </c>
      <c r="AK101" s="20">
        <v>1.94058</v>
      </c>
      <c r="AL101" s="20">
        <v>1.94159</v>
      </c>
      <c r="AM101" s="20">
        <v>1.94261</v>
      </c>
      <c r="AN101" s="20">
        <v>1.94363</v>
      </c>
      <c r="AO101" s="20">
        <v>1.94464</v>
      </c>
      <c r="AP101" s="20">
        <v>1.94566</v>
      </c>
      <c r="AQ101" s="21">
        <v>1.94668</v>
      </c>
    </row>
  </sheetData>
  <sheetProtection/>
  <printOptions/>
  <pageMargins left="0.75" right="0.75" top="1" bottom="1" header="0.5" footer="0.5"/>
  <pageSetup fitToWidth="2" fitToHeight="1" horizontalDpi="600" verticalDpi="600" orientation="portrait" scale="50"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S134"/>
  <sheetViews>
    <sheetView showGridLines="0" zoomScalePageLayoutView="0" workbookViewId="0" topLeftCell="A97">
      <selection activeCell="J114" sqref="J114"/>
    </sheetView>
  </sheetViews>
  <sheetFormatPr defaultColWidth="20.5" defaultRowHeight="12.75"/>
  <cols>
    <col min="1" max="6" width="20.5" style="145" customWidth="1"/>
    <col min="7" max="7" width="20.5" style="144" customWidth="1"/>
    <col min="8" max="8" width="4.5" style="144" customWidth="1"/>
    <col min="9" max="9" width="20.5" style="145" customWidth="1"/>
    <col min="10" max="13" width="20.5" style="144" customWidth="1"/>
    <col min="14" max="14" width="20.5" style="169" customWidth="1"/>
    <col min="15" max="16384" width="20.5" style="144" customWidth="1"/>
  </cols>
  <sheetData>
    <row r="1" spans="1:15" ht="15.75">
      <c r="A1" s="738" t="s">
        <v>157</v>
      </c>
      <c r="B1" s="739"/>
      <c r="C1" s="739"/>
      <c r="D1" s="739"/>
      <c r="E1" s="739"/>
      <c r="F1" s="739"/>
      <c r="G1" s="740"/>
      <c r="I1" s="611"/>
      <c r="J1"/>
      <c r="K1"/>
      <c r="L1"/>
      <c r="M1"/>
      <c r="N1" s="250"/>
      <c r="O1" s="250"/>
    </row>
    <row r="2" spans="1:13" ht="13.5" thickBot="1">
      <c r="A2" s="314"/>
      <c r="B2" s="314"/>
      <c r="C2" s="314"/>
      <c r="D2" s="314"/>
      <c r="E2" s="314"/>
      <c r="F2" s="314"/>
      <c r="G2" s="168"/>
      <c r="H2" s="168"/>
      <c r="I2" s="611"/>
      <c r="J2"/>
      <c r="K2"/>
      <c r="L2"/>
      <c r="M2"/>
    </row>
    <row r="3" spans="1:7" ht="15.75">
      <c r="A3" s="735" t="str">
        <f>'Input - Customer Data'!A13</f>
        <v>Residential</v>
      </c>
      <c r="B3" s="736"/>
      <c r="C3" s="736"/>
      <c r="D3" s="736"/>
      <c r="E3" s="736"/>
      <c r="F3" s="736"/>
      <c r="G3" s="737"/>
    </row>
    <row r="4" spans="1:7" ht="25.5">
      <c r="A4" s="361" t="s">
        <v>78</v>
      </c>
      <c r="B4" s="565" t="s">
        <v>168</v>
      </c>
      <c r="C4" s="565" t="s">
        <v>169</v>
      </c>
      <c r="D4" s="565" t="s">
        <v>104</v>
      </c>
      <c r="E4" s="565" t="s">
        <v>199</v>
      </c>
      <c r="F4" s="565" t="s">
        <v>170</v>
      </c>
      <c r="G4" s="360" t="s">
        <v>102</v>
      </c>
    </row>
    <row r="5" spans="1:7" ht="12.75">
      <c r="A5" s="189">
        <f>'Input - Customer Data'!D6</f>
        <v>2013</v>
      </c>
      <c r="B5" s="176">
        <f>SUM('Input - Customer Data'!F32:F43)</f>
        <v>194595055.7587184</v>
      </c>
      <c r="C5" s="176">
        <f>SUM('Input - Adjustments &amp; Variables'!H5:H16)</f>
        <v>454992226.09244335</v>
      </c>
      <c r="D5" s="177">
        <f aca="true" t="shared" si="0" ref="D5:D14">B5/C5</f>
        <v>0.42768874850881833</v>
      </c>
      <c r="E5" s="176">
        <f>SUM(Forecast!C4:C15)</f>
        <v>444205116.3869417</v>
      </c>
      <c r="F5" s="176">
        <f aca="true" t="shared" si="1" ref="F5:F17">E5*D5</f>
        <v>189981530.3087451</v>
      </c>
      <c r="G5" s="175">
        <f>F5/'Input - Customer Data'!E6</f>
        <v>9533.755551254944</v>
      </c>
    </row>
    <row r="6" spans="1:7" ht="12.75">
      <c r="A6" s="189">
        <f>'Input - Customer Data'!D7</f>
        <v>2014</v>
      </c>
      <c r="B6" s="176">
        <f>SUM('Input - Customer Data'!F44:F55)</f>
        <v>193810675.42821345</v>
      </c>
      <c r="C6" s="176">
        <f>SUM('Input - Adjustments &amp; Variables'!H17:H28)</f>
        <v>453005451.03000003</v>
      </c>
      <c r="D6" s="177">
        <f t="shared" si="0"/>
        <v>0.4278329874122827</v>
      </c>
      <c r="E6" s="176">
        <f>SUM(Forecast!C16:C27)</f>
        <v>449537052.00079477</v>
      </c>
      <c r="F6" s="176">
        <f t="shared" si="1"/>
        <v>192326779.9100107</v>
      </c>
      <c r="G6" s="175">
        <f>F6/'Input - Customer Data'!E7</f>
        <v>9600.817673594891</v>
      </c>
    </row>
    <row r="7" spans="1:7" ht="12.75">
      <c r="A7" s="189">
        <f>'Input - Customer Data'!D8</f>
        <v>2015</v>
      </c>
      <c r="B7" s="176">
        <f>SUM('Input - Customer Data'!F56:F67)</f>
        <v>185320983.53799996</v>
      </c>
      <c r="C7" s="176">
        <f>SUM('Input - Adjustments &amp; Variables'!H29:H40)</f>
        <v>455412606.55</v>
      </c>
      <c r="D7" s="177">
        <f t="shared" si="0"/>
        <v>0.40692984970685797</v>
      </c>
      <c r="E7" s="176">
        <f>SUM(Forecast!C28:C39)</f>
        <v>446519571.9864564</v>
      </c>
      <c r="F7" s="176">
        <f t="shared" si="1"/>
        <v>181702142.31961924</v>
      </c>
      <c r="G7" s="175">
        <f>F7/'Input - Customer Data'!E8</f>
        <v>9024.231156636815</v>
      </c>
    </row>
    <row r="8" spans="1:7" ht="12.75">
      <c r="A8" s="189">
        <f>'Input - Customer Data'!D9</f>
        <v>2016</v>
      </c>
      <c r="B8" s="176">
        <f>SUM('Input - Customer Data'!F68:F79)</f>
        <v>179123216.213</v>
      </c>
      <c r="C8" s="176">
        <f>SUM('Input - Adjustments &amp; Variables'!H41:H52)</f>
        <v>440987678.6216054</v>
      </c>
      <c r="D8" s="177">
        <f t="shared" si="0"/>
        <v>0.4061864421538606</v>
      </c>
      <c r="E8" s="176">
        <f>SUM(Forecast!C40:C51)</f>
        <v>450254486.9273633</v>
      </c>
      <c r="F8" s="176">
        <f t="shared" si="1"/>
        <v>182887268.10883763</v>
      </c>
      <c r="G8" s="175">
        <f>F8/'Input - Customer Data'!E9</f>
        <v>9022.929808436671</v>
      </c>
    </row>
    <row r="9" spans="1:7" ht="12.75">
      <c r="A9" s="189">
        <f>'Input - Customer Data'!D10</f>
        <v>2017</v>
      </c>
      <c r="B9" s="176">
        <f>SUM('Input - Customer Data'!F80:F91)</f>
        <v>175230053.39799997</v>
      </c>
      <c r="C9" s="176">
        <f>SUM('Input - Adjustments &amp; Variables'!H53:H64)</f>
        <v>428225213.77720886</v>
      </c>
      <c r="D9" s="177">
        <f t="shared" si="0"/>
        <v>0.4092006910390995</v>
      </c>
      <c r="E9" s="176">
        <f>SUM(Forecast!C52:C63)</f>
        <v>444373758.3125505</v>
      </c>
      <c r="F9" s="176">
        <f t="shared" si="1"/>
        <v>181838048.98113745</v>
      </c>
      <c r="G9" s="175">
        <f>F9/'Input - Customer Data'!E10</f>
        <v>8862.367140127568</v>
      </c>
    </row>
    <row r="10" spans="1:7" ht="12.75">
      <c r="A10" s="189">
        <f>'Input - Customer Data'!D11</f>
        <v>2018</v>
      </c>
      <c r="B10" s="176">
        <f>SUM('Input - Customer Data'!F92:F103)</f>
        <v>189038322.37500003</v>
      </c>
      <c r="C10" s="176">
        <f>SUM('Input - Adjustments &amp; Variables'!H65:H76)</f>
        <v>450271296.015299</v>
      </c>
      <c r="D10" s="177">
        <f t="shared" si="0"/>
        <v>0.41983205247126615</v>
      </c>
      <c r="E10" s="176">
        <f>SUM(Forecast!C64:C75)</f>
        <v>457201766.7681932</v>
      </c>
      <c r="F10" s="176">
        <f t="shared" si="1"/>
        <v>191947956.13577968</v>
      </c>
      <c r="G10" s="175">
        <f>F10/'Input - Customer Data'!E11</f>
        <v>9274.042846217533</v>
      </c>
    </row>
    <row r="11" spans="1:7" ht="12.75">
      <c r="A11" s="189">
        <f>'Input - Customer Data'!D12</f>
        <v>2019</v>
      </c>
      <c r="B11" s="176">
        <f>SUM('Input - Customer Data'!F104:F115)</f>
        <v>188724158.96599996</v>
      </c>
      <c r="C11" s="176">
        <f>SUM('Input - Adjustments &amp; Variables'!H77:H88)</f>
        <v>453888186.39901006</v>
      </c>
      <c r="D11" s="177">
        <f t="shared" si="0"/>
        <v>0.4157943842144722</v>
      </c>
      <c r="E11" s="449">
        <f>SUM(Forecast!C76:C87)</f>
        <v>454714655.8398123</v>
      </c>
      <c r="F11" s="176">
        <f t="shared" si="1"/>
        <v>189067800.3182104</v>
      </c>
      <c r="G11" s="175">
        <f>F11/'Input - Customer Data'!E12</f>
        <v>9057.863317704108</v>
      </c>
    </row>
    <row r="12" spans="1:7" ht="12.75">
      <c r="A12" s="189">
        <f>'Input - Customer Data'!D13</f>
        <v>2020</v>
      </c>
      <c r="B12" s="176">
        <f>SUM('Input - Customer Data'!F116:F127)</f>
        <v>195030079.061</v>
      </c>
      <c r="C12" s="176">
        <f>SUM('Input - Adjustments &amp; Variables'!H89:H100)</f>
        <v>450797958.112</v>
      </c>
      <c r="D12" s="177">
        <f t="shared" si="0"/>
        <v>0.43263301341871896</v>
      </c>
      <c r="E12" s="176">
        <f>SUM(Forecast!C88:C99)</f>
        <v>454586102.7924016</v>
      </c>
      <c r="F12" s="176">
        <f t="shared" si="1"/>
        <v>196668955.50934824</v>
      </c>
      <c r="G12" s="175">
        <f>F12/'Input - Customer Data'!E14</f>
        <v>9242.396518132819</v>
      </c>
    </row>
    <row r="13" spans="1:7" ht="12.75">
      <c r="A13" s="189">
        <f>'Input - Customer Data'!D14</f>
        <v>2021</v>
      </c>
      <c r="B13" s="176">
        <f>SUM('Input - Customer Data'!F128:F139)</f>
        <v>195812266.30999997</v>
      </c>
      <c r="C13" s="176">
        <f>SUM('Input - Adjustments &amp; Variables'!H101:H112)</f>
        <v>457450104.7155</v>
      </c>
      <c r="D13" s="177">
        <f t="shared" si="0"/>
        <v>0.4280516373075937</v>
      </c>
      <c r="E13" s="176">
        <f>SUM(Forecast!C100:C111)</f>
        <v>448864670.82426304</v>
      </c>
      <c r="F13" s="176">
        <f t="shared" si="1"/>
        <v>192137257.2758599</v>
      </c>
      <c r="G13" s="175">
        <f>F13/'Input - Customer Data'!E15</f>
        <v>8932.323562746273</v>
      </c>
    </row>
    <row r="14" spans="1:7" ht="12.75">
      <c r="A14" s="568">
        <f>'Input - Customer Data'!D15</f>
        <v>2022</v>
      </c>
      <c r="B14" s="176">
        <f>SUM('Input - Customer Data'!F140:F151)</f>
        <v>198504570.42700002</v>
      </c>
      <c r="C14" s="449">
        <f>SUM('Input - Adjustments &amp; Variables'!H113:H124)</f>
        <v>460636970.19469994</v>
      </c>
      <c r="D14" s="177">
        <f t="shared" si="0"/>
        <v>0.43093495153699235</v>
      </c>
      <c r="E14" s="449">
        <f>SUM(Forecast!C112:C123)</f>
        <v>455410501.92018205</v>
      </c>
      <c r="F14" s="449">
        <f>E14*D14</f>
        <v>196252302.574411</v>
      </c>
      <c r="G14" s="450">
        <f>F14/'Input - Customer Data'!E19</f>
        <v>9046.46186949025</v>
      </c>
    </row>
    <row r="15" spans="1:7" ht="12.75">
      <c r="A15" s="408">
        <f>'Input - Customer Data'!D19</f>
        <v>2023</v>
      </c>
      <c r="B15" s="400"/>
      <c r="C15" s="400"/>
      <c r="D15" s="404">
        <f>AVERAGE(D5:D14)</f>
        <v>0.42050847577699624</v>
      </c>
      <c r="E15" s="400">
        <f>SUM(Forecast!C124:C135)</f>
        <v>458015496.02810496</v>
      </c>
      <c r="F15" s="400">
        <f>E15*D15</f>
        <v>192599398.1170233</v>
      </c>
      <c r="G15" s="403">
        <f>F15/'Input - Customer Data'!E19</f>
        <v>8878.077292834803</v>
      </c>
    </row>
    <row r="16" spans="1:7" ht="12.75">
      <c r="A16" s="408">
        <f>'Input - Customer Data'!D20</f>
        <v>2024</v>
      </c>
      <c r="B16" s="405"/>
      <c r="C16" s="406" t="s">
        <v>105</v>
      </c>
      <c r="D16" s="404">
        <f>AVERAGE(D5:D15)</f>
        <v>0.4205084757769963</v>
      </c>
      <c r="E16" s="400">
        <f>SUM(Forecast!C136:C147)</f>
        <v>459494657.7240422</v>
      </c>
      <c r="F16" s="400">
        <f t="shared" si="1"/>
        <v>193221398.14720958</v>
      </c>
      <c r="G16" s="403">
        <f>F16/'Input - Customer Data'!E20</f>
        <v>8831.416212826794</v>
      </c>
    </row>
    <row r="17" spans="1:7" ht="12.75">
      <c r="A17" s="347">
        <f>'Input - Customer Data'!D20</f>
        <v>2024</v>
      </c>
      <c r="B17" s="566"/>
      <c r="C17" s="566"/>
      <c r="D17" s="567">
        <f>D16</f>
        <v>0.4205084757769963</v>
      </c>
      <c r="E17" s="348">
        <f>SUM(Forecast!C136:C147)</f>
        <v>459494657.7240422</v>
      </c>
      <c r="F17" s="348">
        <f t="shared" si="1"/>
        <v>193221398.14720958</v>
      </c>
      <c r="G17" s="350" t="e">
        <f>F17/'Input - Customer Data'!#REF!</f>
        <v>#REF!</v>
      </c>
    </row>
    <row r="18" spans="1:14" ht="15">
      <c r="A18" s="742" t="s">
        <v>101</v>
      </c>
      <c r="B18" s="743"/>
      <c r="C18" s="743"/>
      <c r="D18" s="743"/>
      <c r="E18" s="743"/>
      <c r="F18" s="743"/>
      <c r="G18" s="744"/>
      <c r="N18" s="174"/>
    </row>
    <row r="19" spans="1:7" ht="12.75">
      <c r="A19" s="188"/>
      <c r="B19" s="343"/>
      <c r="C19" s="343"/>
      <c r="D19" s="343"/>
      <c r="E19" s="343"/>
      <c r="F19" s="343"/>
      <c r="G19" s="175"/>
    </row>
    <row r="20" spans="1:7" ht="12.75">
      <c r="A20" s="502" t="s">
        <v>62</v>
      </c>
      <c r="B20" s="162"/>
      <c r="C20" s="741" t="s">
        <v>233</v>
      </c>
      <c r="D20" s="162"/>
      <c r="E20" s="162"/>
      <c r="F20" s="162"/>
      <c r="G20" s="503"/>
    </row>
    <row r="21" spans="1:7" ht="22.5" customHeight="1">
      <c r="A21" s="504" t="s">
        <v>78</v>
      </c>
      <c r="B21" s="498" t="s">
        <v>99</v>
      </c>
      <c r="C21" s="741"/>
      <c r="D21" s="501" t="s">
        <v>98</v>
      </c>
      <c r="E21" s="498"/>
      <c r="F21" s="501"/>
      <c r="G21" s="192" t="s">
        <v>81</v>
      </c>
    </row>
    <row r="22" spans="1:7" ht="12.75">
      <c r="A22" s="171">
        <v>2023</v>
      </c>
      <c r="B22" s="343">
        <v>0</v>
      </c>
      <c r="C22" s="343">
        <f>G15</f>
        <v>8878.077292834803</v>
      </c>
      <c r="D22" s="343">
        <f>B22*C22</f>
        <v>0</v>
      </c>
      <c r="E22" s="343"/>
      <c r="F22" s="343"/>
      <c r="G22" s="172">
        <f>F15+D22</f>
        <v>192599398.1170233</v>
      </c>
    </row>
    <row r="23" spans="1:7" ht="13.5" thickBot="1">
      <c r="A23" s="484">
        <v>2024</v>
      </c>
      <c r="B23" s="342">
        <v>0</v>
      </c>
      <c r="C23" s="342">
        <f>G16</f>
        <v>8831.416212826794</v>
      </c>
      <c r="D23" s="342">
        <f>B23*C23</f>
        <v>0</v>
      </c>
      <c r="E23" s="342"/>
      <c r="F23" s="342"/>
      <c r="G23" s="170">
        <f>F16+D23</f>
        <v>193221398.14720958</v>
      </c>
    </row>
    <row r="24" spans="1:6" ht="12.75">
      <c r="A24" s="144"/>
      <c r="B24" s="144"/>
      <c r="C24" s="144"/>
      <c r="D24" s="144"/>
      <c r="E24" s="144"/>
      <c r="F24" s="144"/>
    </row>
    <row r="26" ht="13.5" thickBot="1"/>
    <row r="27" spans="1:7" ht="15.75">
      <c r="A27" s="735" t="str">
        <f>'Input - Customer Data'!A14</f>
        <v>General Service &lt; 50 kW</v>
      </c>
      <c r="B27" s="736"/>
      <c r="C27" s="736"/>
      <c r="D27" s="736"/>
      <c r="E27" s="736"/>
      <c r="F27" s="736"/>
      <c r="G27" s="737"/>
    </row>
    <row r="28" spans="1:7" ht="25.5">
      <c r="A28" s="361" t="s">
        <v>78</v>
      </c>
      <c r="B28" s="565" t="s">
        <v>153</v>
      </c>
      <c r="C28" s="565" t="s">
        <v>152</v>
      </c>
      <c r="D28" s="565" t="s">
        <v>104</v>
      </c>
      <c r="E28" s="565" t="s">
        <v>199</v>
      </c>
      <c r="F28" s="565" t="s">
        <v>103</v>
      </c>
      <c r="G28" s="360" t="s">
        <v>102</v>
      </c>
    </row>
    <row r="29" spans="1:7" ht="12.75">
      <c r="A29" s="189">
        <f aca="true" t="shared" si="2" ref="A29:A41">A5</f>
        <v>2013</v>
      </c>
      <c r="B29" s="176">
        <f>SUM('Input - Customer Data'!H32:H43)</f>
        <v>65659946.47047887</v>
      </c>
      <c r="C29" s="176">
        <f aca="true" t="shared" si="3" ref="C29:C38">C5</f>
        <v>454992226.09244335</v>
      </c>
      <c r="D29" s="177">
        <f aca="true" t="shared" si="4" ref="D29:D36">B29/C29</f>
        <v>0.14431004027118996</v>
      </c>
      <c r="E29" s="176">
        <f aca="true" t="shared" si="5" ref="E29:E41">E5</f>
        <v>444205116.3869417</v>
      </c>
      <c r="F29" s="176">
        <f aca="true" t="shared" si="6" ref="F29:F41">E29*D29</f>
        <v>64103258.23446818</v>
      </c>
      <c r="G29" s="175">
        <f>F29/'Input - Customer Data'!G6</f>
        <v>25649.853244868897</v>
      </c>
    </row>
    <row r="30" spans="1:7" ht="12.75">
      <c r="A30" s="189">
        <f t="shared" si="2"/>
        <v>2014</v>
      </c>
      <c r="B30" s="176">
        <f>SUM('Input - Customer Data'!H44:H55)</f>
        <v>67910428</v>
      </c>
      <c r="C30" s="176">
        <f t="shared" si="3"/>
        <v>453005451.03000003</v>
      </c>
      <c r="D30" s="177">
        <f t="shared" si="4"/>
        <v>0.14991084068766022</v>
      </c>
      <c r="E30" s="176">
        <f t="shared" si="5"/>
        <v>449537052.00079477</v>
      </c>
      <c r="F30" s="176">
        <f t="shared" si="6"/>
        <v>67390477.38569157</v>
      </c>
      <c r="G30" s="175">
        <f>F30/'Input - Customer Data'!G7</f>
        <v>26626.028204540326</v>
      </c>
    </row>
    <row r="31" spans="1:7" ht="12.75">
      <c r="A31" s="189">
        <f t="shared" si="2"/>
        <v>2015</v>
      </c>
      <c r="B31" s="176">
        <f>SUM('Input - Customer Data'!H56:H67)</f>
        <v>65575774.618999995</v>
      </c>
      <c r="C31" s="176">
        <f t="shared" si="3"/>
        <v>455412606.55</v>
      </c>
      <c r="D31" s="177">
        <f t="shared" si="4"/>
        <v>0.1439920056578416</v>
      </c>
      <c r="E31" s="176">
        <f t="shared" si="5"/>
        <v>446519571.9864564</v>
      </c>
      <c r="F31" s="176">
        <f t="shared" si="6"/>
        <v>64295248.73581084</v>
      </c>
      <c r="G31" s="175">
        <f>F31/'Input - Customer Data'!G8</f>
        <v>25451.704982177544</v>
      </c>
    </row>
    <row r="32" spans="1:7" ht="12.75">
      <c r="A32" s="189">
        <f t="shared" si="2"/>
        <v>2016</v>
      </c>
      <c r="B32" s="176">
        <f>SUM('Input - Customer Data'!H68:H79)</f>
        <v>65361600.17899999</v>
      </c>
      <c r="C32" s="176">
        <f t="shared" si="3"/>
        <v>440987678.6216054</v>
      </c>
      <c r="D32" s="177">
        <f t="shared" si="4"/>
        <v>0.1482163864153771</v>
      </c>
      <c r="E32" s="176">
        <f t="shared" si="5"/>
        <v>450254486.9273633</v>
      </c>
      <c r="F32" s="176">
        <f t="shared" si="6"/>
        <v>66735093.019683436</v>
      </c>
      <c r="G32" s="175">
        <f>F32/'Input - Customer Data'!G9</f>
        <v>26213.457159941117</v>
      </c>
    </row>
    <row r="33" spans="1:14" ht="12.75">
      <c r="A33" s="189">
        <f t="shared" si="2"/>
        <v>2017</v>
      </c>
      <c r="B33" s="176">
        <f>SUM('Input - Customer Data'!H80:H91)</f>
        <v>67751219.376</v>
      </c>
      <c r="C33" s="176">
        <f t="shared" si="3"/>
        <v>428225213.77720886</v>
      </c>
      <c r="D33" s="177">
        <f t="shared" si="4"/>
        <v>0.15821398926605165</v>
      </c>
      <c r="E33" s="176">
        <f t="shared" si="5"/>
        <v>444373758.3125505</v>
      </c>
      <c r="F33" s="176">
        <f t="shared" si="6"/>
        <v>70306145.0277769</v>
      </c>
      <c r="G33" s="175">
        <f>F33/'Input - Customer Data'!G10</f>
        <v>27264.85440879767</v>
      </c>
      <c r="J33" s="145"/>
      <c r="K33" s="145"/>
      <c r="L33" s="145"/>
      <c r="M33" s="145"/>
      <c r="N33" s="145"/>
    </row>
    <row r="34" spans="1:7" ht="12.75">
      <c r="A34" s="189">
        <f t="shared" si="2"/>
        <v>2018</v>
      </c>
      <c r="B34" s="176">
        <f>SUM('Input - Customer Data'!H92:H103)</f>
        <v>71822559.907</v>
      </c>
      <c r="C34" s="176">
        <f t="shared" si="3"/>
        <v>450271296.015299</v>
      </c>
      <c r="D34" s="177">
        <f t="shared" si="4"/>
        <v>0.15950952357522621</v>
      </c>
      <c r="E34" s="176">
        <f t="shared" si="5"/>
        <v>457201766.7681932</v>
      </c>
      <c r="F34" s="176">
        <f t="shared" si="6"/>
        <v>72928035.99494618</v>
      </c>
      <c r="G34" s="175">
        <f>F34/'Input - Customer Data'!G11</f>
        <v>28290.438738583893</v>
      </c>
    </row>
    <row r="35" spans="1:7" ht="12.75">
      <c r="A35" s="189">
        <f t="shared" si="2"/>
        <v>2019</v>
      </c>
      <c r="B35" s="176">
        <f>SUM('Input - Customer Data'!H104:H115)</f>
        <v>72750960.34200001</v>
      </c>
      <c r="C35" s="176">
        <f t="shared" si="3"/>
        <v>453888186.39901006</v>
      </c>
      <c r="D35" s="177">
        <f t="shared" si="4"/>
        <v>0.16028388162992444</v>
      </c>
      <c r="E35" s="176">
        <f t="shared" si="5"/>
        <v>454714655.8398123</v>
      </c>
      <c r="F35" s="176">
        <f t="shared" si="6"/>
        <v>72883430.07202029</v>
      </c>
      <c r="G35" s="175">
        <f>F35/'Input - Customer Data'!G12</f>
        <v>28172.953255516153</v>
      </c>
    </row>
    <row r="36" spans="1:7" ht="12.75">
      <c r="A36" s="189">
        <f t="shared" si="2"/>
        <v>2020</v>
      </c>
      <c r="B36" s="176">
        <f>SUM('Input - Customer Data'!H116:H127)</f>
        <v>68092748.37</v>
      </c>
      <c r="C36" s="176">
        <f t="shared" si="3"/>
        <v>450797958.112</v>
      </c>
      <c r="D36" s="177">
        <f t="shared" si="4"/>
        <v>0.15104937177440025</v>
      </c>
      <c r="E36" s="176">
        <f t="shared" si="5"/>
        <v>454586102.7924016</v>
      </c>
      <c r="F36" s="176">
        <f t="shared" si="6"/>
        <v>68664945.2441652</v>
      </c>
      <c r="G36" s="175">
        <f>F36/'Input - Customer Data'!G13</f>
        <v>26309.248153835768</v>
      </c>
    </row>
    <row r="37" spans="1:7" ht="12.75">
      <c r="A37" s="189">
        <f t="shared" si="2"/>
        <v>2021</v>
      </c>
      <c r="B37" s="176">
        <f>SUM('Input - Customer Data'!H128:H139)</f>
        <v>69561352.27299999</v>
      </c>
      <c r="C37" s="176">
        <f t="shared" si="3"/>
        <v>457450104.7155</v>
      </c>
      <c r="D37" s="177">
        <f>B37/C37</f>
        <v>0.15206325576482704</v>
      </c>
      <c r="E37" s="176">
        <f t="shared" si="5"/>
        <v>448864670.82426304</v>
      </c>
      <c r="F37" s="176">
        <f t="shared" si="6"/>
        <v>68255823.24334481</v>
      </c>
      <c r="G37" s="175">
        <f>F37/'Input - Customer Data'!G14</f>
        <v>26029.487365180594</v>
      </c>
    </row>
    <row r="38" spans="1:7" ht="12.75">
      <c r="A38" s="189">
        <f t="shared" si="2"/>
        <v>2022</v>
      </c>
      <c r="B38" s="176">
        <f>SUM('Input - Customer Data'!H140:H151)</f>
        <v>73619512.518</v>
      </c>
      <c r="C38" s="176">
        <f t="shared" si="3"/>
        <v>460636970.19469994</v>
      </c>
      <c r="D38" s="177">
        <f>B38/C38</f>
        <v>0.15982111137732355</v>
      </c>
      <c r="E38" s="176">
        <f t="shared" si="5"/>
        <v>455410501.92018205</v>
      </c>
      <c r="F38" s="176">
        <f t="shared" si="6"/>
        <v>72784212.54978824</v>
      </c>
      <c r="G38" s="175">
        <f>F38/'Input - Customer Data'!G15</f>
        <v>27423.484272581834</v>
      </c>
    </row>
    <row r="39" spans="1:7" ht="12.75">
      <c r="A39" s="407">
        <f t="shared" si="2"/>
        <v>2023</v>
      </c>
      <c r="B39" s="405"/>
      <c r="C39" s="406"/>
      <c r="D39" s="404">
        <f>AVERAGE(D29:D38)</f>
        <v>0.15273704064198218</v>
      </c>
      <c r="E39" s="400">
        <f t="shared" si="5"/>
        <v>458015496.02810496</v>
      </c>
      <c r="F39" s="400">
        <f>E39*D39</f>
        <v>69955931.4315023</v>
      </c>
      <c r="G39" s="403">
        <f>F39/'Input - Customer Data'!G19</f>
        <v>26182.302743940312</v>
      </c>
    </row>
    <row r="40" spans="1:7" ht="12.75">
      <c r="A40" s="407">
        <f t="shared" si="2"/>
        <v>2024</v>
      </c>
      <c r="B40" s="405"/>
      <c r="C40" s="406" t="s">
        <v>105</v>
      </c>
      <c r="D40" s="404">
        <f>AVERAGE(D29:D39)</f>
        <v>0.15273704064198218</v>
      </c>
      <c r="E40" s="400">
        <f t="shared" si="5"/>
        <v>459494657.7240422</v>
      </c>
      <c r="F40" s="400">
        <f t="shared" si="6"/>
        <v>70181854.21157072</v>
      </c>
      <c r="G40" s="403">
        <f>F40/'Input - Customer Data'!G20</f>
        <v>26091.91689937423</v>
      </c>
    </row>
    <row r="41" spans="1:7" ht="12.75">
      <c r="A41" s="347">
        <f t="shared" si="2"/>
        <v>2024</v>
      </c>
      <c r="B41" s="566"/>
      <c r="C41" s="566"/>
      <c r="D41" s="567">
        <f>D40</f>
        <v>0.15273704064198218</v>
      </c>
      <c r="E41" s="348">
        <f t="shared" si="5"/>
        <v>459494657.7240422</v>
      </c>
      <c r="F41" s="348">
        <f t="shared" si="6"/>
        <v>70181854.21157072</v>
      </c>
      <c r="G41" s="350">
        <f>F41/'Input - Customer Data'!G15</f>
        <v>26442.973108695678</v>
      </c>
    </row>
    <row r="42" spans="1:7" ht="15">
      <c r="A42" s="572" t="s">
        <v>101</v>
      </c>
      <c r="B42" s="570"/>
      <c r="C42" s="570"/>
      <c r="D42" s="570"/>
      <c r="E42" s="570"/>
      <c r="F42" s="570"/>
      <c r="G42" s="573"/>
    </row>
    <row r="43" spans="1:7" ht="12.75">
      <c r="A43" s="188"/>
      <c r="B43" s="343"/>
      <c r="C43" s="343"/>
      <c r="D43" s="343"/>
      <c r="E43" s="343"/>
      <c r="F43" s="343"/>
      <c r="G43" s="175"/>
    </row>
    <row r="44" spans="1:7" ht="12.75">
      <c r="A44" s="502" t="s">
        <v>100</v>
      </c>
      <c r="B44" s="162"/>
      <c r="C44" s="162"/>
      <c r="D44" s="162"/>
      <c r="E44" s="162"/>
      <c r="F44" s="162"/>
      <c r="G44" s="503"/>
    </row>
    <row r="45" spans="1:7" ht="12.75">
      <c r="A45" s="504" t="s">
        <v>78</v>
      </c>
      <c r="B45" s="498" t="s">
        <v>99</v>
      </c>
      <c r="C45" s="741" t="s">
        <v>233</v>
      </c>
      <c r="D45" s="499" t="s">
        <v>98</v>
      </c>
      <c r="E45" s="500"/>
      <c r="F45" s="499"/>
      <c r="G45" s="192" t="s">
        <v>81</v>
      </c>
    </row>
    <row r="46" spans="1:7" ht="12.75">
      <c r="A46" s="171">
        <f>A22</f>
        <v>2023</v>
      </c>
      <c r="B46" s="343">
        <v>0</v>
      </c>
      <c r="C46" s="741"/>
      <c r="D46" s="343">
        <f>B46*C46</f>
        <v>0</v>
      </c>
      <c r="E46" s="343"/>
      <c r="F46" s="343"/>
      <c r="G46" s="172">
        <f>F39+D46</f>
        <v>69955931.4315023</v>
      </c>
    </row>
    <row r="47" spans="1:7" ht="13.5" thickBot="1">
      <c r="A47" s="484">
        <f>A23</f>
        <v>2024</v>
      </c>
      <c r="B47" s="485">
        <v>0</v>
      </c>
      <c r="C47" s="486">
        <f>G40</f>
        <v>26091.91689937423</v>
      </c>
      <c r="D47" s="486">
        <f>B47*C47</f>
        <v>0</v>
      </c>
      <c r="E47" s="486"/>
      <c r="F47" s="486"/>
      <c r="G47" s="170">
        <f>F40+D47</f>
        <v>70181854.21157072</v>
      </c>
    </row>
    <row r="50" ht="13.5" thickBot="1"/>
    <row r="51" spans="1:12" ht="15.75">
      <c r="A51" s="735" t="str">
        <f>'Input - Customer Data'!A15</f>
        <v>General Service &gt; 50 to 4999 kW</v>
      </c>
      <c r="B51" s="736"/>
      <c r="C51" s="736"/>
      <c r="D51" s="736"/>
      <c r="E51" s="736"/>
      <c r="F51" s="736"/>
      <c r="G51" s="737"/>
      <c r="I51" s="738" t="str">
        <f>'Input - Customer Data'!A15</f>
        <v>General Service &gt; 50 to 4999 kW</v>
      </c>
      <c r="J51" s="739"/>
      <c r="K51" s="739"/>
      <c r="L51" s="740"/>
    </row>
    <row r="52" spans="1:12" ht="26.25" thickBot="1">
      <c r="A52" s="361" t="s">
        <v>78</v>
      </c>
      <c r="B52" s="565" t="s">
        <v>153</v>
      </c>
      <c r="C52" s="565" t="s">
        <v>152</v>
      </c>
      <c r="D52" s="565" t="s">
        <v>104</v>
      </c>
      <c r="E52" s="565" t="s">
        <v>200</v>
      </c>
      <c r="F52" s="565" t="s">
        <v>103</v>
      </c>
      <c r="G52" s="360" t="s">
        <v>102</v>
      </c>
      <c r="I52" s="242" t="s">
        <v>78</v>
      </c>
      <c r="J52" s="241" t="s">
        <v>79</v>
      </c>
      <c r="K52" s="243" t="s">
        <v>80</v>
      </c>
      <c r="L52" s="243" t="s">
        <v>108</v>
      </c>
    </row>
    <row r="53" spans="1:12" ht="12.75">
      <c r="A53" s="568">
        <f aca="true" t="shared" si="7" ref="A53:A65">A5</f>
        <v>2013</v>
      </c>
      <c r="B53" s="449">
        <f>SUM('Input - Customer Data'!J32:J43)</f>
        <v>171169775.99999997</v>
      </c>
      <c r="C53" s="449">
        <f aca="true" t="shared" si="8" ref="C53:C62">C29</f>
        <v>454992226.09244335</v>
      </c>
      <c r="D53" s="640">
        <f aca="true" t="shared" si="9" ref="D53:D61">B53/C53</f>
        <v>0.3762037375232482</v>
      </c>
      <c r="E53" s="449">
        <f aca="true" t="shared" si="10" ref="E53:E65">E29</f>
        <v>444205116.3869417</v>
      </c>
      <c r="F53" s="449">
        <f aca="true" t="shared" si="11" ref="F53:F65">E53*D53</f>
        <v>167111625.01171693</v>
      </c>
      <c r="G53" s="450">
        <f>F53/'Input - Customer Data'!I6</f>
        <v>617027.538504801</v>
      </c>
      <c r="I53" s="568">
        <f>'Input - Customer Data'!D6</f>
        <v>2013</v>
      </c>
      <c r="J53" s="449">
        <f>'Bridge&amp;Test Year Class Forecast'!B53</f>
        <v>171169775.99999997</v>
      </c>
      <c r="K53" s="449">
        <f>'Input - Customer Data'!C195</f>
        <v>476638.55048000003</v>
      </c>
      <c r="L53" s="641">
        <f aca="true" t="shared" si="12" ref="L53:L64">K53/J53</f>
        <v>0.002784595280886505</v>
      </c>
    </row>
    <row r="54" spans="1:12" ht="12.75">
      <c r="A54" s="568">
        <f t="shared" si="7"/>
        <v>2014</v>
      </c>
      <c r="B54" s="449">
        <f>SUM('Input - Customer Data'!J44:J55)</f>
        <v>168755215.00000006</v>
      </c>
      <c r="C54" s="449">
        <f t="shared" si="8"/>
        <v>453005451.03000003</v>
      </c>
      <c r="D54" s="640">
        <f t="shared" si="9"/>
        <v>0.3725235857897532</v>
      </c>
      <c r="E54" s="449">
        <f t="shared" si="10"/>
        <v>449537052.00079477</v>
      </c>
      <c r="F54" s="449">
        <f t="shared" si="11"/>
        <v>167463154.5566908</v>
      </c>
      <c r="G54" s="450">
        <f>F54/'Input - Customer Data'!I7</f>
        <v>710593.300806326</v>
      </c>
      <c r="I54" s="568">
        <f>'Input - Customer Data'!D7</f>
        <v>2014</v>
      </c>
      <c r="J54" s="449">
        <f>'Bridge&amp;Test Year Class Forecast'!B54</f>
        <v>168755215.00000006</v>
      </c>
      <c r="K54" s="449">
        <f>'Input - Customer Data'!D195</f>
        <v>459991.31669666676</v>
      </c>
      <c r="L54" s="641">
        <f t="shared" si="12"/>
        <v>0.0027257902322998825</v>
      </c>
    </row>
    <row r="55" spans="1:12" ht="12.75">
      <c r="A55" s="568">
        <f t="shared" si="7"/>
        <v>2015</v>
      </c>
      <c r="B55" s="449">
        <f>SUM('Input - Customer Data'!J56:J67)</f>
        <v>176163146.00000006</v>
      </c>
      <c r="C55" s="449">
        <f t="shared" si="8"/>
        <v>455412606.55</v>
      </c>
      <c r="D55" s="640">
        <f t="shared" si="9"/>
        <v>0.38682096952592593</v>
      </c>
      <c r="E55" s="449">
        <f t="shared" si="10"/>
        <v>446519571.9864564</v>
      </c>
      <c r="F55" s="449">
        <f t="shared" si="11"/>
        <v>172723133.74810255</v>
      </c>
      <c r="G55" s="450">
        <f>F55/'Input - Customer Data'!I8</f>
        <v>732912.8730471112</v>
      </c>
      <c r="I55" s="568">
        <f>'Input - Customer Data'!D8</f>
        <v>2015</v>
      </c>
      <c r="J55" s="449">
        <f>'Bridge&amp;Test Year Class Forecast'!B55</f>
        <v>176163146.00000006</v>
      </c>
      <c r="K55" s="449">
        <f>'Input - Customer Data'!E195</f>
        <v>460418.41745999997</v>
      </c>
      <c r="L55" s="641">
        <f t="shared" si="12"/>
        <v>0.0026135910257869704</v>
      </c>
    </row>
    <row r="56" spans="1:12" ht="12.75">
      <c r="A56" s="568">
        <f t="shared" si="7"/>
        <v>2016</v>
      </c>
      <c r="B56" s="449">
        <f>SUM('Input - Customer Data'!J68:J79)</f>
        <v>178404939.04</v>
      </c>
      <c r="C56" s="449">
        <f t="shared" si="8"/>
        <v>440987678.6216054</v>
      </c>
      <c r="D56" s="640">
        <f t="shared" si="9"/>
        <v>0.4045576502219746</v>
      </c>
      <c r="E56" s="449">
        <f t="shared" si="10"/>
        <v>450254486.9273633</v>
      </c>
      <c r="F56" s="449">
        <f t="shared" si="11"/>
        <v>182153897.23323485</v>
      </c>
      <c r="G56" s="450">
        <f>F56/'Input - Customer Data'!I9</f>
        <v>778990.294653891</v>
      </c>
      <c r="I56" s="568">
        <f>'Input - Customer Data'!D9</f>
        <v>2016</v>
      </c>
      <c r="J56" s="449">
        <f>'Bridge&amp;Test Year Class Forecast'!B56</f>
        <v>178404939.04</v>
      </c>
      <c r="K56" s="449">
        <f>'Input - Customer Data'!F195</f>
        <v>497479.4147300001</v>
      </c>
      <c r="L56" s="641">
        <f t="shared" si="12"/>
        <v>0.002788484542002846</v>
      </c>
    </row>
    <row r="57" spans="1:14" ht="12.75">
      <c r="A57" s="646">
        <f t="shared" si="7"/>
        <v>2017</v>
      </c>
      <c r="B57" s="458">
        <f>SUM('Input - Customer Data'!J80:J91)</f>
        <v>172094364.784</v>
      </c>
      <c r="C57" s="458">
        <f t="shared" si="8"/>
        <v>428225213.77720886</v>
      </c>
      <c r="D57" s="640">
        <f t="shared" si="9"/>
        <v>0.40187816888693273</v>
      </c>
      <c r="E57" s="449">
        <f t="shared" si="10"/>
        <v>444373758.3125505</v>
      </c>
      <c r="F57" s="449">
        <f>E57*D57</f>
        <v>178584112.29205218</v>
      </c>
      <c r="G57" s="450">
        <f>F57/'Input - Customer Data'!I10</f>
        <v>893733.0460475769</v>
      </c>
      <c r="H57" s="639"/>
      <c r="I57" s="568">
        <f>'Input - Customer Data'!D10</f>
        <v>2017</v>
      </c>
      <c r="J57" s="449">
        <f>'Bridge&amp;Test Year Class Forecast'!B57</f>
        <v>172094364.784</v>
      </c>
      <c r="K57" s="449">
        <f>'Input - Customer Data'!G195</f>
        <v>439035.3609600001</v>
      </c>
      <c r="L57" s="641">
        <f t="shared" si="12"/>
        <v>0.002551131534789326</v>
      </c>
      <c r="N57" s="144"/>
    </row>
    <row r="58" spans="1:19" ht="12.75">
      <c r="A58" s="646">
        <f t="shared" si="7"/>
        <v>2018</v>
      </c>
      <c r="B58" s="458">
        <f>SUM('Input - Customer Data'!J92:J103)</f>
        <v>178565971.013</v>
      </c>
      <c r="C58" s="458">
        <f t="shared" si="8"/>
        <v>450271296.015299</v>
      </c>
      <c r="D58" s="640">
        <f t="shared" si="9"/>
        <v>0.39657418226129343</v>
      </c>
      <c r="E58" s="449">
        <f t="shared" si="10"/>
        <v>457201766.7681932</v>
      </c>
      <c r="F58" s="449">
        <f t="shared" si="11"/>
        <v>181314416.7845148</v>
      </c>
      <c r="G58" s="450">
        <f>F58/'Input - Customer Data'!I11</f>
        <v>951781.7154042772</v>
      </c>
      <c r="H58" s="639"/>
      <c r="I58" s="568">
        <f>'Input - Customer Data'!D11</f>
        <v>2018</v>
      </c>
      <c r="J58" s="449">
        <f>'Bridge&amp;Test Year Class Forecast'!B58</f>
        <v>178565971.013</v>
      </c>
      <c r="K58" s="449">
        <f>'Input - Customer Data'!H195</f>
        <v>455528.08408</v>
      </c>
      <c r="L58" s="641">
        <f t="shared" si="12"/>
        <v>0.002551035236421594</v>
      </c>
      <c r="O58" s="169"/>
      <c r="P58" s="169"/>
      <c r="Q58" s="169"/>
      <c r="R58" s="169"/>
      <c r="S58" s="169"/>
    </row>
    <row r="59" spans="1:12" ht="12.75">
      <c r="A59" s="646">
        <f t="shared" si="7"/>
        <v>2019</v>
      </c>
      <c r="B59" s="458">
        <f>SUM('Input - Customer Data'!J104:J115)</f>
        <v>179642751.9</v>
      </c>
      <c r="C59" s="458">
        <f t="shared" si="8"/>
        <v>453888186.39901006</v>
      </c>
      <c r="D59" s="640">
        <f t="shared" si="9"/>
        <v>0.3957863572639392</v>
      </c>
      <c r="E59" s="449">
        <f t="shared" si="10"/>
        <v>454714655.8398123</v>
      </c>
      <c r="F59" s="449">
        <f t="shared" si="11"/>
        <v>179969857.22936508</v>
      </c>
      <c r="G59" s="450">
        <f>F59/'Input - Customer Data'!I12</f>
        <v>928876.6824741424</v>
      </c>
      <c r="H59" s="639"/>
      <c r="I59" s="568">
        <f>'Input - Customer Data'!D12</f>
        <v>2019</v>
      </c>
      <c r="J59" s="449">
        <f>'Bridge&amp;Test Year Class Forecast'!B59</f>
        <v>179642751.9</v>
      </c>
      <c r="K59" s="449">
        <f>'Input - Customer Data'!I195</f>
        <v>444478.41176999995</v>
      </c>
      <c r="L59" s="641">
        <f t="shared" si="12"/>
        <v>0.0024742351532079814</v>
      </c>
    </row>
    <row r="60" spans="1:12" ht="12.75">
      <c r="A60" s="646">
        <f t="shared" si="7"/>
        <v>2020</v>
      </c>
      <c r="B60" s="458">
        <f>SUM('Input - Customer Data'!J116:J127)</f>
        <v>171472845.8</v>
      </c>
      <c r="C60" s="458">
        <f t="shared" si="8"/>
        <v>450797958.112</v>
      </c>
      <c r="D60" s="640">
        <f t="shared" si="9"/>
        <v>0.38037626993287726</v>
      </c>
      <c r="E60" s="449">
        <f t="shared" si="10"/>
        <v>454586102.7924016</v>
      </c>
      <c r="F60" s="449">
        <f t="shared" si="11"/>
        <v>172913766.14349726</v>
      </c>
      <c r="G60" s="450">
        <f>F60/'Input - Customer Data'!I13</f>
        <v>942737.4801099352</v>
      </c>
      <c r="H60" s="639"/>
      <c r="I60" s="568">
        <f>'Input - Customer Data'!D13</f>
        <v>2020</v>
      </c>
      <c r="J60" s="449">
        <f>'Bridge&amp;Test Year Class Forecast'!B60</f>
        <v>171472845.8</v>
      </c>
      <c r="K60" s="449">
        <f>'Input - Customer Data'!J195</f>
        <v>426592.67704999994</v>
      </c>
      <c r="L60" s="641">
        <f t="shared" si="12"/>
        <v>0.0024878147619219132</v>
      </c>
    </row>
    <row r="61" spans="1:12" ht="12.75">
      <c r="A61" s="646">
        <f t="shared" si="7"/>
        <v>2021</v>
      </c>
      <c r="B61" s="458">
        <f>SUM('Input - Customer Data'!J128:J139)</f>
        <v>172409862.634</v>
      </c>
      <c r="C61" s="458">
        <f t="shared" si="8"/>
        <v>457450104.7155</v>
      </c>
      <c r="D61" s="640">
        <f t="shared" si="9"/>
        <v>0.37689326301767084</v>
      </c>
      <c r="E61" s="449">
        <f t="shared" si="10"/>
        <v>448864670.82426304</v>
      </c>
      <c r="F61" s="449">
        <f t="shared" si="11"/>
        <v>169174070.44030923</v>
      </c>
      <c r="G61" s="450">
        <f>F61/'Input - Customer Data'!I14</f>
        <v>931660.7825992247</v>
      </c>
      <c r="H61" s="639"/>
      <c r="I61" s="568">
        <f>'Input - Customer Data'!D14</f>
        <v>2021</v>
      </c>
      <c r="J61" s="449">
        <f>'Bridge&amp;Test Year Class Forecast'!B61</f>
        <v>172409862.634</v>
      </c>
      <c r="K61" s="449">
        <f>'Input - Customer Data'!K195</f>
        <v>429335.51749</v>
      </c>
      <c r="L61" s="641">
        <f t="shared" si="12"/>
        <v>0.0024902027699042614</v>
      </c>
    </row>
    <row r="62" spans="1:12" ht="12.75">
      <c r="A62" s="189">
        <f t="shared" si="7"/>
        <v>2022</v>
      </c>
      <c r="B62" s="458">
        <f>SUM('Input - Customer Data'!J140:J151)</f>
        <v>170442714.49999997</v>
      </c>
      <c r="C62" s="449">
        <f t="shared" si="8"/>
        <v>460636970.19469994</v>
      </c>
      <c r="D62" s="640">
        <f>B62/C62</f>
        <v>0.3700152734765471</v>
      </c>
      <c r="E62" s="449">
        <f t="shared" si="10"/>
        <v>455410501.92018205</v>
      </c>
      <c r="F62" s="449">
        <f>E62*D62</f>
        <v>168508841.41208774</v>
      </c>
      <c r="G62" s="450">
        <f>F62/'Input - Customer Data'!I15</f>
        <v>985912.2851999283</v>
      </c>
      <c r="I62" s="568">
        <f>'Input - Customer Data'!D15</f>
        <v>2022</v>
      </c>
      <c r="J62" s="449">
        <f>'Bridge&amp;Test Year Class Forecast'!B62</f>
        <v>170442714.49999997</v>
      </c>
      <c r="K62" s="449">
        <f>'Input - Customer Data'!L195</f>
        <v>422433.4543</v>
      </c>
      <c r="L62" s="641">
        <f>K62/J62</f>
        <v>0.0024784482900265005</v>
      </c>
    </row>
    <row r="63" spans="1:12" ht="12.75">
      <c r="A63" s="407">
        <f t="shared" si="7"/>
        <v>2023</v>
      </c>
      <c r="B63" s="405"/>
      <c r="C63" s="406"/>
      <c r="D63" s="404">
        <f>AVERAGE(D53:D62)</f>
        <v>0.38616294579001625</v>
      </c>
      <c r="E63" s="400">
        <f>E39</f>
        <v>458015496.02810496</v>
      </c>
      <c r="F63" s="400">
        <f>E63*D63</f>
        <v>176868613.1636885</v>
      </c>
      <c r="G63" s="403">
        <f>F63/'Input - Customer Data'!I19</f>
        <v>1089129.280799817</v>
      </c>
      <c r="I63" s="408">
        <f>'Input - Customer Data'!D19</f>
        <v>2023</v>
      </c>
      <c r="J63" s="400">
        <f>'Bridge&amp;Test Year Class Forecast'!F63</f>
        <v>176868613.1636885</v>
      </c>
      <c r="K63" s="400">
        <f>J63*$L$65</f>
        <v>443140.4116926996</v>
      </c>
      <c r="L63" s="401">
        <f>K63/J63</f>
        <v>0.0025054779577119296</v>
      </c>
    </row>
    <row r="64" spans="1:12" ht="12.75">
      <c r="A64" s="407">
        <f t="shared" si="7"/>
        <v>2024</v>
      </c>
      <c r="B64" s="405"/>
      <c r="C64" s="406" t="s">
        <v>105</v>
      </c>
      <c r="D64" s="404">
        <f>AVERAGE(D53:D63)</f>
        <v>0.38616294579001625</v>
      </c>
      <c r="E64" s="400">
        <f t="shared" si="10"/>
        <v>459494657.7240422</v>
      </c>
      <c r="F64" s="400">
        <f t="shared" si="11"/>
        <v>177439810.60149136</v>
      </c>
      <c r="G64" s="403">
        <f>F64/'Input - Customer Data'!I20</f>
        <v>1149986.6708653187</v>
      </c>
      <c r="I64" s="408">
        <f>'Input - Customer Data'!D20</f>
        <v>2024</v>
      </c>
      <c r="J64" s="571">
        <f>'Bridge&amp;Test Year Class Forecast'!F64</f>
        <v>177439810.60149136</v>
      </c>
      <c r="K64" s="571">
        <f>J64*$L$65</f>
        <v>444571.53428261617</v>
      </c>
      <c r="L64" s="401">
        <f t="shared" si="12"/>
        <v>0.0025054779577119296</v>
      </c>
    </row>
    <row r="65" spans="1:12" ht="12.75">
      <c r="A65" s="347">
        <f t="shared" si="7"/>
        <v>2024</v>
      </c>
      <c r="B65" s="566"/>
      <c r="C65" s="566"/>
      <c r="D65" s="567">
        <f>D64</f>
        <v>0.38616294579001625</v>
      </c>
      <c r="E65" s="348">
        <f t="shared" si="10"/>
        <v>459494657.7240422</v>
      </c>
      <c r="F65" s="348">
        <f t="shared" si="11"/>
        <v>177439810.60149136</v>
      </c>
      <c r="G65" s="350">
        <f>F65/'Input - Customer Data'!I15</f>
        <v>1038165.6397941962</v>
      </c>
      <c r="I65" s="184" t="s">
        <v>105</v>
      </c>
      <c r="J65" s="183"/>
      <c r="K65" s="183"/>
      <c r="L65" s="185">
        <f>AVERAGE(L57:L62)</f>
        <v>0.0025054779577119296</v>
      </c>
    </row>
    <row r="66" spans="1:7" ht="15">
      <c r="A66" s="569" t="s">
        <v>101</v>
      </c>
      <c r="B66" s="574"/>
      <c r="C66" s="574"/>
      <c r="D66" s="574"/>
      <c r="E66" s="574"/>
      <c r="F66" s="574"/>
      <c r="G66" s="575"/>
    </row>
    <row r="67" spans="1:7" ht="12.75">
      <c r="A67" s="188"/>
      <c r="B67" s="343"/>
      <c r="C67" s="343"/>
      <c r="D67" s="343"/>
      <c r="E67" s="343"/>
      <c r="F67" s="343"/>
      <c r="G67" s="175"/>
    </row>
    <row r="68" spans="1:7" ht="12.75">
      <c r="A68" s="502" t="s">
        <v>125</v>
      </c>
      <c r="B68" s="162"/>
      <c r="C68" s="162"/>
      <c r="D68" s="162"/>
      <c r="E68" s="162"/>
      <c r="F68" s="162"/>
      <c r="G68" s="503"/>
    </row>
    <row r="69" spans="1:7" ht="12.75">
      <c r="A69" s="504" t="s">
        <v>78</v>
      </c>
      <c r="B69" s="498" t="s">
        <v>99</v>
      </c>
      <c r="C69" s="741" t="s">
        <v>233</v>
      </c>
      <c r="D69" s="499" t="s">
        <v>98</v>
      </c>
      <c r="E69" s="498"/>
      <c r="F69" s="499"/>
      <c r="G69" s="192" t="s">
        <v>81</v>
      </c>
    </row>
    <row r="70" spans="1:7" ht="12.75">
      <c r="A70" s="407">
        <f>A63</f>
        <v>2023</v>
      </c>
      <c r="B70" s="343">
        <v>0</v>
      </c>
      <c r="C70" s="741"/>
      <c r="D70" s="343">
        <f>B70*C70</f>
        <v>0</v>
      </c>
      <c r="E70" s="343"/>
      <c r="F70" s="343"/>
      <c r="G70" s="172">
        <f>F63+D70</f>
        <v>176868613.1636885</v>
      </c>
    </row>
    <row r="71" spans="1:7" ht="13.5" thickBot="1">
      <c r="A71" s="484">
        <f>A64</f>
        <v>2024</v>
      </c>
      <c r="B71" s="485">
        <v>0</v>
      </c>
      <c r="C71" s="486">
        <f>G64</f>
        <v>1149986.6708653187</v>
      </c>
      <c r="D71" s="486">
        <f>B71*C71</f>
        <v>0</v>
      </c>
      <c r="E71" s="486"/>
      <c r="F71" s="486"/>
      <c r="G71" s="170">
        <f>F64+D71</f>
        <v>177439810.60149136</v>
      </c>
    </row>
    <row r="74" ht="13.5" thickBot="1"/>
    <row r="75" spans="1:7" ht="15.75">
      <c r="A75" s="738" t="str">
        <f>'Input - Customer Data'!A16</f>
        <v>USL</v>
      </c>
      <c r="B75" s="739"/>
      <c r="C75" s="739"/>
      <c r="D75" s="739"/>
      <c r="E75" s="739"/>
      <c r="F75" s="739"/>
      <c r="G75" s="740"/>
    </row>
    <row r="76" spans="1:7" ht="25.5">
      <c r="A76" s="361" t="s">
        <v>78</v>
      </c>
      <c r="B76" s="565" t="s">
        <v>79</v>
      </c>
      <c r="C76" s="565" t="s">
        <v>80</v>
      </c>
      <c r="D76" s="565" t="s">
        <v>154</v>
      </c>
      <c r="E76" s="565" t="s">
        <v>155</v>
      </c>
      <c r="F76" s="565" t="s">
        <v>156</v>
      </c>
      <c r="G76" s="360" t="s">
        <v>108</v>
      </c>
    </row>
    <row r="77" spans="1:7" ht="12.75">
      <c r="A77" s="189">
        <f>'Bridge&amp;Test Year Class Forecast'!I53</f>
        <v>2013</v>
      </c>
      <c r="B77" s="176">
        <f>SUM('Input - Customer Data'!M32:M43)</f>
        <v>290220.44745927386</v>
      </c>
      <c r="C77" s="176"/>
      <c r="D77" s="176">
        <f>'Input - Customer Data'!K6</f>
        <v>58</v>
      </c>
      <c r="E77" s="176">
        <f>B77/D77</f>
        <v>5003.800818263342</v>
      </c>
      <c r="F77" s="191">
        <f aca="true" t="shared" si="13" ref="F77:F89">C77/D77</f>
        <v>0</v>
      </c>
      <c r="G77" s="190">
        <f aca="true" t="shared" si="14" ref="G77:G89">C77/B77</f>
        <v>0</v>
      </c>
    </row>
    <row r="78" spans="1:7" ht="12.75">
      <c r="A78" s="189">
        <f>'Bridge&amp;Test Year Class Forecast'!I54</f>
        <v>2014</v>
      </c>
      <c r="B78" s="176">
        <f>SUM('Input - Customer Data'!M44:M55)</f>
        <v>287774.77200719935</v>
      </c>
      <c r="C78" s="176"/>
      <c r="D78" s="176">
        <f>'Input - Customer Data'!K7</f>
        <v>57</v>
      </c>
      <c r="E78" s="176">
        <f aca="true" t="shared" si="15" ref="E78:E89">B78/D78</f>
        <v>5048.68021065262</v>
      </c>
      <c r="F78" s="191">
        <f t="shared" si="13"/>
        <v>0</v>
      </c>
      <c r="G78" s="190">
        <f t="shared" si="14"/>
        <v>0</v>
      </c>
    </row>
    <row r="79" spans="1:7" ht="12.75">
      <c r="A79" s="189">
        <f>'Bridge&amp;Test Year Class Forecast'!I55</f>
        <v>2015</v>
      </c>
      <c r="B79" s="176">
        <f>SUM('Input - Customer Data'!M56:M67)</f>
        <v>287774.772</v>
      </c>
      <c r="C79" s="176"/>
      <c r="D79" s="176">
        <f>'Input - Customer Data'!K8</f>
        <v>57</v>
      </c>
      <c r="E79" s="176">
        <f t="shared" si="15"/>
        <v>5048.680210526316</v>
      </c>
      <c r="F79" s="191">
        <f t="shared" si="13"/>
        <v>0</v>
      </c>
      <c r="G79" s="190">
        <f t="shared" si="14"/>
        <v>0</v>
      </c>
    </row>
    <row r="80" spans="1:14" ht="12.75">
      <c r="A80" s="189">
        <f>'Bridge&amp;Test Year Class Forecast'!I56</f>
        <v>2016</v>
      </c>
      <c r="B80" s="176">
        <f>SUM('Input - Customer Data'!M68:M79)</f>
        <v>277131.966</v>
      </c>
      <c r="C80" s="176"/>
      <c r="D80" s="176">
        <f>'Input - Customer Data'!K9</f>
        <v>56.583333333333336</v>
      </c>
      <c r="E80" s="176">
        <f t="shared" si="15"/>
        <v>4897.766703976436</v>
      </c>
      <c r="F80" s="191">
        <f t="shared" si="13"/>
        <v>0</v>
      </c>
      <c r="G80" s="190">
        <f t="shared" si="14"/>
        <v>0</v>
      </c>
      <c r="I80"/>
      <c r="J80"/>
      <c r="K80"/>
      <c r="L80"/>
      <c r="M80"/>
      <c r="N80"/>
    </row>
    <row r="81" spans="1:14" ht="12.75">
      <c r="A81" s="189">
        <f>'Bridge&amp;Test Year Class Forecast'!I57</f>
        <v>2017</v>
      </c>
      <c r="B81" s="176">
        <f>SUM('Input - Customer Data'!M80:M91)</f>
        <v>261752.327</v>
      </c>
      <c r="C81" s="176"/>
      <c r="D81" s="176">
        <f>'Input - Customer Data'!K10</f>
        <v>54.18181818181818</v>
      </c>
      <c r="E81" s="176">
        <f t="shared" si="15"/>
        <v>4830.999323825504</v>
      </c>
      <c r="F81" s="191">
        <f t="shared" si="13"/>
        <v>0</v>
      </c>
      <c r="G81" s="190">
        <f t="shared" si="14"/>
        <v>0</v>
      </c>
      <c r="I81"/>
      <c r="J81"/>
      <c r="K81"/>
      <c r="L81"/>
      <c r="M81"/>
      <c r="N81"/>
    </row>
    <row r="82" spans="1:14" ht="12.75">
      <c r="A82" s="189">
        <f>'Bridge&amp;Test Year Class Forecast'!I58</f>
        <v>2018</v>
      </c>
      <c r="B82" s="176">
        <f>SUM('Input - Customer Data'!M92:M103)</f>
        <v>241032.331</v>
      </c>
      <c r="C82" s="176"/>
      <c r="D82" s="176">
        <f>'Input - Customer Data'!K11</f>
        <v>52.833333333333336</v>
      </c>
      <c r="E82" s="176">
        <f t="shared" si="15"/>
        <v>4562.126138801262</v>
      </c>
      <c r="F82" s="191">
        <f t="shared" si="13"/>
        <v>0</v>
      </c>
      <c r="G82" s="190">
        <f t="shared" si="14"/>
        <v>0</v>
      </c>
      <c r="I82"/>
      <c r="J82"/>
      <c r="K82"/>
      <c r="L82"/>
      <c r="M82"/>
      <c r="N82"/>
    </row>
    <row r="83" spans="1:14" ht="12.75">
      <c r="A83" s="189">
        <f>'Bridge&amp;Test Year Class Forecast'!I59</f>
        <v>2019</v>
      </c>
      <c r="B83" s="176">
        <f>SUM('Input - Customer Data'!M104:M115)</f>
        <v>222616.579</v>
      </c>
      <c r="C83" s="176"/>
      <c r="D83" s="176">
        <f>'Input - Customer Data'!K12</f>
        <v>50.333333333333336</v>
      </c>
      <c r="E83" s="176">
        <f t="shared" si="15"/>
        <v>4422.845940397351</v>
      </c>
      <c r="F83" s="191">
        <f t="shared" si="13"/>
        <v>0</v>
      </c>
      <c r="G83" s="190">
        <f t="shared" si="14"/>
        <v>0</v>
      </c>
      <c r="I83"/>
      <c r="J83"/>
      <c r="K83"/>
      <c r="L83"/>
      <c r="M83"/>
      <c r="N83"/>
    </row>
    <row r="84" spans="1:14" ht="12.75">
      <c r="A84" s="189">
        <f>'Bridge&amp;Test Year Class Forecast'!I60</f>
        <v>2020</v>
      </c>
      <c r="B84" s="176">
        <f>SUM('Input - Customer Data'!M116:M127)</f>
        <v>223044.18</v>
      </c>
      <c r="C84" s="176"/>
      <c r="D84" s="176">
        <f>'Input - Customer Data'!K13</f>
        <v>50</v>
      </c>
      <c r="E84" s="176">
        <f t="shared" si="15"/>
        <v>4460.8836</v>
      </c>
      <c r="F84" s="191">
        <f t="shared" si="13"/>
        <v>0</v>
      </c>
      <c r="G84" s="190">
        <f t="shared" si="14"/>
        <v>0</v>
      </c>
      <c r="I84"/>
      <c r="J84"/>
      <c r="K84"/>
      <c r="L84"/>
      <c r="M84"/>
      <c r="N84"/>
    </row>
    <row r="85" spans="1:14" ht="12.75">
      <c r="A85" s="189">
        <f>'Bridge&amp;Test Year Class Forecast'!I61</f>
        <v>2021</v>
      </c>
      <c r="B85" s="176">
        <f>SUM('Input - Customer Data'!M128:M139)</f>
        <v>222382.693</v>
      </c>
      <c r="C85" s="176"/>
      <c r="D85" s="176">
        <f>'Input - Customer Data'!K14</f>
        <v>49.75</v>
      </c>
      <c r="E85" s="176">
        <f t="shared" si="15"/>
        <v>4470.003879396985</v>
      </c>
      <c r="F85" s="191">
        <f t="shared" si="13"/>
        <v>0</v>
      </c>
      <c r="G85" s="190">
        <f t="shared" si="14"/>
        <v>0</v>
      </c>
      <c r="I85"/>
      <c r="J85"/>
      <c r="K85"/>
      <c r="L85"/>
      <c r="M85"/>
      <c r="N85"/>
    </row>
    <row r="86" spans="1:14" ht="12.75">
      <c r="A86" s="189">
        <f>'Bridge&amp;Test Year Class Forecast'!I62</f>
        <v>2022</v>
      </c>
      <c r="B86" s="176">
        <f>SUM('Input - Customer Data'!M140:M151)</f>
        <v>222218.772</v>
      </c>
      <c r="C86" s="176"/>
      <c r="D86" s="176">
        <f>'Input - Customer Data'!K15</f>
        <v>49</v>
      </c>
      <c r="E86" s="176">
        <f>B86/D86</f>
        <v>4535.076979591837</v>
      </c>
      <c r="F86" s="191">
        <f>C86/D86</f>
        <v>0</v>
      </c>
      <c r="G86" s="190">
        <f>C86/B86</f>
        <v>0</v>
      </c>
      <c r="I86"/>
      <c r="J86"/>
      <c r="K86"/>
      <c r="L86"/>
      <c r="M86"/>
      <c r="N86"/>
    </row>
    <row r="87" spans="1:7" ht="12.75">
      <c r="A87" s="407">
        <f>'Bridge&amp;Test Year Class Forecast'!I63</f>
        <v>2023</v>
      </c>
      <c r="B87" s="400">
        <f>D87*E91</f>
        <v>217683.69502040817</v>
      </c>
      <c r="C87" s="400"/>
      <c r="D87" s="400">
        <f>ROUND('Input - Customer Data'!K24,0)</f>
        <v>48</v>
      </c>
      <c r="E87" s="400">
        <f>B87/D87</f>
        <v>4535.076979591837</v>
      </c>
      <c r="F87" s="402">
        <f>C87/D87</f>
        <v>0</v>
      </c>
      <c r="G87" s="401">
        <f>C87/B87</f>
        <v>0</v>
      </c>
    </row>
    <row r="88" spans="1:7" ht="12.75">
      <c r="A88" s="407">
        <f>'Bridge&amp;Test Year Class Forecast'!I64</f>
        <v>2024</v>
      </c>
      <c r="B88" s="400">
        <f>D88*E91</f>
        <v>213148.61804081633</v>
      </c>
      <c r="C88" s="400"/>
      <c r="D88" s="400">
        <f>ROUND('Input - Customer Data'!K25,0)</f>
        <v>47</v>
      </c>
      <c r="E88" s="400">
        <f t="shared" si="15"/>
        <v>4535.076979591837</v>
      </c>
      <c r="F88" s="402">
        <f t="shared" si="13"/>
        <v>0</v>
      </c>
      <c r="G88" s="401">
        <f t="shared" si="14"/>
        <v>0</v>
      </c>
    </row>
    <row r="89" spans="1:7" ht="12.75">
      <c r="A89" s="347" t="e">
        <f>'Bridge&amp;Test Year Class Forecast'!#REF!</f>
        <v>#REF!</v>
      </c>
      <c r="B89" s="348">
        <f>D89*E91</f>
        <v>213148.61804081633</v>
      </c>
      <c r="C89" s="348">
        <f>D89*F91</f>
        <v>0</v>
      </c>
      <c r="D89" s="348">
        <f>ROUND('Input - Customer Data'!K25,0)</f>
        <v>47</v>
      </c>
      <c r="E89" s="348">
        <f t="shared" si="15"/>
        <v>4535.076979591837</v>
      </c>
      <c r="F89" s="351">
        <f t="shared" si="13"/>
        <v>0</v>
      </c>
      <c r="G89" s="349">
        <f t="shared" si="14"/>
        <v>0</v>
      </c>
    </row>
    <row r="90" spans="1:7" ht="12.75">
      <c r="A90" s="188"/>
      <c r="B90" s="176"/>
      <c r="C90" s="343"/>
      <c r="D90" s="343"/>
      <c r="E90" s="343"/>
      <c r="F90" s="343"/>
      <c r="G90" s="187"/>
    </row>
    <row r="91" spans="1:7" ht="12.75">
      <c r="A91" s="184" t="s">
        <v>105</v>
      </c>
      <c r="B91" s="183"/>
      <c r="C91" s="183"/>
      <c r="D91" s="183">
        <f>AVERAGE(D86)</f>
        <v>49</v>
      </c>
      <c r="E91" s="183">
        <f>AVERAGE(E86)</f>
        <v>4535.076979591837</v>
      </c>
      <c r="F91" s="186">
        <f>AVERAGE(F84:F86)</f>
        <v>0</v>
      </c>
      <c r="G91" s="185">
        <f>AVERAGE(G84:G86)</f>
        <v>0</v>
      </c>
    </row>
    <row r="92" spans="1:7" ht="13.5" thickBot="1">
      <c r="A92" s="182"/>
      <c r="B92" s="181"/>
      <c r="C92" s="179"/>
      <c r="D92" s="179"/>
      <c r="E92" s="179"/>
      <c r="F92" s="179"/>
      <c r="G92" s="178"/>
    </row>
    <row r="93" spans="1:6" ht="12.75">
      <c r="A93" s="144"/>
      <c r="B93" s="144"/>
      <c r="C93" s="144"/>
      <c r="D93" s="144"/>
      <c r="E93" s="144"/>
      <c r="F93" s="144"/>
    </row>
    <row r="94" spans="1:6" ht="13.5" thickBot="1">
      <c r="A94" s="144"/>
      <c r="B94" s="144"/>
      <c r="C94" s="144"/>
      <c r="D94" s="144"/>
      <c r="E94" s="144"/>
      <c r="F94" s="144"/>
    </row>
    <row r="95" spans="1:7" ht="15.75">
      <c r="A95" s="738" t="str">
        <f>'Input - Customer Data'!A17</f>
        <v>Sentinel</v>
      </c>
      <c r="B95" s="739"/>
      <c r="C95" s="739"/>
      <c r="D95" s="739"/>
      <c r="E95" s="739"/>
      <c r="F95" s="739"/>
      <c r="G95" s="740"/>
    </row>
    <row r="96" spans="1:14" ht="25.5">
      <c r="A96" s="361" t="s">
        <v>78</v>
      </c>
      <c r="B96" s="565" t="s">
        <v>79</v>
      </c>
      <c r="C96" s="565" t="s">
        <v>80</v>
      </c>
      <c r="D96" s="565" t="s">
        <v>107</v>
      </c>
      <c r="E96" s="565" t="s">
        <v>106</v>
      </c>
      <c r="F96" s="565" t="s">
        <v>109</v>
      </c>
      <c r="G96" s="360" t="s">
        <v>108</v>
      </c>
      <c r="I96" s="144"/>
      <c r="J96" s="169"/>
      <c r="N96" s="144"/>
    </row>
    <row r="97" spans="1:14" ht="12.75">
      <c r="A97" s="194" t="s">
        <v>59</v>
      </c>
      <c r="B97" s="193"/>
      <c r="C97" s="193"/>
      <c r="D97" s="193"/>
      <c r="E97" s="193"/>
      <c r="F97" s="193"/>
      <c r="G97" s="192"/>
      <c r="I97" s="144"/>
      <c r="J97" s="169"/>
      <c r="N97" s="144"/>
    </row>
    <row r="98" spans="1:14" ht="12.75">
      <c r="A98" s="189">
        <f>'Bridge&amp;Test Year Class Forecast'!I53</f>
        <v>2013</v>
      </c>
      <c r="B98" s="176">
        <f>SUM('Input - Customer Data'!O32:O43)</f>
        <v>14674.095</v>
      </c>
      <c r="C98" s="176">
        <f>ROUND(SUM('Input - Customer Data'!P32:P43),0)</f>
        <v>19</v>
      </c>
      <c r="D98" s="176">
        <f>'Input - Customer Data'!M6</f>
        <v>8.833333333333334</v>
      </c>
      <c r="E98" s="176">
        <f>B98/D98</f>
        <v>1661.2183018867922</v>
      </c>
      <c r="F98" s="191">
        <f aca="true" t="shared" si="16" ref="F98:F110">C98/D98</f>
        <v>2.150943396226415</v>
      </c>
      <c r="G98" s="190">
        <f aca="true" t="shared" si="17" ref="G98:G110">C98/B98</f>
        <v>0.0012947987593101994</v>
      </c>
      <c r="I98" s="144"/>
      <c r="J98" s="169"/>
      <c r="N98" s="144"/>
    </row>
    <row r="99" spans="1:14" ht="12.75">
      <c r="A99" s="189">
        <f>'Bridge&amp;Test Year Class Forecast'!I54</f>
        <v>2014</v>
      </c>
      <c r="B99" s="176">
        <f>SUM('Input - Customer Data'!O44:O55)</f>
        <v>14674.095</v>
      </c>
      <c r="C99" s="176">
        <f>ROUND(SUM('Input - Customer Data'!P44:P55),0)</f>
        <v>16</v>
      </c>
      <c r="D99" s="176">
        <f>'Input - Customer Data'!M7</f>
        <v>8</v>
      </c>
      <c r="E99" s="176">
        <f aca="true" t="shared" si="18" ref="E99:E109">B99/D99</f>
        <v>1834.261875</v>
      </c>
      <c r="F99" s="191">
        <f t="shared" si="16"/>
        <v>2</v>
      </c>
      <c r="G99" s="190">
        <f t="shared" si="17"/>
        <v>0.001090356849945431</v>
      </c>
      <c r="I99" s="144"/>
      <c r="J99" s="169"/>
      <c r="N99" s="144"/>
    </row>
    <row r="100" spans="1:14" ht="12.75">
      <c r="A100" s="189">
        <f>'Bridge&amp;Test Year Class Forecast'!I55</f>
        <v>2015</v>
      </c>
      <c r="B100" s="176">
        <f>SUM('Input - Customer Data'!O56:O67)</f>
        <v>11495.824000000002</v>
      </c>
      <c r="C100" s="176">
        <f>ROUND(SUM('Input - Customer Data'!P56:P67),0)</f>
        <v>16</v>
      </c>
      <c r="D100" s="176">
        <f>'Input - Customer Data'!M8</f>
        <v>8</v>
      </c>
      <c r="E100" s="176">
        <f t="shared" si="18"/>
        <v>1436.9780000000003</v>
      </c>
      <c r="F100" s="191">
        <f t="shared" si="16"/>
        <v>2</v>
      </c>
      <c r="G100" s="190">
        <f t="shared" si="17"/>
        <v>0.0013918097563080296</v>
      </c>
      <c r="I100" s="144"/>
      <c r="J100" s="169"/>
      <c r="N100" s="144"/>
    </row>
    <row r="101" spans="1:14" ht="12.75">
      <c r="A101" s="189">
        <f>'Bridge&amp;Test Year Class Forecast'!I56</f>
        <v>2016</v>
      </c>
      <c r="B101" s="176">
        <f>SUM('Input - Customer Data'!O68:O79)</f>
        <v>6019.398</v>
      </c>
      <c r="C101" s="176">
        <f>ROUND(SUM('Input - Customer Data'!P68:P79),0)</f>
        <v>16</v>
      </c>
      <c r="D101" s="176">
        <f>'Input - Customer Data'!M9</f>
        <v>7.916666666666667</v>
      </c>
      <c r="E101" s="176">
        <f t="shared" si="18"/>
        <v>760.3450105263158</v>
      </c>
      <c r="F101" s="191">
        <f t="shared" si="16"/>
        <v>2.0210526315789474</v>
      </c>
      <c r="G101" s="190">
        <f t="shared" si="17"/>
        <v>0.0026580731162817277</v>
      </c>
      <c r="I101" s="144"/>
      <c r="J101" s="169"/>
      <c r="N101" s="144"/>
    </row>
    <row r="102" spans="1:14" ht="12.75">
      <c r="A102" s="189">
        <f>'Bridge&amp;Test Year Class Forecast'!I57</f>
        <v>2017</v>
      </c>
      <c r="B102" s="176">
        <f>SUM('Input - Customer Data'!O80:O91)</f>
        <v>7857.688999999999</v>
      </c>
      <c r="C102" s="176">
        <f>ROUND(SUM('Input - Customer Data'!P80:P91),0)</f>
        <v>16</v>
      </c>
      <c r="D102" s="176">
        <f>'Input - Customer Data'!M10</f>
        <v>8</v>
      </c>
      <c r="E102" s="176">
        <f>B102/D102</f>
        <v>982.2111249999999</v>
      </c>
      <c r="F102" s="191">
        <f t="shared" si="16"/>
        <v>2</v>
      </c>
      <c r="G102" s="190">
        <f t="shared" si="17"/>
        <v>0.0020362221004165478</v>
      </c>
      <c r="I102" s="144"/>
      <c r="N102" s="144"/>
    </row>
    <row r="103" spans="1:14" ht="12.75">
      <c r="A103" s="189">
        <f>'Bridge&amp;Test Year Class Forecast'!I58</f>
        <v>2018</v>
      </c>
      <c r="B103" s="176">
        <f>SUM('Input - Customer Data'!O92:O103)</f>
        <v>7695.026000000001</v>
      </c>
      <c r="C103" s="176">
        <f>ROUND(SUM('Input - Customer Data'!P92:P103),0)</f>
        <v>16</v>
      </c>
      <c r="D103" s="176">
        <f>'Input - Customer Data'!M11</f>
        <v>9.333333333333334</v>
      </c>
      <c r="E103" s="176">
        <f t="shared" si="18"/>
        <v>824.4670714285714</v>
      </c>
      <c r="F103" s="191">
        <f t="shared" si="16"/>
        <v>1.7142857142857142</v>
      </c>
      <c r="G103" s="190">
        <f t="shared" si="17"/>
        <v>0.0020792652292532863</v>
      </c>
      <c r="I103" s="144"/>
      <c r="N103" s="144"/>
    </row>
    <row r="104" spans="1:14" ht="12.75">
      <c r="A104" s="189">
        <f>'Bridge&amp;Test Year Class Forecast'!I59</f>
        <v>2019</v>
      </c>
      <c r="B104" s="176">
        <f>SUM('Input - Customer Data'!O104:O115)</f>
        <v>7577.467999999999</v>
      </c>
      <c r="C104" s="176">
        <f>ROUND(SUM('Input - Customer Data'!P104:P115),0)</f>
        <v>16</v>
      </c>
      <c r="D104" s="176">
        <f>'Input - Customer Data'!M12</f>
        <v>9</v>
      </c>
      <c r="E104" s="176">
        <f t="shared" si="18"/>
        <v>841.9408888888888</v>
      </c>
      <c r="F104" s="191">
        <f t="shared" si="16"/>
        <v>1.7777777777777777</v>
      </c>
      <c r="G104" s="190">
        <f t="shared" si="17"/>
        <v>0.002111523268722481</v>
      </c>
      <c r="I104" s="144"/>
      <c r="N104" s="144"/>
    </row>
    <row r="105" spans="1:14" ht="12.75">
      <c r="A105" s="189">
        <f>'Bridge&amp;Test Year Class Forecast'!I60</f>
        <v>2020</v>
      </c>
      <c r="B105" s="176">
        <f>SUM('Input - Customer Data'!O116:O127)</f>
        <v>7597.115</v>
      </c>
      <c r="C105" s="176">
        <f>ROUND(SUM('Input - Customer Data'!P116:P127),0)</f>
        <v>16</v>
      </c>
      <c r="D105" s="176">
        <f>'Input - Customer Data'!M13</f>
        <v>8.916666666666666</v>
      </c>
      <c r="E105" s="176">
        <f t="shared" si="18"/>
        <v>852.0128971962617</v>
      </c>
      <c r="F105" s="191">
        <f t="shared" si="16"/>
        <v>1.7943925233644862</v>
      </c>
      <c r="G105" s="190">
        <f t="shared" si="17"/>
        <v>0.0021060626303537593</v>
      </c>
      <c r="I105" s="144"/>
      <c r="N105" s="144"/>
    </row>
    <row r="106" spans="1:14" ht="12.75">
      <c r="A106" s="189">
        <f>'Bridge&amp;Test Year Class Forecast'!I61</f>
        <v>2021</v>
      </c>
      <c r="B106" s="176">
        <f>SUM('Input - Customer Data'!O128:O139)</f>
        <v>7576.029999999998</v>
      </c>
      <c r="C106" s="176">
        <f>ROUND(SUM('Input - Customer Data'!P128:P139),0)</f>
        <v>16</v>
      </c>
      <c r="D106" s="176">
        <f>'Input - Customer Data'!M14</f>
        <v>8.416666666666666</v>
      </c>
      <c r="E106" s="176">
        <f t="shared" si="18"/>
        <v>900.1223762376236</v>
      </c>
      <c r="F106" s="191">
        <f t="shared" si="16"/>
        <v>1.9009900990099011</v>
      </c>
      <c r="G106" s="190">
        <f t="shared" si="17"/>
        <v>0.0021119240552109754</v>
      </c>
      <c r="I106" s="144"/>
      <c r="N106" s="144"/>
    </row>
    <row r="107" spans="1:14" ht="12.75">
      <c r="A107" s="189">
        <f>'Bridge&amp;Test Year Class Forecast'!I62</f>
        <v>2022</v>
      </c>
      <c r="B107" s="176">
        <f>SUM('Input - Customer Data'!O140:O151)</f>
        <v>7576.047</v>
      </c>
      <c r="C107" s="176">
        <f>ROUND(SUM('Input - Customer Data'!P140:P151),0)</f>
        <v>16</v>
      </c>
      <c r="D107" s="176">
        <f>'Input - Customer Data'!M15</f>
        <v>8.416666666666666</v>
      </c>
      <c r="E107" s="176">
        <f>B107/D107</f>
        <v>900.124396039604</v>
      </c>
      <c r="F107" s="191">
        <f>C107/D107</f>
        <v>1.9009900990099011</v>
      </c>
      <c r="G107" s="190">
        <f>C107/B107</f>
        <v>0.0021119193162344426</v>
      </c>
      <c r="I107" s="144"/>
      <c r="N107" s="144"/>
    </row>
    <row r="108" spans="1:14" ht="12.75">
      <c r="A108" s="407">
        <f>'Bridge&amp;Test Year Class Forecast'!I63</f>
        <v>2023</v>
      </c>
      <c r="B108" s="400">
        <f>ROUND(D108*E112,0)</f>
        <v>7249</v>
      </c>
      <c r="C108" s="400">
        <f>ROUND(D108*F112,0)</f>
        <v>16</v>
      </c>
      <c r="D108" s="400">
        <f>'Input - Customer Data'!M24</f>
        <v>8.371600930182808</v>
      </c>
      <c r="E108" s="400">
        <f>B108/D108</f>
        <v>865.9036736766316</v>
      </c>
      <c r="F108" s="402">
        <f>C108/D108</f>
        <v>1.9112234485896131</v>
      </c>
      <c r="G108" s="401">
        <f>C108/B108</f>
        <v>0.002207200993240447</v>
      </c>
      <c r="I108" s="144"/>
      <c r="J108" s="169"/>
      <c r="N108" s="144"/>
    </row>
    <row r="109" spans="1:14" ht="12.75">
      <c r="A109" s="407">
        <f>'Bridge&amp;Test Year Class Forecast'!I64</f>
        <v>2024</v>
      </c>
      <c r="B109" s="400">
        <f>ROUND(D109*E112,0)</f>
        <v>7210</v>
      </c>
      <c r="C109" s="400">
        <f>ROUND(D109*F112,0)</f>
        <v>16</v>
      </c>
      <c r="D109" s="400">
        <f>'Input - Customer Data'!M25</f>
        <v>8.326776491196554</v>
      </c>
      <c r="E109" s="400">
        <f t="shared" si="18"/>
        <v>865.8812936341859</v>
      </c>
      <c r="F109" s="402">
        <f t="shared" si="16"/>
        <v>1.921511886012063</v>
      </c>
      <c r="G109" s="401">
        <f t="shared" si="17"/>
        <v>0.002219140083217753</v>
      </c>
      <c r="I109" s="144"/>
      <c r="J109" s="169"/>
      <c r="N109" s="144"/>
    </row>
    <row r="110" spans="1:14" ht="12.75">
      <c r="A110" s="347" t="e">
        <f>'Bridge&amp;Test Year Class Forecast'!#REF!</f>
        <v>#REF!</v>
      </c>
      <c r="B110" s="348">
        <f>D110*E112</f>
        <v>7210.06507956081</v>
      </c>
      <c r="C110" s="348">
        <f>ROUND(D110*F112,0)</f>
        <v>16</v>
      </c>
      <c r="D110" s="348">
        <f>'Input - Customer Data'!M25</f>
        <v>8.326776491196554</v>
      </c>
      <c r="E110" s="348">
        <f>B110/D110</f>
        <v>865.889109331038</v>
      </c>
      <c r="F110" s="351">
        <f t="shared" si="16"/>
        <v>1.921511886012063</v>
      </c>
      <c r="G110" s="349">
        <f t="shared" si="17"/>
        <v>0.002219120052793562</v>
      </c>
      <c r="I110" s="144"/>
      <c r="J110" s="169"/>
      <c r="N110" s="144"/>
    </row>
    <row r="111" spans="1:14" ht="12.75">
      <c r="A111" s="188"/>
      <c r="B111" s="343"/>
      <c r="C111" s="343"/>
      <c r="D111" s="343"/>
      <c r="E111" s="343"/>
      <c r="F111" s="343"/>
      <c r="G111" s="187"/>
      <c r="I111" s="144"/>
      <c r="J111" s="169"/>
      <c r="N111" s="144"/>
    </row>
    <row r="112" spans="1:14" ht="12.75">
      <c r="A112" s="184" t="s">
        <v>105</v>
      </c>
      <c r="B112" s="183"/>
      <c r="C112" s="183"/>
      <c r="D112" s="183">
        <f>AVERAGE(D102:D107)</f>
        <v>8.680555555555555</v>
      </c>
      <c r="E112" s="183">
        <f>AVERAGE(E101:E107)</f>
        <v>865.889109331038</v>
      </c>
      <c r="F112" s="186">
        <f>AVERAGE(F101:F107)</f>
        <v>1.872784120718104</v>
      </c>
      <c r="G112" s="186">
        <f>AVERAGE(G101:G107)</f>
        <v>0.002173569959496174</v>
      </c>
      <c r="I112" s="144"/>
      <c r="J112" s="169"/>
      <c r="N112" s="144"/>
    </row>
    <row r="113" spans="1:14" ht="13.5" thickBot="1">
      <c r="A113" s="180"/>
      <c r="B113" s="179"/>
      <c r="C113" s="179"/>
      <c r="D113" s="179"/>
      <c r="E113" s="179"/>
      <c r="F113" s="179"/>
      <c r="G113" s="178"/>
      <c r="I113" s="144"/>
      <c r="J113" s="169"/>
      <c r="N113" s="144"/>
    </row>
    <row r="114" spans="1:14" ht="12.75">
      <c r="A114" s="144"/>
      <c r="B114" s="144"/>
      <c r="C114" s="144"/>
      <c r="D114" s="144"/>
      <c r="E114" s="144"/>
      <c r="F114" s="144"/>
      <c r="I114" s="144"/>
      <c r="J114" s="169"/>
      <c r="N114" s="144"/>
    </row>
    <row r="115" spans="3:14" ht="13.5" thickBot="1">
      <c r="C115" s="144"/>
      <c r="D115" s="144"/>
      <c r="E115" s="144"/>
      <c r="F115" s="144"/>
      <c r="I115" s="144"/>
      <c r="J115" s="169"/>
      <c r="N115" s="144"/>
    </row>
    <row r="116" spans="1:14" ht="15.75">
      <c r="A116" s="745" t="s">
        <v>230</v>
      </c>
      <c r="B116" s="746"/>
      <c r="C116" s="746"/>
      <c r="D116" s="746"/>
      <c r="E116" s="746"/>
      <c r="F116" s="746"/>
      <c r="G116" s="747"/>
      <c r="I116" s="144"/>
      <c r="J116" s="169"/>
      <c r="N116" s="144"/>
    </row>
    <row r="117" spans="1:14" ht="25.5">
      <c r="A117" s="361" t="s">
        <v>78</v>
      </c>
      <c r="B117" s="565" t="s">
        <v>79</v>
      </c>
      <c r="C117" s="565" t="s">
        <v>80</v>
      </c>
      <c r="D117" s="565" t="s">
        <v>107</v>
      </c>
      <c r="E117" s="565" t="s">
        <v>106</v>
      </c>
      <c r="F117" s="565" t="s">
        <v>109</v>
      </c>
      <c r="G117" s="360" t="s">
        <v>108</v>
      </c>
      <c r="I117" s="144"/>
      <c r="J117" s="169"/>
      <c r="N117" s="144"/>
    </row>
    <row r="118" spans="1:14" ht="12.75">
      <c r="A118" s="194" t="s">
        <v>59</v>
      </c>
      <c r="B118" s="193"/>
      <c r="C118" s="193"/>
      <c r="D118" s="193"/>
      <c r="E118" s="193"/>
      <c r="F118" s="193"/>
      <c r="G118" s="192"/>
      <c r="I118" s="144"/>
      <c r="J118" s="169"/>
      <c r="N118" s="144"/>
    </row>
    <row r="119" spans="1:14" ht="12.75">
      <c r="A119" s="189">
        <f aca="true" t="shared" si="19" ref="A119:A130">A98</f>
        <v>2013</v>
      </c>
      <c r="B119" s="176">
        <f>SUM('Input - Customer Data'!R32:R43)</f>
        <v>4934582.46598576</v>
      </c>
      <c r="C119" s="176">
        <f>ROUND(SUM('Input - Customer Data'!S32:S43),0)</f>
        <v>13681</v>
      </c>
      <c r="D119" s="176">
        <f>'Input - Customer Data'!O6</f>
        <v>6013</v>
      </c>
      <c r="E119" s="176">
        <f>B119/D119</f>
        <v>820.652330947241</v>
      </c>
      <c r="F119" s="191">
        <f>C119/D119</f>
        <v>2.275236986529187</v>
      </c>
      <c r="G119" s="190">
        <f>C119/B119</f>
        <v>0.002772473678229837</v>
      </c>
      <c r="I119" s="144"/>
      <c r="J119" s="169"/>
      <c r="N119" s="144"/>
    </row>
    <row r="120" spans="1:14" ht="12.75">
      <c r="A120" s="189">
        <f t="shared" si="19"/>
        <v>2014</v>
      </c>
      <c r="B120" s="176">
        <f>SUM('Input - Customer Data'!R44:R55)</f>
        <v>4958778.059056399</v>
      </c>
      <c r="C120" s="176">
        <f>ROUND(SUM('Input - Customer Data'!S44:S55),0)</f>
        <v>12828</v>
      </c>
      <c r="D120" s="176">
        <f>'Input - Customer Data'!O7</f>
        <v>6029.166666666667</v>
      </c>
      <c r="E120" s="176">
        <f aca="true" t="shared" si="20" ref="E120:E128">B120/D120</f>
        <v>822.4649164986425</v>
      </c>
      <c r="F120" s="191">
        <f aca="true" t="shared" si="21" ref="F120:F128">C120/D120</f>
        <v>2.127657221838286</v>
      </c>
      <c r="G120" s="190">
        <f aca="true" t="shared" si="22" ref="G120:G128">C120/B120</f>
        <v>0.00258692763564438</v>
      </c>
      <c r="I120" s="144"/>
      <c r="J120" s="169"/>
      <c r="N120" s="144"/>
    </row>
    <row r="121" spans="1:14" ht="12.75">
      <c r="A121" s="189">
        <f t="shared" si="19"/>
        <v>2015</v>
      </c>
      <c r="B121" s="176">
        <f>SUM('Input - Customer Data'!R56:R67)</f>
        <v>3138531.614</v>
      </c>
      <c r="C121" s="176">
        <f>ROUND(SUM('Input - Customer Data'!S56:S67),0)</f>
        <v>8337</v>
      </c>
      <c r="D121" s="176">
        <f>'Input - Customer Data'!O8</f>
        <v>6126.75</v>
      </c>
      <c r="E121" s="176">
        <f t="shared" si="20"/>
        <v>512.2669627453381</v>
      </c>
      <c r="F121" s="191">
        <f t="shared" si="21"/>
        <v>1.3607540702656384</v>
      </c>
      <c r="G121" s="190">
        <f t="shared" si="22"/>
        <v>0.0026563377481403313</v>
      </c>
      <c r="I121" s="144"/>
      <c r="J121" s="169"/>
      <c r="N121" s="144"/>
    </row>
    <row r="122" spans="1:14" ht="12.75">
      <c r="A122" s="189">
        <f t="shared" si="19"/>
        <v>2016</v>
      </c>
      <c r="B122" s="176">
        <f>SUM('Input - Customer Data'!R68:R79)</f>
        <v>2697790.6870000004</v>
      </c>
      <c r="C122" s="176">
        <f>ROUND(SUM('Input - Customer Data'!S68:S79),0)</f>
        <v>7337</v>
      </c>
      <c r="D122" s="176">
        <f>'Input - Customer Data'!O9</f>
        <v>6244.083333333333</v>
      </c>
      <c r="E122" s="176">
        <f t="shared" si="20"/>
        <v>432.05552248128237</v>
      </c>
      <c r="F122" s="191">
        <f t="shared" si="21"/>
        <v>1.1750323639712261</v>
      </c>
      <c r="G122" s="190">
        <f t="shared" si="22"/>
        <v>0.0027196327852102185</v>
      </c>
      <c r="I122" s="144"/>
      <c r="J122" s="169"/>
      <c r="N122" s="144"/>
    </row>
    <row r="123" spans="1:14" ht="12.75">
      <c r="A123" s="189">
        <f t="shared" si="19"/>
        <v>2017</v>
      </c>
      <c r="B123" s="176">
        <f>SUM('Input - Customer Data'!R80:R91)</f>
        <v>2766984.711</v>
      </c>
      <c r="C123" s="176">
        <f>ROUND(SUM('Input - Customer Data'!S80:S91),0)</f>
        <v>7368</v>
      </c>
      <c r="D123" s="176">
        <f>'Input - Customer Data'!O10</f>
        <v>6181.363636363636</v>
      </c>
      <c r="E123" s="176">
        <f t="shared" si="20"/>
        <v>447.63338217515997</v>
      </c>
      <c r="F123" s="191">
        <f t="shared" si="21"/>
        <v>1.1919699977939555</v>
      </c>
      <c r="G123" s="190">
        <f t="shared" si="22"/>
        <v>0.0026628264228237</v>
      </c>
      <c r="I123" s="144"/>
      <c r="J123" s="169"/>
      <c r="N123" s="144"/>
    </row>
    <row r="124" spans="1:14" ht="12.75">
      <c r="A124" s="189">
        <f t="shared" si="19"/>
        <v>2018</v>
      </c>
      <c r="B124" s="176">
        <f>SUM('Input - Customer Data'!R92:R103)</f>
        <v>2480513.1</v>
      </c>
      <c r="C124" s="176">
        <f>ROUND(SUM('Input - Customer Data'!S92:S103),0)</f>
        <v>6215</v>
      </c>
      <c r="D124" s="176">
        <f>'Input - Customer Data'!O11</f>
        <v>6204.5</v>
      </c>
      <c r="E124" s="176">
        <f t="shared" si="20"/>
        <v>399.7925860262713</v>
      </c>
      <c r="F124" s="191">
        <f t="shared" si="21"/>
        <v>1.001692320090257</v>
      </c>
      <c r="G124" s="190">
        <f t="shared" si="22"/>
        <v>0.002505530005062259</v>
      </c>
      <c r="I124" s="144"/>
      <c r="N124" s="144"/>
    </row>
    <row r="125" spans="1:14" ht="12.75">
      <c r="A125" s="189">
        <f t="shared" si="19"/>
        <v>2019</v>
      </c>
      <c r="B125" s="176">
        <f>SUM('Input - Customer Data'!R104:R115)</f>
        <v>2298862.4</v>
      </c>
      <c r="C125" s="176">
        <f>ROUND(SUM('Input - Customer Data'!S104:S115),0)</f>
        <v>6235</v>
      </c>
      <c r="D125" s="176">
        <f>'Input - Customer Data'!O12</f>
        <v>6279.916666666667</v>
      </c>
      <c r="E125" s="176">
        <f t="shared" si="20"/>
        <v>366.06574928011247</v>
      </c>
      <c r="F125" s="191">
        <f t="shared" si="21"/>
        <v>0.992847569633355</v>
      </c>
      <c r="G125" s="190">
        <f t="shared" si="22"/>
        <v>0.0027122110483863674</v>
      </c>
      <c r="I125" s="144"/>
      <c r="J125" s="169"/>
      <c r="N125" s="144"/>
    </row>
    <row r="126" spans="1:14" ht="12.75">
      <c r="A126" s="189">
        <f t="shared" si="19"/>
        <v>2020</v>
      </c>
      <c r="B126" s="176">
        <f>SUM('Input - Customer Data'!R116:R127)</f>
        <v>2321450.5</v>
      </c>
      <c r="C126" s="176">
        <f>ROUND(SUM('Input - Customer Data'!S116:S127),0)</f>
        <v>6235</v>
      </c>
      <c r="D126" s="176">
        <f>'Input - Customer Data'!O13</f>
        <v>6285.416666666667</v>
      </c>
      <c r="E126" s="176">
        <f t="shared" si="20"/>
        <v>369.3391581040769</v>
      </c>
      <c r="F126" s="191">
        <f t="shared" si="21"/>
        <v>0.9919787868743785</v>
      </c>
      <c r="G126" s="190">
        <f t="shared" si="22"/>
        <v>0.002685820783169833</v>
      </c>
      <c r="I126" s="144"/>
      <c r="J126" s="169"/>
      <c r="N126" s="144"/>
    </row>
    <row r="127" spans="1:14" ht="12.75">
      <c r="A127" s="189">
        <f t="shared" si="19"/>
        <v>2021</v>
      </c>
      <c r="B127" s="176">
        <f>SUM('Input - Customer Data'!R128:R139)</f>
        <v>2315541.1</v>
      </c>
      <c r="C127" s="176">
        <f>ROUND(SUM('Input - Customer Data'!S128:S139),0)</f>
        <v>6232</v>
      </c>
      <c r="D127" s="176">
        <f>'Input - Customer Data'!O14</f>
        <v>6283</v>
      </c>
      <c r="E127" s="176">
        <f t="shared" si="20"/>
        <v>368.5406812032469</v>
      </c>
      <c r="F127" s="191">
        <f t="shared" si="21"/>
        <v>0.9918828585070826</v>
      </c>
      <c r="G127" s="190">
        <f t="shared" si="22"/>
        <v>0.0026913795656660984</v>
      </c>
      <c r="I127" s="144"/>
      <c r="J127" s="169"/>
      <c r="N127" s="144"/>
    </row>
    <row r="128" spans="1:14" ht="12.75">
      <c r="A128" s="189">
        <f t="shared" si="19"/>
        <v>2022</v>
      </c>
      <c r="B128" s="176">
        <f>SUM('Input - Customer Data'!R140:R151)</f>
        <v>2315417.4</v>
      </c>
      <c r="C128" s="176">
        <f>ROUND(SUM('Input - Customer Data'!S140:S151),0)</f>
        <v>6232</v>
      </c>
      <c r="D128" s="176">
        <f>'Input - Customer Data'!O15</f>
        <v>6283</v>
      </c>
      <c r="E128" s="176">
        <f t="shared" si="20"/>
        <v>368.5209931561356</v>
      </c>
      <c r="F128" s="191">
        <f t="shared" si="21"/>
        <v>0.9918828585070826</v>
      </c>
      <c r="G128" s="190">
        <f t="shared" si="22"/>
        <v>0.0026915233512540765</v>
      </c>
      <c r="I128" s="144"/>
      <c r="J128" s="169"/>
      <c r="N128" s="144"/>
    </row>
    <row r="129" spans="1:14" ht="12.75">
      <c r="A129" s="407">
        <f t="shared" si="19"/>
        <v>2023</v>
      </c>
      <c r="B129" s="400">
        <f>ROUND(D129*E133,0)</f>
        <v>2482154</v>
      </c>
      <c r="C129" s="400">
        <f>ROUND(D129*F133,0)</f>
        <v>6618</v>
      </c>
      <c r="D129" s="400">
        <f>'Input - Customer Data'!O24</f>
        <v>6313.738627508037</v>
      </c>
      <c r="E129" s="400">
        <f>B129/D129</f>
        <v>393.13537452843195</v>
      </c>
      <c r="F129" s="402">
        <f>C129/D129</f>
        <v>1.0481903655571583</v>
      </c>
      <c r="G129" s="401">
        <f>C129/B129</f>
        <v>0.0026662326350419836</v>
      </c>
      <c r="I129" s="144"/>
      <c r="J129" s="169"/>
      <c r="N129" s="144"/>
    </row>
    <row r="130" spans="1:14" ht="12.75">
      <c r="A130" s="407">
        <f t="shared" si="19"/>
        <v>2024</v>
      </c>
      <c r="B130" s="400">
        <f>ROUND(D130*E133,0)</f>
        <v>2494298</v>
      </c>
      <c r="C130" s="400">
        <f>ROUND(D130*F133,0)</f>
        <v>6650</v>
      </c>
      <c r="D130" s="400">
        <f>'Input - Customer Data'!O25</f>
        <v>6344.627639103465</v>
      </c>
      <c r="E130" s="400">
        <f>B130/D130</f>
        <v>393.1354433831612</v>
      </c>
      <c r="F130" s="402">
        <f>C130/D130</f>
        <v>1.0481308562561578</v>
      </c>
      <c r="G130" s="401">
        <f>C130/B130</f>
        <v>0.0026660807970819845</v>
      </c>
      <c r="I130" s="144"/>
      <c r="J130" s="169"/>
      <c r="N130" s="144"/>
    </row>
    <row r="131" spans="1:14" ht="14.25" customHeight="1">
      <c r="A131" s="347" t="s">
        <v>232</v>
      </c>
      <c r="B131" s="348">
        <f>D110*E112</f>
        <v>7210.06507956081</v>
      </c>
      <c r="C131" s="348">
        <f>ROUND(D110*F112,0)</f>
        <v>16</v>
      </c>
      <c r="D131" s="348">
        <f>'Input - Customer Data'!M25</f>
        <v>8.326776491196554</v>
      </c>
      <c r="E131" s="348">
        <f>B110/D110</f>
        <v>865.889109331038</v>
      </c>
      <c r="F131" s="351">
        <f>C110/D110</f>
        <v>1.921511886012063</v>
      </c>
      <c r="G131" s="349">
        <f>C110/B110</f>
        <v>0.002219120052793562</v>
      </c>
      <c r="I131" s="144"/>
      <c r="J131" s="169"/>
      <c r="N131" s="144"/>
    </row>
    <row r="132" spans="1:14" ht="12.75">
      <c r="A132" s="188"/>
      <c r="B132" s="343"/>
      <c r="C132" s="343"/>
      <c r="D132" s="343"/>
      <c r="E132" s="343"/>
      <c r="F132" s="343"/>
      <c r="G132" s="187"/>
      <c r="I132" s="144"/>
      <c r="J132" s="169"/>
      <c r="N132" s="144"/>
    </row>
    <row r="133" spans="1:7" ht="12.75">
      <c r="A133" s="184" t="s">
        <v>105</v>
      </c>
      <c r="B133" s="183"/>
      <c r="C133" s="183"/>
      <c r="D133" s="183">
        <f>AVERAGE(D122:D128)</f>
        <v>6251.611471861472</v>
      </c>
      <c r="E133" s="183">
        <f>AVERAGE(E122:E128)</f>
        <v>393.13543891804085</v>
      </c>
      <c r="F133" s="186">
        <f>AVERAGE(F122:F128)</f>
        <v>1.0481838221967625</v>
      </c>
      <c r="G133" s="185">
        <f>AVERAGE(G122:G128)</f>
        <v>0.0026669891373675074</v>
      </c>
    </row>
    <row r="134" spans="1:7" ht="13.5" thickBot="1">
      <c r="A134" s="180"/>
      <c r="B134" s="179"/>
      <c r="C134" s="179"/>
      <c r="D134" s="179"/>
      <c r="E134" s="179"/>
      <c r="F134" s="179"/>
      <c r="G134" s="178"/>
    </row>
  </sheetData>
  <sheetProtection/>
  <mergeCells count="12">
    <mergeCell ref="A95:G95"/>
    <mergeCell ref="A116:G116"/>
    <mergeCell ref="A75:G75"/>
    <mergeCell ref="I51:L51"/>
    <mergeCell ref="A3:G3"/>
    <mergeCell ref="A1:G1"/>
    <mergeCell ref="C45:C46"/>
    <mergeCell ref="C69:C70"/>
    <mergeCell ref="C20:C21"/>
    <mergeCell ref="A18:G18"/>
    <mergeCell ref="A51:G51"/>
    <mergeCell ref="A27:G27"/>
  </mergeCells>
  <printOptions/>
  <pageMargins left="0.7" right="0.7" top="0.75" bottom="0.75" header="0.3" footer="0.3"/>
  <pageSetup fitToHeight="1" fitToWidth="1" orientation="landscape" scale="44" r:id="rId1"/>
</worksheet>
</file>

<file path=xl/worksheets/sheet8.xml><?xml version="1.0" encoding="utf-8"?>
<worksheet xmlns="http://schemas.openxmlformats.org/spreadsheetml/2006/main" xmlns:r="http://schemas.openxmlformats.org/officeDocument/2006/relationships">
  <sheetPr codeName="Sheet9">
    <tabColor rgb="FF92D050"/>
    <pageSetUpPr fitToPage="1"/>
  </sheetPr>
  <dimension ref="A2:Q65"/>
  <sheetViews>
    <sheetView showGridLines="0" zoomScalePageLayoutView="0" workbookViewId="0" topLeftCell="G19">
      <selection activeCell="H5" sqref="H5:O5"/>
    </sheetView>
  </sheetViews>
  <sheetFormatPr defaultColWidth="17.5" defaultRowHeight="12.75"/>
  <cols>
    <col min="1" max="1" width="30.83203125" style="195" hidden="1" customWidth="1"/>
    <col min="2" max="6" width="19.83203125" style="195" hidden="1" customWidth="1"/>
    <col min="7" max="7" width="16.83203125" style="195" customWidth="1"/>
    <col min="8" max="8" width="25.33203125" style="195" customWidth="1"/>
    <col min="9" max="15" width="18.83203125" style="195" customWidth="1"/>
    <col min="16" max="16384" width="17.5" style="195" customWidth="1"/>
  </cols>
  <sheetData>
    <row r="1" ht="12.75"/>
    <row r="2" s="196" customFormat="1" ht="12.75">
      <c r="G2" s="200"/>
    </row>
    <row r="3" spans="1:15" ht="15.75" customHeight="1">
      <c r="A3" s="754" t="s">
        <v>135</v>
      </c>
      <c r="B3" s="755"/>
      <c r="C3" s="755"/>
      <c r="D3" s="755"/>
      <c r="E3" s="755"/>
      <c r="F3" s="755"/>
      <c r="G3" s="755"/>
      <c r="H3" s="755"/>
      <c r="I3" s="755"/>
      <c r="J3" s="755"/>
      <c r="K3" s="755"/>
      <c r="L3" s="755"/>
      <c r="M3" s="755"/>
      <c r="N3" s="755"/>
      <c r="O3" s="755"/>
    </row>
    <row r="4" spans="1:8" ht="13.5" thickBot="1">
      <c r="A4" s="252"/>
      <c r="B4" s="252"/>
      <c r="C4" s="252"/>
      <c r="D4" s="252"/>
      <c r="E4" s="252"/>
      <c r="F4" s="252"/>
      <c r="G4" s="252"/>
      <c r="H4" s="252"/>
    </row>
    <row r="5" spans="1:15" ht="16.5" customHeight="1" thickBot="1">
      <c r="A5" s="763" t="s">
        <v>136</v>
      </c>
      <c r="B5" s="764"/>
      <c r="C5" s="764"/>
      <c r="D5" s="764"/>
      <c r="E5" s="764"/>
      <c r="F5" s="764"/>
      <c r="G5" s="253"/>
      <c r="H5" s="770" t="s">
        <v>137</v>
      </c>
      <c r="I5" s="771"/>
      <c r="J5" s="771"/>
      <c r="K5" s="771"/>
      <c r="L5" s="771"/>
      <c r="M5" s="771"/>
      <c r="N5" s="771"/>
      <c r="O5" s="771"/>
    </row>
    <row r="6" spans="1:15" ht="12.75">
      <c r="A6" s="757" t="s">
        <v>123</v>
      </c>
      <c r="B6" s="758"/>
      <c r="C6" s="758"/>
      <c r="D6" s="758"/>
      <c r="E6" s="758"/>
      <c r="F6" s="759"/>
      <c r="G6" s="252"/>
      <c r="H6" s="748" t="s">
        <v>138</v>
      </c>
      <c r="I6" s="749"/>
      <c r="J6" s="749"/>
      <c r="K6" s="749"/>
      <c r="L6" s="749"/>
      <c r="M6" s="749"/>
      <c r="N6" s="749"/>
      <c r="O6" s="750"/>
    </row>
    <row r="7" spans="1:15" ht="12.75">
      <c r="A7" s="760">
        <v>1200000</v>
      </c>
      <c r="B7" s="761"/>
      <c r="C7" s="761"/>
      <c r="D7" s="761"/>
      <c r="E7" s="761"/>
      <c r="F7" s="762"/>
      <c r="G7" s="252"/>
      <c r="H7" s="767">
        <v>1790000</v>
      </c>
      <c r="I7" s="768"/>
      <c r="J7" s="768"/>
      <c r="K7" s="768"/>
      <c r="L7" s="768"/>
      <c r="M7" s="768"/>
      <c r="N7" s="768"/>
      <c r="O7" s="769"/>
    </row>
    <row r="8" spans="1:15" ht="12.75">
      <c r="A8" s="254"/>
      <c r="B8" s="255">
        <v>2011</v>
      </c>
      <c r="C8" s="255">
        <v>2012</v>
      </c>
      <c r="D8" s="255">
        <v>2013</v>
      </c>
      <c r="E8" s="255">
        <v>2014</v>
      </c>
      <c r="F8" s="256" t="s">
        <v>81</v>
      </c>
      <c r="G8" s="252"/>
      <c r="H8" s="257"/>
      <c r="I8" s="258">
        <v>2015</v>
      </c>
      <c r="J8" s="258">
        <v>2016</v>
      </c>
      <c r="K8" s="258">
        <v>2017</v>
      </c>
      <c r="L8" s="258">
        <v>2018</v>
      </c>
      <c r="M8" s="258">
        <v>2019</v>
      </c>
      <c r="N8" s="258">
        <v>2020</v>
      </c>
      <c r="O8" s="259" t="s">
        <v>81</v>
      </c>
    </row>
    <row r="9" spans="1:15" ht="12.75">
      <c r="A9" s="260" t="s">
        <v>122</v>
      </c>
      <c r="B9" s="261">
        <f>B15/$F$19</f>
        <v>0.04625407166123779</v>
      </c>
      <c r="C9" s="233">
        <f>C15/$F$19</f>
        <v>0.04625407166123779</v>
      </c>
      <c r="D9" s="233">
        <f>D15/$F$19</f>
        <v>0.04625407166123779</v>
      </c>
      <c r="E9" s="262">
        <f>E15/$F$19</f>
        <v>0.04625407166123779</v>
      </c>
      <c r="F9" s="263">
        <f>SUM(B9:E9)</f>
        <v>0.18501628664495115</v>
      </c>
      <c r="G9" s="252"/>
      <c r="H9" s="264" t="s">
        <v>139</v>
      </c>
      <c r="I9" s="265"/>
      <c r="J9" s="265"/>
      <c r="K9" s="265"/>
      <c r="L9" s="265"/>
      <c r="M9" s="265"/>
      <c r="N9" s="265"/>
      <c r="O9" s="266"/>
    </row>
    <row r="10" spans="1:15" ht="15">
      <c r="A10" s="260" t="s">
        <v>121</v>
      </c>
      <c r="B10" s="267"/>
      <c r="C10" s="233">
        <f>C16/$F$19</f>
        <v>0.14592833876221498</v>
      </c>
      <c r="D10" s="233">
        <f>D16/$F$19</f>
        <v>0.14592833876221498</v>
      </c>
      <c r="E10" s="262">
        <f>E16/$F$19</f>
        <v>0.14332247557003258</v>
      </c>
      <c r="F10" s="263">
        <f>SUM(B10:E10)</f>
        <v>0.43517915309446253</v>
      </c>
      <c r="G10" s="252"/>
      <c r="H10" s="430" t="s">
        <v>140</v>
      </c>
      <c r="I10" s="431">
        <f>I18/$O$24</f>
        <v>0.0175234786121104</v>
      </c>
      <c r="J10" s="431">
        <f aca="true" t="shared" si="0" ref="J10:M14">J18/$O$24</f>
        <v>0.017373007237644504</v>
      </c>
      <c r="K10" s="431">
        <f t="shared" si="0"/>
        <v>0.017373007237644504</v>
      </c>
      <c r="L10" s="431">
        <f t="shared" si="0"/>
        <v>0.017373007237644504</v>
      </c>
      <c r="M10" s="431">
        <f t="shared" si="0"/>
        <v>0.017227399006459827</v>
      </c>
      <c r="N10" s="432">
        <f aca="true" t="shared" si="1" ref="N10:N15">N18/$O$24</f>
        <v>0.017227399006459827</v>
      </c>
      <c r="O10" s="433">
        <f>SUM(I10:N10)</f>
        <v>0.10409729833796355</v>
      </c>
    </row>
    <row r="11" spans="1:15" ht="15">
      <c r="A11" s="260" t="s">
        <v>120</v>
      </c>
      <c r="B11" s="267"/>
      <c r="C11" s="267"/>
      <c r="D11" s="233">
        <f>D17/$F$19</f>
        <v>0.14332247557003258</v>
      </c>
      <c r="E11" s="262">
        <f>E17/$F$19</f>
        <v>0.14332247557003258</v>
      </c>
      <c r="F11" s="263">
        <f>SUM(B11:E11)</f>
        <v>0.28664495114006516</v>
      </c>
      <c r="G11" s="252"/>
      <c r="H11" s="430" t="s">
        <v>141</v>
      </c>
      <c r="I11" s="434"/>
      <c r="J11" s="431">
        <f t="shared" si="0"/>
        <v>0.10473880415020648</v>
      </c>
      <c r="K11" s="431">
        <f t="shared" si="0"/>
        <v>0.10453698370403597</v>
      </c>
      <c r="L11" s="431">
        <f t="shared" si="0"/>
        <v>0.10452997505636598</v>
      </c>
      <c r="M11" s="431">
        <f t="shared" si="0"/>
        <v>0.10452997505636598</v>
      </c>
      <c r="N11" s="432">
        <f t="shared" si="1"/>
        <v>0.10452997505636598</v>
      </c>
      <c r="O11" s="433">
        <f>SUM(I11:N11)</f>
        <v>0.5228657130233404</v>
      </c>
    </row>
    <row r="12" spans="1:15" ht="15.75" thickBot="1">
      <c r="A12" s="268" t="s">
        <v>119</v>
      </c>
      <c r="B12" s="269"/>
      <c r="C12" s="269"/>
      <c r="D12" s="269"/>
      <c r="E12" s="270">
        <f>E18/$F$19</f>
        <v>0.09381107491856677</v>
      </c>
      <c r="F12" s="271">
        <f>SUM(B12:E12)</f>
        <v>0.09381107491856677</v>
      </c>
      <c r="G12" s="252"/>
      <c r="H12" s="430" t="s">
        <v>142</v>
      </c>
      <c r="I12" s="434"/>
      <c r="J12" s="434"/>
      <c r="K12" s="431">
        <f t="shared" si="0"/>
        <v>0.04259283919315876</v>
      </c>
      <c r="L12" s="431">
        <f t="shared" si="0"/>
        <v>0.04259283919315876</v>
      </c>
      <c r="M12" s="431">
        <f t="shared" si="0"/>
        <v>0.04259283919315876</v>
      </c>
      <c r="N12" s="432">
        <f t="shared" si="1"/>
        <v>0.04259283919315876</v>
      </c>
      <c r="O12" s="433">
        <f>SUM(I12:N12)</f>
        <v>0.17037135677263504</v>
      </c>
    </row>
    <row r="13" spans="1:15" ht="15.75" thickTop="1">
      <c r="A13" s="272" t="s">
        <v>118</v>
      </c>
      <c r="B13" s="273">
        <f>SUM(B9:B12)</f>
        <v>0.04625407166123779</v>
      </c>
      <c r="C13" s="273">
        <f>SUM(C9:C12)</f>
        <v>0.19218241042345277</v>
      </c>
      <c r="D13" s="273">
        <f>SUM(D9:D12)</f>
        <v>0.3355048859934854</v>
      </c>
      <c r="E13" s="274">
        <f>SUM(E9:E12)</f>
        <v>0.42671009771986973</v>
      </c>
      <c r="F13" s="275">
        <f>SUM(B13:E13)</f>
        <v>1.0006514657980456</v>
      </c>
      <c r="G13" s="252"/>
      <c r="H13" s="430" t="s">
        <v>143</v>
      </c>
      <c r="I13" s="434"/>
      <c r="J13" s="434"/>
      <c r="K13" s="435"/>
      <c r="L13" s="431">
        <f t="shared" si="0"/>
        <v>0.0364449678839448</v>
      </c>
      <c r="M13" s="431">
        <f t="shared" si="0"/>
        <v>0.0364449678839448</v>
      </c>
      <c r="N13" s="432">
        <f t="shared" si="1"/>
        <v>0.0364449678839448</v>
      </c>
      <c r="O13" s="433">
        <f>SUM(L13:N13)</f>
        <v>0.1093349036518344</v>
      </c>
    </row>
    <row r="14" spans="1:15" ht="15">
      <c r="A14" s="751" t="s">
        <v>79</v>
      </c>
      <c r="B14" s="752"/>
      <c r="C14" s="752"/>
      <c r="D14" s="752"/>
      <c r="E14" s="752"/>
      <c r="F14" s="753"/>
      <c r="G14" s="252"/>
      <c r="H14" s="430" t="s">
        <v>144</v>
      </c>
      <c r="I14" s="434"/>
      <c r="J14" s="434"/>
      <c r="K14" s="435"/>
      <c r="L14" s="435"/>
      <c r="M14" s="431">
        <f t="shared" si="0"/>
        <v>0.029264107728349965</v>
      </c>
      <c r="N14" s="432">
        <f t="shared" si="1"/>
        <v>0.029264107728349965</v>
      </c>
      <c r="O14" s="433">
        <f>SUM(M14:N14)</f>
        <v>0.05852821545669993</v>
      </c>
    </row>
    <row r="15" spans="1:15" ht="15.75" thickBot="1">
      <c r="A15" s="260" t="s">
        <v>122</v>
      </c>
      <c r="B15" s="420">
        <f>0.071*1000000</f>
        <v>71000</v>
      </c>
      <c r="C15" s="420">
        <f>0.071*1000000</f>
        <v>71000</v>
      </c>
      <c r="D15" s="420">
        <f>0.071*1000000</f>
        <v>71000</v>
      </c>
      <c r="E15" s="421">
        <f>0.071*1000000</f>
        <v>71000</v>
      </c>
      <c r="F15" s="427">
        <f>SUM(B15:E15)</f>
        <v>284000</v>
      </c>
      <c r="G15" s="252"/>
      <c r="H15" s="436" t="s">
        <v>145</v>
      </c>
      <c r="I15" s="437"/>
      <c r="J15" s="437"/>
      <c r="K15" s="437"/>
      <c r="L15" s="437"/>
      <c r="M15" s="437"/>
      <c r="N15" s="432">
        <f t="shared" si="1"/>
        <v>0.03480251275752668</v>
      </c>
      <c r="O15" s="438">
        <f>SUM(I15:N15)</f>
        <v>0.03480251275752668</v>
      </c>
    </row>
    <row r="16" spans="1:15" ht="13.5" thickTop="1">
      <c r="A16" s="260" t="s">
        <v>121</v>
      </c>
      <c r="B16" s="422">
        <f>-0.002*1000000</f>
        <v>-2000</v>
      </c>
      <c r="C16" s="423">
        <f>0.224*1000000</f>
        <v>224000</v>
      </c>
      <c r="D16" s="423">
        <f>0.224*1000000</f>
        <v>224000</v>
      </c>
      <c r="E16" s="424">
        <f>0.22*1000000</f>
        <v>220000</v>
      </c>
      <c r="F16" s="427">
        <f>SUM(B16:E16)</f>
        <v>666000</v>
      </c>
      <c r="G16" s="252"/>
      <c r="H16" s="276" t="s">
        <v>118</v>
      </c>
      <c r="I16" s="277">
        <f>SUM(I10:I15)</f>
        <v>0.0175234786121104</v>
      </c>
      <c r="J16" s="277">
        <f>SUM(J10:J15)</f>
        <v>0.12211181138785099</v>
      </c>
      <c r="K16" s="277">
        <f>SUM(K10:K15)</f>
        <v>0.16450283013483924</v>
      </c>
      <c r="L16" s="277">
        <f>SUM(L10:L13)</f>
        <v>0.20094078937111404</v>
      </c>
      <c r="M16" s="277">
        <f>SUM(M10:M14)</f>
        <v>0.23005928886827934</v>
      </c>
      <c r="N16" s="278">
        <f>SUM(N10:N15)</f>
        <v>0.264861801625806</v>
      </c>
      <c r="O16" s="279">
        <f>SUM(I16:N16)</f>
        <v>1</v>
      </c>
    </row>
    <row r="17" spans="1:15" ht="12.75">
      <c r="A17" s="260" t="s">
        <v>120</v>
      </c>
      <c r="B17" s="422">
        <v>0</v>
      </c>
      <c r="C17" s="422">
        <v>0</v>
      </c>
      <c r="D17" s="423">
        <f>0.22*1000000</f>
        <v>220000</v>
      </c>
      <c r="E17" s="424">
        <f>0.22*1000000</f>
        <v>220000</v>
      </c>
      <c r="F17" s="427">
        <f>SUM(B17:E17)</f>
        <v>440000</v>
      </c>
      <c r="G17" s="252"/>
      <c r="H17" s="751" t="s">
        <v>79</v>
      </c>
      <c r="I17" s="752"/>
      <c r="J17" s="752"/>
      <c r="K17" s="752"/>
      <c r="L17" s="752"/>
      <c r="M17" s="752"/>
      <c r="N17" s="752"/>
      <c r="O17" s="753"/>
    </row>
    <row r="18" spans="1:15" ht="15.75" thickBot="1">
      <c r="A18" s="268" t="s">
        <v>119</v>
      </c>
      <c r="B18" s="425">
        <v>0</v>
      </c>
      <c r="C18" s="425">
        <v>0</v>
      </c>
      <c r="D18" s="425">
        <f>0.001*1000000</f>
        <v>1000</v>
      </c>
      <c r="E18" s="426">
        <f>0.144*1000000</f>
        <v>144000</v>
      </c>
      <c r="F18" s="428">
        <f>SUM(B18:E18)</f>
        <v>145000</v>
      </c>
      <c r="G18" s="252"/>
      <c r="H18" s="430" t="str">
        <f aca="true" t="shared" si="2" ref="H18:H23">H10</f>
        <v>2015 CDM Programs</v>
      </c>
      <c r="I18" s="439">
        <v>122513</v>
      </c>
      <c r="J18" s="439">
        <v>121461</v>
      </c>
      <c r="K18" s="439">
        <v>121461</v>
      </c>
      <c r="L18" s="439">
        <v>121461</v>
      </c>
      <c r="M18" s="439">
        <v>120443</v>
      </c>
      <c r="N18" s="513">
        <v>120443</v>
      </c>
      <c r="O18" s="451">
        <f aca="true" t="shared" si="3" ref="O18:O23">SUM(I18:N18)</f>
        <v>727782</v>
      </c>
    </row>
    <row r="19" spans="1:15" ht="16.5" thickBot="1" thickTop="1">
      <c r="A19" s="280" t="s">
        <v>118</v>
      </c>
      <c r="B19" s="281">
        <f>SUM(B15:B18)</f>
        <v>69000</v>
      </c>
      <c r="C19" s="281">
        <f>SUM(C15:C18)</f>
        <v>295000</v>
      </c>
      <c r="D19" s="281">
        <f>SUM(D15:D18)</f>
        <v>516000</v>
      </c>
      <c r="E19" s="282">
        <f>SUM(E15:E18)</f>
        <v>655000</v>
      </c>
      <c r="F19" s="283">
        <f>SUM(F15:F18)</f>
        <v>1535000</v>
      </c>
      <c r="G19" s="252"/>
      <c r="H19" s="430" t="str">
        <f t="shared" si="2"/>
        <v>2016 CDM Programs</v>
      </c>
      <c r="I19" s="440"/>
      <c r="J19" s="439">
        <v>732267</v>
      </c>
      <c r="K19" s="439">
        <v>730856</v>
      </c>
      <c r="L19" s="439">
        <v>730807</v>
      </c>
      <c r="M19" s="439">
        <v>730807</v>
      </c>
      <c r="N19" s="514">
        <v>730807</v>
      </c>
      <c r="O19" s="451">
        <f t="shared" si="3"/>
        <v>3655544</v>
      </c>
    </row>
    <row r="20" spans="1:15" ht="15">
      <c r="A20" s="284"/>
      <c r="B20" s="285"/>
      <c r="C20" s="285"/>
      <c r="D20" s="285"/>
      <c r="E20" s="285"/>
      <c r="F20" s="285"/>
      <c r="G20" s="252"/>
      <c r="H20" s="430" t="str">
        <f t="shared" si="2"/>
        <v>2017 CDM Programs</v>
      </c>
      <c r="I20" s="440"/>
      <c r="J20" s="440"/>
      <c r="K20" s="439">
        <v>297782</v>
      </c>
      <c r="L20" s="439">
        <v>297782</v>
      </c>
      <c r="M20" s="439">
        <v>297782</v>
      </c>
      <c r="N20" s="514">
        <v>297782</v>
      </c>
      <c r="O20" s="451">
        <f t="shared" si="3"/>
        <v>1191128</v>
      </c>
    </row>
    <row r="21" spans="8:15" ht="16.5" customHeight="1">
      <c r="H21" s="430" t="str">
        <f t="shared" si="2"/>
        <v>2018 CDM Programs</v>
      </c>
      <c r="I21" s="440"/>
      <c r="J21" s="440"/>
      <c r="K21" s="440"/>
      <c r="L21" s="439">
        <v>254800</v>
      </c>
      <c r="M21" s="439">
        <v>254800</v>
      </c>
      <c r="N21" s="514">
        <v>254800</v>
      </c>
      <c r="O21" s="451">
        <f t="shared" si="3"/>
        <v>764400</v>
      </c>
    </row>
    <row r="22" spans="8:15" ht="16.5" customHeight="1">
      <c r="H22" s="430" t="str">
        <f t="shared" si="2"/>
        <v>2019 CDM Programs</v>
      </c>
      <c r="I22" s="440"/>
      <c r="J22" s="440"/>
      <c r="K22" s="440"/>
      <c r="L22" s="440"/>
      <c r="M22" s="439">
        <v>204596</v>
      </c>
      <c r="N22" s="514">
        <v>204596</v>
      </c>
      <c r="O22" s="451">
        <f t="shared" si="3"/>
        <v>409192</v>
      </c>
    </row>
    <row r="23" spans="1:15" ht="15.75" thickBot="1">
      <c r="A23" s="292"/>
      <c r="B23" s="293"/>
      <c r="C23" s="293"/>
      <c r="D23" s="293"/>
      <c r="E23" s="293"/>
      <c r="F23" s="293"/>
      <c r="H23" s="436" t="str">
        <f t="shared" si="2"/>
        <v>2020 CDM Programs</v>
      </c>
      <c r="I23" s="441"/>
      <c r="J23" s="441"/>
      <c r="K23" s="441"/>
      <c r="L23" s="441"/>
      <c r="M23" s="441"/>
      <c r="N23" s="515">
        <v>243317</v>
      </c>
      <c r="O23" s="451">
        <f t="shared" si="3"/>
        <v>243317</v>
      </c>
    </row>
    <row r="24" spans="8:15" ht="14.25" thickBot="1" thickTop="1">
      <c r="H24" s="280" t="s">
        <v>118</v>
      </c>
      <c r="I24" s="452">
        <f>SUM(I18:I23)</f>
        <v>122513</v>
      </c>
      <c r="J24" s="452">
        <f>SUM(J18:J23)</f>
        <v>853728</v>
      </c>
      <c r="K24" s="452">
        <f>SUM(K18:K23)</f>
        <v>1150099</v>
      </c>
      <c r="L24" s="452">
        <f>SUM(L18:L21)</f>
        <v>1404850</v>
      </c>
      <c r="M24" s="452">
        <f>SUM(M18:M22)</f>
        <v>1608428</v>
      </c>
      <c r="N24" s="453">
        <f>SUM(N18:N23)</f>
        <v>1851745</v>
      </c>
      <c r="O24" s="454">
        <f>SUM(O18:O23)</f>
        <v>6991363</v>
      </c>
    </row>
    <row r="25" ht="12.75"/>
    <row r="26" ht="13.5" thickBot="1"/>
    <row r="27" spans="7:17" ht="13.5" thickBot="1">
      <c r="G27" s="252"/>
      <c r="H27" s="765" t="s">
        <v>117</v>
      </c>
      <c r="I27" s="766"/>
      <c r="J27" s="766"/>
      <c r="K27" s="766"/>
      <c r="L27" s="766"/>
      <c r="M27" s="766"/>
      <c r="N27" s="766"/>
      <c r="O27" s="445"/>
      <c r="P27" s="445"/>
      <c r="Q27" s="446"/>
    </row>
    <row r="28" spans="7:17" ht="12.75">
      <c r="G28" s="253"/>
      <c r="H28" s="286"/>
      <c r="I28" s="287">
        <v>2011</v>
      </c>
      <c r="J28" s="287">
        <v>2012</v>
      </c>
      <c r="K28" s="287">
        <v>2013</v>
      </c>
      <c r="L28" s="287">
        <v>2014</v>
      </c>
      <c r="M28" s="287">
        <v>2015</v>
      </c>
      <c r="N28" s="287">
        <v>2016</v>
      </c>
      <c r="O28" s="287">
        <v>2017</v>
      </c>
      <c r="P28" s="288">
        <v>2018</v>
      </c>
      <c r="Q28" s="447"/>
    </row>
    <row r="29" spans="7:17" ht="63.75">
      <c r="G29" s="252"/>
      <c r="H29" s="289" t="s">
        <v>116</v>
      </c>
      <c r="I29" s="373">
        <v>0</v>
      </c>
      <c r="J29" s="373">
        <v>0</v>
      </c>
      <c r="K29" s="373">
        <v>0</v>
      </c>
      <c r="L29" s="373">
        <v>0</v>
      </c>
      <c r="M29" s="373">
        <v>0</v>
      </c>
      <c r="N29" s="373">
        <v>0.5</v>
      </c>
      <c r="O29" s="373">
        <v>1</v>
      </c>
      <c r="P29" s="373">
        <v>0.5</v>
      </c>
      <c r="Q29" s="234" t="s">
        <v>146</v>
      </c>
    </row>
    <row r="30" spans="7:17" ht="26.25" thickBot="1">
      <c r="G30" s="252"/>
      <c r="H30" s="290" t="s">
        <v>115</v>
      </c>
      <c r="I30" s="291"/>
      <c r="J30" s="291"/>
      <c r="K30" s="291"/>
      <c r="L30" s="291"/>
      <c r="M30" s="291"/>
      <c r="N30" s="291"/>
      <c r="O30" s="291"/>
      <c r="P30" s="291"/>
      <c r="Q30" s="232"/>
    </row>
    <row r="31" spans="7:8" ht="12.75">
      <c r="G31" s="252"/>
      <c r="H31" s="252"/>
    </row>
    <row r="32" spans="7:8" ht="12.75">
      <c r="G32" s="252"/>
      <c r="H32" s="252"/>
    </row>
    <row r="33" spans="7:17" ht="16.5" thickBot="1">
      <c r="G33" s="252"/>
      <c r="H33" s="754" t="s">
        <v>147</v>
      </c>
      <c r="I33" s="755"/>
      <c r="J33" s="755"/>
      <c r="K33" s="755"/>
      <c r="L33" s="755"/>
      <c r="M33" s="755"/>
      <c r="N33" s="755"/>
      <c r="O33" s="755"/>
      <c r="P33" s="755"/>
      <c r="Q33" s="756"/>
    </row>
    <row r="34" spans="7:17" ht="15" customHeight="1">
      <c r="G34" s="252"/>
      <c r="H34" s="409"/>
      <c r="I34" s="413">
        <v>2011</v>
      </c>
      <c r="J34" s="413">
        <v>2012</v>
      </c>
      <c r="K34" s="413">
        <v>2013</v>
      </c>
      <c r="L34" s="413">
        <v>2014</v>
      </c>
      <c r="M34" s="414">
        <v>2015</v>
      </c>
      <c r="N34" s="414">
        <v>2016</v>
      </c>
      <c r="O34" s="414">
        <v>2017</v>
      </c>
      <c r="P34" s="414">
        <v>2018</v>
      </c>
      <c r="Q34" s="429" t="s">
        <v>190</v>
      </c>
    </row>
    <row r="35" spans="1:17" ht="12.75">
      <c r="A35" s="198"/>
      <c r="B35" s="198"/>
      <c r="C35" s="199"/>
      <c r="D35" s="199"/>
      <c r="E35" s="199"/>
      <c r="F35" s="199"/>
      <c r="G35" s="233"/>
      <c r="H35" s="410"/>
      <c r="I35" s="415" t="s">
        <v>79</v>
      </c>
      <c r="J35" s="415"/>
      <c r="K35" s="415"/>
      <c r="L35" s="415"/>
      <c r="M35" s="415"/>
      <c r="N35" s="415"/>
      <c r="O35" s="415"/>
      <c r="P35" s="415"/>
      <c r="Q35" s="415"/>
    </row>
    <row r="36" spans="1:17" ht="38.25">
      <c r="A36" s="198"/>
      <c r="B36" s="198"/>
      <c r="C36" s="199"/>
      <c r="D36" s="199"/>
      <c r="E36" s="199"/>
      <c r="F36" s="199"/>
      <c r="H36" s="411" t="s">
        <v>114</v>
      </c>
      <c r="I36" s="416">
        <v>0</v>
      </c>
      <c r="J36" s="416">
        <v>0</v>
      </c>
      <c r="K36" s="512"/>
      <c r="L36" s="512"/>
      <c r="M36" s="512"/>
      <c r="N36" s="416"/>
      <c r="O36" s="416"/>
      <c r="P36" s="416"/>
      <c r="Q36" s="416">
        <f>SUM(K36:P36)</f>
        <v>0</v>
      </c>
    </row>
    <row r="37" spans="8:17" ht="12.75">
      <c r="H37" s="411"/>
      <c r="I37" s="416"/>
      <c r="J37" s="416"/>
      <c r="K37" s="416"/>
      <c r="L37" s="416"/>
      <c r="M37" s="416"/>
      <c r="N37" s="416"/>
      <c r="O37" s="416"/>
      <c r="P37" s="416"/>
      <c r="Q37" s="416"/>
    </row>
    <row r="38" spans="8:17" ht="59.25" customHeight="1">
      <c r="H38" s="412" t="s">
        <v>148</v>
      </c>
      <c r="I38" s="417">
        <v>0</v>
      </c>
      <c r="J38" s="416">
        <f>I38</f>
        <v>0</v>
      </c>
      <c r="K38" s="416">
        <f>I38</f>
        <v>0</v>
      </c>
      <c r="L38" s="416">
        <f>I38</f>
        <v>0</v>
      </c>
      <c r="M38" s="416"/>
      <c r="N38" s="416">
        <f>SUM(I38:L39)</f>
        <v>0</v>
      </c>
      <c r="O38" s="416"/>
      <c r="P38" s="416"/>
      <c r="Q38" s="416"/>
    </row>
    <row r="39" spans="8:17" ht="12.75">
      <c r="H39" s="295"/>
      <c r="I39" s="296"/>
      <c r="J39" s="296"/>
      <c r="K39" s="296"/>
      <c r="L39" s="296"/>
      <c r="M39" s="296"/>
      <c r="N39" s="296"/>
      <c r="O39" s="296"/>
      <c r="P39" s="296"/>
      <c r="Q39" s="297"/>
    </row>
    <row r="40" spans="8:17" ht="39" thickBot="1">
      <c r="H40" s="298" t="s">
        <v>149</v>
      </c>
      <c r="I40" s="416"/>
      <c r="J40" s="416"/>
      <c r="K40" s="416"/>
      <c r="L40" s="416"/>
      <c r="M40" s="416">
        <f>I18</f>
        <v>122513</v>
      </c>
      <c r="N40" s="416">
        <f>L19</f>
        <v>730807</v>
      </c>
      <c r="O40" s="512">
        <v>297782</v>
      </c>
      <c r="P40" s="512">
        <v>254800</v>
      </c>
      <c r="Q40" s="416">
        <f>SUM(M40:P40)</f>
        <v>1405902</v>
      </c>
    </row>
    <row r="41" spans="8:17" ht="14.25" thickBot="1" thickTop="1">
      <c r="H41" s="299"/>
      <c r="I41" s="300"/>
      <c r="J41" s="300"/>
      <c r="K41" s="300"/>
      <c r="L41" s="300"/>
      <c r="M41" s="300"/>
      <c r="N41" s="300"/>
      <c r="O41" s="300"/>
      <c r="P41" s="300"/>
      <c r="Q41" s="418"/>
    </row>
    <row r="42" spans="8:17" ht="39" thickTop="1">
      <c r="H42" s="294" t="s">
        <v>150</v>
      </c>
      <c r="I42" s="419">
        <v>0</v>
      </c>
      <c r="J42" s="419"/>
      <c r="K42" s="419"/>
      <c r="L42" s="419"/>
      <c r="M42" s="419">
        <f>M40*M29</f>
        <v>0</v>
      </c>
      <c r="N42" s="419">
        <f>N40*N29</f>
        <v>365403.5</v>
      </c>
      <c r="O42" s="419">
        <f>O40*O29</f>
        <v>297782</v>
      </c>
      <c r="P42" s="419">
        <f>P40*P29</f>
        <v>127400</v>
      </c>
      <c r="Q42" s="301">
        <f>SUM(M42:P42)</f>
        <v>790585.5</v>
      </c>
    </row>
    <row r="43" spans="8:17" ht="12.75">
      <c r="H43" s="295"/>
      <c r="I43" s="235"/>
      <c r="J43" s="235"/>
      <c r="K43" s="235"/>
      <c r="L43" s="235"/>
      <c r="M43" s="235"/>
      <c r="N43" s="235"/>
      <c r="O43" s="235"/>
      <c r="P43" s="235"/>
      <c r="Q43" s="236"/>
    </row>
    <row r="45" ht="12.75">
      <c r="I45" s="251" t="s">
        <v>151</v>
      </c>
    </row>
    <row r="47" ht="12.75">
      <c r="G47" s="197"/>
    </row>
    <row r="48" ht="12.75">
      <c r="G48" s="197"/>
    </row>
    <row r="53" spans="13:14" ht="12.75">
      <c r="M53" s="237"/>
      <c r="N53" s="238"/>
    </row>
    <row r="65" ht="12.75">
      <c r="M65" s="239"/>
    </row>
  </sheetData>
  <sheetProtection/>
  <mergeCells count="11">
    <mergeCell ref="H5:O5"/>
    <mergeCell ref="H6:O6"/>
    <mergeCell ref="H17:O17"/>
    <mergeCell ref="H33:Q33"/>
    <mergeCell ref="A3:O3"/>
    <mergeCell ref="A6:F6"/>
    <mergeCell ref="A7:F7"/>
    <mergeCell ref="A14:F14"/>
    <mergeCell ref="A5:F5"/>
    <mergeCell ref="H27:N27"/>
    <mergeCell ref="H7:O7"/>
  </mergeCells>
  <dataValidations count="1">
    <dataValidation type="list" allowBlank="1" showInputMessage="1" showErrorMessage="1" sqref="I29:P29">
      <formula1>"0, 0.5, 1"</formula1>
    </dataValidation>
  </dataValidations>
  <printOptions/>
  <pageMargins left="0.25" right="0.25" top="0.75" bottom="0.75" header="0.3" footer="0.3"/>
  <pageSetup fitToHeight="1" fitToWidth="1" horizontalDpi="600" verticalDpi="600" orientation="portrait" scale="42" r:id="rId4"/>
  <drawing r:id="rId3"/>
  <legacyDrawing r:id="rId2"/>
</worksheet>
</file>

<file path=xl/worksheets/sheet9.xml><?xml version="1.0" encoding="utf-8"?>
<worksheet xmlns="http://schemas.openxmlformats.org/spreadsheetml/2006/main" xmlns:r="http://schemas.openxmlformats.org/officeDocument/2006/relationships">
  <sheetPr codeName="Sheet8">
    <tabColor rgb="FF92D050"/>
  </sheetPr>
  <dimension ref="B1:S29"/>
  <sheetViews>
    <sheetView showGridLines="0" zoomScalePageLayoutView="0" workbookViewId="0" topLeftCell="A1">
      <selection activeCell="H5" sqref="H5:O5"/>
    </sheetView>
  </sheetViews>
  <sheetFormatPr defaultColWidth="10.5" defaultRowHeight="12.75"/>
  <cols>
    <col min="1" max="1" width="10.5" style="144" customWidth="1"/>
    <col min="2" max="2" width="36.5" style="144" bestFit="1" customWidth="1"/>
    <col min="3" max="3" width="12.5" style="144" bestFit="1" customWidth="1"/>
    <col min="4" max="5" width="14.83203125" style="144" bestFit="1" customWidth="1"/>
    <col min="6" max="6" width="4.5" style="144" customWidth="1"/>
    <col min="7" max="7" width="13.5" style="144" bestFit="1" customWidth="1"/>
    <col min="8" max="8" width="15.16015625" style="144" bestFit="1" customWidth="1"/>
    <col min="9" max="11" width="13.5" style="144" bestFit="1" customWidth="1"/>
    <col min="12" max="12" width="13.5" style="144" hidden="1" customWidth="1"/>
    <col min="13" max="13" width="12" style="144" bestFit="1" customWidth="1"/>
    <col min="14" max="18" width="14.83203125" style="144" customWidth="1"/>
    <col min="19" max="19" width="13.33203125" style="144" bestFit="1" customWidth="1"/>
    <col min="20" max="16384" width="10.5" style="144" customWidth="1"/>
  </cols>
  <sheetData>
    <row r="1" spans="7:19" ht="12.75">
      <c r="G1" s="775" t="s">
        <v>227</v>
      </c>
      <c r="H1" s="775"/>
      <c r="I1" s="775"/>
      <c r="M1" s="773" t="s">
        <v>226</v>
      </c>
      <c r="N1" s="773"/>
      <c r="O1" s="773"/>
      <c r="P1" s="773"/>
      <c r="Q1" s="773"/>
      <c r="R1" s="773"/>
      <c r="S1" s="773"/>
    </row>
    <row r="2" spans="14:16" ht="12.75">
      <c r="N2" s="231"/>
      <c r="O2" s="231"/>
      <c r="P2" s="231"/>
    </row>
    <row r="3" spans="2:19" ht="16.5" customHeight="1">
      <c r="B3" s="442" t="s">
        <v>111</v>
      </c>
      <c r="C3" s="443"/>
      <c r="D3" s="443"/>
      <c r="E3" s="443"/>
      <c r="G3" s="772" t="s">
        <v>111</v>
      </c>
      <c r="H3" s="755"/>
      <c r="I3" s="755"/>
      <c r="M3" s="516">
        <v>2016</v>
      </c>
      <c r="N3" s="516">
        <v>2016</v>
      </c>
      <c r="O3" s="516" t="s">
        <v>221</v>
      </c>
      <c r="P3" s="516" t="s">
        <v>222</v>
      </c>
      <c r="Q3" s="774" t="s">
        <v>111</v>
      </c>
      <c r="R3" s="774"/>
      <c r="S3" s="774"/>
    </row>
    <row r="4" spans="2:19" ht="40.5" customHeight="1">
      <c r="B4" s="244"/>
      <c r="C4" s="244" t="s">
        <v>78</v>
      </c>
      <c r="D4" s="244">
        <f>'Input - Customer Data'!D19</f>
        <v>2023</v>
      </c>
      <c r="E4" s="244">
        <f>'Input - Customer Data'!D20</f>
        <v>2024</v>
      </c>
      <c r="G4" s="249" t="s">
        <v>113</v>
      </c>
      <c r="H4" s="249" t="s">
        <v>112</v>
      </c>
      <c r="I4" s="249" t="s">
        <v>191</v>
      </c>
      <c r="M4" s="520" t="s">
        <v>223</v>
      </c>
      <c r="N4" s="520" t="s">
        <v>224</v>
      </c>
      <c r="O4" s="516" t="s">
        <v>225</v>
      </c>
      <c r="P4" s="516" t="s">
        <v>59</v>
      </c>
      <c r="Q4" s="521" t="s">
        <v>113</v>
      </c>
      <c r="R4" s="522" t="s">
        <v>112</v>
      </c>
      <c r="S4" s="522" t="s">
        <v>191</v>
      </c>
    </row>
    <row r="5" spans="2:19" ht="15.75" customHeight="1">
      <c r="B5" s="240" t="str">
        <f>'Input - Customer Data'!A13</f>
        <v>Residential</v>
      </c>
      <c r="C5" s="167" t="s">
        <v>110</v>
      </c>
      <c r="D5" s="315">
        <f>'Input - Customer Data'!$E24</f>
        <v>21693.818578541075</v>
      </c>
      <c r="E5" s="315">
        <f>'Input - Customer Data'!$E25</f>
        <v>21878.868970819633</v>
      </c>
      <c r="G5" s="167"/>
      <c r="H5" s="167"/>
      <c r="I5" s="167"/>
      <c r="M5" s="523"/>
      <c r="N5" s="523"/>
      <c r="O5" s="523"/>
      <c r="P5" s="523"/>
      <c r="Q5" s="524"/>
      <c r="R5" s="167"/>
      <c r="S5" s="167"/>
    </row>
    <row r="6" spans="2:19" ht="12.75">
      <c r="B6" s="240"/>
      <c r="C6" s="167" t="s">
        <v>79</v>
      </c>
      <c r="D6" s="315">
        <f>'Bridge&amp;Test Year Class Forecast'!G22</f>
        <v>192599398.1170233</v>
      </c>
      <c r="E6" s="315">
        <f>'Bridge&amp;Test Year Class Forecast'!G23</f>
        <v>193221398.14720958</v>
      </c>
      <c r="G6" s="302">
        <f>E6/$E$27</f>
        <v>0.43808075821790265</v>
      </c>
      <c r="H6" s="330">
        <f>G6*$H$28</f>
        <v>346340.2952760797</v>
      </c>
      <c r="I6" s="333">
        <f>E6-H6</f>
        <v>192875057.8519335</v>
      </c>
      <c r="M6" s="525">
        <v>315548</v>
      </c>
      <c r="N6" s="523"/>
      <c r="O6" s="525">
        <v>79286</v>
      </c>
      <c r="P6" s="526">
        <f>SUM(M6:O6)</f>
        <v>394834</v>
      </c>
      <c r="Q6" s="527">
        <f>P6/$P$27</f>
        <v>0.3126759046468128</v>
      </c>
      <c r="R6" s="330">
        <f>Q6*$R$27</f>
        <v>247197.0364131528</v>
      </c>
      <c r="S6" s="532">
        <f>E6-R6</f>
        <v>192974201.11079642</v>
      </c>
    </row>
    <row r="7" spans="2:19" ht="12.75">
      <c r="B7" s="240"/>
      <c r="C7" s="167" t="s">
        <v>80</v>
      </c>
      <c r="D7" s="315"/>
      <c r="E7" s="316"/>
      <c r="G7" s="332"/>
      <c r="H7" s="167"/>
      <c r="I7" s="334"/>
      <c r="M7" s="528"/>
      <c r="N7" s="523"/>
      <c r="O7" s="528"/>
      <c r="P7" s="523"/>
      <c r="Q7" s="553"/>
      <c r="R7" s="167"/>
      <c r="S7" s="532"/>
    </row>
    <row r="8" spans="2:19" ht="12.75">
      <c r="B8" s="240"/>
      <c r="C8" s="167"/>
      <c r="D8" s="315"/>
      <c r="E8" s="316"/>
      <c r="G8" s="332"/>
      <c r="H8" s="167"/>
      <c r="I8" s="334"/>
      <c r="M8" s="528"/>
      <c r="N8" s="523"/>
      <c r="O8" s="528"/>
      <c r="P8" s="523"/>
      <c r="Q8" s="553"/>
      <c r="R8" s="167"/>
      <c r="S8" s="532"/>
    </row>
    <row r="9" spans="2:19" ht="12.75">
      <c r="B9" s="240" t="str">
        <f>'Input - Customer Data'!A14</f>
        <v>General Service &lt; 50 kW</v>
      </c>
      <c r="C9" s="167" t="s">
        <v>110</v>
      </c>
      <c r="D9" s="315">
        <f>'Input - Customer Data'!$G24</f>
        <v>2671.8784866122232</v>
      </c>
      <c r="E9" s="315">
        <f>'Input - Customer Data'!$G25</f>
        <v>2689.7929532058993</v>
      </c>
      <c r="G9" s="332"/>
      <c r="H9" s="167"/>
      <c r="I9" s="334"/>
      <c r="M9" s="528"/>
      <c r="N9" s="523"/>
      <c r="O9" s="528"/>
      <c r="P9" s="523"/>
      <c r="Q9" s="553"/>
      <c r="R9" s="167"/>
      <c r="S9" s="532"/>
    </row>
    <row r="10" spans="2:19" ht="12.75">
      <c r="B10" s="240"/>
      <c r="C10" s="167" t="s">
        <v>79</v>
      </c>
      <c r="D10" s="315">
        <f>'Bridge&amp;Test Year Class Forecast'!G46</f>
        <v>69955931.4315023</v>
      </c>
      <c r="E10" s="315">
        <f>'Bridge&amp;Test Year Class Forecast'!G47</f>
        <v>70181854.21157072</v>
      </c>
      <c r="G10" s="302">
        <f>E10/$E$27</f>
        <v>0.15911964306727183</v>
      </c>
      <c r="H10" s="330">
        <f>G10*$H$28</f>
        <v>125797.68257416063</v>
      </c>
      <c r="I10" s="333">
        <f>E10-H10</f>
        <v>70056056.52899656</v>
      </c>
      <c r="M10" s="525">
        <v>416719</v>
      </c>
      <c r="N10" s="523"/>
      <c r="O10" s="525">
        <v>451010</v>
      </c>
      <c r="P10" s="526">
        <f>SUM(M10:O10)</f>
        <v>867729</v>
      </c>
      <c r="Q10" s="527">
        <f>P10/$P$27</f>
        <v>0.6871696714651581</v>
      </c>
      <c r="R10" s="330">
        <f>Q10*$R$27</f>
        <v>543266.3783001177</v>
      </c>
      <c r="S10" s="532">
        <f>E10-R10</f>
        <v>69638587.83327061</v>
      </c>
    </row>
    <row r="11" spans="2:19" ht="12.75">
      <c r="B11" s="240"/>
      <c r="C11" s="167" t="s">
        <v>80</v>
      </c>
      <c r="D11" s="315"/>
      <c r="E11" s="316"/>
      <c r="G11" s="332"/>
      <c r="H11" s="167"/>
      <c r="I11" s="334"/>
      <c r="M11" s="528"/>
      <c r="N11" s="523"/>
      <c r="O11" s="528"/>
      <c r="P11" s="523"/>
      <c r="Q11" s="553"/>
      <c r="R11" s="167"/>
      <c r="S11" s="532"/>
    </row>
    <row r="12" spans="2:19" ht="12.75">
      <c r="B12" s="240"/>
      <c r="C12" s="167"/>
      <c r="D12" s="315"/>
      <c r="E12" s="316"/>
      <c r="G12" s="332"/>
      <c r="H12" s="167"/>
      <c r="I12" s="334"/>
      <c r="M12" s="528"/>
      <c r="N12" s="523"/>
      <c r="O12" s="528"/>
      <c r="P12" s="523"/>
      <c r="Q12" s="553"/>
      <c r="R12" s="167"/>
      <c r="S12" s="532"/>
    </row>
    <row r="13" spans="2:19" ht="12.75">
      <c r="B13" s="240" t="str">
        <f>'Input - Customer Data'!A15</f>
        <v>General Service &gt; 50 to 4999 kW</v>
      </c>
      <c r="C13" s="167" t="s">
        <v>110</v>
      </c>
      <c r="D13" s="315">
        <f>'Input - Customer Data'!$I24</f>
        <v>162.39450750401514</v>
      </c>
      <c r="E13" s="315">
        <f>'Input - Customer Data'!$I25</f>
        <v>154.2972758701412</v>
      </c>
      <c r="G13" s="332"/>
      <c r="H13" s="167"/>
      <c r="I13" s="334"/>
      <c r="M13" s="533"/>
      <c r="N13" s="534"/>
      <c r="O13" s="528"/>
      <c r="P13" s="523"/>
      <c r="Q13" s="553"/>
      <c r="R13" s="167"/>
      <c r="S13" s="532"/>
    </row>
    <row r="14" spans="2:19" ht="12.75">
      <c r="B14" s="240"/>
      <c r="C14" s="167" t="s">
        <v>79</v>
      </c>
      <c r="D14" s="315">
        <f>'Bridge&amp;Test Year Class Forecast'!G70</f>
        <v>176868613.1636885</v>
      </c>
      <c r="E14" s="315">
        <f>'Bridge&amp;Test Year Class Forecast'!G71</f>
        <v>177439810.60149136</v>
      </c>
      <c r="G14" s="302">
        <f>E14/$E$27</f>
        <v>0.40229999115895</v>
      </c>
      <c r="H14" s="330">
        <f>G14*$H$28</f>
        <v>318052.5396603941</v>
      </c>
      <c r="I14" s="333">
        <f>E14-H14</f>
        <v>177121758.06183097</v>
      </c>
      <c r="M14" s="534"/>
      <c r="N14" s="338"/>
      <c r="O14" s="525">
        <v>195</v>
      </c>
      <c r="P14" s="526">
        <f>SUM(M14:O14)</f>
        <v>195</v>
      </c>
      <c r="Q14" s="527">
        <f>P14/$P$27</f>
        <v>0.0001544238880292186</v>
      </c>
      <c r="R14" s="330">
        <f>Q14*$R$27</f>
        <v>122.0852867295238</v>
      </c>
      <c r="S14" s="532">
        <f>E14-R14</f>
        <v>177439688.51620463</v>
      </c>
    </row>
    <row r="15" spans="2:19" ht="12.75">
      <c r="B15" s="240"/>
      <c r="C15" s="167" t="s">
        <v>80</v>
      </c>
      <c r="D15" s="315">
        <f>'Bridge&amp;Test Year Class Forecast'!$K63</f>
        <v>443140.4116926996</v>
      </c>
      <c r="E15" s="315">
        <f>'Bridge&amp;Test Year Class Forecast'!$K64</f>
        <v>444571.53428261617</v>
      </c>
      <c r="G15" s="332"/>
      <c r="H15" s="331"/>
      <c r="I15" s="334">
        <f>(I14/E14)*E15</f>
        <v>443774.66065510275</v>
      </c>
      <c r="M15" s="534"/>
      <c r="N15" s="534"/>
      <c r="O15" s="528"/>
      <c r="P15" s="523"/>
      <c r="Q15" s="553"/>
      <c r="R15" s="331"/>
      <c r="S15" s="334">
        <f>(S14/E14)*E15</f>
        <v>444571.2284006213</v>
      </c>
    </row>
    <row r="16" spans="2:19" ht="12.75">
      <c r="B16" s="240"/>
      <c r="C16" s="167"/>
      <c r="D16" s="315"/>
      <c r="E16" s="316"/>
      <c r="G16" s="332"/>
      <c r="H16" s="167"/>
      <c r="I16" s="334"/>
      <c r="M16" s="523"/>
      <c r="N16" s="523"/>
      <c r="O16" s="528"/>
      <c r="P16" s="523"/>
      <c r="Q16" s="553"/>
      <c r="R16" s="167"/>
      <c r="S16" s="532"/>
    </row>
    <row r="17" spans="2:19" ht="12.75">
      <c r="B17" s="240" t="str">
        <f>'Input - Customer Data'!A16</f>
        <v>USL</v>
      </c>
      <c r="C17" s="167" t="s">
        <v>110</v>
      </c>
      <c r="D17" s="315">
        <f>'Input - Customer Data'!$K19</f>
        <v>48.09048984164403</v>
      </c>
      <c r="E17" s="315">
        <f>'Input - Customer Data'!$K20</f>
        <v>47.197861494066686</v>
      </c>
      <c r="G17" s="332"/>
      <c r="H17" s="167"/>
      <c r="I17" s="334"/>
      <c r="M17" s="523"/>
      <c r="N17" s="523"/>
      <c r="O17" s="528"/>
      <c r="P17" s="523"/>
      <c r="Q17" s="553"/>
      <c r="R17" s="167"/>
      <c r="S17" s="532"/>
    </row>
    <row r="18" spans="2:19" ht="12.75">
      <c r="B18" s="240"/>
      <c r="C18" s="167" t="s">
        <v>79</v>
      </c>
      <c r="D18" s="315">
        <f>'Bridge&amp;Test Year Class Forecast'!$B87</f>
        <v>217683.69502040817</v>
      </c>
      <c r="E18" s="315">
        <f>'Bridge&amp;Test Year Class Forecast'!$B88</f>
        <v>213148.61804081633</v>
      </c>
      <c r="G18" s="302">
        <f>E18/$E$27</f>
        <v>0.00048326070041827525</v>
      </c>
      <c r="H18" s="330">
        <f>G18*$H$28</f>
        <v>382.05890247053236</v>
      </c>
      <c r="I18" s="333">
        <f>E18-H18</f>
        <v>212766.5591383458</v>
      </c>
      <c r="M18" s="523"/>
      <c r="N18" s="523"/>
      <c r="O18" s="533"/>
      <c r="P18" s="526"/>
      <c r="Q18" s="527"/>
      <c r="R18" s="330"/>
      <c r="S18" s="532">
        <f>E18-R18</f>
        <v>213148.61804081633</v>
      </c>
    </row>
    <row r="19" spans="2:19" ht="12.75">
      <c r="B19" s="240"/>
      <c r="C19" s="167" t="s">
        <v>80</v>
      </c>
      <c r="D19" s="315">
        <f>'Bridge&amp;Test Year Class Forecast'!$C86</f>
        <v>0</v>
      </c>
      <c r="E19" s="315">
        <f>'Bridge&amp;Test Year Class Forecast'!$C88</f>
        <v>0</v>
      </c>
      <c r="G19" s="332"/>
      <c r="H19" s="331"/>
      <c r="I19" s="334">
        <f>(I18/E18)*E19</f>
        <v>0</v>
      </c>
      <c r="M19" s="523"/>
      <c r="N19" s="523"/>
      <c r="O19" s="528"/>
      <c r="P19" s="526"/>
      <c r="Q19" s="553"/>
      <c r="R19" s="331"/>
      <c r="S19" s="532"/>
    </row>
    <row r="20" spans="2:19" ht="12.75">
      <c r="B20" s="240"/>
      <c r="C20" s="167"/>
      <c r="D20" s="315"/>
      <c r="E20" s="316"/>
      <c r="G20" s="332"/>
      <c r="H20" s="167"/>
      <c r="I20" s="334"/>
      <c r="M20" s="523"/>
      <c r="N20" s="523"/>
      <c r="O20" s="528"/>
      <c r="P20" s="526"/>
      <c r="Q20" s="553"/>
      <c r="R20" s="331"/>
      <c r="S20" s="532"/>
    </row>
    <row r="21" spans="2:19" ht="12.75">
      <c r="B21" s="240" t="str">
        <f>'Input - Customer Data'!A17</f>
        <v>Sentinel</v>
      </c>
      <c r="C21" s="167" t="s">
        <v>110</v>
      </c>
      <c r="D21" s="315">
        <f>'Input - Customer Data'!$M19</f>
        <v>8.371600930182808</v>
      </c>
      <c r="E21" s="315">
        <f>'Input - Customer Data'!$M20</f>
        <v>8.326776491196554</v>
      </c>
      <c r="G21" s="332"/>
      <c r="H21" s="167"/>
      <c r="I21" s="334"/>
      <c r="M21" s="523"/>
      <c r="N21" s="523"/>
      <c r="O21" s="528"/>
      <c r="P21" s="526"/>
      <c r="Q21" s="553"/>
      <c r="R21" s="331"/>
      <c r="S21" s="532"/>
    </row>
    <row r="22" spans="2:19" ht="12.75">
      <c r="B22" s="240"/>
      <c r="C22" s="167" t="s">
        <v>79</v>
      </c>
      <c r="D22" s="315">
        <f>'Bridge&amp;Test Year Class Forecast'!$B108</f>
        <v>7249</v>
      </c>
      <c r="E22" s="315">
        <f>'Bridge&amp;Test Year Class Forecast'!$B109</f>
        <v>7210</v>
      </c>
      <c r="G22" s="302">
        <f>E22/$E$27</f>
        <v>1.6346855457202853E-05</v>
      </c>
      <c r="H22" s="330">
        <f>G22*$H$28</f>
        <v>12.923586895060446</v>
      </c>
      <c r="I22" s="333">
        <f>E22-H22</f>
        <v>7197.07641310494</v>
      </c>
      <c r="M22" s="523"/>
      <c r="N22" s="523"/>
      <c r="O22" s="528"/>
      <c r="P22" s="526"/>
      <c r="Q22" s="553"/>
      <c r="R22" s="331"/>
      <c r="S22" s="532">
        <f>E22-R22</f>
        <v>7210</v>
      </c>
    </row>
    <row r="23" spans="2:19" ht="12.75">
      <c r="B23" s="240"/>
      <c r="C23" s="167" t="s">
        <v>80</v>
      </c>
      <c r="D23" s="315">
        <f>'Bridge&amp;Test Year Class Forecast'!$C108</f>
        <v>16</v>
      </c>
      <c r="E23" s="315">
        <f>'Bridge&amp;Test Year Class Forecast'!$C109</f>
        <v>16</v>
      </c>
      <c r="G23" s="332"/>
      <c r="H23" s="331"/>
      <c r="I23" s="334">
        <f>(I22/E22)*E23</f>
        <v>15.971320750302224</v>
      </c>
      <c r="M23" s="523"/>
      <c r="N23" s="523"/>
      <c r="O23" s="528"/>
      <c r="P23" s="526"/>
      <c r="Q23" s="553"/>
      <c r="R23" s="167"/>
      <c r="S23" s="334">
        <f>(S22/E22)*E23</f>
        <v>16</v>
      </c>
    </row>
    <row r="24" spans="2:19" ht="12.75">
      <c r="B24" s="240"/>
      <c r="C24" s="167"/>
      <c r="D24" s="315"/>
      <c r="E24" s="316"/>
      <c r="G24" s="332"/>
      <c r="H24" s="167"/>
      <c r="I24" s="334"/>
      <c r="M24" s="523"/>
      <c r="N24" s="523"/>
      <c r="O24" s="528"/>
      <c r="P24" s="526"/>
      <c r="Q24" s="553"/>
      <c r="R24" s="167"/>
      <c r="S24" s="532"/>
    </row>
    <row r="25" spans="2:19" ht="12.75">
      <c r="B25" s="240"/>
      <c r="C25" s="167"/>
      <c r="D25" s="315"/>
      <c r="E25" s="316"/>
      <c r="G25" s="332"/>
      <c r="H25" s="167"/>
      <c r="I25" s="167"/>
      <c r="M25" s="528"/>
      <c r="N25" s="523"/>
      <c r="O25" s="528"/>
      <c r="P25" s="523"/>
      <c r="Q25" s="553"/>
      <c r="R25" s="167"/>
      <c r="S25" s="532"/>
    </row>
    <row r="26" spans="2:19" ht="12.75">
      <c r="B26" s="240" t="s">
        <v>81</v>
      </c>
      <c r="C26" s="240" t="s">
        <v>110</v>
      </c>
      <c r="D26" s="317">
        <f aca="true" t="shared" si="0" ref="D26:E28">D5+D9+D13+D17+D21</f>
        <v>24584.55366342914</v>
      </c>
      <c r="E26" s="317">
        <f t="shared" si="0"/>
        <v>24778.483837880936</v>
      </c>
      <c r="G26" s="332"/>
      <c r="H26" s="167"/>
      <c r="I26" s="317"/>
      <c r="M26" s="535"/>
      <c r="N26" s="535"/>
      <c r="O26" s="535"/>
      <c r="P26" s="538"/>
      <c r="Q26" s="554"/>
      <c r="R26" s="539"/>
      <c r="S26" s="540"/>
    </row>
    <row r="27" spans="2:19" ht="13.5" thickBot="1">
      <c r="B27" s="240"/>
      <c r="C27" s="240" t="s">
        <v>79</v>
      </c>
      <c r="D27" s="317">
        <f t="shared" si="0"/>
        <v>439648875.40723455</v>
      </c>
      <c r="E27" s="317">
        <f t="shared" si="0"/>
        <v>441063421.5783125</v>
      </c>
      <c r="G27" s="332"/>
      <c r="H27" s="167"/>
      <c r="I27" s="317">
        <f>I6+I10+I14+I18+I22</f>
        <v>440272836.0783125</v>
      </c>
      <c r="M27" s="528">
        <f>SUM(M6:M26)</f>
        <v>732267</v>
      </c>
      <c r="N27" s="528">
        <f>SUM(N6:N26)</f>
        <v>0</v>
      </c>
      <c r="O27" s="528">
        <f>SUM(O6:O26)</f>
        <v>530491</v>
      </c>
      <c r="P27" s="528">
        <f>SUM(P6:P26)</f>
        <v>1262758</v>
      </c>
      <c r="Q27" s="555">
        <f>SUM(Q5:Q25)</f>
        <v>1</v>
      </c>
      <c r="R27" s="541">
        <f>H28</f>
        <v>790585.5</v>
      </c>
      <c r="S27" s="317">
        <f>S6+S10+S14+S18+S22</f>
        <v>440272836.07831246</v>
      </c>
    </row>
    <row r="28" spans="2:19" ht="13.5" thickTop="1">
      <c r="B28" s="240"/>
      <c r="C28" s="240" t="s">
        <v>80</v>
      </c>
      <c r="D28" s="317">
        <f t="shared" si="0"/>
        <v>443156.4116926996</v>
      </c>
      <c r="E28" s="317">
        <f t="shared" si="0"/>
        <v>444587.53428261617</v>
      </c>
      <c r="G28" s="332"/>
      <c r="H28" s="301">
        <f>'CDM Adjustment'!Q42</f>
        <v>790585.5</v>
      </c>
      <c r="I28" s="317">
        <f>I7+I11+I15+I19+I23</f>
        <v>443790.63197585306</v>
      </c>
      <c r="M28" s="533"/>
      <c r="N28" s="533"/>
      <c r="O28" s="534"/>
      <c r="P28" s="534"/>
      <c r="Q28" s="152"/>
      <c r="R28" s="542"/>
      <c r="S28" s="317">
        <f>S7+S11+S15+S19+S23</f>
        <v>444587.2284006213</v>
      </c>
    </row>
    <row r="29" spans="13:19" ht="12.75">
      <c r="M29" s="536"/>
      <c r="N29" s="536"/>
      <c r="O29" s="537"/>
      <c r="P29" s="537"/>
      <c r="Q29" s="149"/>
      <c r="R29" s="149"/>
      <c r="S29" s="149"/>
    </row>
    <row r="31" ht="15.75" customHeight="1"/>
  </sheetData>
  <sheetProtection/>
  <mergeCells count="4">
    <mergeCell ref="G3:I3"/>
    <mergeCell ref="M1:S1"/>
    <mergeCell ref="Q3:S3"/>
    <mergeCell ref="G1:I1"/>
  </mergeCells>
  <printOptions/>
  <pageMargins left="0.7" right="0.7" top="0.75" bottom="0.75" header="0.3" footer="0.3"/>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Business-Spreadsheets.com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Multiple Regression Analysis and Forecasting Model</dc:title>
  <dc:subject>Forecasting</dc:subject>
  <dc:creator>Business Spreadsheets</dc:creator>
  <cp:keywords>multiple, regression, analysis, forecasting</cp:keywords>
  <dc:description>The Multiple Regression Forecasting model provides a solid basis for identifying value drivers and forecasting data.  While it utilizes a range of commonly employed statistical measures to test the validity of the analysis, results are summarized in text for ease of use.  Once relationships have been identified, forecasting can be accomplished based on a range of available methodologies.  
The intuitive step-by-step usage flow enables you to develop strong forecasts for your projects in a timely manner.</dc:description>
  <cp:lastModifiedBy>Tandem Energy Services</cp:lastModifiedBy>
  <cp:lastPrinted>2017-12-14T01:50:40Z</cp:lastPrinted>
  <dcterms:created xsi:type="dcterms:W3CDTF">2001-05-23T22:53:47Z</dcterms:created>
  <dcterms:modified xsi:type="dcterms:W3CDTF">2023-11-03T19:18:30Z</dcterms:modified>
  <cp:category>Multiple Regression Forecasting</cp:category>
  <cp:version/>
  <cp:contentType/>
  <cp:contentStatus/>
</cp:coreProperties>
</file>