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8/Tab01-Overview/S02-Allocation Between Fixed and Variable Rates/"/>
    </mc:Choice>
  </mc:AlternateContent>
  <xr:revisionPtr revIDLastSave="0" documentId="13_ncr:1_{C2C791B2-55E8-42B4-BFB5-F701F40F5358}" xr6:coauthVersionLast="47" xr6:coauthVersionMax="47" xr10:uidLastSave="{00000000-0000-0000-0000-000000000000}"/>
  <bookViews>
    <workbookView xWindow="28680" yWindow="-120" windowWidth="29040" windowHeight="15840" tabRatio="882" firstSheet="1" activeTab="1" xr2:uid="{00000000-000D-0000-FFFF-FFFF00000000}"/>
  </bookViews>
  <sheets>
    <sheet name="5-2 DEMAND, RATES (Input)" sheetId="2" state="hidden" r:id="rId1"/>
    <sheet name="Fix Viable Split" sheetId="3" r:id="rId2"/>
  </sheets>
  <definedNames>
    <definedName name="_xlnm.Print_Area" localSheetId="0">'5-2 DEMAND, RATES (Input)'!$A$1:$K$18</definedName>
    <definedName name="_xlnm.Print_Area" localSheetId="1">'Fix Viable Split'!$B$8:$AB$25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3" l="1"/>
  <c r="F16" i="2"/>
  <c r="D16" i="2"/>
  <c r="B16" i="2"/>
  <c r="X15" i="3" l="1"/>
  <c r="X17" i="3"/>
  <c r="W17" i="3"/>
  <c r="X19" i="3"/>
  <c r="W19" i="3"/>
  <c r="X22" i="3"/>
  <c r="X14" i="3"/>
  <c r="X16" i="3"/>
  <c r="V16" i="3"/>
  <c r="X18" i="3"/>
  <c r="W18" i="3"/>
  <c r="X21" i="3"/>
  <c r="V21" i="3"/>
  <c r="X20" i="3"/>
  <c r="W20" i="3"/>
  <c r="F24" i="3"/>
  <c r="P21" i="3"/>
  <c r="P18" i="3"/>
  <c r="O19" i="3"/>
  <c r="Q15" i="3"/>
  <c r="O15" i="3"/>
  <c r="O17" i="3"/>
  <c r="P20" i="3"/>
  <c r="Q17" i="3"/>
  <c r="O18" i="3"/>
  <c r="Q19" i="3"/>
  <c r="O21" i="3"/>
  <c r="Q22" i="3"/>
  <c r="O20" i="3"/>
  <c r="Q18" i="3"/>
  <c r="Q21" i="3"/>
  <c r="O22" i="3"/>
  <c r="Q20" i="3"/>
  <c r="P14" i="3"/>
  <c r="P15" i="3"/>
  <c r="P16" i="3"/>
  <c r="Q14" i="3"/>
  <c r="O16" i="3"/>
  <c r="Q16" i="3"/>
  <c r="P17" i="3"/>
  <c r="P19" i="3"/>
  <c r="P22" i="3"/>
  <c r="C24" i="3"/>
  <c r="I24" i="3"/>
  <c r="Y22" i="3" l="1"/>
  <c r="Y15" i="3"/>
  <c r="AA15" i="3" s="1"/>
  <c r="Z15" i="3" s="1"/>
  <c r="AB15" i="3" s="1"/>
  <c r="Y16" i="3"/>
  <c r="AA16" i="3" s="1"/>
  <c r="Z16" i="3" s="1"/>
  <c r="AB16" i="3" s="1"/>
  <c r="Y19" i="3"/>
  <c r="AA19" i="3" s="1"/>
  <c r="Y17" i="3"/>
  <c r="AA17" i="3" s="1"/>
  <c r="R18" i="3"/>
  <c r="Y20" i="3"/>
  <c r="AA20" i="3" s="1"/>
  <c r="Y18" i="3"/>
  <c r="AA18" i="3" s="1"/>
  <c r="R20" i="3"/>
  <c r="W24" i="3"/>
  <c r="R21" i="3"/>
  <c r="Y21" i="3"/>
  <c r="R16" i="3"/>
  <c r="X24" i="3"/>
  <c r="V24" i="3"/>
  <c r="Y14" i="3"/>
  <c r="R15" i="3"/>
  <c r="Q24" i="3"/>
  <c r="O24" i="3"/>
  <c r="R14" i="3"/>
  <c r="P24" i="3"/>
  <c r="R22" i="3"/>
  <c r="R19" i="3"/>
  <c r="R17" i="3"/>
  <c r="Z21" i="3" l="1"/>
  <c r="AA22" i="3"/>
  <c r="AB22" i="3" s="1"/>
  <c r="AA21" i="3"/>
  <c r="AB21" i="3" s="1"/>
  <c r="Z19" i="3"/>
  <c r="AB19" i="3" s="1"/>
  <c r="Z17" i="3"/>
  <c r="AB17" i="3" s="1"/>
  <c r="Z20" i="3"/>
  <c r="AB20" i="3" s="1"/>
  <c r="Z18" i="3"/>
  <c r="AB18" i="3" s="1"/>
  <c r="AA14" i="3"/>
  <c r="Z14" i="3" s="1"/>
  <c r="Y24" i="3"/>
  <c r="AA24" i="3" s="1"/>
  <c r="R24" i="3"/>
  <c r="S22" i="3" s="1"/>
  <c r="AB14" i="3" l="1"/>
  <c r="Z24" i="3"/>
  <c r="AB24" i="3" s="1"/>
  <c r="S23" i="3"/>
  <c r="S16" i="3"/>
  <c r="S21" i="3"/>
  <c r="S18" i="3"/>
  <c r="S20" i="3"/>
  <c r="S15" i="3"/>
  <c r="S19" i="3"/>
  <c r="S17" i="3"/>
  <c r="S14" i="3"/>
  <c r="S24" i="3" l="1"/>
</calcChain>
</file>

<file path=xl/sharedStrings.xml><?xml version="1.0" encoding="utf-8"?>
<sst xmlns="http://schemas.openxmlformats.org/spreadsheetml/2006/main" count="87" uniqueCount="55">
  <si>
    <t>5-2 DEMAND, RATES (Input)</t>
  </si>
  <si>
    <t>Number of Customers (Connections)</t>
  </si>
  <si>
    <t xml:space="preserve"> </t>
  </si>
  <si>
    <t>Demand Data - kWh</t>
  </si>
  <si>
    <t>Demand Data - kVA</t>
  </si>
  <si>
    <t>2015 Forecast</t>
  </si>
  <si>
    <t>Volumetric Rate Type</t>
  </si>
  <si>
    <t>Distribution Rate kWh</t>
  </si>
  <si>
    <t>#</t>
  </si>
  <si>
    <t>kWh</t>
  </si>
  <si>
    <t>kVA</t>
  </si>
  <si>
    <t>$</t>
  </si>
  <si>
    <t>Regular</t>
  </si>
  <si>
    <t>COMPETITIVE SECTOR MULTI-UNIT RESIDENTIAL</t>
  </si>
  <si>
    <t>Less than 50 kW</t>
  </si>
  <si>
    <t>kW</t>
  </si>
  <si>
    <t>50  to 1000 kW - Interval</t>
  </si>
  <si>
    <t>Intermediate Use  (1000 - 5000 kW)</t>
  </si>
  <si>
    <t>Large Use (&gt; 5000 kW) Includes Standby Charges</t>
  </si>
  <si>
    <t>Unmetered Scattered Load - Admin per Customer</t>
  </si>
  <si>
    <t>Unmetered Scattered Load - Charge per Connection</t>
  </si>
  <si>
    <t>Street Lighting</t>
  </si>
  <si>
    <t>TOTALS</t>
  </si>
  <si>
    <t xml:space="preserve"> Allocation to Customer Classes
%</t>
  </si>
  <si>
    <t>Allocation between
Fixed and Variable
%</t>
  </si>
  <si>
    <t>2015 Forecast Customer count</t>
  </si>
  <si>
    <t>2015 Forecast average kWh per cust.</t>
  </si>
  <si>
    <t>Volumetric
kWh ($)</t>
  </si>
  <si>
    <t>Volumetric
kVA ($)</t>
  </si>
  <si>
    <t>Monthly Fixed Charges ($)</t>
  </si>
  <si>
    <t>Total ($)</t>
  </si>
  <si>
    <t>Total for customer class  as % of Total for all classes</t>
  </si>
  <si>
    <t>Volumetric as percent of Total for customer class</t>
  </si>
  <si>
    <t>Fixed charges as percent of total for customer class</t>
  </si>
  <si>
    <t>Competitive Sector Multi-Unit Residential</t>
  </si>
  <si>
    <t>Calculated Revenue for Allocation to Customer Classes:
2015 Consumption determinants
 x Rates for 2014 test year</t>
  </si>
  <si>
    <t>Residential</t>
  </si>
  <si>
    <t xml:space="preserve">GS - 1000 to 4999 kW  </t>
  </si>
  <si>
    <t>GS - 50  to 999 kW</t>
  </si>
  <si>
    <t>GS &lt; 50 kW</t>
  </si>
  <si>
    <t>Large Use (&gt; 5000 kW)</t>
  </si>
  <si>
    <t>Unmetered Scattered Load  - Connections</t>
  </si>
  <si>
    <t>Mthly
Service Chrg - without Days of Service
(Per Cust./ Connection/Device)</t>
  </si>
  <si>
    <t>Distribution Rate kVA without Days of Service</t>
  </si>
  <si>
    <t>2025 Forecast kWh</t>
  </si>
  <si>
    <t>2025 Forecast kVA</t>
  </si>
  <si>
    <t>2025 Forecast Customer count</t>
  </si>
  <si>
    <t>Calculated Revenue for Allocation between Fixed and Variable:
2025 Consumption determinants
 x Rates for 2024</t>
  </si>
  <si>
    <t>2024 Rates (For Revenue Requirement Allocation by Rate Class)</t>
  </si>
  <si>
    <t xml:space="preserve">Toronto Hydro-Electric System Limited </t>
  </si>
  <si>
    <t>EB-2023-0195</t>
  </si>
  <si>
    <t>ORIGINAL</t>
  </si>
  <si>
    <t xml:space="preserve">Exhibit 8 </t>
  </si>
  <si>
    <t xml:space="preserve">Tab 1 </t>
  </si>
  <si>
    <t xml:space="preserve">Schedule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</si>
</sst>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4" fontId="0" fillId="0" borderId="0" xfId="0" applyNumberFormat="1"/>
    <xf numFmtId="0" fontId="4" fillId="0" borderId="0" xfId="0" applyFont="1"/>
    <xf numFmtId="0" fontId="0" fillId="0" borderId="14" xfId="0" applyBorder="1"/>
    <xf numFmtId="0" fontId="0" fillId="0" borderId="18" xfId="0" applyBorder="1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0" xfId="0" applyFont="1" applyFill="1"/>
    <xf numFmtId="0" fontId="0" fillId="4" borderId="18" xfId="0" applyFill="1" applyBorder="1"/>
    <xf numFmtId="0" fontId="0" fillId="5" borderId="0" xfId="0" applyFill="1"/>
    <xf numFmtId="165" fontId="0" fillId="4" borderId="18" xfId="1" applyNumberFormat="1" applyFont="1" applyFill="1" applyBorder="1"/>
    <xf numFmtId="165" fontId="0" fillId="0" borderId="18" xfId="1" applyNumberFormat="1" applyFont="1" applyBorder="1"/>
    <xf numFmtId="165" fontId="0" fillId="0" borderId="20" xfId="1" applyNumberFormat="1" applyFont="1" applyBorder="1"/>
    <xf numFmtId="0" fontId="1" fillId="0" borderId="10" xfId="0" applyFont="1" applyBorder="1" applyAlignment="1">
      <alignment vertical="center" wrapText="1"/>
    </xf>
    <xf numFmtId="0" fontId="1" fillId="0" borderId="0" xfId="0" applyFont="1"/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0" fillId="6" borderId="0" xfId="0" applyFill="1"/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" fillId="6" borderId="15" xfId="0" applyFont="1" applyFill="1" applyBorder="1" applyAlignment="1">
      <alignment wrapText="1"/>
    </xf>
    <xf numFmtId="0" fontId="0" fillId="6" borderId="12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0" xfId="0" applyFill="1" applyBorder="1"/>
    <xf numFmtId="0" fontId="0" fillId="6" borderId="16" xfId="0" applyFill="1" applyBorder="1"/>
    <xf numFmtId="0" fontId="0" fillId="6" borderId="1" xfId="0" applyFill="1" applyBorder="1"/>
    <xf numFmtId="0" fontId="2" fillId="6" borderId="0" xfId="0" applyFont="1" applyFill="1"/>
    <xf numFmtId="0" fontId="0" fillId="6" borderId="17" xfId="0" applyFill="1" applyBorder="1"/>
    <xf numFmtId="4" fontId="0" fillId="6" borderId="0" xfId="0" applyNumberFormat="1" applyFill="1"/>
    <xf numFmtId="3" fontId="0" fillId="6" borderId="12" xfId="0" applyNumberFormat="1" applyFill="1" applyBorder="1"/>
    <xf numFmtId="4" fontId="0" fillId="6" borderId="6" xfId="0" applyNumberFormat="1" applyFill="1" applyBorder="1"/>
    <xf numFmtId="3" fontId="0" fillId="6" borderId="5" xfId="0" applyNumberFormat="1" applyFill="1" applyBorder="1"/>
    <xf numFmtId="3" fontId="0" fillId="6" borderId="0" xfId="0" applyNumberFormat="1" applyFill="1" applyBorder="1"/>
    <xf numFmtId="10" fontId="0" fillId="6" borderId="0" xfId="0" applyNumberFormat="1" applyFill="1" applyBorder="1"/>
    <xf numFmtId="10" fontId="0" fillId="6" borderId="6" xfId="0" applyNumberFormat="1" applyFill="1" applyBorder="1"/>
    <xf numFmtId="0" fontId="3" fillId="6" borderId="0" xfId="0" applyFont="1" applyFill="1"/>
    <xf numFmtId="3" fontId="0" fillId="6" borderId="13" xfId="0" applyNumberFormat="1" applyFill="1" applyBorder="1"/>
    <xf numFmtId="4" fontId="0" fillId="6" borderId="7" xfId="0" applyNumberFormat="1" applyFill="1" applyBorder="1"/>
    <xf numFmtId="4" fontId="0" fillId="6" borderId="8" xfId="0" applyNumberFormat="1" applyFill="1" applyBorder="1"/>
    <xf numFmtId="4" fontId="1" fillId="6" borderId="8" xfId="0" applyNumberFormat="1" applyFont="1" applyFill="1" applyBorder="1"/>
    <xf numFmtId="10" fontId="0" fillId="6" borderId="17" xfId="0" applyNumberFormat="1" applyFill="1" applyBorder="1"/>
    <xf numFmtId="10" fontId="0" fillId="6" borderId="8" xfId="0" applyNumberFormat="1" applyFill="1" applyBorder="1"/>
    <xf numFmtId="0" fontId="1" fillId="6" borderId="13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4" fillId="0" borderId="2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vertical="center" wrapText="1"/>
    </xf>
    <xf numFmtId="0" fontId="0" fillId="6" borderId="3" xfId="0" applyFill="1" applyBorder="1" applyAlignment="1">
      <alignment wrapText="1"/>
    </xf>
    <xf numFmtId="0" fontId="0" fillId="6" borderId="13" xfId="0" applyFill="1" applyBorder="1"/>
    <xf numFmtId="0" fontId="0" fillId="6" borderId="12" xfId="0" applyFill="1" applyBorder="1" applyAlignment="1">
      <alignment vertical="center" wrapText="1"/>
    </xf>
    <xf numFmtId="4" fontId="0" fillId="6" borderId="0" xfId="0" applyNumberFormat="1" applyFill="1" applyBorder="1"/>
    <xf numFmtId="4" fontId="0" fillId="6" borderId="12" xfId="0" applyNumberFormat="1" applyFill="1" applyBorder="1"/>
    <xf numFmtId="10" fontId="0" fillId="6" borderId="5" xfId="0" applyNumberFormat="1" applyFill="1" applyBorder="1"/>
    <xf numFmtId="4" fontId="0" fillId="6" borderId="19" xfId="0" applyNumberFormat="1" applyFill="1" applyBorder="1"/>
    <xf numFmtId="4" fontId="0" fillId="6" borderId="13" xfId="0" applyNumberFormat="1" applyFill="1" applyBorder="1"/>
    <xf numFmtId="10" fontId="0" fillId="6" borderId="7" xfId="0" applyNumberFormat="1" applyFill="1" applyBorder="1"/>
    <xf numFmtId="0" fontId="1" fillId="6" borderId="1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5" fontId="0" fillId="6" borderId="12" xfId="1" applyNumberFormat="1" applyFont="1" applyFill="1" applyBorder="1"/>
    <xf numFmtId="0" fontId="0" fillId="6" borderId="1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2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4" fontId="0" fillId="6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6" borderId="12" xfId="0" applyNumberFormat="1" applyFill="1" applyBorder="1" applyAlignment="1">
      <alignment horizontal="right" vertical="center"/>
    </xf>
    <xf numFmtId="3" fontId="0" fillId="6" borderId="0" xfId="0" applyNumberFormat="1" applyFill="1" applyBorder="1" applyAlignment="1">
      <alignment horizontal="right" vertical="center"/>
    </xf>
    <xf numFmtId="3" fontId="1" fillId="6" borderId="5" xfId="0" applyNumberFormat="1" applyFont="1" applyFill="1" applyBorder="1" applyAlignment="1">
      <alignment horizontal="right" vertical="center"/>
    </xf>
    <xf numFmtId="3" fontId="0" fillId="6" borderId="5" xfId="0" applyNumberFormat="1" applyFill="1" applyBorder="1" applyAlignment="1">
      <alignment horizontal="right" vertical="center"/>
    </xf>
    <xf numFmtId="3" fontId="0" fillId="6" borderId="13" xfId="0" applyNumberFormat="1" applyFill="1" applyBorder="1" applyAlignment="1">
      <alignment horizontal="right" vertical="center"/>
    </xf>
    <xf numFmtId="3" fontId="0" fillId="6" borderId="8" xfId="0" applyNumberFormat="1" applyFill="1" applyBorder="1" applyAlignment="1">
      <alignment horizontal="right" vertical="center"/>
    </xf>
    <xf numFmtId="3" fontId="1" fillId="6" borderId="7" xfId="0" applyNumberFormat="1" applyFont="1" applyFill="1" applyBorder="1" applyAlignment="1">
      <alignment horizontal="right" vertical="center"/>
    </xf>
    <xf numFmtId="10" fontId="1" fillId="6" borderId="6" xfId="0" applyNumberFormat="1" applyFont="1" applyFill="1" applyBorder="1"/>
    <xf numFmtId="10" fontId="1" fillId="6" borderId="9" xfId="0" applyNumberFormat="1" applyFont="1" applyFill="1" applyBorder="1"/>
    <xf numFmtId="0" fontId="1" fillId="6" borderId="21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/>
    </xf>
    <xf numFmtId="0" fontId="1" fillId="6" borderId="0" xfId="0" applyFont="1" applyFill="1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</cellXfs>
  <cellStyles count="4">
    <cellStyle name="Comma" xfId="1" builtinId="3"/>
    <cellStyle name="Currency 10" xfId="3" xr:uid="{00000000-0005-0000-0000-000001000000}"/>
    <cellStyle name="Normal" xfId="0" builtinId="0"/>
    <cellStyle name="Normal 197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workbookViewId="0">
      <selection activeCell="I18" sqref="I2:K18"/>
    </sheetView>
  </sheetViews>
  <sheetFormatPr defaultRowHeight="15" x14ac:dyDescent="0.25"/>
  <cols>
    <col min="1" max="1" width="47.140625" customWidth="1"/>
    <col min="2" max="2" width="13.140625" customWidth="1"/>
    <col min="3" max="3" width="1.42578125" customWidth="1"/>
    <col min="4" max="4" width="16.85546875" customWidth="1"/>
    <col min="5" max="5" width="1.140625" customWidth="1"/>
    <col min="6" max="6" width="13.140625" customWidth="1"/>
    <col min="7" max="7" width="3" customWidth="1"/>
    <col min="8" max="9" width="9.140625" customWidth="1"/>
    <col min="10" max="10" width="14.5703125" customWidth="1"/>
    <col min="11" max="11" width="12" customWidth="1"/>
    <col min="13" max="13" width="12.140625" customWidth="1"/>
    <col min="14" max="14" width="11.5703125" customWidth="1"/>
    <col min="15" max="15" width="13.28515625" customWidth="1"/>
  </cols>
  <sheetData>
    <row r="1" spans="1:12" ht="21.75" thickBot="1" x14ac:dyDescent="0.4">
      <c r="A1" s="9" t="s">
        <v>0</v>
      </c>
    </row>
    <row r="2" spans="1:12" s="3" customFormat="1" ht="78" customHeight="1" thickBot="1" x14ac:dyDescent="0.35">
      <c r="B2" s="15" t="s">
        <v>1</v>
      </c>
      <c r="C2" s="16" t="s">
        <v>2</v>
      </c>
      <c r="D2" s="15" t="s">
        <v>3</v>
      </c>
      <c r="E2" s="16" t="s">
        <v>2</v>
      </c>
      <c r="F2" s="15" t="s">
        <v>4</v>
      </c>
      <c r="G2" s="3" t="s">
        <v>2</v>
      </c>
      <c r="L2" s="3" t="s">
        <v>2</v>
      </c>
    </row>
    <row r="3" spans="1:12" ht="45" customHeight="1" x14ac:dyDescent="0.25">
      <c r="B3" s="83" t="s">
        <v>5</v>
      </c>
      <c r="D3" s="83" t="s">
        <v>5</v>
      </c>
      <c r="F3" s="83" t="s">
        <v>5</v>
      </c>
    </row>
    <row r="4" spans="1:12" x14ac:dyDescent="0.25">
      <c r="B4" s="84"/>
      <c r="D4" s="84"/>
      <c r="F4" s="84"/>
      <c r="H4" t="s">
        <v>6</v>
      </c>
    </row>
    <row r="5" spans="1:12" ht="15.75" thickBot="1" x14ac:dyDescent="0.3">
      <c r="B5" s="6" t="s">
        <v>8</v>
      </c>
      <c r="C5" s="7"/>
      <c r="D5" s="8" t="s">
        <v>9</v>
      </c>
      <c r="E5" s="7"/>
      <c r="F5" s="8" t="s">
        <v>10</v>
      </c>
    </row>
    <row r="6" spans="1:12" x14ac:dyDescent="0.25">
      <c r="A6" s="4" t="s">
        <v>12</v>
      </c>
      <c r="B6" s="12">
        <v>612985</v>
      </c>
      <c r="D6" s="12">
        <v>4836868589</v>
      </c>
      <c r="F6" s="10"/>
      <c r="H6" t="s">
        <v>9</v>
      </c>
    </row>
    <row r="7" spans="1:12" x14ac:dyDescent="0.25">
      <c r="A7" s="4" t="s">
        <v>13</v>
      </c>
      <c r="B7" s="12">
        <v>54122</v>
      </c>
      <c r="D7" s="12">
        <v>212267915</v>
      </c>
      <c r="F7" s="10"/>
      <c r="H7" t="s">
        <v>9</v>
      </c>
    </row>
    <row r="8" spans="1:12" x14ac:dyDescent="0.25">
      <c r="A8" s="4" t="s">
        <v>14</v>
      </c>
      <c r="B8" s="12">
        <v>69131</v>
      </c>
      <c r="D8" s="12">
        <v>1963468585</v>
      </c>
      <c r="F8" s="10"/>
      <c r="H8" t="s">
        <v>9</v>
      </c>
    </row>
    <row r="9" spans="1:12" x14ac:dyDescent="0.25">
      <c r="A9" s="4" t="s">
        <v>16</v>
      </c>
      <c r="B9" s="12">
        <v>12054</v>
      </c>
      <c r="D9" s="12">
        <v>9929801022</v>
      </c>
      <c r="F9" s="12">
        <v>26970315</v>
      </c>
      <c r="H9" s="11" t="s">
        <v>15</v>
      </c>
    </row>
    <row r="10" spans="1:12" x14ac:dyDescent="0.25">
      <c r="A10" s="4" t="s">
        <v>17</v>
      </c>
      <c r="B10" s="12">
        <v>440</v>
      </c>
      <c r="D10" s="12">
        <v>4443580116</v>
      </c>
      <c r="F10" s="12">
        <v>10760505</v>
      </c>
      <c r="H10" s="11" t="s">
        <v>15</v>
      </c>
    </row>
    <row r="11" spans="1:12" x14ac:dyDescent="0.25">
      <c r="A11" s="4" t="s">
        <v>18</v>
      </c>
      <c r="B11" s="12">
        <v>49</v>
      </c>
      <c r="D11" s="12">
        <v>1969248701</v>
      </c>
      <c r="F11" s="12">
        <v>5446627</v>
      </c>
      <c r="H11" s="11" t="s">
        <v>15</v>
      </c>
    </row>
    <row r="12" spans="1:12" x14ac:dyDescent="0.25">
      <c r="A12" s="4" t="s">
        <v>19</v>
      </c>
      <c r="B12" s="12">
        <v>898</v>
      </c>
      <c r="D12" s="12">
        <v>41132354</v>
      </c>
      <c r="F12" s="12"/>
      <c r="H12" t="s">
        <v>9</v>
      </c>
    </row>
    <row r="13" spans="1:12" x14ac:dyDescent="0.25">
      <c r="A13" s="4" t="s">
        <v>20</v>
      </c>
      <c r="B13" s="12">
        <v>11720</v>
      </c>
      <c r="D13" s="12">
        <v>0</v>
      </c>
      <c r="F13" s="12"/>
      <c r="H13" s="11"/>
    </row>
    <row r="14" spans="1:12" x14ac:dyDescent="0.25">
      <c r="A14" s="4" t="s">
        <v>21</v>
      </c>
      <c r="B14" s="12">
        <v>164098</v>
      </c>
      <c r="D14" s="12">
        <v>114092929</v>
      </c>
      <c r="F14" s="12">
        <v>324479</v>
      </c>
      <c r="G14" s="1" t="s">
        <v>2</v>
      </c>
      <c r="H14" s="11" t="s">
        <v>15</v>
      </c>
    </row>
    <row r="15" spans="1:12" x14ac:dyDescent="0.25">
      <c r="A15" s="4"/>
      <c r="B15" s="13"/>
      <c r="D15" s="5"/>
      <c r="F15" s="13"/>
    </row>
    <row r="16" spans="1:12" ht="15.75" thickBot="1" x14ac:dyDescent="0.3">
      <c r="A16" s="4" t="s">
        <v>22</v>
      </c>
      <c r="B16" s="14">
        <f>SUM(B6:B14)</f>
        <v>925497</v>
      </c>
      <c r="D16" s="14">
        <f>SUM(D6:D14)</f>
        <v>23510460211</v>
      </c>
      <c r="F16" s="14">
        <f>SUM(F6:F14)</f>
        <v>43501926</v>
      </c>
    </row>
    <row r="17" spans="2:6" x14ac:dyDescent="0.25">
      <c r="B17" t="s">
        <v>2</v>
      </c>
      <c r="D17" t="s">
        <v>2</v>
      </c>
      <c r="F17" t="s">
        <v>2</v>
      </c>
    </row>
  </sheetData>
  <mergeCells count="3">
    <mergeCell ref="F3:F4"/>
    <mergeCell ref="D3:D4"/>
    <mergeCell ref="B3:B4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32"/>
  <sheetViews>
    <sheetView showGridLines="0" tabSelected="1" topLeftCell="B1" zoomScaleNormal="100" zoomScaleSheetLayoutView="80" zoomScalePageLayoutView="60" workbookViewId="0">
      <selection activeCell="AF7" sqref="AF7"/>
    </sheetView>
  </sheetViews>
  <sheetFormatPr defaultRowHeight="15" x14ac:dyDescent="0.25"/>
  <cols>
    <col min="1" max="1" width="3" customWidth="1"/>
    <col min="2" max="2" width="42.5703125" customWidth="1"/>
    <col min="3" max="3" width="13.7109375" customWidth="1"/>
    <col min="4" max="4" width="15.42578125" hidden="1" customWidth="1"/>
    <col min="5" max="5" width="14.85546875" hidden="1" customWidth="1"/>
    <col min="6" max="6" width="14.42578125" customWidth="1"/>
    <col min="7" max="7" width="12.5703125" hidden="1" customWidth="1"/>
    <col min="8" max="8" width="13.7109375" hidden="1" customWidth="1"/>
    <col min="9" max="9" width="13" customWidth="1"/>
    <col min="10" max="10" width="0.85546875" customWidth="1"/>
    <col min="11" max="11" width="11.7109375" customWidth="1"/>
    <col min="12" max="12" width="11.28515625" customWidth="1"/>
    <col min="13" max="13" width="11.7109375" customWidth="1"/>
    <col min="14" max="14" width="9.28515625" hidden="1" customWidth="1"/>
    <col min="15" max="15" width="17.7109375" hidden="1" customWidth="1"/>
    <col min="16" max="16" width="15.7109375" hidden="1" customWidth="1"/>
    <col min="17" max="17" width="15.5703125" hidden="1" customWidth="1"/>
    <col min="18" max="18" width="17.42578125" hidden="1" customWidth="1"/>
    <col min="19" max="19" width="2.7109375" hidden="1" customWidth="1"/>
    <col min="20" max="20" width="2.85546875" hidden="1" customWidth="1"/>
    <col min="21" max="21" width="1.28515625" customWidth="1"/>
    <col min="22" max="22" width="12.42578125" style="7" customWidth="1"/>
    <col min="23" max="23" width="13" style="7" customWidth="1"/>
    <col min="24" max="24" width="13.7109375" style="7" customWidth="1"/>
    <col min="25" max="25" width="13.85546875" style="7" customWidth="1"/>
    <col min="26" max="26" width="11.5703125" customWidth="1"/>
    <col min="27" max="27" width="11.42578125" customWidth="1"/>
    <col min="28" max="28" width="10.140625" customWidth="1"/>
    <col min="29" max="29" width="4" customWidth="1"/>
    <col min="30" max="32" width="14.85546875" customWidth="1"/>
    <col min="33" max="33" width="3.140625" bestFit="1" customWidth="1"/>
  </cols>
  <sheetData>
    <row r="2" spans="2:32" x14ac:dyDescent="0.25">
      <c r="AF2" s="102" t="s">
        <v>49</v>
      </c>
    </row>
    <row r="3" spans="2:32" x14ac:dyDescent="0.25">
      <c r="AF3" s="103" t="s">
        <v>50</v>
      </c>
    </row>
    <row r="4" spans="2:32" x14ac:dyDescent="0.25">
      <c r="AF4" s="103" t="s">
        <v>52</v>
      </c>
    </row>
    <row r="5" spans="2:32" x14ac:dyDescent="0.25">
      <c r="AF5" s="103" t="s">
        <v>53</v>
      </c>
    </row>
    <row r="6" spans="2:32" x14ac:dyDescent="0.25">
      <c r="AF6" s="103" t="s">
        <v>54</v>
      </c>
    </row>
    <row r="7" spans="2:32" x14ac:dyDescent="0.25">
      <c r="AF7" s="103" t="s">
        <v>51</v>
      </c>
    </row>
    <row r="9" spans="2:32" ht="15.75" thickBot="1" x14ac:dyDescent="0.3"/>
    <row r="10" spans="2:32" ht="81.75" customHeight="1" thickBot="1" x14ac:dyDescent="0.35">
      <c r="B10" s="17" t="s">
        <v>2</v>
      </c>
      <c r="C10" s="99"/>
      <c r="D10" s="100"/>
      <c r="E10" s="48"/>
      <c r="F10" s="99"/>
      <c r="G10" s="87"/>
      <c r="H10" s="49"/>
      <c r="I10" s="50"/>
      <c r="J10" s="18" t="s">
        <v>2</v>
      </c>
      <c r="K10" s="88" t="s">
        <v>48</v>
      </c>
      <c r="L10" s="89"/>
      <c r="M10" s="101"/>
      <c r="N10" s="18"/>
      <c r="O10" s="88" t="s">
        <v>35</v>
      </c>
      <c r="P10" s="89"/>
      <c r="Q10" s="89"/>
      <c r="R10" s="90"/>
      <c r="S10" s="51" t="s">
        <v>23</v>
      </c>
      <c r="T10" s="18"/>
      <c r="U10" s="18"/>
      <c r="V10" s="88" t="s">
        <v>47</v>
      </c>
      <c r="W10" s="89"/>
      <c r="X10" s="89"/>
      <c r="Y10" s="90"/>
      <c r="Z10" s="85" t="s">
        <v>24</v>
      </c>
      <c r="AA10" s="86"/>
      <c r="AB10" s="87"/>
    </row>
    <row r="11" spans="2:32" ht="105.75" customHeight="1" x14ac:dyDescent="0.25">
      <c r="B11" s="19" t="s">
        <v>2</v>
      </c>
      <c r="C11" s="91" t="s">
        <v>46</v>
      </c>
      <c r="D11" s="62" t="s">
        <v>5</v>
      </c>
      <c r="E11" s="80" t="s">
        <v>26</v>
      </c>
      <c r="F11" s="91" t="s">
        <v>44</v>
      </c>
      <c r="G11" s="61" t="s">
        <v>25</v>
      </c>
      <c r="H11" s="62" t="s">
        <v>25</v>
      </c>
      <c r="I11" s="91" t="s">
        <v>45</v>
      </c>
      <c r="J11" s="52"/>
      <c r="K11" s="91" t="s">
        <v>7</v>
      </c>
      <c r="L11" s="95" t="s">
        <v>43</v>
      </c>
      <c r="M11" s="91" t="s">
        <v>42</v>
      </c>
      <c r="N11" s="52"/>
      <c r="O11" s="20" t="s">
        <v>27</v>
      </c>
      <c r="P11" s="21" t="s">
        <v>28</v>
      </c>
      <c r="Q11" s="21" t="s">
        <v>29</v>
      </c>
      <c r="R11" s="21" t="s">
        <v>30</v>
      </c>
      <c r="S11" s="22" t="s">
        <v>31</v>
      </c>
      <c r="T11" s="21"/>
      <c r="U11" s="21"/>
      <c r="V11" s="91" t="s">
        <v>27</v>
      </c>
      <c r="W11" s="91" t="s">
        <v>28</v>
      </c>
      <c r="X11" s="91" t="s">
        <v>29</v>
      </c>
      <c r="Y11" s="91" t="s">
        <v>30</v>
      </c>
      <c r="Z11" s="93" t="s">
        <v>32</v>
      </c>
      <c r="AA11" s="95" t="s">
        <v>33</v>
      </c>
      <c r="AB11" s="97"/>
    </row>
    <row r="12" spans="2:32" ht="42" customHeight="1" thickBot="1" x14ac:dyDescent="0.3">
      <c r="B12" s="19"/>
      <c r="C12" s="92"/>
      <c r="D12" s="65"/>
      <c r="E12" s="81"/>
      <c r="F12" s="92"/>
      <c r="G12" s="64"/>
      <c r="H12" s="65"/>
      <c r="I12" s="92"/>
      <c r="J12" s="47"/>
      <c r="K12" s="92"/>
      <c r="L12" s="96"/>
      <c r="M12" s="92"/>
      <c r="N12" s="47"/>
      <c r="O12" s="46"/>
      <c r="P12" s="47"/>
      <c r="Q12" s="47"/>
      <c r="R12" s="47"/>
      <c r="S12" s="30"/>
      <c r="T12" s="47"/>
      <c r="U12" s="47"/>
      <c r="V12" s="92"/>
      <c r="W12" s="92"/>
      <c r="X12" s="92"/>
      <c r="Y12" s="92"/>
      <c r="Z12" s="94"/>
      <c r="AA12" s="96"/>
      <c r="AB12" s="98"/>
    </row>
    <row r="13" spans="2:32" ht="21" x14ac:dyDescent="0.35">
      <c r="B13" s="29"/>
      <c r="C13" s="23"/>
      <c r="D13" s="26"/>
      <c r="E13" s="28"/>
      <c r="F13" s="23"/>
      <c r="G13" s="23"/>
      <c r="H13" s="26"/>
      <c r="I13" s="23"/>
      <c r="J13" s="19"/>
      <c r="K13" s="54" t="s">
        <v>11</v>
      </c>
      <c r="L13" s="26" t="s">
        <v>11</v>
      </c>
      <c r="M13" s="23" t="s">
        <v>11</v>
      </c>
      <c r="N13" s="19"/>
      <c r="O13" s="24"/>
      <c r="P13" s="26"/>
      <c r="Q13" s="26"/>
      <c r="R13" s="26"/>
      <c r="S13" s="27"/>
      <c r="T13" s="19"/>
      <c r="U13" s="19"/>
      <c r="V13" s="66"/>
      <c r="W13" s="67"/>
      <c r="X13" s="66"/>
      <c r="Y13" s="68"/>
      <c r="Z13" s="24"/>
      <c r="AA13" s="26"/>
      <c r="AB13" s="25"/>
    </row>
    <row r="14" spans="2:32" x14ac:dyDescent="0.25">
      <c r="B14" s="82" t="s">
        <v>36</v>
      </c>
      <c r="C14" s="32">
        <v>617563.1183765122</v>
      </c>
      <c r="D14" s="55">
        <v>7890.6801781446529</v>
      </c>
      <c r="E14" s="55">
        <v>7890.6801781446529</v>
      </c>
      <c r="F14" s="34">
        <v>4855700377.0913124</v>
      </c>
      <c r="G14" s="33">
        <v>0</v>
      </c>
      <c r="H14" s="55">
        <v>0</v>
      </c>
      <c r="I14" s="63"/>
      <c r="J14" s="55"/>
      <c r="K14" s="23"/>
      <c r="L14" s="26"/>
      <c r="M14" s="23">
        <v>45.93</v>
      </c>
      <c r="N14" s="55"/>
      <c r="O14" s="35">
        <f>F14*'Fix Viable Split'!K14</f>
        <v>0</v>
      </c>
      <c r="P14" s="35">
        <f>I14*'Fix Viable Split'!L14</f>
        <v>0</v>
      </c>
      <c r="Q14" s="35">
        <f>'Fix Viable Split'!M14*C14*12</f>
        <v>340376088.32439846</v>
      </c>
      <c r="R14" s="35">
        <f>SUM(O14:Q14)</f>
        <v>340376088.32439846</v>
      </c>
      <c r="S14" s="36">
        <f>R14/R24</f>
        <v>0.38580244227910626</v>
      </c>
      <c r="T14" s="55"/>
      <c r="U14" s="55"/>
      <c r="V14" s="71"/>
      <c r="W14" s="72"/>
      <c r="X14" s="71">
        <f>'Fix Viable Split'!M14*C14*12</f>
        <v>340376088.32439846</v>
      </c>
      <c r="Y14" s="73">
        <f>SUM(V14:X14)</f>
        <v>340376088.32439846</v>
      </c>
      <c r="Z14" s="57">
        <f>IF(Y14=0,0,1-AA14)</f>
        <v>0</v>
      </c>
      <c r="AA14" s="36">
        <f>IF(Y14=0,0,X14/Y14)</f>
        <v>1</v>
      </c>
      <c r="AB14" s="78">
        <f>+AA14+Z14</f>
        <v>1</v>
      </c>
    </row>
    <row r="15" spans="2:32" x14ac:dyDescent="0.25">
      <c r="B15" s="82" t="s">
        <v>34</v>
      </c>
      <c r="C15" s="32">
        <v>98427.004396146265</v>
      </c>
      <c r="D15" s="55">
        <v>3922.0264402645876</v>
      </c>
      <c r="E15" s="55">
        <v>3922.0264402645876</v>
      </c>
      <c r="F15" s="34">
        <v>347069183.04413211</v>
      </c>
      <c r="G15" s="33">
        <v>0</v>
      </c>
      <c r="H15" s="55">
        <v>0</v>
      </c>
      <c r="I15" s="63"/>
      <c r="J15" s="55"/>
      <c r="K15" s="23"/>
      <c r="L15" s="26"/>
      <c r="M15" s="23">
        <v>37.68</v>
      </c>
      <c r="N15" s="55"/>
      <c r="O15" s="35">
        <f>F15*'Fix Viable Split'!K15</f>
        <v>0</v>
      </c>
      <c r="P15" s="35">
        <f>I15*'Fix Viable Split'!L15</f>
        <v>0</v>
      </c>
      <c r="Q15" s="35">
        <f>'Fix Viable Split'!M15*C15*12</f>
        <v>44504754.307761498</v>
      </c>
      <c r="R15" s="35">
        <f t="shared" ref="R15:R16" si="0">SUM(O15:Q15)</f>
        <v>44504754.307761498</v>
      </c>
      <c r="S15" s="36">
        <f>R15/R24</f>
        <v>5.044432759507448E-2</v>
      </c>
      <c r="T15" s="55"/>
      <c r="U15" s="55"/>
      <c r="V15" s="71"/>
      <c r="W15" s="72"/>
      <c r="X15" s="71">
        <f>'Fix Viable Split'!M15*C15*12</f>
        <v>44504754.307761498</v>
      </c>
      <c r="Y15" s="73">
        <f t="shared" ref="Y15:Y16" si="1">SUM(V15:X15)</f>
        <v>44504754.307761498</v>
      </c>
      <c r="Z15" s="57">
        <f t="shared" ref="Z15:Z24" si="2">IF(Y15=0,0,1-AA15)</f>
        <v>0</v>
      </c>
      <c r="AA15" s="36">
        <f t="shared" ref="AA15:AA24" si="3">IF(Y15=0,0,X15/Y15)</f>
        <v>1</v>
      </c>
      <c r="AB15" s="78">
        <f t="shared" ref="AB15:AB24" si="4">+AA15+Z15</f>
        <v>1</v>
      </c>
    </row>
    <row r="16" spans="2:32" x14ac:dyDescent="0.25">
      <c r="B16" s="82" t="s">
        <v>39</v>
      </c>
      <c r="C16" s="32">
        <v>73396.468650015318</v>
      </c>
      <c r="D16" s="55">
        <v>28402.143539077981</v>
      </c>
      <c r="E16" s="55">
        <v>28402.143539077981</v>
      </c>
      <c r="F16" s="34">
        <v>2410426638.6956944</v>
      </c>
      <c r="G16" s="33">
        <v>0</v>
      </c>
      <c r="H16" s="55">
        <v>0</v>
      </c>
      <c r="I16" s="63"/>
      <c r="J16" s="55"/>
      <c r="K16" s="23">
        <v>4.0419999999999998E-2</v>
      </c>
      <c r="L16" s="26"/>
      <c r="M16" s="23">
        <v>44.31</v>
      </c>
      <c r="N16" s="55"/>
      <c r="O16" s="35">
        <f>F16*'Fix Viable Split'!K16</f>
        <v>97429444.736079961</v>
      </c>
      <c r="P16" s="35">
        <f>I16*'Fix Viable Split'!L16</f>
        <v>0</v>
      </c>
      <c r="Q16" s="35">
        <f>'Fix Viable Split'!M16*C16*12</f>
        <v>39026370.310586147</v>
      </c>
      <c r="R16" s="35">
        <f t="shared" si="0"/>
        <v>136455815.04666612</v>
      </c>
      <c r="S16" s="36">
        <f>R16/R24</f>
        <v>0.15466711239132649</v>
      </c>
      <c r="T16" s="55"/>
      <c r="U16" s="55"/>
      <c r="V16" s="71">
        <f>F16*'Fix Viable Split'!K16</f>
        <v>97429444.736079961</v>
      </c>
      <c r="W16" s="72"/>
      <c r="X16" s="71">
        <f>'Fix Viable Split'!M16*C16*12</f>
        <v>39026370.310586147</v>
      </c>
      <c r="Y16" s="73">
        <f t="shared" si="1"/>
        <v>136455815.04666612</v>
      </c>
      <c r="Z16" s="57">
        <f t="shared" si="2"/>
        <v>0.71399994718261262</v>
      </c>
      <c r="AA16" s="36">
        <f t="shared" si="3"/>
        <v>0.28600005281738733</v>
      </c>
      <c r="AB16" s="78">
        <f t="shared" si="4"/>
        <v>1</v>
      </c>
    </row>
    <row r="17" spans="2:32" x14ac:dyDescent="0.25">
      <c r="B17" s="82" t="s">
        <v>38</v>
      </c>
      <c r="C17" s="32">
        <v>9698.8684137651198</v>
      </c>
      <c r="D17" s="55">
        <v>823776.42458934791</v>
      </c>
      <c r="E17" s="55">
        <v>823776.42458934791</v>
      </c>
      <c r="F17" s="34">
        <v>9360445528.3054466</v>
      </c>
      <c r="G17" s="33">
        <v>2237.4576903932307</v>
      </c>
      <c r="H17" s="55">
        <v>2237.4576903932307</v>
      </c>
      <c r="I17" s="63">
        <v>23180330.510956999</v>
      </c>
      <c r="J17" s="55"/>
      <c r="K17" s="23"/>
      <c r="L17" s="26">
        <v>9.4549000000000003</v>
      </c>
      <c r="M17" s="23">
        <v>58.88</v>
      </c>
      <c r="N17" s="55"/>
      <c r="O17" s="35">
        <f>F17*'Fix Viable Split'!K17</f>
        <v>0</v>
      </c>
      <c r="P17" s="35">
        <f>I17*'Fix Viable Split'!L17</f>
        <v>219167706.94804734</v>
      </c>
      <c r="Q17" s="35">
        <f>'Fix Viable Split'!M17*C17*12</f>
        <v>6852832.4664298827</v>
      </c>
      <c r="R17" s="35">
        <f t="shared" ref="R17:R21" si="5">SUM(O17:Q17)</f>
        <v>226020539.41447723</v>
      </c>
      <c r="S17" s="36">
        <f>R17/R24</f>
        <v>0.25618508203854873</v>
      </c>
      <c r="T17" s="55"/>
      <c r="U17" s="55"/>
      <c r="V17" s="71"/>
      <c r="W17" s="72">
        <f>I17*'Fix Viable Split'!L17</f>
        <v>219167706.94804734</v>
      </c>
      <c r="X17" s="71">
        <f>'Fix Viable Split'!M17*C17*12</f>
        <v>6852832.4664298827</v>
      </c>
      <c r="Y17" s="73">
        <f t="shared" ref="Y17:Y19" si="6">SUM(V17:X17)</f>
        <v>226020539.41447723</v>
      </c>
      <c r="Z17" s="57">
        <f t="shared" si="2"/>
        <v>0.96968048795838357</v>
      </c>
      <c r="AA17" s="36">
        <f t="shared" si="3"/>
        <v>3.0319512041616429E-2</v>
      </c>
      <c r="AB17" s="78">
        <f t="shared" si="4"/>
        <v>1</v>
      </c>
    </row>
    <row r="18" spans="2:32" x14ac:dyDescent="0.25">
      <c r="B18" s="82" t="s">
        <v>37</v>
      </c>
      <c r="C18" s="32">
        <v>450.58333333333331</v>
      </c>
      <c r="D18" s="55">
        <v>10099045.718181819</v>
      </c>
      <c r="E18" s="55">
        <v>10099045.718181819</v>
      </c>
      <c r="F18" s="34">
        <v>4080129425.8016896</v>
      </c>
      <c r="G18" s="33">
        <v>24455.69318181818</v>
      </c>
      <c r="H18" s="55">
        <v>24455.69318181818</v>
      </c>
      <c r="I18" s="63">
        <v>8819038.5460044183</v>
      </c>
      <c r="J18" s="55"/>
      <c r="K18" s="23"/>
      <c r="L18" s="26">
        <v>7.8132999999999999</v>
      </c>
      <c r="M18" s="23">
        <v>1109.3499999999999</v>
      </c>
      <c r="N18" s="55"/>
      <c r="O18" s="35">
        <f>F18*'Fix Viable Split'!K18</f>
        <v>0</v>
      </c>
      <c r="P18" s="35">
        <f>I18*'Fix Viable Split'!L18</f>
        <v>68905793.87149632</v>
      </c>
      <c r="Q18" s="35">
        <f>'Fix Viable Split'!M18*C18*12</f>
        <v>5998255.4499999993</v>
      </c>
      <c r="R18" s="35">
        <f t="shared" si="5"/>
        <v>74904049.321496323</v>
      </c>
      <c r="S18" s="36">
        <f>R18/R24</f>
        <v>8.4900691194518527E-2</v>
      </c>
      <c r="T18" s="55"/>
      <c r="U18" s="55"/>
      <c r="V18" s="71"/>
      <c r="W18" s="72">
        <f>I18*'Fix Viable Split'!L18</f>
        <v>68905793.87149632</v>
      </c>
      <c r="X18" s="71">
        <f>'Fix Viable Split'!M18*C18*12</f>
        <v>5998255.4499999993</v>
      </c>
      <c r="Y18" s="73">
        <f t="shared" si="6"/>
        <v>74904049.321496323</v>
      </c>
      <c r="Z18" s="57">
        <f t="shared" si="2"/>
        <v>0.91992081196765696</v>
      </c>
      <c r="AA18" s="36">
        <f t="shared" si="3"/>
        <v>8.0079188032343013E-2</v>
      </c>
      <c r="AB18" s="78">
        <f t="shared" si="4"/>
        <v>1</v>
      </c>
    </row>
    <row r="19" spans="2:32" x14ac:dyDescent="0.25">
      <c r="B19" s="82" t="s">
        <v>40</v>
      </c>
      <c r="C19" s="32">
        <v>45.416666666666664</v>
      </c>
      <c r="D19" s="55">
        <v>40188749</v>
      </c>
      <c r="E19" s="55">
        <v>40188749</v>
      </c>
      <c r="F19" s="34">
        <v>1584083221.5781152</v>
      </c>
      <c r="G19" s="33">
        <v>111155.6530612245</v>
      </c>
      <c r="H19" s="55">
        <v>111155.6530612245</v>
      </c>
      <c r="I19" s="63">
        <v>4013117.6721819914</v>
      </c>
      <c r="J19" s="55"/>
      <c r="K19" s="23"/>
      <c r="L19" s="26">
        <v>8.4657999999999998</v>
      </c>
      <c r="M19" s="23">
        <v>4910.79</v>
      </c>
      <c r="N19" s="55"/>
      <c r="O19" s="35">
        <f>F19*'Fix Viable Split'!K19</f>
        <v>0</v>
      </c>
      <c r="P19" s="35">
        <f>I19*'Fix Viable Split'!L19</f>
        <v>33974251.589158304</v>
      </c>
      <c r="Q19" s="35">
        <f>'Fix Viable Split'!M19*C19*12</f>
        <v>2676380.5499999998</v>
      </c>
      <c r="R19" s="35">
        <f t="shared" si="5"/>
        <v>36650632.139158301</v>
      </c>
      <c r="S19" s="36">
        <f>R19/R24</f>
        <v>4.1541999791960174E-2</v>
      </c>
      <c r="T19" s="55"/>
      <c r="U19" s="55"/>
      <c r="V19" s="71"/>
      <c r="W19" s="72">
        <f>I19*'Fix Viable Split'!L19</f>
        <v>33974251.589158304</v>
      </c>
      <c r="X19" s="71">
        <f>'Fix Viable Split'!M19*C19*12</f>
        <v>2676380.5499999998</v>
      </c>
      <c r="Y19" s="73">
        <f t="shared" si="6"/>
        <v>36650632.139158301</v>
      </c>
      <c r="Z19" s="57">
        <f t="shared" si="2"/>
        <v>0.92697586934276921</v>
      </c>
      <c r="AA19" s="36">
        <f t="shared" si="3"/>
        <v>7.3024130657230846E-2</v>
      </c>
      <c r="AB19" s="78">
        <f t="shared" si="4"/>
        <v>1</v>
      </c>
    </row>
    <row r="20" spans="2:32" x14ac:dyDescent="0.25">
      <c r="B20" s="82" t="s">
        <v>21</v>
      </c>
      <c r="C20" s="32">
        <v>172466.9583333334</v>
      </c>
      <c r="D20" s="55">
        <v>695.2731233774939</v>
      </c>
      <c r="E20" s="55">
        <v>695.2731233774939</v>
      </c>
      <c r="F20" s="34">
        <v>119021063.23172612</v>
      </c>
      <c r="G20" s="33">
        <v>1.9773489012663166</v>
      </c>
      <c r="H20" s="55">
        <v>1.9773489012663166</v>
      </c>
      <c r="I20" s="63">
        <v>372026.24693691352</v>
      </c>
      <c r="J20" s="55"/>
      <c r="K20" s="23"/>
      <c r="L20" s="26">
        <v>41.684800000000003</v>
      </c>
      <c r="M20" s="23">
        <v>1.87</v>
      </c>
      <c r="N20" s="55"/>
      <c r="O20" s="35">
        <f>F20*'Fix Viable Split'!K20</f>
        <v>0</v>
      </c>
      <c r="P20" s="35">
        <f>I20*'Fix Viable Split'!L20</f>
        <v>15507839.698315853</v>
      </c>
      <c r="Q20" s="35">
        <f>'Fix Viable Split'!M20*C20*12</f>
        <v>3870158.5450000018</v>
      </c>
      <c r="R20" s="35">
        <f>SUM(O20:Q20)</f>
        <v>19377998.243315853</v>
      </c>
      <c r="S20" s="36">
        <f>R20/R24</f>
        <v>2.1964172294107638E-2</v>
      </c>
      <c r="T20" s="55"/>
      <c r="U20" s="55"/>
      <c r="V20" s="71"/>
      <c r="W20" s="72">
        <f>I20*'Fix Viable Split'!L20</f>
        <v>15507839.698315853</v>
      </c>
      <c r="X20" s="71">
        <f>'Fix Viable Split'!M20*C20*12</f>
        <v>3870158.5450000018</v>
      </c>
      <c r="Y20" s="73">
        <f t="shared" ref="Y20" si="7">SUM(V20:X20)</f>
        <v>19377998.243315853</v>
      </c>
      <c r="Z20" s="57">
        <f>IF(Y20=0,0,1-AA20)</f>
        <v>0.80028078770546107</v>
      </c>
      <c r="AA20" s="36">
        <f>IF(Y20=0,0,X20/Y20)</f>
        <v>0.19971921229453896</v>
      </c>
      <c r="AB20" s="78">
        <f>+AA20+Z20</f>
        <v>1</v>
      </c>
    </row>
    <row r="21" spans="2:32" x14ac:dyDescent="0.25">
      <c r="B21" s="82" t="s">
        <v>19</v>
      </c>
      <c r="C21" s="32">
        <v>793</v>
      </c>
      <c r="D21" s="55">
        <v>45804.403118040093</v>
      </c>
      <c r="E21" s="55">
        <v>45804.403118040093</v>
      </c>
      <c r="F21" s="34">
        <v>41993718.680125542</v>
      </c>
      <c r="G21" s="33">
        <v>0</v>
      </c>
      <c r="H21" s="55">
        <v>0</v>
      </c>
      <c r="I21" s="63"/>
      <c r="J21" s="55"/>
      <c r="K21" s="23">
        <v>9.0020000000000003E-2</v>
      </c>
      <c r="L21" s="26"/>
      <c r="M21" s="23">
        <v>7.25</v>
      </c>
      <c r="N21" s="55"/>
      <c r="O21" s="35">
        <f>F21*'Fix Viable Split'!K21</f>
        <v>3780274.5555849015</v>
      </c>
      <c r="P21" s="35">
        <f>I21*'Fix Viable Split'!L21</f>
        <v>0</v>
      </c>
      <c r="Q21" s="35">
        <f>'Fix Viable Split'!M21*C21*12</f>
        <v>68991</v>
      </c>
      <c r="R21" s="35">
        <f t="shared" si="5"/>
        <v>3849265.5555849015</v>
      </c>
      <c r="S21" s="36">
        <f>R21/R24</f>
        <v>4.3629858361558882E-3</v>
      </c>
      <c r="T21" s="55"/>
      <c r="U21" s="55"/>
      <c r="V21" s="71">
        <f>F21*'Fix Viable Split'!K21</f>
        <v>3780274.5555849015</v>
      </c>
      <c r="W21" s="72"/>
      <c r="X21" s="71">
        <f>'Fix Viable Split'!M21*C21*12</f>
        <v>68991</v>
      </c>
      <c r="Y21" s="73">
        <f>SUM(V21:X21)</f>
        <v>3849265.5555849015</v>
      </c>
      <c r="Z21" s="57">
        <f>+V21/(Y21+Y22)</f>
        <v>0.95340964913912984</v>
      </c>
      <c r="AA21" s="36">
        <f>(+X21)/(+Y21+Y22)</f>
        <v>1.7399975619913785E-2</v>
      </c>
      <c r="AB21" s="78">
        <f t="shared" si="4"/>
        <v>0.97080962475904364</v>
      </c>
    </row>
    <row r="22" spans="2:32" x14ac:dyDescent="0.25">
      <c r="B22" s="82" t="s">
        <v>41</v>
      </c>
      <c r="C22" s="32">
        <v>12860</v>
      </c>
      <c r="D22" s="55">
        <v>0</v>
      </c>
      <c r="E22" s="55">
        <v>0</v>
      </c>
      <c r="F22" s="34">
        <v>0</v>
      </c>
      <c r="G22" s="33">
        <v>0</v>
      </c>
      <c r="H22" s="55">
        <v>0</v>
      </c>
      <c r="I22" s="63"/>
      <c r="J22" s="55"/>
      <c r="K22" s="23"/>
      <c r="L22" s="26"/>
      <c r="M22" s="23">
        <v>0.75</v>
      </c>
      <c r="N22" s="55"/>
      <c r="O22" s="35">
        <f>F22*'Fix Viable Split'!K22</f>
        <v>0</v>
      </c>
      <c r="P22" s="35">
        <f>I22*'Fix Viable Split'!L22</f>
        <v>0</v>
      </c>
      <c r="Q22" s="35">
        <f>'Fix Viable Split'!M22*C22*12</f>
        <v>115740</v>
      </c>
      <c r="R22" s="35">
        <f>SUM(O22:Q22)</f>
        <v>115740</v>
      </c>
      <c r="S22" s="36">
        <f>R22/R24</f>
        <v>1.3118657920184758E-4</v>
      </c>
      <c r="T22" s="55"/>
      <c r="U22" s="55"/>
      <c r="V22" s="71"/>
      <c r="W22" s="72"/>
      <c r="X22" s="71">
        <f>'Fix Viable Split'!M22*C22*12</f>
        <v>115740</v>
      </c>
      <c r="Y22" s="73">
        <f>SUM(V22:X22)</f>
        <v>115740</v>
      </c>
      <c r="Z22" s="57">
        <v>0</v>
      </c>
      <c r="AA22" s="36">
        <f>+X22/(+Y21+Y22)</f>
        <v>2.9190375240956377E-2</v>
      </c>
      <c r="AB22" s="78">
        <f>+AA22+Z22</f>
        <v>2.9190375240956377E-2</v>
      </c>
    </row>
    <row r="23" spans="2:32" x14ac:dyDescent="0.25">
      <c r="B23" s="26"/>
      <c r="C23" s="32"/>
      <c r="D23" s="55"/>
      <c r="E23" s="55"/>
      <c r="F23" s="34"/>
      <c r="G23" s="33"/>
      <c r="H23" s="55"/>
      <c r="I23" s="56"/>
      <c r="J23" s="55"/>
      <c r="K23" s="23"/>
      <c r="L23" s="26"/>
      <c r="M23" s="23"/>
      <c r="N23" s="55"/>
      <c r="O23" s="55"/>
      <c r="P23" s="55"/>
      <c r="Q23" s="55"/>
      <c r="R23" s="55"/>
      <c r="S23" s="36">
        <f>R23/R24</f>
        <v>0</v>
      </c>
      <c r="T23" s="55"/>
      <c r="U23" s="55"/>
      <c r="V23" s="71"/>
      <c r="W23" s="72"/>
      <c r="X23" s="71"/>
      <c r="Y23" s="74"/>
      <c r="Z23" s="57"/>
      <c r="AA23" s="36"/>
      <c r="AB23" s="37"/>
    </row>
    <row r="24" spans="2:32" ht="21.75" thickBot="1" x14ac:dyDescent="0.4">
      <c r="B24" s="38" t="s">
        <v>22</v>
      </c>
      <c r="C24" s="39">
        <f>SUM(C14:C22)</f>
        <v>985701.41816977225</v>
      </c>
      <c r="D24" s="41"/>
      <c r="E24" s="58"/>
      <c r="F24" s="39">
        <f>SUM(F14:F22)</f>
        <v>22798869156.428242</v>
      </c>
      <c r="G24" s="59"/>
      <c r="H24" s="41"/>
      <c r="I24" s="39">
        <f>SUM(I14:I22)</f>
        <v>36384512.976080321</v>
      </c>
      <c r="J24" s="31"/>
      <c r="K24" s="53"/>
      <c r="L24" s="47"/>
      <c r="M24" s="53"/>
      <c r="N24" s="31"/>
      <c r="O24" s="40">
        <f>SUM(O14:O22)</f>
        <v>101209719.29166487</v>
      </c>
      <c r="P24" s="41">
        <f>SUM(P14:P22)</f>
        <v>337555592.10701782</v>
      </c>
      <c r="Q24" s="41">
        <f>SUM(Q14:Q22)</f>
        <v>443489570.95417601</v>
      </c>
      <c r="R24" s="42">
        <f>IF(SUM(R14:R22)=0,0.00001,SUM(R14:R22))</f>
        <v>882254882.35285866</v>
      </c>
      <c r="S24" s="43">
        <f>IF(SUM(S14:S22)=0,0.00001,SUM(S14:S22))</f>
        <v>1</v>
      </c>
      <c r="T24" s="31"/>
      <c r="U24" s="31"/>
      <c r="V24" s="75">
        <f>SUM(V14:V22)</f>
        <v>101209719.29166487</v>
      </c>
      <c r="W24" s="76">
        <f>SUM(W14:W22)</f>
        <v>337555592.10701782</v>
      </c>
      <c r="X24" s="75">
        <f>SUM(X14:X22)</f>
        <v>443489570.95417601</v>
      </c>
      <c r="Y24" s="77">
        <f>IF(SUM(Y14:Y22)=0,0.00001,SUM(Y14:Y22))</f>
        <v>882254882.35285866</v>
      </c>
      <c r="Z24" s="60">
        <f t="shared" si="2"/>
        <v>0.49732262203928279</v>
      </c>
      <c r="AA24" s="44">
        <f t="shared" si="3"/>
        <v>0.50267737796071721</v>
      </c>
      <c r="AB24" s="79">
        <f t="shared" si="4"/>
        <v>1</v>
      </c>
    </row>
    <row r="25" spans="2:32" ht="15.75" thickBot="1" x14ac:dyDescent="0.3">
      <c r="B25" s="19"/>
      <c r="C25" s="31"/>
      <c r="D25" s="31"/>
      <c r="E25" s="31"/>
      <c r="F25" s="31"/>
      <c r="G25" s="31"/>
      <c r="H25" s="31"/>
      <c r="I25" s="31"/>
      <c r="J25" s="31"/>
      <c r="K25" s="45">
        <v>1.0138888888888899</v>
      </c>
      <c r="L25" s="19"/>
      <c r="M25" s="19"/>
      <c r="N25" s="31"/>
      <c r="O25" s="31"/>
      <c r="P25" s="31"/>
      <c r="Q25" s="31"/>
      <c r="R25" s="31"/>
      <c r="S25" s="31"/>
      <c r="T25" s="31"/>
      <c r="U25" s="31"/>
      <c r="V25" s="69"/>
      <c r="W25" s="69"/>
      <c r="X25" s="69"/>
      <c r="Y25" s="69"/>
      <c r="Z25" s="19"/>
      <c r="AA25" s="19"/>
      <c r="AB25" s="19"/>
    </row>
    <row r="26" spans="2:32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70"/>
      <c r="W26" s="70"/>
      <c r="X26" s="70"/>
      <c r="Y26" s="70"/>
    </row>
    <row r="27" spans="2:32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70" t="s">
        <v>2</v>
      </c>
      <c r="W27" s="70"/>
      <c r="X27" s="70"/>
      <c r="Y27" s="70"/>
    </row>
    <row r="28" spans="2:32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70"/>
      <c r="W28" s="70"/>
      <c r="X28" s="70"/>
      <c r="Y28" s="70"/>
    </row>
    <row r="32" spans="2:32" x14ac:dyDescent="0.25">
      <c r="AF32" t="s">
        <v>2</v>
      </c>
    </row>
  </sheetData>
  <mergeCells count="19">
    <mergeCell ref="C10:D10"/>
    <mergeCell ref="F10:G10"/>
    <mergeCell ref="K10:M10"/>
    <mergeCell ref="V11:V12"/>
    <mergeCell ref="W11:W12"/>
    <mergeCell ref="I11:I12"/>
    <mergeCell ref="F11:F12"/>
    <mergeCell ref="C11:C12"/>
    <mergeCell ref="K11:K12"/>
    <mergeCell ref="L11:L12"/>
    <mergeCell ref="M11:M12"/>
    <mergeCell ref="V10:Y10"/>
    <mergeCell ref="Z10:AB10"/>
    <mergeCell ref="O10:R10"/>
    <mergeCell ref="X11:X12"/>
    <mergeCell ref="Y11:Y12"/>
    <mergeCell ref="Z11:Z12"/>
    <mergeCell ref="AA11:AA12"/>
    <mergeCell ref="AB11:AB12"/>
  </mergeCells>
  <printOptions horizontalCentered="1"/>
  <pageMargins left="0.31496062992125984" right="0.31496062992125984" top="1.4960629921259843" bottom="0.62992125984251968" header="0.31496062992125984" footer="0.31496062992125984"/>
  <pageSetup scale="63" fitToHeight="0" orientation="landscape" r:id="rId1"/>
  <headerFooter>
    <oddHeader>&amp;R&amp;12Toronto Hydro-Electric System Limited
EB-2023-0195
Exhibit 8
Tab 1
Schedule 2
ORIGINAL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2D6AE5-8E22-46D2-A69E-791F096E6889}">
  <ds:schemaRefs>
    <ds:schemaRef ds:uri="http://schemas.microsoft.com/office/2006/metadata/properties"/>
    <ds:schemaRef ds:uri="d178a8d1-16ff-473a-8ed0-d41f4478457a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12f68b52-648b-46a0-8463-d3282342a49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8FDD388C-3873-4974-993F-1440CA0C7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B198A3-9E9C-4C9A-9BB5-638677C21A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5-2 DEMAND, RATES (Input)</vt:lpstr>
      <vt:lpstr>Fix Viable Split</vt:lpstr>
      <vt:lpstr>'5-2 DEMAND, RATES (Input)'!Print_Area</vt:lpstr>
      <vt:lpstr>'Fix Viable Split'!Print_Area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NHUANG</dc:creator>
  <cp:lastModifiedBy>Sehrish Syed</cp:lastModifiedBy>
  <cp:lastPrinted>2023-10-11T21:37:29Z</cp:lastPrinted>
  <dcterms:created xsi:type="dcterms:W3CDTF">2014-06-06T13:17:19Z</dcterms:created>
  <dcterms:modified xsi:type="dcterms:W3CDTF">2023-11-16T20:29:06Z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MSIP_Label_569b6d35-9428-45a2-885e-7b22f796d882_Enabled">
    <vt:lpwstr>true</vt:lpwstr>
  </property>
  <property fmtid="{D5CDD505-2E9C-101B-9397-08002B2CF9AE}" pid="4" name="MSIP_Label_569b6d35-9428-45a2-885e-7b22f796d882_SetDate">
    <vt:lpwstr>2023-10-11T15:37:55Z</vt:lpwstr>
  </property>
  <property fmtid="{D5CDD505-2E9C-101B-9397-08002B2CF9AE}" pid="5" name="MSIP_Label_569b6d35-9428-45a2-885e-7b22f796d882_Method">
    <vt:lpwstr>Privileged</vt:lpwstr>
  </property>
  <property fmtid="{D5CDD505-2E9C-101B-9397-08002B2CF9AE}" pid="6" name="MSIP_Label_569b6d35-9428-45a2-885e-7b22f796d882_Name">
    <vt:lpwstr>Internal</vt:lpwstr>
  </property>
  <property fmtid="{D5CDD505-2E9C-101B-9397-08002B2CF9AE}" pid="7" name="MSIP_Label_569b6d35-9428-45a2-885e-7b22f796d882_SiteId">
    <vt:lpwstr>cecf09d6-44f1-4c40-95a1-cbafb9319d75</vt:lpwstr>
  </property>
  <property fmtid="{D5CDD505-2E9C-101B-9397-08002B2CF9AE}" pid="8" name="MSIP_Label_569b6d35-9428-45a2-885e-7b22f796d882_ActionId">
    <vt:lpwstr>ed936bcf-3155-4d8b-93fc-afdcf27a09f2</vt:lpwstr>
  </property>
  <property fmtid="{D5CDD505-2E9C-101B-9397-08002B2CF9AE}" pid="9" name="MSIP_Label_569b6d35-9428-45a2-885e-7b22f796d882_ContentBits">
    <vt:lpwstr>0</vt:lpwstr>
  </property>
</Properties>
</file>