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V:\ACTIVE APPLICATIONS\API_2024_IRM\Interrogatories\"/>
    </mc:Choice>
  </mc:AlternateContent>
  <xr:revisionPtr revIDLastSave="0" documentId="13_ncr:1_{64F7FC0E-E83D-4912-9176-03554562EC96}" xr6:coauthVersionLast="47" xr6:coauthVersionMax="47" xr10:uidLastSave="{00000000-0000-0000-0000-000000000000}"/>
  <bookViews>
    <workbookView xWindow="-28920" yWindow="-3030" windowWidth="29040" windowHeight="17640" tabRatio="847" firstSheet="1" activeTab="1"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#REF!</definedName>
    <definedName name="BridgeYear">'[3]LDC Info'!$E$26</definedName>
    <definedName name="contactf" localSheetId="9">#REF!</definedName>
    <definedName name="contactf">#REF!</definedName>
    <definedName name="CRLF">'[1]Z1.ModelVariables'!$C$10</definedName>
    <definedName name="CustomerAdministration">[4]lists!$Z$1:$Z$36</definedName>
    <definedName name="EBCaseNumber">"#N/A"</definedName>
    <definedName name="EBNUMBER">'[5]LDC Info'!$E$16</definedName>
    <definedName name="Fixed_Charges">[4]lists!$I$1:$I$212</definedName>
    <definedName name="histdate">[6]Financials!$E$76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#REF!</definedName>
    <definedName name="LDC_LIST">[7]lists!$AM$1:$AM$80</definedName>
    <definedName name="LDC_LIST_1" localSheetId="9">#REF!</definedName>
    <definedName name="LDC_LIST_1">#REF!</definedName>
    <definedName name="LDC_LIST_2">[8]lists!$AM$1:$AM$80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[4]lists!$AL$1:$AL$78</definedName>
    <definedName name="LIMIT" localSheetId="9">#REF!</definedName>
    <definedName name="LIMIT">#REF!</definedName>
    <definedName name="LossFactors">[4]lists!$L$2:$L$15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[4]lists!$AA$1:$AA$71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[4]lists!$A$2:$A$105</definedName>
    <definedName name="RATE_CLASSES">[4]lists!$A$1:$A$104</definedName>
    <definedName name="ratedescription">[9]hidden1!$D$1:$D$122</definedName>
    <definedName name="RebaseYear">'[10]LDC Info'!$E$28</definedName>
    <definedName name="RebaseYear_1">'[11]LDC Info'!$E$24</definedName>
    <definedName name="RMpilsVer">'[12]Z1.ModelVariables'!$C$13</definedName>
    <definedName name="RMversion">'[13]Z1.ModelVariables'!$C$13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#REF!</definedName>
    <definedName name="TestYear">'[3]LDC Info'!$E$24</definedName>
    <definedName name="TestYr">'[12]P0.Admin'!$C$13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[4]lists!$N$2:$N$5</definedName>
    <definedName name="Units1">[4]lists!$O$2:$O$4</definedName>
    <definedName name="Units2">[4]lists!$P$2:$P$3</definedName>
    <definedName name="Utility">[6]Financials!$A$1</definedName>
    <definedName name="utitliy1">[14]Financials!$A$1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0" l="1"/>
  <c r="S8" i="10"/>
  <c r="S7" i="10"/>
  <c r="S6" i="10"/>
  <c r="R8" i="10"/>
  <c r="Q8" i="10"/>
  <c r="N15" i="6"/>
  <c r="H15" i="4"/>
  <c r="H7" i="13" s="1"/>
  <c r="M37" i="18"/>
  <c r="D37" i="18"/>
  <c r="L6" i="10"/>
  <c r="K6" i="10"/>
  <c r="J7" i="13" l="1"/>
  <c r="H11" i="13"/>
  <c r="I8" i="13"/>
  <c r="I7" i="13"/>
  <c r="H8" i="13"/>
  <c r="H36" i="7"/>
  <c r="M28" i="18"/>
  <c r="D28" i="18"/>
  <c r="D15" i="4"/>
  <c r="H30" i="7" s="1"/>
  <c r="M19" i="18"/>
  <c r="D19" i="18"/>
  <c r="M10" i="18"/>
  <c r="D10" i="18"/>
  <c r="L9" i="18"/>
  <c r="K9" i="18"/>
  <c r="N9" i="18" s="1"/>
  <c r="H9" i="18"/>
  <c r="L8" i="18"/>
  <c r="K8" i="18"/>
  <c r="N8" i="18" s="1"/>
  <c r="H8" i="18"/>
  <c r="L7" i="18"/>
  <c r="K7" i="18"/>
  <c r="N7" i="18" s="1"/>
  <c r="H7" i="18"/>
  <c r="L6" i="18"/>
  <c r="K6" i="18"/>
  <c r="H6" i="18"/>
  <c r="H12" i="13" l="1"/>
  <c r="J8" i="13"/>
  <c r="K7" i="13"/>
  <c r="I11" i="13"/>
  <c r="I12" i="13"/>
  <c r="K8" i="13"/>
  <c r="L7" i="13"/>
  <c r="N6" i="18"/>
  <c r="N10" i="18" s="1"/>
  <c r="L10" i="18"/>
  <c r="K10" i="18"/>
  <c r="I14" i="10" l="1"/>
  <c r="J9" i="3" s="1"/>
  <c r="H7" i="4"/>
  <c r="H23" i="7" s="1"/>
  <c r="M17" i="10" l="1"/>
  <c r="G8" i="13" l="1"/>
  <c r="G7" i="13"/>
  <c r="G8" i="16" s="1"/>
  <c r="F8" i="13"/>
  <c r="F7" i="13"/>
  <c r="F7" i="17"/>
  <c r="F8" i="17"/>
  <c r="F9" i="17"/>
  <c r="F6" i="17"/>
  <c r="E10" i="17"/>
  <c r="D10" i="17"/>
  <c r="C10" i="17"/>
  <c r="J25" i="3" l="1"/>
  <c r="J26" i="3"/>
  <c r="F8" i="16"/>
  <c r="F12" i="16" s="1"/>
  <c r="D8" i="13" l="1"/>
  <c r="E8" i="13"/>
  <c r="E7" i="13"/>
  <c r="D7" i="13"/>
  <c r="M6" i="10"/>
  <c r="D8" i="16" l="1"/>
  <c r="D22" i="16" s="1"/>
  <c r="D29" i="16" s="1"/>
  <c r="E8" i="16"/>
  <c r="E22" i="16" s="1"/>
  <c r="E29" i="16" s="1"/>
  <c r="D9" i="13"/>
  <c r="E9" i="13"/>
  <c r="I15" i="10" l="1"/>
  <c r="I16" i="10"/>
  <c r="J17" i="3" s="1"/>
  <c r="J14" i="10"/>
  <c r="J10" i="3" s="1"/>
  <c r="J15" i="10"/>
  <c r="J16" i="10"/>
  <c r="J18" i="3" s="1"/>
  <c r="F16" i="10"/>
  <c r="D16" i="10"/>
  <c r="H8" i="6"/>
  <c r="H9" i="6"/>
  <c r="H10" i="6"/>
  <c r="H7" i="6"/>
  <c r="M11" i="6"/>
  <c r="L14" i="10" l="1"/>
  <c r="L15" i="10"/>
  <c r="J14" i="3"/>
  <c r="K15" i="10"/>
  <c r="J13" i="3"/>
  <c r="K14" i="10"/>
  <c r="K16" i="10"/>
  <c r="L16" i="10"/>
  <c r="L8" i="6"/>
  <c r="L9" i="6"/>
  <c r="L10" i="6"/>
  <c r="L7" i="6"/>
  <c r="K8" i="6"/>
  <c r="N8" i="6" s="1"/>
  <c r="K9" i="6"/>
  <c r="K10" i="6"/>
  <c r="K7" i="6"/>
  <c r="D11" i="6"/>
  <c r="M14" i="10" l="1"/>
  <c r="G14" i="10" s="1"/>
  <c r="M15" i="10"/>
  <c r="H15" i="10" s="1"/>
  <c r="M16" i="10"/>
  <c r="G16" i="10" s="1"/>
  <c r="N7" i="6"/>
  <c r="N10" i="6"/>
  <c r="N9" i="6"/>
  <c r="L11" i="6"/>
  <c r="K11" i="6"/>
  <c r="N11" i="6" l="1"/>
  <c r="N16" i="6" s="1"/>
  <c r="G15" i="10"/>
  <c r="H14" i="10"/>
  <c r="H16" i="10"/>
  <c r="D7" i="4"/>
  <c r="G16" i="7" l="1"/>
  <c r="D6" i="7"/>
  <c r="D7" i="7"/>
  <c r="D8" i="7"/>
  <c r="D5" i="7"/>
  <c r="C7" i="7"/>
  <c r="G17" i="7"/>
  <c r="G18" i="7" s="1"/>
  <c r="C8" i="7"/>
  <c r="C6" i="7"/>
  <c r="C5" i="7"/>
  <c r="K15" i="18" s="1"/>
  <c r="I15" i="18" s="1"/>
  <c r="M18" i="3"/>
  <c r="M17" i="3"/>
  <c r="M14" i="3"/>
  <c r="M13" i="3"/>
  <c r="H5" i="7" l="1"/>
  <c r="H7" i="7"/>
  <c r="K17" i="18"/>
  <c r="I17" i="18" s="1"/>
  <c r="I5" i="7"/>
  <c r="L15" i="18"/>
  <c r="I8" i="7"/>
  <c r="L18" i="18"/>
  <c r="J18" i="18" s="1"/>
  <c r="I7" i="7"/>
  <c r="L17" i="18"/>
  <c r="J17" i="18" s="1"/>
  <c r="H6" i="7"/>
  <c r="K16" i="18"/>
  <c r="I16" i="18" s="1"/>
  <c r="I6" i="7"/>
  <c r="L16" i="18"/>
  <c r="J16" i="18" s="1"/>
  <c r="H8" i="7"/>
  <c r="K18" i="18"/>
  <c r="D9" i="7"/>
  <c r="E7" i="7"/>
  <c r="I8" i="16"/>
  <c r="E8" i="7"/>
  <c r="M26" i="3"/>
  <c r="M25" i="3"/>
  <c r="E6" i="7"/>
  <c r="C9" i="7"/>
  <c r="E5" i="7"/>
  <c r="J8" i="7" l="1"/>
  <c r="K27" i="18"/>
  <c r="M8" i="7"/>
  <c r="R8" i="7" s="1"/>
  <c r="K36" i="18" s="1"/>
  <c r="N6" i="7"/>
  <c r="S6" i="7" s="1"/>
  <c r="L34" i="18" s="1"/>
  <c r="J34" i="18" s="1"/>
  <c r="L25" i="18"/>
  <c r="J25" i="18" s="1"/>
  <c r="N7" i="7"/>
  <c r="S7" i="7" s="1"/>
  <c r="L35" i="18" s="1"/>
  <c r="J35" i="18" s="1"/>
  <c r="L26" i="18"/>
  <c r="J26" i="18" s="1"/>
  <c r="K24" i="18"/>
  <c r="M5" i="7"/>
  <c r="R5" i="7" s="1"/>
  <c r="N8" i="7"/>
  <c r="S8" i="7" s="1"/>
  <c r="L27" i="18"/>
  <c r="J27" i="18" s="1"/>
  <c r="I9" i="7"/>
  <c r="L24" i="18"/>
  <c r="N5" i="7"/>
  <c r="S5" i="7" s="1"/>
  <c r="H9" i="7"/>
  <c r="M6" i="7"/>
  <c r="R6" i="7" s="1"/>
  <c r="K25" i="18"/>
  <c r="J7" i="7"/>
  <c r="M7" i="7"/>
  <c r="R7" i="7" s="1"/>
  <c r="K26" i="18"/>
  <c r="J5" i="7"/>
  <c r="N18" i="18"/>
  <c r="G18" i="18" s="1"/>
  <c r="H18" i="18" s="1"/>
  <c r="I18" i="18"/>
  <c r="L19" i="18"/>
  <c r="J15" i="18"/>
  <c r="J6" i="7"/>
  <c r="K19" i="18"/>
  <c r="N16" i="18"/>
  <c r="G16" i="18" s="1"/>
  <c r="H16" i="18" s="1"/>
  <c r="N17" i="18"/>
  <c r="G17" i="18" s="1"/>
  <c r="H17" i="18" s="1"/>
  <c r="N15" i="18"/>
  <c r="G15" i="18" s="1"/>
  <c r="L8" i="13"/>
  <c r="J9" i="13"/>
  <c r="K9" i="13"/>
  <c r="H8" i="16"/>
  <c r="E9" i="7"/>
  <c r="M10" i="3"/>
  <c r="L33" i="18" l="1"/>
  <c r="S9" i="7"/>
  <c r="T6" i="7"/>
  <c r="L5" i="10" s="1"/>
  <c r="K34" i="18"/>
  <c r="I36" i="18"/>
  <c r="T8" i="7"/>
  <c r="L36" i="18"/>
  <c r="J36" i="18" s="1"/>
  <c r="T7" i="7"/>
  <c r="K35" i="18"/>
  <c r="K33" i="18"/>
  <c r="R9" i="7"/>
  <c r="T5" i="7"/>
  <c r="O6" i="7"/>
  <c r="M9" i="3"/>
  <c r="O8" i="7"/>
  <c r="N9" i="7"/>
  <c r="N24" i="18"/>
  <c r="G24" i="18" s="1"/>
  <c r="H24" i="18" s="1"/>
  <c r="I24" i="18"/>
  <c r="K28" i="18"/>
  <c r="N19" i="18"/>
  <c r="P19" i="18" s="1"/>
  <c r="P20" i="18" s="1"/>
  <c r="L7" i="10"/>
  <c r="I27" i="18"/>
  <c r="N27" i="18"/>
  <c r="G27" i="18" s="1"/>
  <c r="H27" i="18" s="1"/>
  <c r="L28" i="18"/>
  <c r="J24" i="18"/>
  <c r="I26" i="18"/>
  <c r="N26" i="18"/>
  <c r="G26" i="18" s="1"/>
  <c r="H26" i="18" s="1"/>
  <c r="O7" i="7"/>
  <c r="I25" i="18"/>
  <c r="N25" i="18"/>
  <c r="G25" i="18" s="1"/>
  <c r="H25" i="18" s="1"/>
  <c r="O5" i="7"/>
  <c r="M9" i="7"/>
  <c r="H15" i="18"/>
  <c r="J9" i="7"/>
  <c r="B20" i="7"/>
  <c r="H22" i="7"/>
  <c r="H24" i="7" s="1"/>
  <c r="B26" i="7" s="1"/>
  <c r="L9" i="13"/>
  <c r="J8" i="16"/>
  <c r="K8" i="16" s="1"/>
  <c r="N36" i="18" l="1"/>
  <c r="G36" i="18" s="1"/>
  <c r="H36" i="18" s="1"/>
  <c r="N34" i="18"/>
  <c r="G34" i="18" s="1"/>
  <c r="H34" i="18" s="1"/>
  <c r="I34" i="18"/>
  <c r="H29" i="7"/>
  <c r="H31" i="7" s="1"/>
  <c r="J10" i="7"/>
  <c r="K37" i="18"/>
  <c r="N33" i="18"/>
  <c r="N37" i="18" s="1"/>
  <c r="I33" i="18"/>
  <c r="T9" i="7"/>
  <c r="K5" i="10"/>
  <c r="I35" i="18"/>
  <c r="N35" i="18"/>
  <c r="G35" i="18" s="1"/>
  <c r="H35" i="18" s="1"/>
  <c r="J33" i="18"/>
  <c r="L37" i="18"/>
  <c r="N28" i="18"/>
  <c r="P28" i="18" s="1"/>
  <c r="P29" i="18" s="1"/>
  <c r="O9" i="7"/>
  <c r="F13" i="16"/>
  <c r="L8" i="16"/>
  <c r="P37" i="18" l="1"/>
  <c r="P38" i="18" s="1"/>
  <c r="T10" i="7"/>
  <c r="H35" i="7"/>
  <c r="H37" i="7" s="1"/>
  <c r="B39" i="7" s="1"/>
  <c r="B33" i="7"/>
  <c r="O10" i="7"/>
  <c r="G33" i="18"/>
  <c r="H33" i="18" s="1"/>
  <c r="K7" i="10"/>
  <c r="M5" i="10"/>
  <c r="F14" i="16"/>
  <c r="F15" i="16" s="1"/>
  <c r="F22" i="16" s="1"/>
  <c r="H22" i="16" s="1"/>
  <c r="K22" i="16" l="1"/>
  <c r="M7" i="10"/>
  <c r="M19" i="10" s="1"/>
  <c r="N5" i="10"/>
  <c r="J28" i="3"/>
  <c r="M28" i="3" s="1"/>
  <c r="G12" i="16"/>
  <c r="G14" i="16" s="1"/>
  <c r="G15" i="16" s="1"/>
  <c r="H12" i="16" s="1"/>
  <c r="H14" i="16" l="1"/>
  <c r="H15" i="16" s="1"/>
  <c r="I12" i="16" s="1"/>
  <c r="I14" i="16" s="1"/>
  <c r="I15" i="16" s="1"/>
  <c r="J12" i="16" s="1"/>
  <c r="J14" i="16" s="1"/>
  <c r="J15" i="16" s="1"/>
  <c r="F29" i="16"/>
  <c r="H29" i="16" s="1"/>
  <c r="L22" i="16" l="1"/>
  <c r="J21" i="3"/>
  <c r="M21" i="3" s="1"/>
  <c r="I22" i="16" l="1"/>
  <c r="H31" i="16"/>
  <c r="H32" i="16" s="1"/>
  <c r="G22" i="16" l="1"/>
  <c r="G29" i="16" s="1"/>
  <c r="J22" i="16"/>
  <c r="I29" i="16" l="1"/>
  <c r="J22" i="3"/>
  <c r="M22" i="3" s="1"/>
  <c r="I31" i="16" l="1"/>
  <c r="I32" i="16" s="1"/>
  <c r="J29" i="16"/>
  <c r="J31" i="16" s="1"/>
  <c r="J32" i="16" s="1"/>
</calcChain>
</file>

<file path=xl/sharedStrings.xml><?xml version="1.0" encoding="utf-8"?>
<sst xmlns="http://schemas.openxmlformats.org/spreadsheetml/2006/main" count="454" uniqueCount="146">
  <si>
    <t>Algoma Power Inc.</t>
  </si>
  <si>
    <t xml:space="preserve">Incentive Rate-setting Mechanism </t>
  </si>
  <si>
    <t>Rate Design Model</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</si>
  <si>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</si>
  <si>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</si>
  <si>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</si>
  <si>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</si>
  <si>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</si>
  <si>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</si>
  <si>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</si>
  <si>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</si>
  <si>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</si>
  <si>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</si>
  <si>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</si>
  <si>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</si>
  <si>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</si>
  <si>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</si>
  <si>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</si>
  <si>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Price Cap Metric</t>
  </si>
  <si>
    <t>Status</t>
  </si>
  <si>
    <t>Value</t>
  </si>
  <si>
    <t>Inflation Factor</t>
  </si>
  <si>
    <t>Productivity Factor</t>
  </si>
  <si>
    <t>Stretch Factor</t>
  </si>
  <si>
    <t>Calculated</t>
  </si>
  <si>
    <t>Price Cap for 2021 Electricity Distribution Rates</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</si>
  <si>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</si>
  <si>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</si>
  <si>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</si>
  <si>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</si>
  <si>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</si>
  <si>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</si>
  <si>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</si>
  <si>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</si>
  <si>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</si>
  <si>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</si>
  <si>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</si>
  <si>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</si>
  <si>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</si>
  <si>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</si>
  <si>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</si>
  <si>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</si>
  <si>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</si>
  <si>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</si>
  <si>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</si>
  <si>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</si>
  <si>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</si>
  <si>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</si>
  <si>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</si>
  <si>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</si>
  <si>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</si>
  <si>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</si>
  <si>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</si>
  <si>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</si>
  <si>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</si>
  <si>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</si>
  <si>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</si>
  <si>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</si>
  <si>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</si>
  <si>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</si>
  <si>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</si>
  <si>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</si>
  <si>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</si>
  <si>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</si>
  <si>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</si>
  <si>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</si>
  <si>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</si>
  <si>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</si>
  <si>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</si>
  <si>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</si>
  <si>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</si>
  <si>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</si>
  <si>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</si>
  <si>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</si>
  <si>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</si>
  <si>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Monthly Service Charge to Achieve 100% Recovery</t>
  </si>
  <si>
    <t>Monthly Service Charge Increment</t>
  </si>
  <si>
    <t>Proposed Monthly Service Charge</t>
  </si>
  <si>
    <t>%</t>
  </si>
  <si>
    <t>Difference due to Rounding of Volumetric Rate:</t>
  </si>
  <si>
    <t>Revenue Reconciliation - Volumetric Rate Rounded to 4th Decimal Place</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</si>
  <si>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</si>
  <si>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</si>
  <si>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</si>
  <si>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</si>
  <si>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</si>
  <si>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</si>
  <si>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</si>
  <si>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</si>
  <si>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</si>
  <si>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</si>
  <si>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</si>
  <si>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</si>
  <si>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</si>
  <si>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</si>
  <si>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</si>
  <si>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</si>
  <si>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</si>
  <si>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</si>
  <si>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</si>
  <si>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</si>
  <si>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</si>
  <si>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Effective January 1, 2023</t>
  </si>
  <si>
    <t>Price Cap for 2023 Electricity Distribution Rates</t>
  </si>
  <si>
    <t>Revenue Decoupling for the Seasonal Rate Class - 8th Increment</t>
  </si>
  <si>
    <t>EB-2022-0014</t>
  </si>
  <si>
    <t>2022 Equivalent Electricity Distribution Rates</t>
  </si>
  <si>
    <t>2022 Revenue from Rates Less Transformer Ownership Allowance:</t>
  </si>
  <si>
    <t>2023 Price Cap Index:</t>
  </si>
  <si>
    <t>2023 Indexed Revenue from Rates less Transformer Ownership Allowance:</t>
  </si>
  <si>
    <t>2022 Approved ACM</t>
  </si>
  <si>
    <t>See ACM section of Manager's summary for explanation of ACM cost recovery for RRRP-funded rate classes</t>
  </si>
  <si>
    <t xml:space="preserve">Assigned </t>
  </si>
  <si>
    <t>2024 IRM Electricity Distribution Rate Application</t>
  </si>
  <si>
    <t>EB-2023-0005</t>
  </si>
  <si>
    <t>Approved 2023 IRM</t>
  </si>
  <si>
    <t>Proposed 2024 IRM</t>
  </si>
  <si>
    <t>Effective January 1, 2024</t>
  </si>
  <si>
    <t>Price Cap for 2024 Electricity Distribution Rates</t>
  </si>
  <si>
    <t>Determination of Residential R1 &amp; R2 2024 Electricity Distribution Rates and RRRP Funding</t>
  </si>
  <si>
    <t>Indexed Revenue Attributable to Residential Rate Classes for 2024</t>
  </si>
  <si>
    <t>ACM Rate Rider Revenue Allocated to Residential Rate Classes for 2024</t>
  </si>
  <si>
    <t>2023 Approved ACM</t>
  </si>
  <si>
    <t>2024 Application of Rate Indexing Methodology</t>
  </si>
  <si>
    <t>Simple Average Increase in Delivery Charge for 2024 using the 2023 Board Calculated RRRP Adjustment Factor</t>
  </si>
  <si>
    <t>Placeholder RRRP Adjustment Factor requires updating for 2023 rates - see Manager's Summary</t>
  </si>
  <si>
    <t>2023 Equivalent Electricity Distribution Rates</t>
  </si>
  <si>
    <t>IRM Indexed Revenue for 2023
(Using the 2023 Price-Cap Index)</t>
  </si>
  <si>
    <t>IRM Indexed Revenue for 2024
(Using the 2024 Price-Cap Index)</t>
  </si>
  <si>
    <t>2024 Distribution Base Rate Determination for Non-RRRP Rate Classes</t>
  </si>
  <si>
    <t>2023 Approved Rates</t>
  </si>
  <si>
    <t>2024 Indexed Rates</t>
  </si>
  <si>
    <t>2024 Revenues</t>
  </si>
  <si>
    <t>Check - inflation adjustment applied</t>
  </si>
  <si>
    <t>Indexed Monthly Service Charge (post IRM adjustment for 2024)</t>
  </si>
  <si>
    <t>2024 Proposed Seasonal Rates - Calculate Volumetric Rate Based on Change in F/V Split</t>
  </si>
  <si>
    <t>The Rural and Remote Rate Protection Amount Required for 2024</t>
  </si>
  <si>
    <t>Average # of Customers*</t>
  </si>
  <si>
    <t>kWh*</t>
  </si>
  <si>
    <t>kW*</t>
  </si>
  <si>
    <t>*</t>
  </si>
  <si>
    <t>2020 Board -Approved Values for Customers and Billing Determinants</t>
  </si>
  <si>
    <t>Seasonal (before rate design adj)</t>
  </si>
  <si>
    <t>Proposed Distribution Charges and RRRP Funding for 2024 Rate Year</t>
  </si>
  <si>
    <t>Interrogatory Responses: October 23, 2023</t>
  </si>
  <si>
    <t>Summary of UPDATES: the RRRP rate has been changed in the RRRP Rate Design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</si>
</sst>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quot;$&quot;#,##0_);\(&quot;$&quot;#,##0\)"/>
    <numFmt numFmtId="165" formatCode="_(* #,##0.00_);_(* \(#,##0.00\);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 numFmtId="177" formatCode="_-&quot;$&quot;* #,##0_-;\-&quot;$&quot;* #,##0_-;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
      <i/>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3">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4" fillId="0" borderId="0"/>
    <xf numFmtId="0" fontId="1" fillId="0" borderId="0"/>
    <xf numFmtId="43" fontId="14" fillId="0" borderId="0" applyFont="0" applyFill="0" applyBorder="0" applyAlignment="0" applyProtection="0"/>
    <xf numFmtId="4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22">
    <xf numFmtId="0" fontId="0" fillId="0" borderId="0" xfId="0"/>
    <xf numFmtId="0" fontId="2" fillId="0" borderId="0" xfId="0" applyFont="1"/>
    <xf numFmtId="43"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Alignment="1">
      <alignment horizontal="center"/>
    </xf>
    <xf numFmtId="0" fontId="0" fillId="0" borderId="9" xfId="0"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ill="1" applyBorder="1"/>
    <xf numFmtId="0" fontId="0" fillId="0" borderId="10" xfId="0" applyBorder="1"/>
    <xf numFmtId="0" fontId="0" fillId="0" borderId="18" xfId="0" applyBorder="1"/>
    <xf numFmtId="0" fontId="0" fillId="0" borderId="11" xfId="0" applyBorder="1"/>
    <xf numFmtId="0" fontId="0" fillId="0" borderId="16" xfId="0" applyBorder="1"/>
    <xf numFmtId="0" fontId="0" fillId="0" borderId="21" xfId="0" applyBorder="1"/>
    <xf numFmtId="10" fontId="0" fillId="0" borderId="9" xfId="0" applyNumberFormat="1" applyBorder="1" applyAlignment="1">
      <alignment horizontal="center"/>
    </xf>
    <xf numFmtId="0" fontId="7" fillId="0" borderId="22" xfId="0" applyFont="1" applyBorder="1"/>
    <xf numFmtId="0" fontId="0" fillId="0" borderId="23" xfId="0" applyBorder="1" applyAlignment="1">
      <alignment horizontal="center"/>
    </xf>
    <xf numFmtId="0" fontId="0" fillId="2" borderId="24" xfId="0" applyFill="1" applyBorder="1"/>
    <xf numFmtId="0" fontId="0" fillId="0" borderId="27" xfId="0"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Border="1"/>
    <xf numFmtId="0" fontId="0" fillId="0" borderId="22" xfId="0" applyBorder="1"/>
    <xf numFmtId="0" fontId="8" fillId="0" borderId="0" xfId="0" applyFont="1"/>
    <xf numFmtId="0" fontId="0" fillId="3" borderId="9" xfId="0"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43" fontId="0" fillId="3" borderId="9" xfId="2" applyFont="1" applyFill="1" applyBorder="1"/>
    <xf numFmtId="166" fontId="0" fillId="3" borderId="9" xfId="2" applyNumberFormat="1" applyFont="1" applyFill="1" applyBorder="1"/>
    <xf numFmtId="3" fontId="0" fillId="3" borderId="9" xfId="0" applyNumberFormat="1" applyFill="1" applyBorder="1" applyAlignment="1">
      <alignment horizontal="center"/>
    </xf>
    <xf numFmtId="0" fontId="7" fillId="0" borderId="31" xfId="0" applyFont="1" applyBorder="1" applyAlignment="1">
      <alignment horizontal="center" vertical="center" wrapText="1"/>
    </xf>
    <xf numFmtId="167" fontId="0" fillId="0" borderId="0" xfId="0" applyNumberForma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164" fontId="11" fillId="0" borderId="23" xfId="0" applyNumberFormat="1" applyFont="1" applyBorder="1"/>
    <xf numFmtId="164" fontId="11" fillId="0" borderId="32" xfId="0" applyNumberFormat="1" applyFont="1" applyBorder="1"/>
    <xf numFmtId="167" fontId="7" fillId="0" borderId="0" xfId="0" applyNumberFormat="1" applyFont="1"/>
    <xf numFmtId="0" fontId="12" fillId="0" borderId="0" xfId="0" applyFont="1"/>
    <xf numFmtId="0" fontId="3" fillId="0" borderId="0" xfId="0" applyFont="1"/>
    <xf numFmtId="164" fontId="2" fillId="0" borderId="0" xfId="0" applyNumberFormat="1" applyFont="1"/>
    <xf numFmtId="10" fontId="2" fillId="0" borderId="0" xfId="0" applyNumberFormat="1" applyFont="1"/>
    <xf numFmtId="0" fontId="6" fillId="0" borderId="0" xfId="0" applyFont="1" applyAlignment="1">
      <alignment horizontal="center"/>
    </xf>
    <xf numFmtId="43" fontId="6" fillId="0" borderId="0" xfId="0" applyNumberFormat="1" applyFont="1" applyAlignment="1">
      <alignment horizontal="center"/>
    </xf>
    <xf numFmtId="0" fontId="6" fillId="0" borderId="0" xfId="0" applyFont="1"/>
    <xf numFmtId="170" fontId="7" fillId="0" borderId="32" xfId="3" applyNumberFormat="1" applyFont="1" applyBorder="1"/>
    <xf numFmtId="170" fontId="0" fillId="0" borderId="0" xfId="0" applyNumberFormat="1"/>
    <xf numFmtId="0" fontId="11" fillId="0" borderId="29" xfId="0" applyFont="1" applyBorder="1" applyAlignment="1">
      <alignment horizontal="center"/>
    </xf>
    <xf numFmtId="43" fontId="11" fillId="0" borderId="30" xfId="0" applyNumberFormat="1" applyFont="1" applyBorder="1" applyAlignment="1">
      <alignment horizontal="center"/>
    </xf>
    <xf numFmtId="0" fontId="7" fillId="0" borderId="38" xfId="0" applyFont="1" applyBorder="1"/>
    <xf numFmtId="3" fontId="13" fillId="0" borderId="9" xfId="0" applyNumberFormat="1" applyFont="1" applyBorder="1" applyAlignment="1">
      <alignment horizontal="center"/>
    </xf>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44" fontId="0" fillId="0" borderId="0" xfId="3" applyFont="1"/>
    <xf numFmtId="171" fontId="0" fillId="0" borderId="47" xfId="2" applyNumberFormat="1" applyFont="1" applyBorder="1"/>
    <xf numFmtId="171" fontId="0" fillId="0" borderId="47" xfId="0" applyNumberFormat="1" applyBorder="1"/>
    <xf numFmtId="0" fontId="0" fillId="0" borderId="45" xfId="0" applyBorder="1"/>
    <xf numFmtId="0" fontId="0" fillId="0" borderId="46" xfId="0" applyBorder="1"/>
    <xf numFmtId="0" fontId="0" fillId="0" borderId="45" xfId="0" applyBorder="1" applyAlignment="1">
      <alignment horizontal="center"/>
    </xf>
    <xf numFmtId="0" fontId="0" fillId="0" borderId="46" xfId="0" applyBorder="1" applyAlignment="1">
      <alignment horizontal="center"/>
    </xf>
    <xf numFmtId="0" fontId="0" fillId="0" borderId="15" xfId="0" applyBorder="1"/>
    <xf numFmtId="44" fontId="0" fillId="0" borderId="0" xfId="0" applyNumberFormat="1"/>
    <xf numFmtId="0" fontId="0" fillId="0" borderId="0" xfId="0" applyAlignment="1">
      <alignment horizontal="left"/>
    </xf>
    <xf numFmtId="171" fontId="0" fillId="0" borderId="0" xfId="0" applyNumberForma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Border="1" applyAlignment="1">
      <alignment vertical="center" wrapText="1"/>
    </xf>
    <xf numFmtId="0" fontId="11" fillId="0" borderId="43" xfId="0" applyFont="1" applyBorder="1" applyAlignment="1">
      <alignment horizontal="center" vertical="center" wrapText="1"/>
    </xf>
    <xf numFmtId="0" fontId="11" fillId="0" borderId="12" xfId="0" applyFont="1" applyBorder="1" applyAlignment="1">
      <alignment horizontal="center" vertical="center"/>
    </xf>
    <xf numFmtId="0" fontId="0" fillId="0" borderId="47" xfId="0" applyBorder="1"/>
    <xf numFmtId="0" fontId="0" fillId="0" borderId="43" xfId="0" applyBorder="1"/>
    <xf numFmtId="171" fontId="13" fillId="0" borderId="48" xfId="2" applyNumberFormat="1" applyFont="1" applyBorder="1"/>
    <xf numFmtId="44" fontId="13" fillId="0" borderId="47" xfId="3" applyFont="1" applyFill="1" applyBorder="1"/>
    <xf numFmtId="174" fontId="13" fillId="0" borderId="47" xfId="3" applyNumberFormat="1" applyFont="1" applyFill="1" applyBorder="1"/>
    <xf numFmtId="0" fontId="11" fillId="0" borderId="7" xfId="0" applyFont="1" applyBorder="1" applyAlignment="1">
      <alignment horizontal="center" vertical="center"/>
    </xf>
    <xf numFmtId="0" fontId="11" fillId="0" borderId="25" xfId="0" applyFont="1" applyBorder="1" applyAlignment="1">
      <alignment horizontal="center" vertical="center"/>
    </xf>
    <xf numFmtId="0" fontId="11" fillId="0" borderId="43" xfId="0" applyFont="1" applyBorder="1" applyAlignment="1">
      <alignment vertical="center" wrapText="1"/>
    </xf>
    <xf numFmtId="171" fontId="13" fillId="0" borderId="47" xfId="2" applyNumberFormat="1" applyFont="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18" fillId="0" borderId="23" xfId="0" applyNumberFormat="1" applyFont="1" applyBorder="1"/>
    <xf numFmtId="167" fontId="18" fillId="0" borderId="32" xfId="0" applyNumberFormat="1" applyFont="1" applyBorder="1"/>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0" fontId="13" fillId="0" borderId="10" xfId="0" applyFont="1" applyBorder="1"/>
    <xf numFmtId="0" fontId="13" fillId="0" borderId="11" xfId="0" applyFont="1" applyBorder="1"/>
    <xf numFmtId="0" fontId="13" fillId="0" borderId="18" xfId="0" applyFont="1" applyBorder="1"/>
    <xf numFmtId="43" fontId="13" fillId="0" borderId="10" xfId="2" applyFont="1" applyBorder="1" applyAlignment="1">
      <alignment horizontal="center"/>
    </xf>
    <xf numFmtId="167" fontId="13" fillId="0" borderId="25" xfId="2" applyNumberFormat="1" applyFont="1" applyBorder="1" applyAlignment="1">
      <alignment horizontal="center"/>
    </xf>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Border="1" applyAlignment="1">
      <alignment horizontal="center"/>
    </xf>
    <xf numFmtId="43" fontId="13" fillId="0" borderId="9" xfId="2" applyFont="1" applyBorder="1"/>
    <xf numFmtId="166" fontId="13" fillId="0" borderId="9" xfId="2" applyNumberFormat="1" applyFont="1" applyBorder="1"/>
    <xf numFmtId="43" fontId="13" fillId="0" borderId="9" xfId="2" applyFont="1" applyFill="1" applyBorder="1"/>
    <xf numFmtId="166" fontId="13" fillId="0" borderId="9" xfId="2" applyNumberFormat="1" applyFont="1" applyFill="1" applyBorder="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176" fontId="0" fillId="3" borderId="9" xfId="2" applyNumberFormat="1" applyFont="1" applyFill="1" applyBorder="1"/>
    <xf numFmtId="168" fontId="3" fillId="0" borderId="0" xfId="1" applyNumberFormat="1" applyFont="1"/>
    <xf numFmtId="10" fontId="0" fillId="0" borderId="31" xfId="1" applyNumberFormat="1" applyFont="1" applyFill="1" applyBorder="1" applyAlignment="1">
      <alignment horizontal="center"/>
    </xf>
    <xf numFmtId="10" fontId="10" fillId="0" borderId="31" xfId="1" applyNumberFormat="1" applyFont="1" applyFill="1" applyBorder="1" applyAlignment="1">
      <alignment horizontal="center"/>
    </xf>
    <xf numFmtId="10" fontId="0" fillId="0" borderId="32" xfId="1" applyNumberFormat="1" applyFont="1" applyFill="1" applyBorder="1" applyAlignment="1">
      <alignment horizontal="center"/>
    </xf>
    <xf numFmtId="43" fontId="13" fillId="3" borderId="9" xfId="2" applyFont="1" applyFill="1" applyBorder="1"/>
    <xf numFmtId="176" fontId="13" fillId="3" borderId="9" xfId="2" applyNumberFormat="1" applyFont="1" applyFill="1" applyBorder="1"/>
    <xf numFmtId="0" fontId="3" fillId="0" borderId="0" xfId="0" applyFont="1" applyAlignment="1">
      <alignment horizontal="right"/>
    </xf>
    <xf numFmtId="164" fontId="3" fillId="0" borderId="0" xfId="0" applyNumberFormat="1" applyFont="1" applyAlignment="1">
      <alignment horizontal="left"/>
    </xf>
    <xf numFmtId="0" fontId="3" fillId="0" borderId="0" xfId="0" applyFont="1" applyAlignment="1">
      <alignment horizontal="left"/>
    </xf>
    <xf numFmtId="4" fontId="13" fillId="0" borderId="9" xfId="2" applyNumberFormat="1" applyFont="1" applyFill="1" applyBorder="1" applyAlignment="1">
      <alignment horizontal="center"/>
    </xf>
    <xf numFmtId="175" fontId="13" fillId="0" borderId="9" xfId="2" applyNumberFormat="1" applyFont="1" applyFill="1" applyBorder="1" applyAlignment="1">
      <alignment horizontal="center"/>
    </xf>
    <xf numFmtId="168" fontId="0" fillId="0" borderId="0" xfId="1" applyNumberFormat="1" applyFont="1"/>
    <xf numFmtId="0" fontId="2" fillId="0" borderId="49" xfId="0" applyFont="1" applyBorder="1"/>
    <xf numFmtId="0" fontId="0" fillId="0" borderId="50" xfId="0" applyBorder="1"/>
    <xf numFmtId="3" fontId="0" fillId="0" borderId="50" xfId="0" applyNumberFormat="1" applyBorder="1" applyAlignment="1">
      <alignment horizontal="center"/>
    </xf>
    <xf numFmtId="0" fontId="0" fillId="4" borderId="50" xfId="0" applyFill="1" applyBorder="1"/>
    <xf numFmtId="167" fontId="11" fillId="0" borderId="50" xfId="0" applyNumberFormat="1" applyFont="1" applyBorder="1"/>
    <xf numFmtId="167" fontId="11" fillId="0" borderId="51" xfId="0" applyNumberFormat="1" applyFont="1" applyBorder="1"/>
    <xf numFmtId="0" fontId="11" fillId="0" borderId="22" xfId="0" applyFont="1" applyBorder="1"/>
    <xf numFmtId="3" fontId="13" fillId="0" borderId="23" xfId="0" applyNumberFormat="1" applyFont="1" applyBorder="1" applyAlignment="1">
      <alignment horizontal="center"/>
    </xf>
    <xf numFmtId="4" fontId="13" fillId="0" borderId="23" xfId="1" applyNumberFormat="1" applyFont="1" applyFill="1" applyBorder="1" applyAlignment="1">
      <alignment horizontal="center"/>
    </xf>
    <xf numFmtId="175" fontId="13" fillId="0" borderId="23" xfId="1" applyNumberFormat="1" applyFont="1" applyBorder="1" applyAlignment="1">
      <alignment horizontal="center"/>
    </xf>
    <xf numFmtId="4" fontId="13" fillId="0" borderId="23" xfId="2" applyNumberFormat="1" applyFont="1" applyFill="1" applyBorder="1" applyAlignment="1">
      <alignment horizontal="center"/>
    </xf>
    <xf numFmtId="175" fontId="13" fillId="0" borderId="23" xfId="2" applyNumberFormat="1" applyFont="1" applyFill="1" applyBorder="1" applyAlignment="1">
      <alignment horizontal="center"/>
    </xf>
    <xf numFmtId="167" fontId="13" fillId="0" borderId="23" xfId="2" applyNumberFormat="1" applyFont="1" applyBorder="1" applyAlignment="1">
      <alignment horizontal="center"/>
    </xf>
    <xf numFmtId="167" fontId="13" fillId="0" borderId="32" xfId="2" applyNumberFormat="1" applyFont="1" applyBorder="1" applyAlignment="1">
      <alignment horizontal="center"/>
    </xf>
    <xf numFmtId="3" fontId="0" fillId="0" borderId="9" xfId="0" applyNumberFormat="1" applyBorder="1" applyAlignment="1">
      <alignment horizontal="center"/>
    </xf>
    <xf numFmtId="167" fontId="0" fillId="0" borderId="9" xfId="2" applyNumberFormat="1" applyFont="1" applyFill="1" applyBorder="1"/>
    <xf numFmtId="43" fontId="0" fillId="0" borderId="9" xfId="2" applyFont="1" applyFill="1" applyBorder="1"/>
    <xf numFmtId="166" fontId="0" fillId="0" borderId="9" xfId="2" applyNumberFormat="1" applyFont="1" applyFill="1" applyBorder="1"/>
    <xf numFmtId="0" fontId="2" fillId="0" borderId="23" xfId="0" applyFont="1" applyBorder="1"/>
    <xf numFmtId="168" fontId="0" fillId="0" borderId="52" xfId="1" applyNumberFormat="1" applyFont="1" applyFill="1" applyBorder="1"/>
    <xf numFmtId="10" fontId="7" fillId="6" borderId="31" xfId="1" applyNumberFormat="1" applyFont="1" applyFill="1" applyBorder="1" applyAlignment="1">
      <alignment horizontal="center"/>
    </xf>
    <xf numFmtId="0" fontId="21" fillId="0" borderId="0" xfId="0" applyFont="1"/>
    <xf numFmtId="168" fontId="21" fillId="0" borderId="0" xfId="1" applyNumberFormat="1" applyFont="1"/>
    <xf numFmtId="44" fontId="0" fillId="0" borderId="29" xfId="12" applyFont="1" applyBorder="1"/>
    <xf numFmtId="44" fontId="0" fillId="0" borderId="30" xfId="12" applyFont="1" applyBorder="1"/>
    <xf numFmtId="43" fontId="13" fillId="7" borderId="11" xfId="2" applyFont="1" applyFill="1" applyBorder="1"/>
    <xf numFmtId="0" fontId="13" fillId="7" borderId="18" xfId="0" applyFont="1" applyFill="1" applyBorder="1"/>
    <xf numFmtId="0" fontId="3" fillId="7" borderId="0" xfId="0" applyFont="1" applyFill="1"/>
    <xf numFmtId="0" fontId="3" fillId="7" borderId="19" xfId="0" applyFont="1" applyFill="1" applyBorder="1"/>
    <xf numFmtId="43" fontId="13" fillId="7" borderId="20" xfId="2" applyFont="1" applyFill="1" applyBorder="1"/>
    <xf numFmtId="166" fontId="13" fillId="7" borderId="11" xfId="2" applyNumberFormat="1" applyFont="1" applyFill="1" applyBorder="1"/>
    <xf numFmtId="0" fontId="3" fillId="7" borderId="10" xfId="0" applyFont="1" applyFill="1" applyBorder="1"/>
    <xf numFmtId="166" fontId="3" fillId="7" borderId="11" xfId="2" applyNumberFormat="1" applyFont="1" applyFill="1" applyBorder="1"/>
    <xf numFmtId="0" fontId="3" fillId="7" borderId="11" xfId="0" applyFont="1" applyFill="1" applyBorder="1"/>
    <xf numFmtId="0" fontId="13" fillId="7" borderId="11" xfId="0" applyFont="1" applyFill="1" applyBorder="1"/>
    <xf numFmtId="165" fontId="13" fillId="7" borderId="11" xfId="0" applyNumberFormat="1" applyFont="1" applyFill="1" applyBorder="1"/>
    <xf numFmtId="167" fontId="13" fillId="7" borderId="26" xfId="2" applyNumberFormat="1" applyFont="1" applyFill="1" applyBorder="1"/>
    <xf numFmtId="0" fontId="13" fillId="7" borderId="27" xfId="0" applyFont="1" applyFill="1" applyBorder="1"/>
    <xf numFmtId="0" fontId="3" fillId="7" borderId="26" xfId="0" applyFont="1" applyFill="1" applyBorder="1"/>
    <xf numFmtId="0" fontId="3" fillId="7" borderId="25" xfId="0" applyFont="1" applyFill="1" applyBorder="1"/>
    <xf numFmtId="0" fontId="0" fillId="7" borderId="0" xfId="0" applyFill="1"/>
    <xf numFmtId="44" fontId="0" fillId="0" borderId="0" xfId="12" applyFont="1"/>
    <xf numFmtId="177" fontId="0" fillId="0" borderId="0" xfId="12" applyNumberFormat="1" applyFont="1" applyFill="1" applyAlignment="1">
      <alignment horizontal="center"/>
    </xf>
    <xf numFmtId="0" fontId="0" fillId="0" borderId="0" xfId="0" quotePrefix="1"/>
    <xf numFmtId="43" fontId="0" fillId="0" borderId="0" xfId="0" applyNumberFormat="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15" fontId="4" fillId="7" borderId="0" xfId="0" quotePrefix="1" applyNumberFormat="1" applyFont="1" applyFill="1" applyAlignment="1">
      <alignment horizontal="center" wrapText="1"/>
    </xf>
    <xf numFmtId="0" fontId="4" fillId="7" borderId="0" xfId="0" quotePrefix="1" applyFont="1" applyFill="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11" fillId="0" borderId="12"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right"/>
    </xf>
  </cellXfs>
  <cellStyles count="13">
    <cellStyle name="Comma" xfId="11" builtinId="3"/>
    <cellStyle name="Comma 2" xfId="2" xr:uid="{7BE898D3-340C-4B9E-A1F6-C757EE20C23B}"/>
    <cellStyle name="Comma 2 11" xfId="6" xr:uid="{877D0614-2CC4-4242-81EB-95D752FB48CF}"/>
    <cellStyle name="Comma 3" xfId="8" xr:uid="{974591EE-19F2-4158-931B-B8A3B260F9CE}"/>
    <cellStyle name="Currency" xfId="12" builtinId="4"/>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tabColor theme="9"/>
    <pageSetUpPr fitToPage="1"/>
  </sheetPr>
  <dimension ref="B20:I34"/>
  <sheetViews>
    <sheetView showGridLines="0" topLeftCell="A13" workbookViewId="0">
      <selection activeCell="M27" sqref="M27"/>
    </sheetView>
  </sheetViews>
  <sheetFormatPr defaultColWidth="9.140625" defaultRowHeight="15" x14ac:dyDescent="0.25"/>
  <cols>
    <col min="1" max="1" width="5" customWidth="1"/>
    <col min="2" max="2" width="18.7109375" customWidth="1"/>
    <col min="9" max="9" width="47" customWidth="1"/>
  </cols>
  <sheetData>
    <row r="20" spans="2:9" ht="33.75" x14ac:dyDescent="0.5">
      <c r="B20" s="211" t="s">
        <v>0</v>
      </c>
      <c r="C20" s="211"/>
      <c r="D20" s="211"/>
      <c r="E20" s="211"/>
      <c r="F20" s="211"/>
      <c r="G20" s="211"/>
      <c r="H20" s="211"/>
      <c r="I20" s="211"/>
    </row>
    <row r="21" spans="2:9" ht="33.75" x14ac:dyDescent="0.5">
      <c r="B21" s="211" t="s">
        <v>113</v>
      </c>
      <c r="C21" s="211"/>
      <c r="D21" s="211"/>
      <c r="E21" s="211"/>
      <c r="F21" s="211"/>
      <c r="G21" s="211"/>
      <c r="H21" s="211"/>
      <c r="I21" s="211"/>
    </row>
    <row r="22" spans="2:9" ht="33.75" x14ac:dyDescent="0.5">
      <c r="B22" s="211" t="s">
        <v>1</v>
      </c>
      <c r="C22" s="211"/>
      <c r="D22" s="211"/>
      <c r="E22" s="211"/>
      <c r="F22" s="211"/>
      <c r="G22" s="211"/>
      <c r="H22" s="211"/>
      <c r="I22" s="211"/>
    </row>
    <row r="25" spans="2:9" ht="31.5" x14ac:dyDescent="0.5">
      <c r="B25" s="217" t="s">
        <v>2</v>
      </c>
      <c r="C25" s="217"/>
      <c r="D25" s="217"/>
      <c r="E25" s="217"/>
      <c r="F25" s="217"/>
      <c r="G25" s="217"/>
      <c r="H25" s="217"/>
      <c r="I25" s="217"/>
    </row>
    <row r="26" spans="2:9" ht="33.75" x14ac:dyDescent="0.5">
      <c r="B26" s="211" t="s">
        <v>114</v>
      </c>
      <c r="C26" s="211"/>
      <c r="D26" s="211"/>
      <c r="E26" s="211"/>
      <c r="F26" s="211"/>
      <c r="G26" s="211"/>
      <c r="H26" s="211"/>
      <c r="I26" s="211"/>
    </row>
    <row r="27" spans="2:9" ht="33.75" x14ac:dyDescent="0.5">
      <c r="B27" s="211"/>
      <c r="C27" s="212"/>
      <c r="D27" s="212"/>
      <c r="E27" s="212"/>
      <c r="F27" s="212"/>
      <c r="G27" s="212"/>
      <c r="H27" s="212"/>
      <c r="I27" s="212"/>
    </row>
    <row r="28" spans="2:9" ht="33.75" x14ac:dyDescent="0.5">
      <c r="B28" s="213"/>
      <c r="C28" s="214"/>
      <c r="D28" s="214"/>
      <c r="E28" s="214"/>
      <c r="F28" s="214"/>
      <c r="G28" s="214"/>
      <c r="H28" s="214"/>
      <c r="I28" s="214"/>
    </row>
    <row r="29" spans="2:9" ht="33.75" x14ac:dyDescent="0.5">
      <c r="B29" s="215" t="s">
        <v>144</v>
      </c>
      <c r="C29" s="216"/>
      <c r="D29" s="216"/>
      <c r="E29" s="216"/>
      <c r="F29" s="216"/>
      <c r="G29" s="216"/>
      <c r="H29" s="216"/>
      <c r="I29" s="216"/>
    </row>
    <row r="30" spans="2:9" x14ac:dyDescent="0.25">
      <c r="C30" s="187" t="s">
        <v>145</v>
      </c>
    </row>
    <row r="32" spans="2:9" x14ac:dyDescent="0.25">
      <c r="B32" s="1"/>
    </row>
    <row r="33" spans="2:2" x14ac:dyDescent="0.25">
      <c r="B33" s="1"/>
    </row>
    <row r="34" spans="2:2" x14ac:dyDescent="0.25">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tabColor theme="9" tint="0.79998168889431442"/>
    <pageSetUpPr fitToPage="1"/>
  </sheetPr>
  <dimension ref="B2:L32"/>
  <sheetViews>
    <sheetView showGridLines="0" workbookViewId="0">
      <selection activeCell="F16" sqref="F16"/>
    </sheetView>
  </sheetViews>
  <sheetFormatPr defaultColWidth="9.140625" defaultRowHeight="15" x14ac:dyDescent="0.25"/>
  <cols>
    <col min="1" max="1" width="2.140625" customWidth="1"/>
    <col min="2" max="2" width="19.140625" bestFit="1" customWidth="1"/>
    <col min="3" max="3" width="12.85546875" customWidth="1"/>
    <col min="4" max="4" width="12.140625" bestFit="1" customWidth="1"/>
    <col min="5" max="5" width="13" customWidth="1"/>
    <col min="6" max="6" width="10" bestFit="1" customWidth="1"/>
    <col min="7" max="9" width="10.85546875" bestFit="1" customWidth="1"/>
    <col min="10" max="10" width="11.85546875" bestFit="1" customWidth="1"/>
    <col min="11" max="12" width="9.140625" bestFit="1" customWidth="1"/>
  </cols>
  <sheetData>
    <row r="2" spans="2:12" ht="18.75" x14ac:dyDescent="0.3">
      <c r="B2" s="303" t="s">
        <v>104</v>
      </c>
      <c r="C2" s="303"/>
      <c r="D2" s="303"/>
      <c r="E2" s="303"/>
      <c r="F2" s="303"/>
      <c r="G2" s="303"/>
      <c r="H2" s="303"/>
      <c r="I2" s="303"/>
      <c r="J2" s="303"/>
      <c r="K2" s="303"/>
      <c r="L2" s="303"/>
    </row>
    <row r="4" spans="2:12" ht="15.75" thickBot="1" x14ac:dyDescent="0.3"/>
    <row r="5" spans="2:12" ht="15.75" customHeight="1" thickBot="1" x14ac:dyDescent="0.3">
      <c r="B5" s="304" t="s">
        <v>67</v>
      </c>
      <c r="C5" s="306" t="s">
        <v>68</v>
      </c>
      <c r="D5" s="307"/>
      <c r="E5" s="308" t="s">
        <v>69</v>
      </c>
      <c r="F5" s="310" t="s">
        <v>131</v>
      </c>
      <c r="G5" s="311"/>
      <c r="H5" s="312" t="s">
        <v>71</v>
      </c>
      <c r="I5" s="313"/>
      <c r="J5" s="314"/>
      <c r="K5" s="313" t="s">
        <v>72</v>
      </c>
      <c r="L5" s="314"/>
    </row>
    <row r="6" spans="2:12" ht="45.75" thickBot="1" x14ac:dyDescent="0.3">
      <c r="B6" s="305"/>
      <c r="C6" s="85"/>
      <c r="D6" s="86" t="s">
        <v>73</v>
      </c>
      <c r="E6" s="309"/>
      <c r="F6" s="86" t="s">
        <v>8</v>
      </c>
      <c r="G6" s="87" t="s">
        <v>74</v>
      </c>
      <c r="H6" s="83" t="s">
        <v>37</v>
      </c>
      <c r="I6" s="83" t="s">
        <v>38</v>
      </c>
      <c r="J6" s="83" t="s">
        <v>42</v>
      </c>
      <c r="K6" s="83" t="s">
        <v>37</v>
      </c>
      <c r="L6" s="84" t="s">
        <v>38</v>
      </c>
    </row>
    <row r="7" spans="2:12" x14ac:dyDescent="0.25">
      <c r="B7" s="75"/>
      <c r="C7" s="76"/>
      <c r="D7" s="16"/>
      <c r="E7" s="77" t="s">
        <v>32</v>
      </c>
      <c r="F7" s="75"/>
      <c r="G7" s="78" t="s">
        <v>32</v>
      </c>
      <c r="H7" s="78" t="s">
        <v>9</v>
      </c>
      <c r="I7" s="78" t="s">
        <v>9</v>
      </c>
      <c r="J7" s="78" t="s">
        <v>9</v>
      </c>
      <c r="K7" s="76"/>
      <c r="L7" s="79"/>
    </row>
    <row r="8" spans="2:12" ht="15.75" thickBot="1" x14ac:dyDescent="0.3">
      <c r="B8" s="88" t="s">
        <v>15</v>
      </c>
      <c r="C8" s="89" t="s">
        <v>66</v>
      </c>
      <c r="D8" s="90">
        <f>'Non-RRRP Rate Design'!D7</f>
        <v>2960.1858518389645</v>
      </c>
      <c r="E8" s="90">
        <f>'Non-RRRP Rate Design'!E7</f>
        <v>5874372.3645382812</v>
      </c>
      <c r="F8" s="91">
        <f>'Non-RRRP Rate Design'!H7</f>
        <v>78.790000000000006</v>
      </c>
      <c r="G8" s="92">
        <f>'Non-RRRP Rate Design'!I7</f>
        <v>6.2600000000000003E-2</v>
      </c>
      <c r="H8" s="90">
        <f>D8*F8*12</f>
        <v>2798796.519196704</v>
      </c>
      <c r="I8" s="90">
        <f>E8*G8</f>
        <v>367735.71002009645</v>
      </c>
      <c r="J8" s="90">
        <f>H8+I8</f>
        <v>3166532.2292168005</v>
      </c>
      <c r="K8" s="69">
        <f>H8/J8</f>
        <v>0.88386800341803218</v>
      </c>
      <c r="L8" s="70">
        <f>I8/J8</f>
        <v>0.11613199658196782</v>
      </c>
    </row>
    <row r="10" spans="2:12" x14ac:dyDescent="0.25">
      <c r="B10" s="315" t="s">
        <v>81</v>
      </c>
      <c r="C10" s="315"/>
      <c r="D10" s="315"/>
      <c r="E10" s="315"/>
    </row>
    <row r="11" spans="2:12" x14ac:dyDescent="0.25">
      <c r="F11" s="71">
        <v>2024</v>
      </c>
      <c r="G11" s="71">
        <v>2025</v>
      </c>
      <c r="H11" s="71">
        <v>2026</v>
      </c>
      <c r="I11" s="71">
        <v>2027</v>
      </c>
      <c r="J11" s="71">
        <v>2028</v>
      </c>
      <c r="K11" s="71"/>
    </row>
    <row r="12" spans="2:12" x14ac:dyDescent="0.25">
      <c r="B12" s="294" t="s">
        <v>134</v>
      </c>
      <c r="C12" s="294"/>
      <c r="D12" s="294"/>
      <c r="E12" s="294"/>
      <c r="F12" s="80">
        <f>F8</f>
        <v>78.790000000000006</v>
      </c>
      <c r="G12" s="80">
        <f>F15</f>
        <v>82.79</v>
      </c>
      <c r="H12" s="80">
        <f>G15</f>
        <v>86.79</v>
      </c>
      <c r="I12" s="80">
        <f t="shared" ref="I12:J12" si="0">H15</f>
        <v>89.142269768007054</v>
      </c>
      <c r="J12" s="80">
        <f t="shared" si="0"/>
        <v>89.142269768007054</v>
      </c>
      <c r="K12" s="80"/>
    </row>
    <row r="13" spans="2:12" x14ac:dyDescent="0.25">
      <c r="B13" s="294" t="s">
        <v>75</v>
      </c>
      <c r="C13" s="294"/>
      <c r="D13" s="294"/>
      <c r="E13" s="294"/>
      <c r="F13" s="72">
        <f>J8/D8/12</f>
        <v>89.142269768007054</v>
      </c>
      <c r="G13" s="80"/>
    </row>
    <row r="14" spans="2:12" x14ac:dyDescent="0.25">
      <c r="B14" s="81" t="s">
        <v>76</v>
      </c>
      <c r="C14" s="81"/>
      <c r="D14" s="81"/>
      <c r="E14" s="81"/>
      <c r="F14" s="72">
        <f>IF(($F$13-F12)&gt;4,4,$F$13-F12)</f>
        <v>4</v>
      </c>
      <c r="G14" s="72">
        <f>IF(($F$13-G12)&gt;4,4,$F$13-G12)</f>
        <v>4</v>
      </c>
      <c r="H14" s="72">
        <f>IF(($F$13-H12)&gt;4,4,$F$13-H12)</f>
        <v>2.3522697680070479</v>
      </c>
      <c r="I14" s="72">
        <f t="shared" ref="I14:J14" si="1">IF(($F$13-I12)&gt;4,4,$F$13-I12)</f>
        <v>0</v>
      </c>
      <c r="J14" s="72">
        <f t="shared" si="1"/>
        <v>0</v>
      </c>
      <c r="K14" s="72"/>
    </row>
    <row r="15" spans="2:12" x14ac:dyDescent="0.25">
      <c r="B15" s="294" t="s">
        <v>77</v>
      </c>
      <c r="C15" s="294"/>
      <c r="D15" s="294"/>
      <c r="E15" s="294"/>
      <c r="F15" s="72">
        <f>F12+F14</f>
        <v>82.79</v>
      </c>
      <c r="G15" s="72">
        <f>G12+G14</f>
        <v>86.79</v>
      </c>
      <c r="H15" s="72">
        <f>H12+H14</f>
        <v>89.142269768007054</v>
      </c>
      <c r="I15" s="72">
        <f t="shared" ref="I15:J15" si="2">I12+I14</f>
        <v>89.142269768007054</v>
      </c>
      <c r="J15" s="72">
        <f t="shared" si="2"/>
        <v>89.142269768007054</v>
      </c>
      <c r="K15" s="72"/>
    </row>
    <row r="17" spans="2:12" x14ac:dyDescent="0.25">
      <c r="B17" s="1" t="s">
        <v>135</v>
      </c>
    </row>
    <row r="18" spans="2:12" ht="15.75" thickBot="1" x14ac:dyDescent="0.3"/>
    <row r="19" spans="2:12" ht="15.75" thickBot="1" x14ac:dyDescent="0.3">
      <c r="B19" s="93" t="s">
        <v>67</v>
      </c>
      <c r="C19" s="316" t="s">
        <v>68</v>
      </c>
      <c r="D19" s="307"/>
      <c r="E19" s="308" t="s">
        <v>69</v>
      </c>
      <c r="F19" s="310" t="s">
        <v>70</v>
      </c>
      <c r="G19" s="311"/>
      <c r="H19" s="312" t="s">
        <v>71</v>
      </c>
      <c r="I19" s="313"/>
      <c r="J19" s="314"/>
      <c r="K19" s="313" t="s">
        <v>29</v>
      </c>
      <c r="L19" s="314"/>
    </row>
    <row r="20" spans="2:12" ht="45.75" thickBot="1" x14ac:dyDescent="0.3">
      <c r="B20" s="94"/>
      <c r="C20" s="95"/>
      <c r="D20" s="86" t="s">
        <v>73</v>
      </c>
      <c r="E20" s="309"/>
      <c r="F20" s="86" t="s">
        <v>8</v>
      </c>
      <c r="G20" s="87" t="s">
        <v>74</v>
      </c>
      <c r="H20" s="83" t="s">
        <v>37</v>
      </c>
      <c r="I20" s="83" t="s">
        <v>38</v>
      </c>
      <c r="J20" s="83" t="s">
        <v>42</v>
      </c>
      <c r="K20" s="83" t="s">
        <v>37</v>
      </c>
      <c r="L20" s="84" t="s">
        <v>38</v>
      </c>
    </row>
    <row r="21" spans="2:12" x14ac:dyDescent="0.25">
      <c r="B21" s="75"/>
      <c r="C21" s="75"/>
      <c r="D21" s="75"/>
      <c r="E21" s="77" t="s">
        <v>32</v>
      </c>
      <c r="F21" s="75"/>
      <c r="G21" s="78" t="s">
        <v>32</v>
      </c>
      <c r="H21" s="78" t="s">
        <v>9</v>
      </c>
      <c r="I21" s="78" t="s">
        <v>9</v>
      </c>
      <c r="J21" s="78" t="s">
        <v>9</v>
      </c>
      <c r="K21" s="76"/>
      <c r="L21" s="79"/>
    </row>
    <row r="22" spans="2:12" ht="15.75" thickBot="1" x14ac:dyDescent="0.3">
      <c r="B22" s="88" t="s">
        <v>15</v>
      </c>
      <c r="C22" s="88" t="s">
        <v>66</v>
      </c>
      <c r="D22" s="96">
        <f>D8</f>
        <v>2960.1858518389645</v>
      </c>
      <c r="E22" s="96">
        <f>E8</f>
        <v>5874372.3645382812</v>
      </c>
      <c r="F22" s="91">
        <f>F15</f>
        <v>82.79</v>
      </c>
      <c r="G22" s="92">
        <f>I22/E22</f>
        <v>3.8412067728968685E-2</v>
      </c>
      <c r="H22" s="73">
        <f>F22*D22*12</f>
        <v>2940885.4400849743</v>
      </c>
      <c r="I22" s="73">
        <f>L22*J8</f>
        <v>225646.7891318264</v>
      </c>
      <c r="J22" s="74">
        <f>H22+I22</f>
        <v>3166532.2292168005</v>
      </c>
      <c r="K22" s="69">
        <f>H22/J8</f>
        <v>0.92874009395835611</v>
      </c>
      <c r="L22" s="70">
        <f>1-K22</f>
        <v>7.1259906041643895E-2</v>
      </c>
    </row>
    <row r="24" spans="2:12" x14ac:dyDescent="0.25">
      <c r="B24" s="1" t="s">
        <v>80</v>
      </c>
      <c r="H24" s="321"/>
      <c r="I24" s="321"/>
      <c r="J24" s="82"/>
    </row>
    <row r="25" spans="2:12" ht="15.75" thickBot="1" x14ac:dyDescent="0.3"/>
    <row r="26" spans="2:12" ht="15.75" thickBot="1" x14ac:dyDescent="0.3">
      <c r="B26" s="93" t="s">
        <v>67</v>
      </c>
      <c r="C26" s="316" t="s">
        <v>68</v>
      </c>
      <c r="D26" s="307"/>
      <c r="E26" s="308" t="s">
        <v>69</v>
      </c>
      <c r="F26" s="310" t="s">
        <v>70</v>
      </c>
      <c r="G26" s="311"/>
      <c r="H26" s="312" t="s">
        <v>71</v>
      </c>
      <c r="I26" s="313"/>
      <c r="J26" s="314"/>
    </row>
    <row r="27" spans="2:12" ht="45.75" thickBot="1" x14ac:dyDescent="0.3">
      <c r="B27" s="94"/>
      <c r="C27" s="95"/>
      <c r="D27" s="86" t="s">
        <v>73</v>
      </c>
      <c r="E27" s="309"/>
      <c r="F27" s="86" t="s">
        <v>8</v>
      </c>
      <c r="G27" s="87" t="s">
        <v>74</v>
      </c>
      <c r="H27" s="83" t="s">
        <v>37</v>
      </c>
      <c r="I27" s="83" t="s">
        <v>38</v>
      </c>
      <c r="J27" s="83" t="s">
        <v>42</v>
      </c>
    </row>
    <row r="28" spans="2:12" x14ac:dyDescent="0.25">
      <c r="B28" s="75"/>
      <c r="C28" s="75"/>
      <c r="D28" s="75"/>
      <c r="E28" s="77" t="s">
        <v>32</v>
      </c>
      <c r="F28" s="75"/>
      <c r="G28" s="78" t="s">
        <v>32</v>
      </c>
      <c r="H28" s="78" t="s">
        <v>9</v>
      </c>
      <c r="I28" s="78" t="s">
        <v>9</v>
      </c>
      <c r="J28" s="78" t="s">
        <v>9</v>
      </c>
    </row>
    <row r="29" spans="2:12" ht="15.75" thickBot="1" x14ac:dyDescent="0.3">
      <c r="B29" s="88" t="s">
        <v>15</v>
      </c>
      <c r="C29" s="88" t="s">
        <v>66</v>
      </c>
      <c r="D29" s="96">
        <f>D22</f>
        <v>2960.1858518389645</v>
      </c>
      <c r="E29" s="96">
        <f>E22</f>
        <v>5874372.3645382812</v>
      </c>
      <c r="F29" s="91">
        <f>F22</f>
        <v>82.79</v>
      </c>
      <c r="G29" s="92">
        <f>ROUND(G22,4)</f>
        <v>3.8399999999999997E-2</v>
      </c>
      <c r="H29" s="73">
        <f>F29*D29*12</f>
        <v>2940885.4400849743</v>
      </c>
      <c r="I29" s="73">
        <f>E29*G29</f>
        <v>225575.89879826998</v>
      </c>
      <c r="J29" s="74">
        <f>H29+I29</f>
        <v>3166461.3388832444</v>
      </c>
    </row>
    <row r="30" spans="2:12" ht="15.75" thickBot="1" x14ac:dyDescent="0.3">
      <c r="D30" s="97"/>
      <c r="E30" s="97"/>
      <c r="F30" s="98"/>
      <c r="G30" s="98"/>
      <c r="H30" s="99"/>
      <c r="I30" s="99"/>
      <c r="J30" s="82"/>
    </row>
    <row r="31" spans="2:12" x14ac:dyDescent="0.25">
      <c r="B31" s="317" t="s">
        <v>79</v>
      </c>
      <c r="C31" s="318"/>
      <c r="D31" s="318"/>
      <c r="E31" s="318"/>
      <c r="F31" s="318"/>
      <c r="G31" s="23" t="s">
        <v>9</v>
      </c>
      <c r="H31" s="189">
        <f>H29-H22</f>
        <v>0</v>
      </c>
      <c r="I31" s="189">
        <f>I29-I22</f>
        <v>-70.890333556424594</v>
      </c>
      <c r="J31" s="190">
        <f>J29-J22</f>
        <v>-70.890333556104451</v>
      </c>
    </row>
    <row r="32" spans="2:12" ht="15.75" thickBot="1" x14ac:dyDescent="0.3">
      <c r="B32" s="319"/>
      <c r="C32" s="320"/>
      <c r="D32" s="320"/>
      <c r="E32" s="320"/>
      <c r="F32" s="320"/>
      <c r="G32" s="101" t="s">
        <v>78</v>
      </c>
      <c r="H32" s="100">
        <f>H31/H22</f>
        <v>0</v>
      </c>
      <c r="I32" s="100">
        <f t="shared" ref="I32:J32" si="3">I31/I22</f>
        <v>-3.1416504453342495E-4</v>
      </c>
      <c r="J32" s="102">
        <f t="shared" si="3"/>
        <v>-2.2387371554919631E-5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tabColor theme="9" tint="0.79998168889431442"/>
    <pageSetUpPr fitToPage="1"/>
  </sheetPr>
  <dimension ref="B2:M29"/>
  <sheetViews>
    <sheetView showGridLines="0" tabSelected="1" workbookViewId="0">
      <selection activeCell="T27" sqref="T27"/>
    </sheetView>
  </sheetViews>
  <sheetFormatPr defaultColWidth="9.140625" defaultRowHeight="15" x14ac:dyDescent="0.25"/>
  <cols>
    <col min="1" max="1" width="2.85546875" customWidth="1"/>
    <col min="2" max="2" width="39.7109375" customWidth="1"/>
    <col min="3" max="3" width="6.7109375" bestFit="1" customWidth="1"/>
    <col min="4" max="4" width="2.85546875" customWidth="1"/>
    <col min="5" max="5" width="5.7109375" customWidth="1"/>
    <col min="6" max="6" width="11.7109375" bestFit="1" customWidth="1"/>
    <col min="7" max="7" width="7" customWidth="1"/>
    <col min="8" max="8" width="1.85546875" customWidth="1"/>
    <col min="9" max="9" width="6.140625" customWidth="1"/>
    <col min="10" max="10" width="12.140625" bestFit="1" customWidth="1"/>
    <col min="11" max="11" width="8.85546875" customWidth="1"/>
    <col min="12" max="12" width="3" customWidth="1"/>
    <col min="13" max="13" width="9.140625" style="5"/>
    <col min="15" max="15" width="16.28515625" bestFit="1" customWidth="1"/>
  </cols>
  <sheetData>
    <row r="2" spans="2:13" ht="15.75" x14ac:dyDescent="0.25">
      <c r="B2" s="218" t="s">
        <v>143</v>
      </c>
      <c r="C2" s="218"/>
      <c r="D2" s="218"/>
      <c r="E2" s="218"/>
      <c r="F2" s="218"/>
      <c r="G2" s="218"/>
      <c r="H2" s="218"/>
      <c r="I2" s="218"/>
      <c r="J2" s="218"/>
      <c r="K2" s="218"/>
    </row>
    <row r="3" spans="2:13" ht="15.75" thickBot="1" x14ac:dyDescent="0.3">
      <c r="C3" s="5"/>
    </row>
    <row r="4" spans="2:13" ht="16.5" thickBot="1" x14ac:dyDescent="0.3">
      <c r="B4" s="219"/>
      <c r="C4" s="220"/>
      <c r="D4" s="220"/>
      <c r="E4" s="221" t="s">
        <v>115</v>
      </c>
      <c r="F4" s="222"/>
      <c r="G4" s="223"/>
      <c r="H4" s="133"/>
      <c r="I4" s="224" t="s">
        <v>116</v>
      </c>
      <c r="J4" s="225"/>
      <c r="K4" s="226"/>
      <c r="M4" s="227" t="s">
        <v>3</v>
      </c>
    </row>
    <row r="5" spans="2:13" ht="16.5" thickBot="1" x14ac:dyDescent="0.3">
      <c r="B5" s="228" t="s">
        <v>4</v>
      </c>
      <c r="C5" s="229"/>
      <c r="D5" s="229"/>
      <c r="E5" s="230" t="s">
        <v>105</v>
      </c>
      <c r="F5" s="231"/>
      <c r="G5" s="232"/>
      <c r="H5" s="128"/>
      <c r="I5" s="230" t="s">
        <v>114</v>
      </c>
      <c r="J5" s="231"/>
      <c r="K5" s="232"/>
      <c r="M5" s="227"/>
    </row>
    <row r="6" spans="2:13" ht="16.5" thickBot="1" x14ac:dyDescent="0.3">
      <c r="B6" s="228"/>
      <c r="C6" s="229"/>
      <c r="D6" s="229"/>
      <c r="E6" s="233"/>
      <c r="F6" s="234"/>
      <c r="G6" s="235"/>
      <c r="H6" s="128"/>
      <c r="I6" s="236"/>
      <c r="J6" s="237"/>
      <c r="K6" s="238"/>
      <c r="M6" s="6"/>
    </row>
    <row r="7" spans="2:13" ht="43.5" customHeight="1" x14ac:dyDescent="0.25">
      <c r="B7" s="7" t="s">
        <v>5</v>
      </c>
      <c r="C7" s="8" t="s">
        <v>6</v>
      </c>
      <c r="D7" s="9"/>
      <c r="E7" s="239" t="s">
        <v>102</v>
      </c>
      <c r="F7" s="240"/>
      <c r="G7" s="241"/>
      <c r="H7" s="128"/>
      <c r="I7" s="242" t="s">
        <v>117</v>
      </c>
      <c r="J7" s="243"/>
      <c r="K7" s="244"/>
      <c r="M7" s="6"/>
    </row>
    <row r="8" spans="2:13" x14ac:dyDescent="0.25">
      <c r="B8" s="10" t="s">
        <v>7</v>
      </c>
      <c r="C8" s="6"/>
      <c r="D8" s="11"/>
      <c r="E8" s="134"/>
      <c r="F8" s="135"/>
      <c r="G8" s="136"/>
      <c r="I8" s="12"/>
      <c r="J8" s="14"/>
      <c r="K8" s="13"/>
      <c r="M8" s="6"/>
    </row>
    <row r="9" spans="2:13" x14ac:dyDescent="0.25">
      <c r="B9" s="15" t="s">
        <v>8</v>
      </c>
      <c r="C9" s="6" t="s">
        <v>9</v>
      </c>
      <c r="D9" s="2"/>
      <c r="E9" s="137"/>
      <c r="F9" s="191">
        <v>62.112512229622162</v>
      </c>
      <c r="G9" s="192"/>
      <c r="H9" s="193"/>
      <c r="I9" s="194"/>
      <c r="J9" s="195">
        <f>'RRRP Rate Design'!I14</f>
        <v>64.31</v>
      </c>
      <c r="K9" s="16"/>
      <c r="M9" s="3">
        <f>(J9-F9)/F9</f>
        <v>3.5379148121621677E-2</v>
      </c>
    </row>
    <row r="10" spans="2:13" x14ac:dyDescent="0.25">
      <c r="B10" s="15" t="s">
        <v>10</v>
      </c>
      <c r="C10" s="6" t="s">
        <v>11</v>
      </c>
      <c r="D10" s="4"/>
      <c r="E10" s="137"/>
      <c r="F10" s="196">
        <v>0</v>
      </c>
      <c r="G10" s="192"/>
      <c r="H10" s="193"/>
      <c r="I10" s="197"/>
      <c r="J10" s="196">
        <f>'RRRP Rate Design'!J14</f>
        <v>0</v>
      </c>
      <c r="K10" s="13"/>
      <c r="M10" s="3" t="e">
        <f>(J10-F10)/F10</f>
        <v>#DIV/0!</v>
      </c>
    </row>
    <row r="11" spans="2:13" x14ac:dyDescent="0.25">
      <c r="B11" s="15"/>
      <c r="C11" s="6"/>
      <c r="D11" s="4"/>
      <c r="E11" s="137"/>
      <c r="F11" s="198"/>
      <c r="G11" s="192"/>
      <c r="H11" s="193"/>
      <c r="I11" s="197"/>
      <c r="J11" s="196"/>
      <c r="K11" s="13"/>
      <c r="M11" s="3"/>
    </row>
    <row r="12" spans="2:13" x14ac:dyDescent="0.25">
      <c r="B12" s="10" t="s">
        <v>12</v>
      </c>
      <c r="C12" s="6"/>
      <c r="D12" s="4"/>
      <c r="E12" s="137"/>
      <c r="F12" s="198"/>
      <c r="G12" s="192"/>
      <c r="H12" s="193"/>
      <c r="I12" s="197"/>
      <c r="J12" s="195"/>
      <c r="K12" s="13"/>
      <c r="M12" s="3"/>
    </row>
    <row r="13" spans="2:13" x14ac:dyDescent="0.25">
      <c r="B13" s="15" t="s">
        <v>8</v>
      </c>
      <c r="C13" s="6" t="s">
        <v>9</v>
      </c>
      <c r="D13" s="4"/>
      <c r="E13" s="137"/>
      <c r="F13" s="191">
        <v>27.85</v>
      </c>
      <c r="G13" s="192"/>
      <c r="H13" s="193"/>
      <c r="I13" s="197"/>
      <c r="J13" s="195">
        <f>'RRRP Rate Design'!I15</f>
        <v>28.84</v>
      </c>
      <c r="K13" s="13"/>
      <c r="M13" s="3">
        <f>(J13-F13)/F13</f>
        <v>3.5547576301615744E-2</v>
      </c>
    </row>
    <row r="14" spans="2:13" x14ac:dyDescent="0.25">
      <c r="B14" s="15" t="s">
        <v>10</v>
      </c>
      <c r="C14" s="6" t="s">
        <v>11</v>
      </c>
      <c r="D14" s="4"/>
      <c r="E14" s="137"/>
      <c r="F14" s="196">
        <v>3.9199999999999999E-2</v>
      </c>
      <c r="G14" s="192"/>
      <c r="H14" s="193"/>
      <c r="I14" s="197"/>
      <c r="J14" s="196">
        <f>'RRRP Rate Design'!J15</f>
        <v>4.0599999999999997E-2</v>
      </c>
      <c r="K14" s="13"/>
      <c r="M14" s="3">
        <f>(J14-F14)/F14</f>
        <v>3.5714285714285678E-2</v>
      </c>
    </row>
    <row r="15" spans="2:13" x14ac:dyDescent="0.25">
      <c r="B15" s="15"/>
      <c r="C15" s="6"/>
      <c r="D15" s="11"/>
      <c r="E15" s="134"/>
      <c r="F15" s="199"/>
      <c r="G15" s="192"/>
      <c r="H15" s="193"/>
      <c r="I15" s="197"/>
      <c r="J15" s="200"/>
      <c r="K15" s="13"/>
      <c r="M15" s="17"/>
    </row>
    <row r="16" spans="2:13" x14ac:dyDescent="0.25">
      <c r="B16" s="10" t="s">
        <v>13</v>
      </c>
      <c r="C16" s="6"/>
      <c r="D16" s="11"/>
      <c r="E16" s="134"/>
      <c r="F16" s="200"/>
      <c r="G16" s="192"/>
      <c r="H16" s="193"/>
      <c r="I16" s="197"/>
      <c r="J16" s="200"/>
      <c r="K16" s="13"/>
      <c r="M16" s="17"/>
    </row>
    <row r="17" spans="2:13" x14ac:dyDescent="0.25">
      <c r="B17" s="15" t="s">
        <v>8</v>
      </c>
      <c r="C17" s="6" t="s">
        <v>9</v>
      </c>
      <c r="D17" s="2"/>
      <c r="E17" s="137"/>
      <c r="F17" s="201">
        <v>716.69</v>
      </c>
      <c r="G17" s="192"/>
      <c r="H17" s="193"/>
      <c r="I17" s="197"/>
      <c r="J17" s="191">
        <f>'RRRP Rate Design'!I16</f>
        <v>742.06</v>
      </c>
      <c r="K17" s="13"/>
      <c r="M17" s="3">
        <f t="shared" ref="M17:M18" si="0">(J17-F17)/F17</f>
        <v>3.5398847479384238E-2</v>
      </c>
    </row>
    <row r="18" spans="2:13" x14ac:dyDescent="0.25">
      <c r="B18" s="15" t="s">
        <v>10</v>
      </c>
      <c r="C18" s="6" t="s">
        <v>14</v>
      </c>
      <c r="D18" s="4"/>
      <c r="E18" s="137"/>
      <c r="F18" s="196">
        <v>3.7134999999999998</v>
      </c>
      <c r="G18" s="192"/>
      <c r="H18" s="193"/>
      <c r="I18" s="197"/>
      <c r="J18" s="196">
        <f>'RRRP Rate Design'!J16</f>
        <v>3.8450000000000002</v>
      </c>
      <c r="K18" s="13"/>
      <c r="M18" s="3">
        <f t="shared" si="0"/>
        <v>3.5411337013599137E-2</v>
      </c>
    </row>
    <row r="19" spans="2:13" x14ac:dyDescent="0.25">
      <c r="B19" s="15"/>
      <c r="C19" s="6"/>
      <c r="D19" s="11"/>
      <c r="E19" s="134"/>
      <c r="F19" s="199"/>
      <c r="G19" s="192"/>
      <c r="H19" s="193"/>
      <c r="I19" s="197"/>
      <c r="J19" s="200"/>
      <c r="K19" s="13"/>
      <c r="M19" s="17"/>
    </row>
    <row r="20" spans="2:13" x14ac:dyDescent="0.25">
      <c r="B20" s="10" t="s">
        <v>15</v>
      </c>
      <c r="C20" s="6"/>
      <c r="D20" s="11"/>
      <c r="E20" s="134"/>
      <c r="F20" s="199"/>
      <c r="G20" s="192"/>
      <c r="H20" s="193"/>
      <c r="I20" s="197"/>
      <c r="J20" s="200"/>
      <c r="K20" s="13"/>
      <c r="M20" s="17"/>
    </row>
    <row r="21" spans="2:13" x14ac:dyDescent="0.25">
      <c r="B21" s="15" t="s">
        <v>8</v>
      </c>
      <c r="C21" s="6" t="s">
        <v>9</v>
      </c>
      <c r="D21" s="2"/>
      <c r="E21" s="137"/>
      <c r="F21" s="201">
        <v>75.61</v>
      </c>
      <c r="G21" s="192"/>
      <c r="H21" s="193"/>
      <c r="I21" s="197"/>
      <c r="J21" s="201">
        <f>'Seasonal Decoupling'!F29</f>
        <v>82.79</v>
      </c>
      <c r="K21" s="13"/>
      <c r="M21" s="3">
        <f t="shared" ref="M21:M22" si="1">(J21-F21)/F21</f>
        <v>9.4960983996825912E-2</v>
      </c>
    </row>
    <row r="22" spans="2:13" x14ac:dyDescent="0.25">
      <c r="B22" s="15" t="s">
        <v>10</v>
      </c>
      <c r="C22" s="6" t="s">
        <v>11</v>
      </c>
      <c r="D22" s="4"/>
      <c r="E22" s="137"/>
      <c r="F22" s="196">
        <v>6.0100000000000001E-2</v>
      </c>
      <c r="G22" s="192"/>
      <c r="H22" s="193"/>
      <c r="I22" s="197"/>
      <c r="J22" s="196">
        <f>'Seasonal Decoupling'!G29</f>
        <v>3.8399999999999997E-2</v>
      </c>
      <c r="K22" s="13"/>
      <c r="M22" s="3">
        <f t="shared" si="1"/>
        <v>-0.36106489184692186</v>
      </c>
    </row>
    <row r="23" spans="2:13" x14ac:dyDescent="0.25">
      <c r="B23" s="15"/>
      <c r="C23" s="6"/>
      <c r="D23" s="11"/>
      <c r="E23" s="134"/>
      <c r="F23" s="199"/>
      <c r="G23" s="192"/>
      <c r="H23" s="193"/>
      <c r="I23" s="197"/>
      <c r="J23" s="200"/>
      <c r="K23" s="13"/>
      <c r="M23" s="17"/>
    </row>
    <row r="24" spans="2:13" x14ac:dyDescent="0.25">
      <c r="B24" s="10" t="s">
        <v>16</v>
      </c>
      <c r="C24" s="6"/>
      <c r="D24" s="11"/>
      <c r="E24" s="134"/>
      <c r="F24" s="199"/>
      <c r="G24" s="192"/>
      <c r="H24" s="193"/>
      <c r="I24" s="197"/>
      <c r="J24" s="200"/>
      <c r="K24" s="13"/>
      <c r="M24" s="17"/>
    </row>
    <row r="25" spans="2:13" x14ac:dyDescent="0.25">
      <c r="B25" s="15" t="s">
        <v>8</v>
      </c>
      <c r="C25" s="6" t="s">
        <v>9</v>
      </c>
      <c r="D25" s="2"/>
      <c r="E25" s="137"/>
      <c r="F25" s="201">
        <v>2</v>
      </c>
      <c r="G25" s="192"/>
      <c r="H25" s="193"/>
      <c r="I25" s="197"/>
      <c r="J25" s="201">
        <f>'Non-RRRP Rate Design'!H8</f>
        <v>2.08</v>
      </c>
      <c r="K25" s="13"/>
      <c r="M25" s="3">
        <f t="shared" ref="M25:M26" si="2">(J25-F25)/F25</f>
        <v>4.0000000000000036E-2</v>
      </c>
    </row>
    <row r="26" spans="2:13" x14ac:dyDescent="0.25">
      <c r="B26" s="15" t="s">
        <v>10</v>
      </c>
      <c r="C26" s="6" t="s">
        <v>11</v>
      </c>
      <c r="D26" s="4"/>
      <c r="E26" s="137"/>
      <c r="F26" s="196">
        <v>0.3226</v>
      </c>
      <c r="G26" s="192"/>
      <c r="H26" s="193"/>
      <c r="I26" s="197"/>
      <c r="J26" s="196">
        <f>'Non-RRRP Rate Design'!I8</f>
        <v>0.33610000000000001</v>
      </c>
      <c r="K26" s="13"/>
      <c r="M26" s="3">
        <f t="shared" si="2"/>
        <v>4.1847489150651E-2</v>
      </c>
    </row>
    <row r="27" spans="2:13" x14ac:dyDescent="0.25">
      <c r="B27" s="15"/>
      <c r="C27" s="6"/>
      <c r="D27" s="11"/>
      <c r="E27" s="134"/>
      <c r="F27" s="199"/>
      <c r="G27" s="192"/>
      <c r="H27" s="193"/>
      <c r="I27" s="197"/>
      <c r="J27" s="200"/>
      <c r="K27" s="13"/>
      <c r="M27" s="17"/>
    </row>
    <row r="28" spans="2:13" ht="15.75" thickBot="1" x14ac:dyDescent="0.3">
      <c r="B28" s="18" t="s">
        <v>17</v>
      </c>
      <c r="C28" s="19" t="s">
        <v>9</v>
      </c>
      <c r="D28" s="20"/>
      <c r="E28" s="138"/>
      <c r="F28" s="202">
        <v>16490664</v>
      </c>
      <c r="G28" s="203"/>
      <c r="H28" s="204"/>
      <c r="I28" s="205"/>
      <c r="J28" s="202">
        <f>'RRRP Rate Design'!M19</f>
        <v>17174943.401066028</v>
      </c>
      <c r="K28" s="21"/>
      <c r="M28" s="3">
        <f>(J28-F28)/F28</f>
        <v>4.1494957453867692E-2</v>
      </c>
    </row>
    <row r="29" spans="2:13" x14ac:dyDescent="0.25">
      <c r="F29" s="206"/>
      <c r="G29" s="206"/>
      <c r="H29" s="206"/>
      <c r="I29" s="206"/>
      <c r="J29" s="206"/>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tabColor theme="8" tint="0.79998168889431442"/>
    <pageSetUpPr fitToPage="1"/>
  </sheetPr>
  <dimension ref="B2:F12"/>
  <sheetViews>
    <sheetView showGridLines="0" workbookViewId="0">
      <selection activeCell="G35" sqref="G35"/>
    </sheetView>
  </sheetViews>
  <sheetFormatPr defaultRowHeight="15" x14ac:dyDescent="0.25"/>
  <cols>
    <col min="1" max="1" width="2.85546875" customWidth="1"/>
    <col min="2" max="2" width="15" customWidth="1"/>
    <col min="3" max="3" width="14.140625" customWidth="1"/>
    <col min="4" max="4" width="10.28515625" bestFit="1" customWidth="1"/>
    <col min="5" max="5" width="12.140625" customWidth="1"/>
    <col min="6" max="6" width="11.7109375" customWidth="1"/>
  </cols>
  <sheetData>
    <row r="2" spans="2:6" ht="15.75" thickBot="1" x14ac:dyDescent="0.3"/>
    <row r="3" spans="2:6" x14ac:dyDescent="0.25">
      <c r="B3" s="245" t="s">
        <v>85</v>
      </c>
      <c r="C3" s="246"/>
      <c r="D3" s="246"/>
      <c r="E3" s="246"/>
      <c r="F3" s="247"/>
    </row>
    <row r="4" spans="2:6" ht="15.75" thickBot="1" x14ac:dyDescent="0.3">
      <c r="B4" s="248"/>
      <c r="C4" s="249"/>
      <c r="D4" s="249"/>
      <c r="E4" s="249"/>
      <c r="F4" s="250"/>
    </row>
    <row r="5" spans="2:6" ht="51" x14ac:dyDescent="0.25">
      <c r="B5" s="106"/>
      <c r="C5" s="107" t="s">
        <v>89</v>
      </c>
      <c r="D5" s="107" t="s">
        <v>84</v>
      </c>
      <c r="E5" s="107" t="s">
        <v>87</v>
      </c>
      <c r="F5" s="108" t="s">
        <v>86</v>
      </c>
    </row>
    <row r="6" spans="2:6" x14ac:dyDescent="0.25">
      <c r="B6" s="15" t="s">
        <v>40</v>
      </c>
      <c r="C6" s="111">
        <v>16904988.472834036</v>
      </c>
      <c r="D6" s="111">
        <v>328511.99052853708</v>
      </c>
      <c r="E6" s="111">
        <v>17362030.650583163</v>
      </c>
      <c r="F6" s="110">
        <f>(D6+E6)/C6</f>
        <v>1.046468778700443</v>
      </c>
    </row>
    <row r="7" spans="2:6" x14ac:dyDescent="0.25">
      <c r="B7" s="15" t="s">
        <v>13</v>
      </c>
      <c r="C7" s="111">
        <v>5043434.3676901637</v>
      </c>
      <c r="D7" s="111">
        <v>83044.070069468231</v>
      </c>
      <c r="E7" s="111">
        <v>4634806.1194622787</v>
      </c>
      <c r="F7" s="110">
        <f t="shared" ref="F7:F9" si="0">(D7+E7)/C7</f>
        <v>0.93544395457107332</v>
      </c>
    </row>
    <row r="8" spans="2:6" x14ac:dyDescent="0.25">
      <c r="B8" s="15" t="s">
        <v>15</v>
      </c>
      <c r="C8" s="111">
        <v>3391922.3985712621</v>
      </c>
      <c r="D8" s="111">
        <v>72715.982014777779</v>
      </c>
      <c r="E8" s="111">
        <v>2825242.8631995791</v>
      </c>
      <c r="F8" s="110">
        <f t="shared" si="0"/>
        <v>0.8543706207533015</v>
      </c>
    </row>
    <row r="9" spans="2:6" x14ac:dyDescent="0.25">
      <c r="B9" s="15" t="s">
        <v>16</v>
      </c>
      <c r="C9" s="111">
        <v>169967.81619938929</v>
      </c>
      <c r="D9" s="111">
        <v>4518.7973872169614</v>
      </c>
      <c r="E9" s="111">
        <v>199442.58204983751</v>
      </c>
      <c r="F9" s="110">
        <f t="shared" si="0"/>
        <v>1.1999999999869819</v>
      </c>
    </row>
    <row r="10" spans="2:6" ht="15.75" thickBot="1" x14ac:dyDescent="0.3">
      <c r="B10" s="34" t="s">
        <v>42</v>
      </c>
      <c r="C10" s="36">
        <f>SUM(C6:C9)</f>
        <v>25510313.055294853</v>
      </c>
      <c r="D10" s="36">
        <f>SUM(D6:D9)</f>
        <v>488790.84</v>
      </c>
      <c r="E10" s="36">
        <f>SUM(E6:E9)</f>
        <v>25021522.21529486</v>
      </c>
      <c r="F10" s="112"/>
    </row>
    <row r="12" spans="2:6" x14ac:dyDescent="0.25">
      <c r="F12" s="109"/>
    </row>
  </sheetData>
  <mergeCells count="1">
    <mergeCell ref="B3:F4"/>
  </mergeCell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tabColor theme="8" tint="0.79998168889431442"/>
    <pageSetUpPr fitToPage="1"/>
  </sheetPr>
  <dimension ref="B2:N16"/>
  <sheetViews>
    <sheetView showGridLines="0" workbookViewId="0">
      <selection activeCell="F7" sqref="F7"/>
    </sheetView>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5.28515625" bestFit="1" customWidth="1"/>
  </cols>
  <sheetData>
    <row r="2" spans="2:14" ht="15.75" thickBot="1" x14ac:dyDescent="0.3"/>
    <row r="3" spans="2:14" ht="31.5" customHeight="1" x14ac:dyDescent="0.25">
      <c r="B3" s="251" t="s">
        <v>43</v>
      </c>
      <c r="C3" s="252"/>
      <c r="D3" s="252"/>
      <c r="E3" s="252"/>
      <c r="F3" s="252"/>
      <c r="G3" s="252"/>
      <c r="H3" s="252"/>
      <c r="I3" s="252"/>
      <c r="J3" s="252"/>
      <c r="K3" s="252"/>
      <c r="L3" s="252"/>
      <c r="M3" s="252"/>
      <c r="N3" s="253"/>
    </row>
    <row r="4" spans="2:14" x14ac:dyDescent="0.25">
      <c r="B4" s="254" t="s">
        <v>41</v>
      </c>
      <c r="C4" s="255"/>
      <c r="D4" s="255"/>
      <c r="E4" s="255"/>
      <c r="F4" s="255"/>
      <c r="G4" s="255"/>
      <c r="H4" s="255"/>
      <c r="I4" s="255"/>
      <c r="J4" s="255"/>
      <c r="K4" s="255"/>
      <c r="L4" s="255"/>
      <c r="M4" s="255"/>
      <c r="N4" s="256"/>
    </row>
    <row r="5" spans="2:14" ht="15" customHeight="1" x14ac:dyDescent="0.25">
      <c r="B5" s="257" t="s">
        <v>26</v>
      </c>
      <c r="C5" s="259" t="s">
        <v>6</v>
      </c>
      <c r="D5" s="261" t="s">
        <v>27</v>
      </c>
      <c r="E5" s="263" t="s">
        <v>28</v>
      </c>
      <c r="F5" s="264"/>
      <c r="G5" s="263" t="s">
        <v>29</v>
      </c>
      <c r="H5" s="264"/>
      <c r="I5" s="263" t="s">
        <v>30</v>
      </c>
      <c r="J5" s="264"/>
      <c r="K5" s="263" t="s">
        <v>31</v>
      </c>
      <c r="L5" s="255"/>
      <c r="M5" s="255"/>
      <c r="N5" s="256"/>
    </row>
    <row r="6" spans="2:14" ht="60" x14ac:dyDescent="0.25">
      <c r="B6" s="258"/>
      <c r="C6" s="260"/>
      <c r="D6" s="262"/>
      <c r="E6" s="45" t="s">
        <v>32</v>
      </c>
      <c r="F6" s="45" t="s">
        <v>33</v>
      </c>
      <c r="G6" s="46" t="s">
        <v>34</v>
      </c>
      <c r="H6" s="46" t="s">
        <v>35</v>
      </c>
      <c r="I6" s="46" t="s">
        <v>8</v>
      </c>
      <c r="J6" s="46" t="s">
        <v>36</v>
      </c>
      <c r="K6" s="46" t="s">
        <v>37</v>
      </c>
      <c r="L6" s="46" t="s">
        <v>38</v>
      </c>
      <c r="M6" s="46" t="s">
        <v>44</v>
      </c>
      <c r="N6" s="47" t="s">
        <v>45</v>
      </c>
    </row>
    <row r="7" spans="2:14" x14ac:dyDescent="0.25">
      <c r="B7" s="48" t="s">
        <v>40</v>
      </c>
      <c r="C7" s="6" t="s">
        <v>32</v>
      </c>
      <c r="D7" s="180">
        <v>9112.8451064303372</v>
      </c>
      <c r="E7" s="181">
        <v>113337066.328181</v>
      </c>
      <c r="F7" s="181"/>
      <c r="G7" s="52">
        <v>0.64118373052413569</v>
      </c>
      <c r="H7" s="52">
        <f>1-G7</f>
        <v>0.35881626947586431</v>
      </c>
      <c r="I7" s="182">
        <v>101.8</v>
      </c>
      <c r="J7" s="183">
        <v>5.5E-2</v>
      </c>
      <c r="K7" s="181">
        <f>D7*I7*12</f>
        <v>11132251.582015298</v>
      </c>
      <c r="L7" s="181">
        <f>E7*J7</f>
        <v>6233538.6480499553</v>
      </c>
      <c r="M7" s="181"/>
      <c r="N7" s="30">
        <f>SUM(K7:M7)</f>
        <v>17365790.230065253</v>
      </c>
    </row>
    <row r="8" spans="2:14" x14ac:dyDescent="0.25">
      <c r="B8" s="48" t="s">
        <v>13</v>
      </c>
      <c r="C8" s="6" t="s">
        <v>33</v>
      </c>
      <c r="D8" s="180">
        <v>37.282220262380214</v>
      </c>
      <c r="E8" s="181"/>
      <c r="F8" s="181">
        <v>248604.90668572392</v>
      </c>
      <c r="G8" s="52">
        <v>0.12009672583040554</v>
      </c>
      <c r="H8" s="52">
        <f t="shared" ref="H8:H10" si="0">1-G8</f>
        <v>0.87990327416959446</v>
      </c>
      <c r="I8" s="182">
        <v>1244.17</v>
      </c>
      <c r="J8" s="183">
        <v>16.8475</v>
      </c>
      <c r="K8" s="181">
        <f t="shared" ref="K8:K10" si="1">D8*I8*12</f>
        <v>556625.03980614711</v>
      </c>
      <c r="L8" s="181">
        <f>F8*J8</f>
        <v>4188371.1653877338</v>
      </c>
      <c r="M8" s="181">
        <v>-110187.67683102925</v>
      </c>
      <c r="N8" s="30">
        <f t="shared" ref="N8:N10" si="2">SUM(K8:M8)</f>
        <v>4634808.5283628516</v>
      </c>
    </row>
    <row r="9" spans="2:14" x14ac:dyDescent="0.25">
      <c r="B9" s="48" t="s">
        <v>15</v>
      </c>
      <c r="C9" s="6" t="s">
        <v>32</v>
      </c>
      <c r="D9" s="180">
        <v>2960.1858518389645</v>
      </c>
      <c r="E9" s="181">
        <v>5874372.3645382812</v>
      </c>
      <c r="F9" s="181"/>
      <c r="G9" s="52">
        <v>0.68900916148665659</v>
      </c>
      <c r="H9" s="52">
        <f t="shared" si="0"/>
        <v>0.31099083851334341</v>
      </c>
      <c r="I9" s="182">
        <v>54.8</v>
      </c>
      <c r="J9" s="183">
        <v>0.14960000000000001</v>
      </c>
      <c r="K9" s="181">
        <f t="shared" si="1"/>
        <v>1946618.2161693028</v>
      </c>
      <c r="L9" s="181">
        <f t="shared" ref="L9:L10" si="3">E9*J9</f>
        <v>878806.10573492688</v>
      </c>
      <c r="M9" s="181"/>
      <c r="N9" s="30">
        <f t="shared" si="2"/>
        <v>2825424.3219042299</v>
      </c>
    </row>
    <row r="10" spans="2:14" x14ac:dyDescent="0.25">
      <c r="B10" s="48" t="s">
        <v>16</v>
      </c>
      <c r="C10" s="6" t="s">
        <v>32</v>
      </c>
      <c r="D10" s="180">
        <v>1127.6033016645551</v>
      </c>
      <c r="E10" s="181">
        <v>581104.4520676051</v>
      </c>
      <c r="F10" s="181"/>
      <c r="G10" s="52">
        <v>0.12619223755769352</v>
      </c>
      <c r="H10" s="52">
        <f t="shared" si="0"/>
        <v>0.87380776244230651</v>
      </c>
      <c r="I10" s="182">
        <v>1.86</v>
      </c>
      <c r="J10" s="183">
        <v>0.2999</v>
      </c>
      <c r="K10" s="181">
        <f t="shared" si="1"/>
        <v>25168.105693152873</v>
      </c>
      <c r="L10" s="181">
        <f t="shared" si="3"/>
        <v>174273.22517507477</v>
      </c>
      <c r="M10" s="181"/>
      <c r="N10" s="30">
        <f t="shared" si="2"/>
        <v>199441.33086822764</v>
      </c>
    </row>
    <row r="11" spans="2:14" s="1" customFormat="1" ht="15.75" thickBot="1" x14ac:dyDescent="0.3">
      <c r="B11" s="34" t="s">
        <v>42</v>
      </c>
      <c r="C11" s="35"/>
      <c r="D11" s="36">
        <f>SUM(D7:D10)</f>
        <v>13237.91648019624</v>
      </c>
      <c r="E11" s="184"/>
      <c r="F11" s="184"/>
      <c r="G11" s="184"/>
      <c r="H11" s="184"/>
      <c r="I11" s="184"/>
      <c r="J11" s="184"/>
      <c r="K11" s="53">
        <f>SUM(K7:K10)</f>
        <v>13660662.9436839</v>
      </c>
      <c r="L11" s="53">
        <f>SUM(L7:L10)</f>
        <v>11474989.144347692</v>
      </c>
      <c r="M11" s="53">
        <f>SUM(M7:M10)</f>
        <v>-110187.67683102925</v>
      </c>
      <c r="N11" s="54">
        <f>SUM(N7:N10)</f>
        <v>25025464.411200564</v>
      </c>
    </row>
    <row r="13" spans="2:14" x14ac:dyDescent="0.25">
      <c r="K13" t="s">
        <v>46</v>
      </c>
      <c r="L13" s="32"/>
      <c r="M13" s="32"/>
      <c r="N13" s="208">
        <v>25021522.215294853</v>
      </c>
    </row>
    <row r="15" spans="2:14" x14ac:dyDescent="0.25">
      <c r="K15" t="s">
        <v>47</v>
      </c>
      <c r="N15" s="207">
        <f>N11-N13</f>
        <v>3942.1959057115018</v>
      </c>
    </row>
    <row r="16" spans="2:14" x14ac:dyDescent="0.25">
      <c r="K16" t="s">
        <v>48</v>
      </c>
      <c r="N16" s="44">
        <f>N15/N13</f>
        <v>1.5755220133256977E-4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tabColor theme="9" tint="0.79998168889431442"/>
    <pageSetUpPr fitToPage="1"/>
  </sheetPr>
  <dimension ref="A2:S26"/>
  <sheetViews>
    <sheetView showGridLines="0" zoomScaleNormal="100" workbookViewId="0">
      <selection activeCell="K12" sqref="K12:M12"/>
    </sheetView>
  </sheetViews>
  <sheetFormatPr defaultColWidth="9.140625" defaultRowHeight="15" x14ac:dyDescent="0.25"/>
  <cols>
    <col min="1" max="1" width="2.85546875" customWidth="1"/>
    <col min="2" max="2" width="19.85546875" customWidth="1"/>
    <col min="3" max="3" width="6.28515625" customWidth="1"/>
    <col min="4" max="4" width="10.140625" customWidth="1"/>
    <col min="5" max="5" width="12.7109375" bestFit="1" customWidth="1"/>
    <col min="6" max="6" width="9" bestFit="1" customWidth="1"/>
    <col min="7" max="8" width="8.85546875" bestFit="1" customWidth="1"/>
    <col min="9" max="9" width="9.140625" bestFit="1" customWidth="1"/>
    <col min="10" max="10" width="11.140625" bestFit="1" customWidth="1"/>
    <col min="11" max="11" width="11.7109375" bestFit="1" customWidth="1"/>
    <col min="12" max="12" width="12.140625" bestFit="1" customWidth="1"/>
    <col min="13" max="13" width="14.140625" bestFit="1" customWidth="1"/>
    <col min="14" max="14" width="5.140625" bestFit="1" customWidth="1"/>
    <col min="15" max="15" width="8.7109375" style="103" customWidth="1"/>
    <col min="16" max="16" width="19" style="103" bestFit="1" customWidth="1"/>
    <col min="17" max="17" width="15.28515625" bestFit="1" customWidth="1"/>
    <col min="18" max="18" width="12.5703125" bestFit="1" customWidth="1"/>
    <col min="19" max="19" width="10.5703125" bestFit="1" customWidth="1"/>
  </cols>
  <sheetData>
    <row r="2" spans="2:19" ht="15.75" x14ac:dyDescent="0.25">
      <c r="B2" s="218" t="s">
        <v>119</v>
      </c>
      <c r="C2" s="218"/>
      <c r="D2" s="218"/>
      <c r="E2" s="218"/>
      <c r="F2" s="218"/>
      <c r="G2" s="218"/>
      <c r="H2" s="218"/>
      <c r="I2" s="218"/>
      <c r="J2" s="218"/>
      <c r="K2" s="218"/>
      <c r="L2" s="218"/>
      <c r="M2" s="218"/>
    </row>
    <row r="3" spans="2:19" ht="16.5" thickBot="1" x14ac:dyDescent="0.3">
      <c r="B3" s="60"/>
      <c r="C3" s="60"/>
      <c r="D3" s="60"/>
      <c r="E3" s="60"/>
      <c r="F3" s="60"/>
      <c r="G3" s="60"/>
      <c r="H3" s="60"/>
      <c r="I3" s="60"/>
      <c r="J3" s="60"/>
      <c r="K3" s="60"/>
      <c r="L3" s="60"/>
      <c r="M3" s="61"/>
    </row>
    <row r="4" spans="2:19" x14ac:dyDescent="0.25">
      <c r="B4" s="270" t="s">
        <v>64</v>
      </c>
      <c r="C4" s="271"/>
      <c r="D4" s="271"/>
      <c r="E4" s="271"/>
      <c r="F4" s="271"/>
      <c r="G4" s="271"/>
      <c r="H4" s="271"/>
      <c r="I4" s="271"/>
      <c r="J4" s="271"/>
      <c r="K4" s="65" t="s">
        <v>61</v>
      </c>
      <c r="L4" s="65" t="s">
        <v>62</v>
      </c>
      <c r="M4" s="66" t="s">
        <v>63</v>
      </c>
      <c r="O4" s="104" t="s">
        <v>82</v>
      </c>
      <c r="P4" s="104"/>
    </row>
    <row r="5" spans="2:19" x14ac:dyDescent="0.25">
      <c r="B5" s="272" t="s">
        <v>120</v>
      </c>
      <c r="C5" s="273"/>
      <c r="D5" s="273"/>
      <c r="E5" s="273"/>
      <c r="F5" s="273"/>
      <c r="G5" s="273"/>
      <c r="H5" s="273"/>
      <c r="I5" s="273"/>
      <c r="J5" s="273"/>
      <c r="K5" s="126">
        <f>'Indexed Revenue'!T5</f>
        <v>19466375.04886828</v>
      </c>
      <c r="L5" s="126">
        <f>'Indexed Revenue'!T6</f>
        <v>5195439.9942366173</v>
      </c>
      <c r="M5" s="124">
        <f>SUM(K5:L5)</f>
        <v>24661815.043104898</v>
      </c>
      <c r="N5" s="43">
        <f>M5-('Indexed Revenue'!T5+'Indexed Revenue'!T6)</f>
        <v>0</v>
      </c>
      <c r="Q5" t="s">
        <v>61</v>
      </c>
      <c r="R5" t="s">
        <v>62</v>
      </c>
      <c r="S5" t="s">
        <v>42</v>
      </c>
    </row>
    <row r="6" spans="2:19" x14ac:dyDescent="0.25">
      <c r="B6" s="272" t="s">
        <v>121</v>
      </c>
      <c r="C6" s="273"/>
      <c r="D6" s="273"/>
      <c r="E6" s="273"/>
      <c r="F6" s="273"/>
      <c r="G6" s="273"/>
      <c r="H6" s="273"/>
      <c r="I6" s="273"/>
      <c r="J6" s="273"/>
      <c r="K6" s="140">
        <f>Q6+Q7</f>
        <v>1148638</v>
      </c>
      <c r="L6" s="140">
        <f>R6+R7</f>
        <v>306532</v>
      </c>
      <c r="M6" s="124">
        <f>SUM(K6:L6)</f>
        <v>1455170</v>
      </c>
      <c r="O6" s="103">
        <v>1</v>
      </c>
      <c r="P6" t="s">
        <v>110</v>
      </c>
      <c r="Q6" s="140">
        <v>759331</v>
      </c>
      <c r="R6" s="140">
        <v>202632</v>
      </c>
      <c r="S6" s="43">
        <f>SUM(Q6:R6)</f>
        <v>961963</v>
      </c>
    </row>
    <row r="7" spans="2:19" ht="15.75" thickBot="1" x14ac:dyDescent="0.3">
      <c r="B7" s="274" t="s">
        <v>42</v>
      </c>
      <c r="C7" s="275"/>
      <c r="D7" s="275"/>
      <c r="E7" s="275"/>
      <c r="F7" s="275"/>
      <c r="G7" s="275"/>
      <c r="H7" s="275"/>
      <c r="I7" s="275"/>
      <c r="J7" s="276"/>
      <c r="K7" s="125">
        <f>SUM(K5:K6)</f>
        <v>20615013.04886828</v>
      </c>
      <c r="L7" s="125">
        <f>SUM(L5:L6)</f>
        <v>5501971.9942366173</v>
      </c>
      <c r="M7" s="125">
        <f>SUM(M5:M6)</f>
        <v>26116985.043104898</v>
      </c>
      <c r="P7" t="s">
        <v>122</v>
      </c>
      <c r="Q7" s="140">
        <v>389307</v>
      </c>
      <c r="R7" s="140">
        <v>103900</v>
      </c>
      <c r="S7" s="43">
        <f>SUM(Q7:R7)</f>
        <v>493207</v>
      </c>
    </row>
    <row r="8" spans="2:19" ht="15.75" thickBot="1" x14ac:dyDescent="0.3">
      <c r="B8" s="57"/>
      <c r="C8" s="57"/>
      <c r="D8" s="57"/>
      <c r="E8" s="57"/>
      <c r="F8" s="57"/>
      <c r="G8" s="57"/>
      <c r="H8" s="57"/>
      <c r="I8" s="57"/>
      <c r="J8" s="57"/>
      <c r="K8" s="57"/>
      <c r="L8" s="57"/>
      <c r="M8" s="57"/>
      <c r="O8" s="104" t="s">
        <v>42</v>
      </c>
      <c r="P8" s="104"/>
      <c r="Q8" s="207">
        <f>SUM(Q6:Q7)</f>
        <v>1148638</v>
      </c>
      <c r="R8" s="207">
        <f>SUM(R6:R7)</f>
        <v>306532</v>
      </c>
      <c r="S8" s="43">
        <f>SUM(S6:S7)</f>
        <v>1455170</v>
      </c>
    </row>
    <row r="9" spans="2:19" x14ac:dyDescent="0.25">
      <c r="B9" s="277" t="s">
        <v>123</v>
      </c>
      <c r="C9" s="278"/>
      <c r="D9" s="278"/>
      <c r="E9" s="278"/>
      <c r="F9" s="278"/>
      <c r="G9" s="278"/>
      <c r="H9" s="278"/>
      <c r="I9" s="278"/>
      <c r="J9" s="278"/>
      <c r="K9" s="278"/>
      <c r="L9" s="278"/>
      <c r="M9" s="279"/>
      <c r="S9" s="210">
        <f>S8-SUM(Q8:R8)</f>
        <v>0</v>
      </c>
    </row>
    <row r="10" spans="2:19" x14ac:dyDescent="0.25">
      <c r="B10" s="280" t="s">
        <v>54</v>
      </c>
      <c r="C10" s="281"/>
      <c r="D10" s="281"/>
      <c r="E10" s="281"/>
      <c r="F10" s="281"/>
      <c r="G10" s="281"/>
      <c r="H10" s="281"/>
      <c r="I10" s="281"/>
      <c r="J10" s="281"/>
      <c r="K10" s="281"/>
      <c r="L10" s="281"/>
      <c r="M10" s="282"/>
      <c r="Q10" s="165"/>
      <c r="R10" s="165"/>
    </row>
    <row r="11" spans="2:19" x14ac:dyDescent="0.25">
      <c r="B11" s="283" t="s">
        <v>124</v>
      </c>
      <c r="C11" s="284"/>
      <c r="D11" s="284"/>
      <c r="E11" s="284"/>
      <c r="F11" s="284"/>
      <c r="G11" s="284"/>
      <c r="H11" s="284"/>
      <c r="I11" s="284"/>
      <c r="J11" s="284"/>
      <c r="K11" s="284"/>
      <c r="L11" s="285"/>
      <c r="M11" s="186">
        <v>3.5400000000000001E-2</v>
      </c>
      <c r="O11" s="103">
        <v>2</v>
      </c>
    </row>
    <row r="12" spans="2:19" x14ac:dyDescent="0.25">
      <c r="B12" s="286" t="s">
        <v>26</v>
      </c>
      <c r="C12" s="287" t="s">
        <v>6</v>
      </c>
      <c r="D12" s="288" t="s">
        <v>137</v>
      </c>
      <c r="E12" s="281" t="s">
        <v>28</v>
      </c>
      <c r="F12" s="281"/>
      <c r="G12" s="281" t="s">
        <v>29</v>
      </c>
      <c r="H12" s="281"/>
      <c r="I12" s="281" t="s">
        <v>30</v>
      </c>
      <c r="J12" s="281"/>
      <c r="K12" s="281" t="s">
        <v>59</v>
      </c>
      <c r="L12" s="281"/>
      <c r="M12" s="282"/>
    </row>
    <row r="13" spans="2:19" ht="38.25" x14ac:dyDescent="0.25">
      <c r="B13" s="286"/>
      <c r="C13" s="287"/>
      <c r="D13" s="289"/>
      <c r="E13" s="8" t="s">
        <v>138</v>
      </c>
      <c r="F13" s="8" t="s">
        <v>139</v>
      </c>
      <c r="G13" s="28" t="s">
        <v>34</v>
      </c>
      <c r="H13" s="28" t="s">
        <v>35</v>
      </c>
      <c r="I13" s="28" t="s">
        <v>8</v>
      </c>
      <c r="J13" s="28" t="s">
        <v>36</v>
      </c>
      <c r="K13" s="28" t="s">
        <v>37</v>
      </c>
      <c r="L13" s="28" t="s">
        <v>38</v>
      </c>
      <c r="M13" s="42" t="s">
        <v>39</v>
      </c>
    </row>
    <row r="14" spans="2:19" x14ac:dyDescent="0.25">
      <c r="B14" s="10" t="s">
        <v>55</v>
      </c>
      <c r="C14" s="129" t="s">
        <v>32</v>
      </c>
      <c r="D14" s="139">
        <v>8115.5292008802571</v>
      </c>
      <c r="E14" s="140">
        <v>84857055.570733279</v>
      </c>
      <c r="F14" s="141"/>
      <c r="G14" s="130">
        <f>K14/M14</f>
        <v>1</v>
      </c>
      <c r="H14" s="130">
        <f>L14/M14</f>
        <v>0</v>
      </c>
      <c r="I14" s="143">
        <f>ROUND('Rate Summary'!F9*(1+M11),2)</f>
        <v>64.31</v>
      </c>
      <c r="J14" s="144">
        <f>ROUND('Rate Summary'!F10*(1+M11),4)</f>
        <v>0</v>
      </c>
      <c r="K14" s="126">
        <f>D14*I14*12</f>
        <v>6262916.1949033123</v>
      </c>
      <c r="L14" s="126">
        <f>E14*J14</f>
        <v>0</v>
      </c>
      <c r="M14" s="132">
        <f>SUM(K14:L14)</f>
        <v>6262916.1949033123</v>
      </c>
      <c r="O14" s="103" t="s">
        <v>83</v>
      </c>
    </row>
    <row r="15" spans="2:19" x14ac:dyDescent="0.25">
      <c r="B15" s="10" t="s">
        <v>56</v>
      </c>
      <c r="C15" s="129" t="s">
        <v>32</v>
      </c>
      <c r="D15" s="139">
        <v>997.31590555008074</v>
      </c>
      <c r="E15" s="140">
        <v>28480010.757447898</v>
      </c>
      <c r="F15" s="141"/>
      <c r="G15" s="130">
        <f t="shared" ref="G15:G16" si="0">K15/M15</f>
        <v>0.22988011356196805</v>
      </c>
      <c r="H15" s="130">
        <f t="shared" ref="H15:H16" si="1">L15/M15</f>
        <v>0.77011988643803198</v>
      </c>
      <c r="I15" s="143">
        <f>ROUND('Rate Summary'!F13*(1+M11),2)</f>
        <v>28.84</v>
      </c>
      <c r="J15" s="144">
        <f>ROUND('Rate Summary'!F14*(1+M11),4)</f>
        <v>4.0599999999999997E-2</v>
      </c>
      <c r="K15" s="126">
        <f>D15*I15*12</f>
        <v>345151.08859277196</v>
      </c>
      <c r="L15" s="126">
        <f>E15*J15</f>
        <v>1156288.4367523845</v>
      </c>
      <c r="M15" s="132">
        <f t="shared" ref="M15:M16" si="2">SUM(K15:L15)</f>
        <v>1501439.5253451564</v>
      </c>
      <c r="O15" s="103">
        <v>3</v>
      </c>
    </row>
    <row r="16" spans="2:19" x14ac:dyDescent="0.25">
      <c r="B16" s="10" t="s">
        <v>13</v>
      </c>
      <c r="C16" s="129" t="s">
        <v>33</v>
      </c>
      <c r="D16" s="142">
        <f>'2020 COS Eq Rates and Revenue'!D8</f>
        <v>37.282220262380214</v>
      </c>
      <c r="E16" s="141"/>
      <c r="F16" s="131">
        <f>'2020 COS Eq Rates and Revenue'!F8</f>
        <v>248604.90668572392</v>
      </c>
      <c r="G16" s="130">
        <f t="shared" si="0"/>
        <v>0.25777974854845193</v>
      </c>
      <c r="H16" s="130">
        <f t="shared" si="1"/>
        <v>0.74222025145154813</v>
      </c>
      <c r="I16" s="145">
        <f>ROUND('Rate Summary'!F17*(1+M11),2)</f>
        <v>742.06</v>
      </c>
      <c r="J16" s="146">
        <f>ROUND('Rate Summary'!F18*(1+M11),4)</f>
        <v>3.8450000000000002</v>
      </c>
      <c r="K16" s="126">
        <f>D16*I16*12</f>
        <v>331987.73241482233</v>
      </c>
      <c r="L16" s="131">
        <f>F16*J16</f>
        <v>955885.86620660848</v>
      </c>
      <c r="M16" s="132">
        <f t="shared" si="2"/>
        <v>1287873.5986214308</v>
      </c>
    </row>
    <row r="17" spans="1:16" x14ac:dyDescent="0.25">
      <c r="B17" s="267" t="s">
        <v>60</v>
      </c>
      <c r="C17" s="268"/>
      <c r="D17" s="268"/>
      <c r="E17" s="268"/>
      <c r="F17" s="268"/>
      <c r="G17" s="268"/>
      <c r="H17" s="268"/>
      <c r="I17" s="268"/>
      <c r="J17" s="268"/>
      <c r="K17" s="268"/>
      <c r="L17" s="269"/>
      <c r="M17" s="132">
        <f>'2020 COS Eq Rates and Revenue'!M8</f>
        <v>-110187.67683102925</v>
      </c>
    </row>
    <row r="18" spans="1:16" x14ac:dyDescent="0.25">
      <c r="B18" s="113"/>
      <c r="C18" s="114"/>
      <c r="D18" s="114"/>
      <c r="E18" s="114"/>
      <c r="F18" s="114"/>
      <c r="G18" s="114"/>
      <c r="H18" s="114"/>
      <c r="I18" s="114"/>
      <c r="J18" s="114"/>
      <c r="K18" s="114"/>
      <c r="L18" s="114"/>
      <c r="M18" s="115"/>
    </row>
    <row r="19" spans="1:16" ht="15.75" thickBot="1" x14ac:dyDescent="0.3">
      <c r="B19" s="265" t="s">
        <v>136</v>
      </c>
      <c r="C19" s="266"/>
      <c r="D19" s="266"/>
      <c r="E19" s="266"/>
      <c r="F19" s="266"/>
      <c r="G19" s="266"/>
      <c r="H19" s="266"/>
      <c r="I19" s="266"/>
      <c r="J19" s="266"/>
      <c r="K19" s="266"/>
      <c r="L19" s="266"/>
      <c r="M19" s="63">
        <f>M7-SUM(M14:M17)</f>
        <v>17174943.401066028</v>
      </c>
      <c r="O19" s="105"/>
      <c r="P19" s="105"/>
    </row>
    <row r="20" spans="1:16" x14ac:dyDescent="0.25">
      <c r="B20" s="57"/>
      <c r="C20" s="57"/>
      <c r="D20" s="57"/>
      <c r="E20" s="57"/>
      <c r="F20" s="57"/>
      <c r="G20" s="57"/>
      <c r="H20" s="57"/>
      <c r="I20" s="57"/>
      <c r="J20" s="57"/>
      <c r="K20" s="57"/>
      <c r="L20" s="116"/>
      <c r="M20" s="117"/>
    </row>
    <row r="21" spans="1:16" x14ac:dyDescent="0.25">
      <c r="B21" s="127" t="s">
        <v>57</v>
      </c>
      <c r="C21" s="57"/>
      <c r="D21" s="57"/>
      <c r="E21" s="57"/>
      <c r="F21" s="57"/>
      <c r="G21" s="57"/>
      <c r="H21" s="57"/>
      <c r="I21" s="57"/>
      <c r="J21" s="57"/>
      <c r="K21" s="57"/>
      <c r="L21" s="57"/>
      <c r="M21" s="57"/>
    </row>
    <row r="22" spans="1:16" x14ac:dyDescent="0.25">
      <c r="A22" s="5">
        <v>1</v>
      </c>
      <c r="B22" s="128" t="s">
        <v>111</v>
      </c>
      <c r="C22" s="57"/>
      <c r="D22" s="57"/>
      <c r="E22" s="57"/>
      <c r="F22" s="57"/>
      <c r="G22" s="57"/>
      <c r="H22" s="57"/>
      <c r="I22" s="57"/>
      <c r="J22" s="57"/>
      <c r="K22" s="57"/>
      <c r="L22" s="57"/>
      <c r="M22" s="154"/>
    </row>
    <row r="23" spans="1:16" x14ac:dyDescent="0.25">
      <c r="A23" s="5">
        <v>2</v>
      </c>
      <c r="B23" s="128" t="s">
        <v>125</v>
      </c>
      <c r="C23" s="57"/>
      <c r="D23" s="57"/>
      <c r="E23" s="57"/>
      <c r="F23" s="57"/>
      <c r="G23" s="57"/>
      <c r="H23" s="57"/>
      <c r="I23" s="57"/>
      <c r="J23" s="57"/>
      <c r="K23" s="57"/>
      <c r="L23" s="57"/>
      <c r="M23" s="118"/>
    </row>
    <row r="24" spans="1:16" x14ac:dyDescent="0.25">
      <c r="A24" s="5">
        <v>3</v>
      </c>
      <c r="B24" s="128" t="s">
        <v>58</v>
      </c>
      <c r="C24" s="57"/>
      <c r="D24" s="57"/>
      <c r="E24" s="57"/>
      <c r="F24" s="57"/>
      <c r="G24" s="57"/>
      <c r="H24" s="57"/>
      <c r="I24" s="57"/>
      <c r="J24" s="57"/>
      <c r="K24" s="57"/>
      <c r="L24" s="57"/>
      <c r="M24" s="57"/>
    </row>
    <row r="25" spans="1:16" x14ac:dyDescent="0.25">
      <c r="A25" s="5">
        <v>4</v>
      </c>
      <c r="B25" s="128" t="s">
        <v>97</v>
      </c>
      <c r="C25" s="57"/>
      <c r="D25" s="57"/>
      <c r="E25" s="57"/>
      <c r="F25" s="57"/>
      <c r="G25" s="57"/>
      <c r="H25" s="57"/>
      <c r="I25" s="57"/>
      <c r="J25" s="57"/>
      <c r="K25" s="57"/>
      <c r="L25" s="57"/>
      <c r="M25" s="118"/>
    </row>
    <row r="26" spans="1:16" x14ac:dyDescent="0.25">
      <c r="A26" s="209" t="s">
        <v>140</v>
      </c>
      <c r="B26" s="128" t="s">
        <v>141</v>
      </c>
      <c r="M26" s="64"/>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tabColor theme="9" tint="0.79998168889431442"/>
    <pageSetUpPr fitToPage="1"/>
  </sheetPr>
  <dimension ref="B3:P38"/>
  <sheetViews>
    <sheetView showGridLines="0" topLeftCell="A14" workbookViewId="0">
      <selection activeCell="W26" sqref="W26"/>
    </sheetView>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1.85546875" bestFit="1" customWidth="1"/>
    <col min="15" max="15" width="10.140625" customWidth="1"/>
    <col min="16" max="16" width="12.85546875" customWidth="1"/>
  </cols>
  <sheetData>
    <row r="3" spans="2:14" x14ac:dyDescent="0.25">
      <c r="B3" s="254" t="s">
        <v>41</v>
      </c>
      <c r="C3" s="255"/>
      <c r="D3" s="255"/>
      <c r="E3" s="255"/>
      <c r="F3" s="255"/>
      <c r="G3" s="255"/>
      <c r="H3" s="255"/>
      <c r="I3" s="255"/>
      <c r="J3" s="255"/>
      <c r="K3" s="255"/>
      <c r="L3" s="255"/>
      <c r="M3" s="255"/>
      <c r="N3" s="256"/>
    </row>
    <row r="4" spans="2:14" ht="15" customHeight="1" x14ac:dyDescent="0.25">
      <c r="B4" s="257" t="s">
        <v>26</v>
      </c>
      <c r="C4" s="259" t="s">
        <v>6</v>
      </c>
      <c r="D4" s="261" t="s">
        <v>27</v>
      </c>
      <c r="E4" s="263" t="s">
        <v>28</v>
      </c>
      <c r="F4" s="264"/>
      <c r="G4" s="263" t="s">
        <v>29</v>
      </c>
      <c r="H4" s="264"/>
      <c r="I4" s="263" t="s">
        <v>30</v>
      </c>
      <c r="J4" s="264"/>
      <c r="K4" s="263" t="s">
        <v>31</v>
      </c>
      <c r="L4" s="255"/>
      <c r="M4" s="255"/>
      <c r="N4" s="256"/>
    </row>
    <row r="5" spans="2:14" ht="60" x14ac:dyDescent="0.25">
      <c r="B5" s="258"/>
      <c r="C5" s="260"/>
      <c r="D5" s="262"/>
      <c r="E5" s="45" t="s">
        <v>32</v>
      </c>
      <c r="F5" s="45" t="s">
        <v>33</v>
      </c>
      <c r="G5" s="46" t="s">
        <v>34</v>
      </c>
      <c r="H5" s="46" t="s">
        <v>35</v>
      </c>
      <c r="I5" s="46" t="s">
        <v>8</v>
      </c>
      <c r="J5" s="46" t="s">
        <v>36</v>
      </c>
      <c r="K5" s="46" t="s">
        <v>37</v>
      </c>
      <c r="L5" s="46" t="s">
        <v>38</v>
      </c>
      <c r="M5" s="46" t="s">
        <v>44</v>
      </c>
      <c r="N5" s="47" t="s">
        <v>45</v>
      </c>
    </row>
    <row r="6" spans="2:14" x14ac:dyDescent="0.25">
      <c r="B6" s="48" t="s">
        <v>40</v>
      </c>
      <c r="C6" s="6" t="s">
        <v>32</v>
      </c>
      <c r="D6" s="41">
        <v>9112.8451064303372</v>
      </c>
      <c r="E6" s="38">
        <v>113337066.328181</v>
      </c>
      <c r="F6" s="37"/>
      <c r="G6" s="51">
        <v>0.64118373052413569</v>
      </c>
      <c r="H6" s="52">
        <f>1-G6</f>
        <v>0.35881626947586431</v>
      </c>
      <c r="I6" s="39">
        <v>101.8</v>
      </c>
      <c r="J6" s="40">
        <v>5.5E-2</v>
      </c>
      <c r="K6" s="29">
        <f>D6*I6*12</f>
        <v>11132251.582015298</v>
      </c>
      <c r="L6" s="29">
        <f>E6*J6</f>
        <v>6233538.6480499553</v>
      </c>
      <c r="M6" s="37"/>
      <c r="N6" s="30">
        <f>SUM(K6:M6)</f>
        <v>17365790.230065253</v>
      </c>
    </row>
    <row r="7" spans="2:14" x14ac:dyDescent="0.25">
      <c r="B7" s="48" t="s">
        <v>13</v>
      </c>
      <c r="C7" s="6" t="s">
        <v>33</v>
      </c>
      <c r="D7" s="41">
        <v>37.282220262380214</v>
      </c>
      <c r="E7" s="37"/>
      <c r="F7" s="38">
        <v>248604.90668572392</v>
      </c>
      <c r="G7" s="51">
        <v>0.12009672583040554</v>
      </c>
      <c r="H7" s="52">
        <f t="shared" ref="H7:H9" si="0">1-G7</f>
        <v>0.87990327416959446</v>
      </c>
      <c r="I7" s="39">
        <v>1244.17</v>
      </c>
      <c r="J7" s="40">
        <v>16.8475</v>
      </c>
      <c r="K7" s="29">
        <f t="shared" ref="K7:K9" si="1">D7*I7*12</f>
        <v>556625.03980614711</v>
      </c>
      <c r="L7" s="29">
        <f>F7*J7</f>
        <v>4188371.1653877338</v>
      </c>
      <c r="M7" s="38">
        <v>-110187.67683102925</v>
      </c>
      <c r="N7" s="30">
        <f t="shared" ref="N7:N9" si="2">SUM(K7:M7)</f>
        <v>4634808.5283628516</v>
      </c>
    </row>
    <row r="8" spans="2:14" x14ac:dyDescent="0.25">
      <c r="B8" s="48" t="s">
        <v>15</v>
      </c>
      <c r="C8" s="6" t="s">
        <v>32</v>
      </c>
      <c r="D8" s="41">
        <v>2960.1858518389645</v>
      </c>
      <c r="E8" s="38">
        <v>5874372.3645382812</v>
      </c>
      <c r="F8" s="37"/>
      <c r="G8" s="51">
        <v>0.68900916148665659</v>
      </c>
      <c r="H8" s="52">
        <f t="shared" si="0"/>
        <v>0.31099083851334341</v>
      </c>
      <c r="I8" s="39">
        <v>54.8</v>
      </c>
      <c r="J8" s="40">
        <v>0.14960000000000001</v>
      </c>
      <c r="K8" s="29">
        <f t="shared" si="1"/>
        <v>1946618.2161693028</v>
      </c>
      <c r="L8" s="29">
        <f t="shared" ref="L8:L9" si="3">E8*J8</f>
        <v>878806.10573492688</v>
      </c>
      <c r="M8" s="37"/>
      <c r="N8" s="30">
        <f t="shared" si="2"/>
        <v>2825424.3219042299</v>
      </c>
    </row>
    <row r="9" spans="2:14" x14ac:dyDescent="0.25">
      <c r="B9" s="48" t="s">
        <v>16</v>
      </c>
      <c r="C9" s="6" t="s">
        <v>32</v>
      </c>
      <c r="D9" s="41">
        <v>1127.6033016645551</v>
      </c>
      <c r="E9" s="38">
        <v>581104.4520676051</v>
      </c>
      <c r="F9" s="37"/>
      <c r="G9" s="51">
        <v>0.12619223755769352</v>
      </c>
      <c r="H9" s="52">
        <f t="shared" si="0"/>
        <v>0.87380776244230651</v>
      </c>
      <c r="I9" s="39">
        <v>1.86</v>
      </c>
      <c r="J9" s="40">
        <v>0.2999</v>
      </c>
      <c r="K9" s="29">
        <f t="shared" si="1"/>
        <v>25168.105693152873</v>
      </c>
      <c r="L9" s="29">
        <f t="shared" si="3"/>
        <v>174273.22517507477</v>
      </c>
      <c r="M9" s="37"/>
      <c r="N9" s="30">
        <f t="shared" si="2"/>
        <v>199441.33086822764</v>
      </c>
    </row>
    <row r="10" spans="2:14" s="1" customFormat="1" ht="15.75" thickBot="1" x14ac:dyDescent="0.3">
      <c r="B10" s="34" t="s">
        <v>42</v>
      </c>
      <c r="C10" s="35"/>
      <c r="D10" s="36">
        <f>SUM(D6:D9)</f>
        <v>13237.91648019624</v>
      </c>
      <c r="E10" s="35"/>
      <c r="F10" s="35"/>
      <c r="G10" s="35"/>
      <c r="H10" s="35"/>
      <c r="I10" s="35"/>
      <c r="J10" s="35"/>
      <c r="K10" s="53">
        <f>SUM(K6:K9)</f>
        <v>13660662.9436839</v>
      </c>
      <c r="L10" s="53">
        <f>SUM(L6:L9)</f>
        <v>11474989.144347692</v>
      </c>
      <c r="M10" s="53">
        <f>SUM(M6:M9)</f>
        <v>-110187.67683102925</v>
      </c>
      <c r="N10" s="54">
        <f>SUM(N6:N9)</f>
        <v>25025464.411200564</v>
      </c>
    </row>
    <row r="12" spans="2:14" x14ac:dyDescent="0.25">
      <c r="B12" s="254" t="s">
        <v>99</v>
      </c>
      <c r="C12" s="255"/>
      <c r="D12" s="255"/>
      <c r="E12" s="255"/>
      <c r="F12" s="255"/>
      <c r="G12" s="255"/>
      <c r="H12" s="255"/>
      <c r="I12" s="255"/>
      <c r="J12" s="255"/>
      <c r="K12" s="255"/>
      <c r="L12" s="255"/>
      <c r="M12" s="255"/>
      <c r="N12" s="256"/>
    </row>
    <row r="13" spans="2:14" x14ac:dyDescent="0.25">
      <c r="B13" s="257" t="s">
        <v>26</v>
      </c>
      <c r="C13" s="259" t="s">
        <v>6</v>
      </c>
      <c r="D13" s="261" t="s">
        <v>27</v>
      </c>
      <c r="E13" s="263" t="s">
        <v>28</v>
      </c>
      <c r="F13" s="264"/>
      <c r="G13" s="263" t="s">
        <v>29</v>
      </c>
      <c r="H13" s="264"/>
      <c r="I13" s="263" t="s">
        <v>30</v>
      </c>
      <c r="J13" s="264"/>
      <c r="K13" s="263" t="s">
        <v>31</v>
      </c>
      <c r="L13" s="255"/>
      <c r="M13" s="255"/>
      <c r="N13" s="256"/>
    </row>
    <row r="14" spans="2:14" ht="60" x14ac:dyDescent="0.25">
      <c r="B14" s="258"/>
      <c r="C14" s="260"/>
      <c r="D14" s="262"/>
      <c r="E14" s="45" t="s">
        <v>32</v>
      </c>
      <c r="F14" s="45" t="s">
        <v>33</v>
      </c>
      <c r="G14" s="46" t="s">
        <v>34</v>
      </c>
      <c r="H14" s="46" t="s">
        <v>35</v>
      </c>
      <c r="I14" s="46" t="s">
        <v>8</v>
      </c>
      <c r="J14" s="46" t="s">
        <v>36</v>
      </c>
      <c r="K14" s="46" t="s">
        <v>37</v>
      </c>
      <c r="L14" s="46" t="s">
        <v>38</v>
      </c>
      <c r="M14" s="46" t="s">
        <v>44</v>
      </c>
      <c r="N14" s="47" t="s">
        <v>45</v>
      </c>
    </row>
    <row r="15" spans="2:14" x14ac:dyDescent="0.25">
      <c r="B15" s="48" t="s">
        <v>40</v>
      </c>
      <c r="C15" s="6" t="s">
        <v>32</v>
      </c>
      <c r="D15" s="41">
        <v>9112.8451064303372</v>
      </c>
      <c r="E15" s="38">
        <v>113337066.328181</v>
      </c>
      <c r="F15" s="37"/>
      <c r="G15" s="51">
        <f>K15/$N15</f>
        <v>0.64104491845940414</v>
      </c>
      <c r="H15" s="52">
        <f>1-G15</f>
        <v>0.35895508154059586</v>
      </c>
      <c r="I15" s="39">
        <f>(K15/12)/D15</f>
        <v>103.42879999999998</v>
      </c>
      <c r="J15" s="153">
        <f>(L15)/E15</f>
        <v>5.5880000000000006E-2</v>
      </c>
      <c r="K15" s="29">
        <f>'Indexed Revenue'!C5</f>
        <v>11310367.607327543</v>
      </c>
      <c r="L15" s="29">
        <f>'Indexed Revenue'!D5</f>
        <v>6333275.2664187551</v>
      </c>
      <c r="M15" s="37"/>
      <c r="N15" s="30">
        <f>SUM(K15:M15)</f>
        <v>17643642.873746298</v>
      </c>
    </row>
    <row r="16" spans="2:14" x14ac:dyDescent="0.25">
      <c r="B16" s="48" t="s">
        <v>13</v>
      </c>
      <c r="C16" s="6" t="s">
        <v>33</v>
      </c>
      <c r="D16" s="41">
        <v>37.282220262380214</v>
      </c>
      <c r="E16" s="37"/>
      <c r="F16" s="38">
        <v>248604.90668572392</v>
      </c>
      <c r="G16" s="51">
        <f t="shared" ref="G16:G17" si="4">K16/$N16</f>
        <v>0.12297420456376547</v>
      </c>
      <c r="H16" s="52">
        <f t="shared" ref="H16:H18" si="5">1-G16</f>
        <v>0.87702579543623449</v>
      </c>
      <c r="I16" s="39">
        <f>(K16/12)/D16</f>
        <v>1264.07672</v>
      </c>
      <c r="J16" s="153">
        <f>(L16)/F16</f>
        <v>16.666744351959114</v>
      </c>
      <c r="K16" s="29">
        <f>'Indexed Revenue'!C6</f>
        <v>565531.04044304544</v>
      </c>
      <c r="L16" s="29">
        <f>'Indexed Revenue'!D6</f>
        <v>4143434.4243736118</v>
      </c>
      <c r="M16" s="38">
        <v>-110187.67683102925</v>
      </c>
      <c r="N16" s="30">
        <f t="shared" ref="N16:N18" si="6">SUM(K16:M16)</f>
        <v>4598777.7879856275</v>
      </c>
    </row>
    <row r="17" spans="2:16" x14ac:dyDescent="0.25">
      <c r="B17" s="48" t="s">
        <v>15</v>
      </c>
      <c r="C17" s="6" t="s">
        <v>32</v>
      </c>
      <c r="D17" s="41">
        <v>2960.1858518389645</v>
      </c>
      <c r="E17" s="38">
        <v>5874372.3645382812</v>
      </c>
      <c r="F17" s="37"/>
      <c r="G17" s="51">
        <f t="shared" si="4"/>
        <v>0.68896491089074918</v>
      </c>
      <c r="H17" s="52">
        <f t="shared" si="5"/>
        <v>0.31103508910925082</v>
      </c>
      <c r="I17" s="39">
        <f>(K17/12)/D17</f>
        <v>55.676799999999993</v>
      </c>
      <c r="J17" s="153">
        <f t="shared" ref="J17:J18" si="7">(L17)/E17</f>
        <v>0.15199360000000001</v>
      </c>
      <c r="K17" s="29">
        <f>'Indexed Revenue'!C7</f>
        <v>1977764.1076280116</v>
      </c>
      <c r="L17" s="29">
        <f>'Indexed Revenue'!D7</f>
        <v>892867.0034266857</v>
      </c>
      <c r="M17" s="37"/>
      <c r="N17" s="30">
        <f t="shared" si="6"/>
        <v>2870631.1110546971</v>
      </c>
    </row>
    <row r="18" spans="2:16" x14ac:dyDescent="0.25">
      <c r="B18" s="48" t="s">
        <v>16</v>
      </c>
      <c r="C18" s="6" t="s">
        <v>32</v>
      </c>
      <c r="D18" s="41">
        <v>1127.6033016645551</v>
      </c>
      <c r="E18" s="38">
        <v>581104.4520676051</v>
      </c>
      <c r="F18" s="37"/>
      <c r="G18" s="51">
        <f>K18/$N18</f>
        <v>0.12619302921610381</v>
      </c>
      <c r="H18" s="52">
        <f t="shared" si="5"/>
        <v>0.87380697078389624</v>
      </c>
      <c r="I18" s="39">
        <f>(K18/12)/D18</f>
        <v>1.8897600000000003</v>
      </c>
      <c r="J18" s="153">
        <f t="shared" si="7"/>
        <v>0.30469839999999998</v>
      </c>
      <c r="K18" s="29">
        <f>'Indexed Revenue'!C8</f>
        <v>25570.79538424332</v>
      </c>
      <c r="L18" s="29">
        <f>'Indexed Revenue'!D8</f>
        <v>177061.59677787597</v>
      </c>
      <c r="M18" s="37"/>
      <c r="N18" s="30">
        <f t="shared" si="6"/>
        <v>202632.39216211927</v>
      </c>
      <c r="O18" s="160" t="s">
        <v>49</v>
      </c>
      <c r="P18" s="160"/>
    </row>
    <row r="19" spans="2:16" ht="15.75" thickBot="1" x14ac:dyDescent="0.3">
      <c r="B19" s="34" t="s">
        <v>42</v>
      </c>
      <c r="C19" s="35"/>
      <c r="D19" s="36">
        <f>SUM(D15:D18)</f>
        <v>13237.91648019624</v>
      </c>
      <c r="E19" s="35"/>
      <c r="F19" s="35"/>
      <c r="G19" s="35"/>
      <c r="H19" s="35"/>
      <c r="I19" s="35"/>
      <c r="J19" s="35"/>
      <c r="K19" s="53">
        <f>SUM(K15:K18)</f>
        <v>13879233.550782844</v>
      </c>
      <c r="L19" s="53">
        <f>SUM(L15:L18)</f>
        <v>11546638.29099693</v>
      </c>
      <c r="M19" s="53">
        <f>SUM(M15:M18)</f>
        <v>-110187.67683102925</v>
      </c>
      <c r="N19" s="54">
        <f>SUM(N15:N18)</f>
        <v>25315684.164948739</v>
      </c>
      <c r="O19" s="160" t="s">
        <v>100</v>
      </c>
      <c r="P19" s="161">
        <f>N19+ABS(M16)</f>
        <v>25425871.841779768</v>
      </c>
    </row>
    <row r="20" spans="2:16" x14ac:dyDescent="0.25">
      <c r="O20" s="160" t="s">
        <v>101</v>
      </c>
      <c r="P20" s="162" t="str">
        <f>IF(P19='Indexed Revenue'!E9,"True","No")</f>
        <v>True</v>
      </c>
    </row>
    <row r="21" spans="2:16" x14ac:dyDescent="0.25">
      <c r="B21" s="254" t="s">
        <v>106</v>
      </c>
      <c r="C21" s="255"/>
      <c r="D21" s="255"/>
      <c r="E21" s="255"/>
      <c r="F21" s="255"/>
      <c r="G21" s="255"/>
      <c r="H21" s="255"/>
      <c r="I21" s="255"/>
      <c r="J21" s="255"/>
      <c r="K21" s="255"/>
      <c r="L21" s="255"/>
      <c r="M21" s="255"/>
      <c r="N21" s="256"/>
    </row>
    <row r="22" spans="2:16" x14ac:dyDescent="0.25">
      <c r="B22" s="257" t="s">
        <v>26</v>
      </c>
      <c r="C22" s="259" t="s">
        <v>6</v>
      </c>
      <c r="D22" s="261" t="s">
        <v>27</v>
      </c>
      <c r="E22" s="263" t="s">
        <v>28</v>
      </c>
      <c r="F22" s="264"/>
      <c r="G22" s="263" t="s">
        <v>29</v>
      </c>
      <c r="H22" s="264"/>
      <c r="I22" s="263" t="s">
        <v>30</v>
      </c>
      <c r="J22" s="264"/>
      <c r="K22" s="263" t="s">
        <v>31</v>
      </c>
      <c r="L22" s="255"/>
      <c r="M22" s="255"/>
      <c r="N22" s="256"/>
    </row>
    <row r="23" spans="2:16" ht="60" x14ac:dyDescent="0.25">
      <c r="B23" s="258"/>
      <c r="C23" s="260"/>
      <c r="D23" s="262"/>
      <c r="E23" s="45" t="s">
        <v>32</v>
      </c>
      <c r="F23" s="45" t="s">
        <v>33</v>
      </c>
      <c r="G23" s="46" t="s">
        <v>34</v>
      </c>
      <c r="H23" s="46" t="s">
        <v>35</v>
      </c>
      <c r="I23" s="46" t="s">
        <v>8</v>
      </c>
      <c r="J23" s="46" t="s">
        <v>36</v>
      </c>
      <c r="K23" s="46" t="s">
        <v>37</v>
      </c>
      <c r="L23" s="46" t="s">
        <v>38</v>
      </c>
      <c r="M23" s="46" t="s">
        <v>44</v>
      </c>
      <c r="N23" s="47" t="s">
        <v>45</v>
      </c>
    </row>
    <row r="24" spans="2:16" x14ac:dyDescent="0.25">
      <c r="B24" s="48" t="s">
        <v>40</v>
      </c>
      <c r="C24" s="6" t="s">
        <v>32</v>
      </c>
      <c r="D24" s="41">
        <v>9112.8451064303372</v>
      </c>
      <c r="E24" s="38">
        <v>113337066.328181</v>
      </c>
      <c r="F24" s="37"/>
      <c r="G24" s="51">
        <f>K24/$N24</f>
        <v>0.64104491845940414</v>
      </c>
      <c r="H24" s="52">
        <f>1-G24</f>
        <v>0.35895508154059586</v>
      </c>
      <c r="I24" s="158">
        <f>(K24/12)/D24</f>
        <v>106.22137759999998</v>
      </c>
      <c r="J24" s="159">
        <f>(L24)/E24</f>
        <v>5.7388760000000004E-2</v>
      </c>
      <c r="K24" s="126">
        <f>'Indexed Revenue'!H5</f>
        <v>11615747.532725386</v>
      </c>
      <c r="L24" s="126">
        <f>'Indexed Revenue'!I5</f>
        <v>6504273.6986120613</v>
      </c>
      <c r="M24" s="141"/>
      <c r="N24" s="132">
        <f>SUM(K24:M24)</f>
        <v>18120021.231337447</v>
      </c>
    </row>
    <row r="25" spans="2:16" x14ac:dyDescent="0.25">
      <c r="B25" s="48" t="s">
        <v>13</v>
      </c>
      <c r="C25" s="6" t="s">
        <v>33</v>
      </c>
      <c r="D25" s="41">
        <v>37.282220262380214</v>
      </c>
      <c r="E25" s="37"/>
      <c r="F25" s="38">
        <v>248604.90668572392</v>
      </c>
      <c r="G25" s="51">
        <f t="shared" ref="G25:G26" si="8">K25/$N25</f>
        <v>0.12289678968099527</v>
      </c>
      <c r="H25" s="52">
        <f t="shared" ref="H25:H27" si="9">1-G25</f>
        <v>0.87710321031900473</v>
      </c>
      <c r="I25" s="158">
        <f t="shared" ref="I25:I26" si="10">(K25/12)/D25</f>
        <v>1298.2067914399997</v>
      </c>
      <c r="J25" s="159">
        <f>(L25)/F25</f>
        <v>17.11674644946201</v>
      </c>
      <c r="K25" s="126">
        <f>'Indexed Revenue'!H6</f>
        <v>580800.37853500759</v>
      </c>
      <c r="L25" s="126">
        <f>'Indexed Revenue'!I6</f>
        <v>4255307.1538316989</v>
      </c>
      <c r="M25" s="140">
        <v>-110187.67683102925</v>
      </c>
      <c r="N25" s="132">
        <f t="shared" ref="N25:N27" si="11">SUM(K25:M25)</f>
        <v>4725919.8555356767</v>
      </c>
    </row>
    <row r="26" spans="2:16" x14ac:dyDescent="0.25">
      <c r="B26" s="48" t="s">
        <v>15</v>
      </c>
      <c r="C26" s="6" t="s">
        <v>32</v>
      </c>
      <c r="D26" s="41">
        <v>2960.1858518389645</v>
      </c>
      <c r="E26" s="38">
        <v>5874372.3645382812</v>
      </c>
      <c r="F26" s="37"/>
      <c r="G26" s="51">
        <f t="shared" si="8"/>
        <v>0.68896491089074907</v>
      </c>
      <c r="H26" s="52">
        <f t="shared" si="9"/>
        <v>0.31103508910925093</v>
      </c>
      <c r="I26" s="158">
        <f t="shared" si="10"/>
        <v>57.180073599999986</v>
      </c>
      <c r="J26" s="159">
        <f t="shared" ref="J26:J27" si="12">(L26)/E26</f>
        <v>0.1560974272</v>
      </c>
      <c r="K26" s="126">
        <f>'Indexed Revenue'!H7</f>
        <v>2031163.7385339676</v>
      </c>
      <c r="L26" s="126">
        <f>'Indexed Revenue'!I7</f>
        <v>916974.41251920618</v>
      </c>
      <c r="M26" s="141"/>
      <c r="N26" s="132">
        <f t="shared" si="11"/>
        <v>2948138.1510531739</v>
      </c>
    </row>
    <row r="27" spans="2:16" x14ac:dyDescent="0.25">
      <c r="B27" s="48" t="s">
        <v>16</v>
      </c>
      <c r="C27" s="6" t="s">
        <v>32</v>
      </c>
      <c r="D27" s="41">
        <v>1127.6033016645551</v>
      </c>
      <c r="E27" s="38">
        <v>581104.4520676051</v>
      </c>
      <c r="F27" s="37"/>
      <c r="G27" s="51">
        <f>K27/$N27</f>
        <v>0.12619302921610379</v>
      </c>
      <c r="H27" s="52">
        <f t="shared" si="9"/>
        <v>0.87380697078389624</v>
      </c>
      <c r="I27" s="158">
        <f>(K27/12)/D27</f>
        <v>1.9407835199999999</v>
      </c>
      <c r="J27" s="159">
        <f t="shared" si="12"/>
        <v>0.3129252568</v>
      </c>
      <c r="K27" s="126">
        <f>'Indexed Revenue'!H8</f>
        <v>26261.206859617887</v>
      </c>
      <c r="L27" s="126">
        <f>'Indexed Revenue'!I8</f>
        <v>181842.2598908786</v>
      </c>
      <c r="M27" s="141"/>
      <c r="N27" s="132">
        <f t="shared" si="11"/>
        <v>208103.46675049647</v>
      </c>
      <c r="O27" s="160" t="s">
        <v>49</v>
      </c>
      <c r="P27" s="160"/>
    </row>
    <row r="28" spans="2:16" ht="15.75" thickBot="1" x14ac:dyDescent="0.3">
      <c r="B28" s="34" t="s">
        <v>42</v>
      </c>
      <c r="C28" s="35"/>
      <c r="D28" s="36">
        <f>SUM(D24:D27)</f>
        <v>13237.91648019624</v>
      </c>
      <c r="E28" s="35"/>
      <c r="F28" s="35"/>
      <c r="G28" s="35"/>
      <c r="H28" s="35"/>
      <c r="I28" s="35"/>
      <c r="J28" s="35"/>
      <c r="K28" s="53">
        <f>SUM(K24:K27)</f>
        <v>14253972.856653981</v>
      </c>
      <c r="L28" s="53">
        <f>SUM(L24:L27)</f>
        <v>11858397.524853844</v>
      </c>
      <c r="M28" s="53">
        <f>SUM(M24:M27)</f>
        <v>-110187.67683102925</v>
      </c>
      <c r="N28" s="54">
        <f>SUM(N24:N27)</f>
        <v>26002182.704676792</v>
      </c>
      <c r="O28" s="160" t="s">
        <v>100</v>
      </c>
      <c r="P28" s="161">
        <f>N28+ABS(M25)</f>
        <v>26112370.381507821</v>
      </c>
    </row>
    <row r="29" spans="2:16" x14ac:dyDescent="0.25">
      <c r="O29" s="160" t="s">
        <v>101</v>
      </c>
      <c r="P29" s="162" t="str">
        <f>IF(P28='Indexed Revenue'!H24,"True","No")</f>
        <v>True</v>
      </c>
    </row>
    <row r="30" spans="2:16" x14ac:dyDescent="0.25">
      <c r="B30" s="254" t="s">
        <v>126</v>
      </c>
      <c r="C30" s="255"/>
      <c r="D30" s="255"/>
      <c r="E30" s="255"/>
      <c r="F30" s="255"/>
      <c r="G30" s="255"/>
      <c r="H30" s="255"/>
      <c r="I30" s="255"/>
      <c r="J30" s="255"/>
      <c r="K30" s="255"/>
      <c r="L30" s="255"/>
      <c r="M30" s="255"/>
      <c r="N30" s="256"/>
    </row>
    <row r="31" spans="2:16" x14ac:dyDescent="0.25">
      <c r="B31" s="257" t="s">
        <v>26</v>
      </c>
      <c r="C31" s="259" t="s">
        <v>6</v>
      </c>
      <c r="D31" s="261" t="s">
        <v>27</v>
      </c>
      <c r="E31" s="263" t="s">
        <v>28</v>
      </c>
      <c r="F31" s="264"/>
      <c r="G31" s="263" t="s">
        <v>29</v>
      </c>
      <c r="H31" s="264"/>
      <c r="I31" s="263" t="s">
        <v>30</v>
      </c>
      <c r="J31" s="264"/>
      <c r="K31" s="263" t="s">
        <v>31</v>
      </c>
      <c r="L31" s="255"/>
      <c r="M31" s="255"/>
      <c r="N31" s="256"/>
    </row>
    <row r="32" spans="2:16" ht="60" x14ac:dyDescent="0.25">
      <c r="B32" s="258"/>
      <c r="C32" s="260"/>
      <c r="D32" s="262"/>
      <c r="E32" s="45" t="s">
        <v>32</v>
      </c>
      <c r="F32" s="45" t="s">
        <v>33</v>
      </c>
      <c r="G32" s="46" t="s">
        <v>34</v>
      </c>
      <c r="H32" s="46" t="s">
        <v>35</v>
      </c>
      <c r="I32" s="46" t="s">
        <v>8</v>
      </c>
      <c r="J32" s="46" t="s">
        <v>36</v>
      </c>
      <c r="K32" s="46" t="s">
        <v>37</v>
      </c>
      <c r="L32" s="46" t="s">
        <v>38</v>
      </c>
      <c r="M32" s="46" t="s">
        <v>44</v>
      </c>
      <c r="N32" s="47" t="s">
        <v>45</v>
      </c>
    </row>
    <row r="33" spans="2:16" x14ac:dyDescent="0.25">
      <c r="B33" s="48" t="s">
        <v>40</v>
      </c>
      <c r="C33" s="6" t="s">
        <v>32</v>
      </c>
      <c r="D33" s="41">
        <v>9112.8451064303372</v>
      </c>
      <c r="E33" s="38">
        <v>113337066.328181</v>
      </c>
      <c r="F33" s="37"/>
      <c r="G33" s="51">
        <f>K33/$N33</f>
        <v>0.64104491845940414</v>
      </c>
      <c r="H33" s="52">
        <f>1-G33</f>
        <v>0.35895508154059586</v>
      </c>
      <c r="I33" s="158">
        <f>(K33/12)/D33</f>
        <v>114.11383839843516</v>
      </c>
      <c r="J33" s="159">
        <f>(L33)/E33</f>
        <v>6.1652859645520003E-2</v>
      </c>
      <c r="K33" s="126">
        <f>'Indexed Revenue'!R5</f>
        <v>12478820.805901946</v>
      </c>
      <c r="L33" s="126">
        <f>'Indexed Revenue'!S5</f>
        <v>6987554.2429663343</v>
      </c>
      <c r="M33" s="141"/>
      <c r="N33" s="132">
        <f>SUM(K33:M33)</f>
        <v>19466375.04886828</v>
      </c>
    </row>
    <row r="34" spans="2:16" x14ac:dyDescent="0.25">
      <c r="B34" s="48" t="s">
        <v>13</v>
      </c>
      <c r="C34" s="6" t="s">
        <v>33</v>
      </c>
      <c r="D34" s="41">
        <v>37.282220262380214</v>
      </c>
      <c r="E34" s="37"/>
      <c r="F34" s="38">
        <v>248604.90668572392</v>
      </c>
      <c r="G34" s="51">
        <f t="shared" ref="G34:G35" si="13">K34/$N34</f>
        <v>0.12269892806012177</v>
      </c>
      <c r="H34" s="52">
        <f t="shared" ref="H34:H36" si="14">1-G34</f>
        <v>0.87730107193987827</v>
      </c>
      <c r="I34" s="158">
        <f t="shared" ref="I34:I35" si="15">(K34/12)/D34</f>
        <v>1394.6661524575748</v>
      </c>
      <c r="J34" s="159">
        <f>(L34)/F34</f>
        <v>18.388554944149934</v>
      </c>
      <c r="K34" s="126">
        <f>'Indexed Revenue'!R6</f>
        <v>623955.00826091575</v>
      </c>
      <c r="L34" s="126">
        <f>'Indexed Revenue'!S6</f>
        <v>4571484.9859757014</v>
      </c>
      <c r="M34" s="140">
        <v>-110187.67683102925</v>
      </c>
      <c r="N34" s="132">
        <f t="shared" ref="N34:N36" si="16">SUM(K34:M34)</f>
        <v>5085252.317405588</v>
      </c>
    </row>
    <row r="35" spans="2:16" x14ac:dyDescent="0.25">
      <c r="B35" s="48" t="s">
        <v>15</v>
      </c>
      <c r="C35" s="6" t="s">
        <v>32</v>
      </c>
      <c r="D35" s="41">
        <v>2960.1858518389645</v>
      </c>
      <c r="E35" s="38">
        <v>5874372.3645382812</v>
      </c>
      <c r="F35" s="37"/>
      <c r="G35" s="51">
        <f t="shared" si="13"/>
        <v>0.68896491089074907</v>
      </c>
      <c r="H35" s="52">
        <f t="shared" si="14"/>
        <v>0.31103508910925093</v>
      </c>
      <c r="I35" s="158">
        <f t="shared" si="15"/>
        <v>61.428667428627179</v>
      </c>
      <c r="J35" s="159">
        <f t="shared" ref="J35:J36" si="17">(L35)/E35</f>
        <v>0.16769577823581439</v>
      </c>
      <c r="K35" s="126">
        <f>'Indexed Revenue'!R7</f>
        <v>2182083.2666345183</v>
      </c>
      <c r="L35" s="126">
        <f>'Indexed Revenue'!S7</f>
        <v>985107.44531820819</v>
      </c>
      <c r="M35" s="141"/>
      <c r="N35" s="132">
        <f t="shared" si="16"/>
        <v>3167190.7119527264</v>
      </c>
    </row>
    <row r="36" spans="2:16" x14ac:dyDescent="0.25">
      <c r="B36" s="48" t="s">
        <v>16</v>
      </c>
      <c r="C36" s="6" t="s">
        <v>32</v>
      </c>
      <c r="D36" s="41">
        <v>1127.6033016645551</v>
      </c>
      <c r="E36" s="38">
        <v>581104.4520676051</v>
      </c>
      <c r="F36" s="37"/>
      <c r="G36" s="51">
        <f>K36/$N36</f>
        <v>0.12619302921610379</v>
      </c>
      <c r="H36" s="52">
        <f t="shared" si="14"/>
        <v>0.87380697078389624</v>
      </c>
      <c r="I36" s="158">
        <f>(K36/12)/D36</f>
        <v>2.0849876171030397</v>
      </c>
      <c r="J36" s="159">
        <f t="shared" si="17"/>
        <v>0.33617622923075358</v>
      </c>
      <c r="K36" s="126">
        <f>'Indexed Revenue'!R8</f>
        <v>28212.467051701213</v>
      </c>
      <c r="L36" s="126">
        <f>'Indexed Revenue'!S8</f>
        <v>195353.50348529065</v>
      </c>
      <c r="M36" s="141"/>
      <c r="N36" s="132">
        <f t="shared" si="16"/>
        <v>223565.97053699187</v>
      </c>
      <c r="O36" s="160" t="s">
        <v>49</v>
      </c>
      <c r="P36" s="160"/>
    </row>
    <row r="37" spans="2:16" ht="15.75" thickBot="1" x14ac:dyDescent="0.3">
      <c r="B37" s="34" t="s">
        <v>42</v>
      </c>
      <c r="C37" s="35"/>
      <c r="D37" s="36">
        <f>SUM(D33:D36)</f>
        <v>13237.91648019624</v>
      </c>
      <c r="E37" s="35"/>
      <c r="F37" s="35"/>
      <c r="G37" s="35"/>
      <c r="H37" s="35"/>
      <c r="I37" s="35"/>
      <c r="J37" s="35"/>
      <c r="K37" s="53">
        <f>SUM(K33:K36)</f>
        <v>15313071.547849081</v>
      </c>
      <c r="L37" s="53">
        <f>SUM(L33:L36)</f>
        <v>12739500.177745536</v>
      </c>
      <c r="M37" s="53">
        <f>SUM(M33:M36)</f>
        <v>-110187.67683102925</v>
      </c>
      <c r="N37" s="54">
        <f>SUM(N33:N36)</f>
        <v>27942384.048763588</v>
      </c>
      <c r="O37" s="160" t="s">
        <v>100</v>
      </c>
      <c r="P37" s="161">
        <f>N37+ABS(M34)</f>
        <v>28052571.725594617</v>
      </c>
    </row>
    <row r="38" spans="2:16" x14ac:dyDescent="0.25">
      <c r="O38" s="160" t="s">
        <v>101</v>
      </c>
      <c r="P38" s="162" t="str">
        <f>IF(P37='Indexed Revenue'!H37,"True","No")</f>
        <v>True</v>
      </c>
    </row>
  </sheetData>
  <mergeCells count="32">
    <mergeCell ref="B21:N21"/>
    <mergeCell ref="B22:B23"/>
    <mergeCell ref="C22:C23"/>
    <mergeCell ref="D22:D23"/>
    <mergeCell ref="E22:F22"/>
    <mergeCell ref="G22:H22"/>
    <mergeCell ref="I22:J22"/>
    <mergeCell ref="K22:N22"/>
    <mergeCell ref="B12:N12"/>
    <mergeCell ref="K4:N4"/>
    <mergeCell ref="B3:N3"/>
    <mergeCell ref="B4:B5"/>
    <mergeCell ref="C4:C5"/>
    <mergeCell ref="D4:D5"/>
    <mergeCell ref="E4:F4"/>
    <mergeCell ref="G4:H4"/>
    <mergeCell ref="I4:J4"/>
    <mergeCell ref="K13:N13"/>
    <mergeCell ref="B13:B14"/>
    <mergeCell ref="C13:C14"/>
    <mergeCell ref="D13:D14"/>
    <mergeCell ref="E13:F13"/>
    <mergeCell ref="G13:H13"/>
    <mergeCell ref="I13:J13"/>
    <mergeCell ref="B30:N30"/>
    <mergeCell ref="B31:B32"/>
    <mergeCell ref="C31:C32"/>
    <mergeCell ref="D31:D32"/>
    <mergeCell ref="E31:F31"/>
    <mergeCell ref="G31:H31"/>
    <mergeCell ref="I31:J31"/>
    <mergeCell ref="K31:N31"/>
  </mergeCells>
  <pageMargins left="0.25" right="0.25" top="0.75" bottom="0.75" header="0.3" footer="0.3"/>
  <pageSetup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tabColor theme="9" tint="0.79998168889431442"/>
  </sheetPr>
  <dimension ref="B1:J15"/>
  <sheetViews>
    <sheetView showGridLines="0" workbookViewId="0">
      <selection activeCell="L26" sqref="L26"/>
    </sheetView>
  </sheetViews>
  <sheetFormatPr defaultColWidth="9.140625" defaultRowHeight="15" x14ac:dyDescent="0.25"/>
  <cols>
    <col min="1" max="1" width="2.85546875" customWidth="1"/>
    <col min="2" max="2" width="18.7109375" customWidth="1"/>
    <col min="3" max="3" width="11.7109375" bestFit="1" customWidth="1"/>
    <col min="4" max="4" width="8.7109375" customWidth="1"/>
    <col min="6" max="6" width="18.7109375" customWidth="1"/>
    <col min="7" max="7" width="11.7109375" bestFit="1" customWidth="1"/>
    <col min="8" max="8" width="8.7109375" customWidth="1"/>
    <col min="10" max="10" width="16.5703125" bestFit="1" customWidth="1"/>
    <col min="11" max="11" width="10.7109375" bestFit="1" customWidth="1"/>
    <col min="14" max="14" width="17.85546875" bestFit="1" customWidth="1"/>
    <col min="15" max="15" width="10.28515625" bestFit="1" customWidth="1"/>
    <col min="16" max="16" width="13.140625" customWidth="1"/>
  </cols>
  <sheetData>
    <row r="1" spans="2:10" ht="15.75" thickBot="1" x14ac:dyDescent="0.3"/>
    <row r="2" spans="2:10" ht="30.75" customHeight="1" thickBot="1" x14ac:dyDescent="0.3">
      <c r="B2" s="290" t="s">
        <v>25</v>
      </c>
      <c r="C2" s="291"/>
      <c r="D2" s="292"/>
      <c r="F2" s="290" t="s">
        <v>91</v>
      </c>
      <c r="G2" s="291"/>
      <c r="H2" s="292"/>
    </row>
    <row r="3" spans="2:10" x14ac:dyDescent="0.25">
      <c r="B3" s="22" t="s">
        <v>18</v>
      </c>
      <c r="C3" s="23" t="s">
        <v>19</v>
      </c>
      <c r="D3" s="24" t="s">
        <v>20</v>
      </c>
      <c r="F3" s="22" t="s">
        <v>18</v>
      </c>
      <c r="G3" s="23" t="s">
        <v>19</v>
      </c>
      <c r="H3" s="24" t="s">
        <v>20</v>
      </c>
    </row>
    <row r="4" spans="2:10" x14ac:dyDescent="0.25">
      <c r="B4" s="15" t="s">
        <v>21</v>
      </c>
      <c r="C4" s="129" t="s">
        <v>95</v>
      </c>
      <c r="D4" s="151">
        <v>2.1999999999999999E-2</v>
      </c>
      <c r="F4" s="15" t="s">
        <v>21</v>
      </c>
      <c r="G4" s="129" t="s">
        <v>95</v>
      </c>
      <c r="H4" s="155">
        <v>3.3000000000000002E-2</v>
      </c>
    </row>
    <row r="5" spans="2:10" x14ac:dyDescent="0.25">
      <c r="B5" s="15" t="s">
        <v>22</v>
      </c>
      <c r="C5" s="129" t="s">
        <v>95</v>
      </c>
      <c r="D5" s="151">
        <v>0</v>
      </c>
      <c r="F5" s="15" t="s">
        <v>22</v>
      </c>
      <c r="G5" s="129" t="s">
        <v>95</v>
      </c>
      <c r="H5" s="155">
        <v>0</v>
      </c>
    </row>
    <row r="6" spans="2:10" x14ac:dyDescent="0.25">
      <c r="B6" s="15" t="s">
        <v>23</v>
      </c>
      <c r="C6" s="129" t="s">
        <v>96</v>
      </c>
      <c r="D6" s="152">
        <v>6.0000000000000001E-3</v>
      </c>
      <c r="F6" s="15" t="s">
        <v>23</v>
      </c>
      <c r="G6" s="129" t="s">
        <v>96</v>
      </c>
      <c r="H6" s="156">
        <v>6.0000000000000001E-3</v>
      </c>
    </row>
    <row r="7" spans="2:10" ht="15.75" thickBot="1" x14ac:dyDescent="0.3">
      <c r="B7" s="31" t="s">
        <v>88</v>
      </c>
      <c r="C7" s="119" t="s">
        <v>24</v>
      </c>
      <c r="D7" s="120">
        <f>D4-D5-D6</f>
        <v>1.6E-2</v>
      </c>
      <c r="F7" s="31" t="s">
        <v>88</v>
      </c>
      <c r="G7" s="119" t="s">
        <v>24</v>
      </c>
      <c r="H7" s="157">
        <f>H4-H5-H6</f>
        <v>2.7000000000000003E-2</v>
      </c>
    </row>
    <row r="9" spans="2:10" ht="15.75" thickBot="1" x14ac:dyDescent="0.3">
      <c r="J9" s="57"/>
    </row>
    <row r="10" spans="2:10" ht="16.5" thickBot="1" x14ac:dyDescent="0.3">
      <c r="B10" s="290" t="s">
        <v>103</v>
      </c>
      <c r="C10" s="291"/>
      <c r="D10" s="292"/>
      <c r="F10" s="290" t="s">
        <v>118</v>
      </c>
      <c r="G10" s="291"/>
      <c r="H10" s="292"/>
    </row>
    <row r="11" spans="2:10" x14ac:dyDescent="0.25">
      <c r="B11" s="22" t="s">
        <v>18</v>
      </c>
      <c r="C11" s="23" t="s">
        <v>19</v>
      </c>
      <c r="D11" s="24" t="s">
        <v>20</v>
      </c>
      <c r="F11" s="22" t="s">
        <v>18</v>
      </c>
      <c r="G11" s="23" t="s">
        <v>19</v>
      </c>
      <c r="H11" s="24" t="s">
        <v>20</v>
      </c>
    </row>
    <row r="12" spans="2:10" x14ac:dyDescent="0.25">
      <c r="B12" s="15" t="s">
        <v>21</v>
      </c>
      <c r="C12" s="33" t="s">
        <v>95</v>
      </c>
      <c r="D12" s="26">
        <v>3.6999999999999998E-2</v>
      </c>
      <c r="F12" s="15" t="s">
        <v>21</v>
      </c>
      <c r="G12" s="33" t="s">
        <v>95</v>
      </c>
      <c r="H12" s="26">
        <v>4.8000000000000001E-2</v>
      </c>
    </row>
    <row r="13" spans="2:10" x14ac:dyDescent="0.25">
      <c r="B13" s="15" t="s">
        <v>22</v>
      </c>
      <c r="C13" s="33" t="s">
        <v>95</v>
      </c>
      <c r="D13" s="26">
        <v>0</v>
      </c>
      <c r="F13" s="15" t="s">
        <v>22</v>
      </c>
      <c r="G13" s="33" t="s">
        <v>95</v>
      </c>
      <c r="H13" s="26">
        <v>0</v>
      </c>
    </row>
    <row r="14" spans="2:10" x14ac:dyDescent="0.25">
      <c r="B14" s="15" t="s">
        <v>23</v>
      </c>
      <c r="C14" s="33" t="s">
        <v>112</v>
      </c>
      <c r="D14" s="27">
        <v>6.0000000000000001E-3</v>
      </c>
      <c r="F14" s="15" t="s">
        <v>23</v>
      </c>
      <c r="G14" s="33" t="s">
        <v>112</v>
      </c>
      <c r="H14" s="27">
        <v>6.0000000000000001E-3</v>
      </c>
    </row>
    <row r="15" spans="2:10" ht="15.75" thickBot="1" x14ac:dyDescent="0.3">
      <c r="B15" s="31" t="s">
        <v>88</v>
      </c>
      <c r="C15" s="19" t="s">
        <v>24</v>
      </c>
      <c r="D15" s="25">
        <f>D12-D13-D14</f>
        <v>3.1E-2</v>
      </c>
      <c r="F15" s="31" t="s">
        <v>88</v>
      </c>
      <c r="G15" s="19" t="s">
        <v>24</v>
      </c>
      <c r="H15" s="25">
        <f>H12-H13-H14</f>
        <v>4.2000000000000003E-2</v>
      </c>
    </row>
  </sheetData>
  <mergeCells count="4">
    <mergeCell ref="B2:D2"/>
    <mergeCell ref="F2:H2"/>
    <mergeCell ref="B10:D10"/>
    <mergeCell ref="F10:H10"/>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tabColor theme="9" tint="0.79998168889431442"/>
    <pageSetUpPr fitToPage="1"/>
  </sheetPr>
  <dimension ref="B1:T39"/>
  <sheetViews>
    <sheetView showGridLines="0" topLeftCell="A11" workbookViewId="0">
      <selection activeCell="T5" sqref="T5:T6"/>
    </sheetView>
  </sheetViews>
  <sheetFormatPr defaultColWidth="9.140625" defaultRowHeight="15" x14ac:dyDescent="0.25"/>
  <cols>
    <col min="1" max="1" width="2.85546875" customWidth="1"/>
    <col min="2" max="2" width="24.85546875" customWidth="1"/>
    <col min="3" max="5" width="12.85546875" customWidth="1"/>
    <col min="6" max="6" width="10.140625" customWidth="1"/>
    <col min="7" max="7" width="24.85546875" customWidth="1"/>
    <col min="8" max="10" width="12.85546875" customWidth="1"/>
    <col min="12" max="12" width="24.28515625" customWidth="1"/>
    <col min="13" max="15" width="12.42578125" customWidth="1"/>
    <col min="17" max="17" width="24.28515625" customWidth="1"/>
    <col min="18" max="20" width="12.42578125" customWidth="1"/>
  </cols>
  <sheetData>
    <row r="1" spans="2:20" ht="15.75" thickBot="1" x14ac:dyDescent="0.3"/>
    <row r="2" spans="2:20" ht="33.75" customHeight="1" x14ac:dyDescent="0.25">
      <c r="B2" s="236" t="s">
        <v>53</v>
      </c>
      <c r="C2" s="237"/>
      <c r="D2" s="237"/>
      <c r="E2" s="238"/>
      <c r="G2" s="236" t="s">
        <v>90</v>
      </c>
      <c r="H2" s="237"/>
      <c r="I2" s="237"/>
      <c r="J2" s="238"/>
      <c r="L2" s="236" t="s">
        <v>127</v>
      </c>
      <c r="M2" s="237"/>
      <c r="N2" s="237"/>
      <c r="O2" s="238"/>
      <c r="Q2" s="236" t="s">
        <v>128</v>
      </c>
      <c r="R2" s="237"/>
      <c r="S2" s="237"/>
      <c r="T2" s="238"/>
    </row>
    <row r="3" spans="2:20" ht="15" customHeight="1" x14ac:dyDescent="0.25">
      <c r="B3" s="257" t="s">
        <v>26</v>
      </c>
      <c r="C3" s="263" t="s">
        <v>31</v>
      </c>
      <c r="D3" s="255"/>
      <c r="E3" s="256"/>
      <c r="G3" s="257" t="s">
        <v>26</v>
      </c>
      <c r="H3" s="263" t="s">
        <v>31</v>
      </c>
      <c r="I3" s="255"/>
      <c r="J3" s="256"/>
      <c r="L3" s="257" t="s">
        <v>26</v>
      </c>
      <c r="M3" s="263" t="s">
        <v>31</v>
      </c>
      <c r="N3" s="255"/>
      <c r="O3" s="256"/>
      <c r="Q3" s="257" t="s">
        <v>26</v>
      </c>
      <c r="R3" s="263" t="s">
        <v>31</v>
      </c>
      <c r="S3" s="255"/>
      <c r="T3" s="256"/>
    </row>
    <row r="4" spans="2:20" ht="14.85" customHeight="1" x14ac:dyDescent="0.25">
      <c r="B4" s="258"/>
      <c r="C4" s="46" t="s">
        <v>37</v>
      </c>
      <c r="D4" s="46" t="s">
        <v>38</v>
      </c>
      <c r="E4" s="47" t="s">
        <v>39</v>
      </c>
      <c r="G4" s="258"/>
      <c r="H4" s="46" t="s">
        <v>37</v>
      </c>
      <c r="I4" s="46" t="s">
        <v>38</v>
      </c>
      <c r="J4" s="47" t="s">
        <v>39</v>
      </c>
      <c r="L4" s="258"/>
      <c r="M4" s="46" t="s">
        <v>37</v>
      </c>
      <c r="N4" s="46" t="s">
        <v>38</v>
      </c>
      <c r="O4" s="47" t="s">
        <v>39</v>
      </c>
      <c r="Q4" s="258"/>
      <c r="R4" s="46" t="s">
        <v>37</v>
      </c>
      <c r="S4" s="46" t="s">
        <v>38</v>
      </c>
      <c r="T4" s="47" t="s">
        <v>39</v>
      </c>
    </row>
    <row r="5" spans="2:20" x14ac:dyDescent="0.25">
      <c r="B5" s="48" t="s">
        <v>40</v>
      </c>
      <c r="C5" s="126">
        <f>'2020 COS Eq Rates and Revenue'!K7*(1+'IRM Adjustment Factor'!$D$7)</f>
        <v>11310367.607327543</v>
      </c>
      <c r="D5" s="126">
        <f>SUM('2020 COS Eq Rates and Revenue'!L7:M7)*(1+'IRM Adjustment Factor'!$D$7)</f>
        <v>6333275.2664187551</v>
      </c>
      <c r="E5" s="132">
        <f>C5+D5</f>
        <v>17643642.873746298</v>
      </c>
      <c r="G5" s="48" t="s">
        <v>40</v>
      </c>
      <c r="H5" s="121">
        <f>C5*(1+'IRM Adjustment Factor'!$H$7)</f>
        <v>11615747.532725386</v>
      </c>
      <c r="I5" s="121">
        <f>D5*(1+'IRM Adjustment Factor'!$H$7)</f>
        <v>6504273.6986120613</v>
      </c>
      <c r="J5" s="30">
        <f>H5+I5</f>
        <v>18120021.231337447</v>
      </c>
      <c r="L5" s="48" t="s">
        <v>40</v>
      </c>
      <c r="M5" s="121">
        <f>H5*(1+'IRM Adjustment Factor'!$D$15)</f>
        <v>11975835.706239872</v>
      </c>
      <c r="N5" s="121">
        <f>I5*(1+'IRM Adjustment Factor'!$D$15)</f>
        <v>6705906.1832690351</v>
      </c>
      <c r="O5" s="30">
        <f>M5+N5</f>
        <v>18681741.889508907</v>
      </c>
      <c r="Q5" s="48" t="s">
        <v>40</v>
      </c>
      <c r="R5" s="121">
        <f>M5*(1+'IRM Adjustment Factor'!$H$15)</f>
        <v>12478820.805901946</v>
      </c>
      <c r="S5" s="121">
        <f>N5*(1+'IRM Adjustment Factor'!$H$15)</f>
        <v>6987554.2429663343</v>
      </c>
      <c r="T5" s="30">
        <f>R5+S5</f>
        <v>19466375.04886828</v>
      </c>
    </row>
    <row r="6" spans="2:20" x14ac:dyDescent="0.25">
      <c r="B6" s="48" t="s">
        <v>13</v>
      </c>
      <c r="C6" s="126">
        <f>'2020 COS Eq Rates and Revenue'!K8*(1+'IRM Adjustment Factor'!$D$7)</f>
        <v>565531.04044304544</v>
      </c>
      <c r="D6" s="126">
        <f>SUM('2020 COS Eq Rates and Revenue'!L8:M8)*(1+'IRM Adjustment Factor'!$D$7)</f>
        <v>4143434.4243736118</v>
      </c>
      <c r="E6" s="132">
        <f t="shared" ref="E6:E8" si="0">C6+D6</f>
        <v>4708965.4648166569</v>
      </c>
      <c r="G6" s="48" t="s">
        <v>13</v>
      </c>
      <c r="H6" s="121">
        <f>C6*(1+'IRM Adjustment Factor'!$H$7)</f>
        <v>580800.37853500759</v>
      </c>
      <c r="I6" s="121">
        <f>D6*(1+'IRM Adjustment Factor'!$H$7)</f>
        <v>4255307.1538316989</v>
      </c>
      <c r="J6" s="30">
        <f t="shared" ref="J6:J8" si="1">H6+I6</f>
        <v>4836107.5323667061</v>
      </c>
      <c r="L6" s="48" t="s">
        <v>13</v>
      </c>
      <c r="M6" s="121">
        <f>H6*(1+'IRM Adjustment Factor'!$D$15)</f>
        <v>598805.1902695928</v>
      </c>
      <c r="N6" s="121">
        <f>I6*(1+'IRM Adjustment Factor'!$D$15)</f>
        <v>4387221.6756004812</v>
      </c>
      <c r="O6" s="30">
        <f t="shared" ref="O6:O8" si="2">M6+N6</f>
        <v>4986026.8658700744</v>
      </c>
      <c r="Q6" s="48" t="s">
        <v>13</v>
      </c>
      <c r="R6" s="121">
        <f>M6*(1+'IRM Adjustment Factor'!$H$15)</f>
        <v>623955.00826091575</v>
      </c>
      <c r="S6" s="121">
        <f>N6*(1+'IRM Adjustment Factor'!$H$15)</f>
        <v>4571484.9859757014</v>
      </c>
      <c r="T6" s="30">
        <f t="shared" ref="T6:T8" si="3">R6+S6</f>
        <v>5195439.9942366173</v>
      </c>
    </row>
    <row r="7" spans="2:20" x14ac:dyDescent="0.25">
      <c r="B7" s="48" t="s">
        <v>15</v>
      </c>
      <c r="C7" s="126">
        <f>'2020 COS Eq Rates and Revenue'!K9*(1+'IRM Adjustment Factor'!$D$7)</f>
        <v>1977764.1076280116</v>
      </c>
      <c r="D7" s="126">
        <f>SUM('2020 COS Eq Rates and Revenue'!L9:M9)*(1+'IRM Adjustment Factor'!$D$7)</f>
        <v>892867.0034266857</v>
      </c>
      <c r="E7" s="132">
        <f t="shared" si="0"/>
        <v>2870631.1110546971</v>
      </c>
      <c r="G7" s="48" t="s">
        <v>15</v>
      </c>
      <c r="H7" s="121">
        <f>C7*(1+'IRM Adjustment Factor'!$H$7)</f>
        <v>2031163.7385339676</v>
      </c>
      <c r="I7" s="121">
        <f>D7*(1+'IRM Adjustment Factor'!$H$7)</f>
        <v>916974.41251920618</v>
      </c>
      <c r="J7" s="30">
        <f t="shared" si="1"/>
        <v>2948138.1510531739</v>
      </c>
      <c r="L7" s="48" t="s">
        <v>15</v>
      </c>
      <c r="M7" s="121">
        <f>H7*(1+'IRM Adjustment Factor'!$D$15)</f>
        <v>2094129.8144285204</v>
      </c>
      <c r="N7" s="121">
        <f>I7*(1+'IRM Adjustment Factor'!$D$15)</f>
        <v>945400.61930730147</v>
      </c>
      <c r="O7" s="30">
        <f t="shared" si="2"/>
        <v>3039530.4337358219</v>
      </c>
      <c r="Q7" s="48" t="s">
        <v>15</v>
      </c>
      <c r="R7" s="121">
        <f>M7*(1+'IRM Adjustment Factor'!$H$15)</f>
        <v>2182083.2666345183</v>
      </c>
      <c r="S7" s="121">
        <f>N7*(1+'IRM Adjustment Factor'!$H$15)</f>
        <v>985107.44531820819</v>
      </c>
      <c r="T7" s="30">
        <f t="shared" si="3"/>
        <v>3167190.7119527264</v>
      </c>
    </row>
    <row r="8" spans="2:20" x14ac:dyDescent="0.25">
      <c r="B8" s="48" t="s">
        <v>16</v>
      </c>
      <c r="C8" s="126">
        <f>'2020 COS Eq Rates and Revenue'!K10*(1+'IRM Adjustment Factor'!$D$7)</f>
        <v>25570.79538424332</v>
      </c>
      <c r="D8" s="126">
        <f>SUM('2020 COS Eq Rates and Revenue'!L10:M10)*(1+'IRM Adjustment Factor'!$D$7)</f>
        <v>177061.59677787597</v>
      </c>
      <c r="E8" s="132">
        <f t="shared" si="0"/>
        <v>202632.39216211927</v>
      </c>
      <c r="G8" s="48" t="s">
        <v>16</v>
      </c>
      <c r="H8" s="121">
        <f>C8*(1+'IRM Adjustment Factor'!$H$7)</f>
        <v>26261.206859617887</v>
      </c>
      <c r="I8" s="121">
        <f>D8*(1+'IRM Adjustment Factor'!$H$7)</f>
        <v>181842.2598908786</v>
      </c>
      <c r="J8" s="30">
        <f t="shared" si="1"/>
        <v>208103.46675049647</v>
      </c>
      <c r="L8" s="48" t="s">
        <v>16</v>
      </c>
      <c r="M8" s="121">
        <f>H8*(1+'IRM Adjustment Factor'!$D$15)</f>
        <v>27075.304272266039</v>
      </c>
      <c r="N8" s="121">
        <f>I8*(1+'IRM Adjustment Factor'!$D$15)</f>
        <v>187479.36994749581</v>
      </c>
      <c r="O8" s="30">
        <f t="shared" si="2"/>
        <v>214554.67421976186</v>
      </c>
      <c r="Q8" s="48" t="s">
        <v>16</v>
      </c>
      <c r="R8" s="121">
        <f>M8*(1+'IRM Adjustment Factor'!$H$15)</f>
        <v>28212.467051701213</v>
      </c>
      <c r="S8" s="121">
        <f>N8*(1+'IRM Adjustment Factor'!$H$15)</f>
        <v>195353.50348529065</v>
      </c>
      <c r="T8" s="30">
        <f t="shared" si="3"/>
        <v>223565.97053699187</v>
      </c>
    </row>
    <row r="9" spans="2:20" ht="15.75" thickBot="1" x14ac:dyDescent="0.3">
      <c r="B9" s="34" t="s">
        <v>42</v>
      </c>
      <c r="C9" s="49">
        <f>SUM(C5:C8)</f>
        <v>13879233.550782844</v>
      </c>
      <c r="D9" s="49">
        <f>SUM(D5:D8)</f>
        <v>11546638.29099693</v>
      </c>
      <c r="E9" s="50">
        <f>SUM(E5:E8)</f>
        <v>25425871.841779768</v>
      </c>
      <c r="G9" s="34" t="s">
        <v>42</v>
      </c>
      <c r="H9" s="122">
        <f>SUM(H5:H8)</f>
        <v>14253972.856653981</v>
      </c>
      <c r="I9" s="122">
        <f>SUM(I5:I8)</f>
        <v>11858397.524853844</v>
      </c>
      <c r="J9" s="123">
        <f>SUM(J5:J8)</f>
        <v>26112370.381507821</v>
      </c>
      <c r="L9" s="34" t="s">
        <v>42</v>
      </c>
      <c r="M9" s="122">
        <f>SUM(M5:M8)</f>
        <v>14695846.01521025</v>
      </c>
      <c r="N9" s="122">
        <f>SUM(N5:N8)</f>
        <v>12226007.848124312</v>
      </c>
      <c r="O9" s="123">
        <f>SUM(O5:O8)</f>
        <v>26921853.863334563</v>
      </c>
      <c r="Q9" s="34" t="s">
        <v>42</v>
      </c>
      <c r="R9" s="122">
        <f>SUM(R5:R8)</f>
        <v>15313071.547849081</v>
      </c>
      <c r="S9" s="122">
        <f>SUM(S5:S8)</f>
        <v>12739500.177745536</v>
      </c>
      <c r="T9" s="123">
        <f>SUM(T5:T8)</f>
        <v>28052571.725594617</v>
      </c>
    </row>
    <row r="10" spans="2:20" x14ac:dyDescent="0.25">
      <c r="C10" s="55"/>
      <c r="D10" s="55"/>
      <c r="E10" s="55"/>
      <c r="J10" s="185">
        <f>J9/E9</f>
        <v>1.0269999999999999</v>
      </c>
      <c r="O10" s="185">
        <f>O9/J9</f>
        <v>1.0309999999999999</v>
      </c>
      <c r="T10" s="185">
        <f>T9/O9</f>
        <v>1.042</v>
      </c>
    </row>
    <row r="11" spans="2:20" x14ac:dyDescent="0.25">
      <c r="H11" s="294"/>
      <c r="I11" s="294"/>
      <c r="J11" s="5"/>
    </row>
    <row r="12" spans="2:20" ht="33.75" customHeight="1" x14ac:dyDescent="0.25">
      <c r="B12" s="293" t="s">
        <v>98</v>
      </c>
      <c r="C12" s="293"/>
      <c r="D12" s="293"/>
      <c r="E12" s="293"/>
      <c r="F12" s="293"/>
      <c r="G12" s="293"/>
      <c r="H12" s="293"/>
      <c r="I12" s="293"/>
      <c r="J12" s="293"/>
    </row>
    <row r="14" spans="2:20" x14ac:dyDescent="0.25">
      <c r="B14" s="56" t="s">
        <v>49</v>
      </c>
    </row>
    <row r="16" spans="2:20" x14ac:dyDescent="0.25">
      <c r="B16" t="s">
        <v>50</v>
      </c>
      <c r="G16" s="58">
        <f>'2020 COS Eq Rates and Revenue'!N11</f>
        <v>25025464.411200564</v>
      </c>
    </row>
    <row r="17" spans="2:8" x14ac:dyDescent="0.25">
      <c r="B17" t="s">
        <v>52</v>
      </c>
      <c r="G17" s="59">
        <f>'IRM Adjustment Factor'!D7</f>
        <v>1.6E-2</v>
      </c>
    </row>
    <row r="18" spans="2:8" x14ac:dyDescent="0.25">
      <c r="B18" t="s">
        <v>51</v>
      </c>
      <c r="G18" s="58">
        <f>G16*(1+G17)</f>
        <v>25425871.841779772</v>
      </c>
    </row>
    <row r="20" spans="2:8" x14ac:dyDescent="0.25">
      <c r="B20" s="57" t="str">
        <f>IF(E9=G18,"Total of Indexed Class Revenue Equals Indexed Total Revenue","Total of Indexed Class Revenue DOES NOT EQUAL Indexed Total Revenue")</f>
        <v>Total of Indexed Class Revenue Equals Indexed Total Revenue</v>
      </c>
    </row>
    <row r="21" spans="2:8" ht="18" customHeight="1" x14ac:dyDescent="0.25"/>
    <row r="22" spans="2:8" x14ac:dyDescent="0.25">
      <c r="B22" t="s">
        <v>92</v>
      </c>
      <c r="H22" s="58">
        <f>E9</f>
        <v>25425871.841779768</v>
      </c>
    </row>
    <row r="23" spans="2:8" x14ac:dyDescent="0.25">
      <c r="B23" t="s">
        <v>93</v>
      </c>
      <c r="H23" s="59">
        <f>'IRM Adjustment Factor'!H7</f>
        <v>2.7000000000000003E-2</v>
      </c>
    </row>
    <row r="24" spans="2:8" x14ac:dyDescent="0.25">
      <c r="B24" t="s">
        <v>94</v>
      </c>
      <c r="H24" s="58">
        <f>H22*(1+H23)</f>
        <v>26112370.381507821</v>
      </c>
    </row>
    <row r="26" spans="2:8" x14ac:dyDescent="0.25">
      <c r="B26" s="57" t="str">
        <f>IF(J9=H24,"Total of Indexed Class Revenue Equals Indexed Total Revenue","Total of Indexed Class Revenue DOES NOT EQUAL Indexed Total Revenue")</f>
        <v>Total of Indexed Class Revenue Equals Indexed Total Revenue</v>
      </c>
    </row>
    <row r="29" spans="2:8" x14ac:dyDescent="0.25">
      <c r="B29" t="s">
        <v>107</v>
      </c>
      <c r="H29" s="58">
        <f>J9</f>
        <v>26112370.381507821</v>
      </c>
    </row>
    <row r="30" spans="2:8" x14ac:dyDescent="0.25">
      <c r="B30" t="s">
        <v>108</v>
      </c>
      <c r="H30" s="59">
        <f>'IRM Adjustment Factor'!D15</f>
        <v>3.1E-2</v>
      </c>
    </row>
    <row r="31" spans="2:8" x14ac:dyDescent="0.25">
      <c r="B31" t="s">
        <v>109</v>
      </c>
      <c r="H31" s="58">
        <f>H29*(1+H30)</f>
        <v>26921853.863334563</v>
      </c>
    </row>
    <row r="33" spans="2:8" x14ac:dyDescent="0.25">
      <c r="B33" s="57" t="str">
        <f>IF(O9=H31,"Total of Indexed Class Revenue Equals Indexed Total Revenue","Total of Indexed Class Revenue DOES NOT EQUAL Indexed Total Revenue")</f>
        <v>Total of Indexed Class Revenue Equals Indexed Total Revenue</v>
      </c>
    </row>
    <row r="35" spans="2:8" x14ac:dyDescent="0.25">
      <c r="B35" t="s">
        <v>107</v>
      </c>
      <c r="H35" s="58">
        <f>O9</f>
        <v>26921853.863334563</v>
      </c>
    </row>
    <row r="36" spans="2:8" x14ac:dyDescent="0.25">
      <c r="B36" t="s">
        <v>108</v>
      </c>
      <c r="H36" s="59">
        <f>'IRM Adjustment Factor'!H15</f>
        <v>4.2000000000000003E-2</v>
      </c>
    </row>
    <row r="37" spans="2:8" x14ac:dyDescent="0.25">
      <c r="B37" t="s">
        <v>109</v>
      </c>
      <c r="H37" s="58">
        <f>H35*(1+H36)</f>
        <v>28052571.725594614</v>
      </c>
    </row>
    <row r="39" spans="2:8" x14ac:dyDescent="0.25">
      <c r="B39" s="57" t="str">
        <f>IF(H37=T9,"Total of Indexed Class Revenue Equals Indexed Total Revenue","Total of Indexed Class Revenue DOES NOT EQUAL Indexed Total Revenue")</f>
        <v>Total of Indexed Class Revenue Equals Indexed Total Revenue</v>
      </c>
    </row>
  </sheetData>
  <mergeCells count="14">
    <mergeCell ref="B12:J12"/>
    <mergeCell ref="B2:E2"/>
    <mergeCell ref="B3:B4"/>
    <mergeCell ref="C3:E3"/>
    <mergeCell ref="G2:J2"/>
    <mergeCell ref="G3:G4"/>
    <mergeCell ref="H3:J3"/>
    <mergeCell ref="H11:I11"/>
    <mergeCell ref="Q2:T2"/>
    <mergeCell ref="Q3:Q4"/>
    <mergeCell ref="R3:T3"/>
    <mergeCell ref="L2:O2"/>
    <mergeCell ref="L3:L4"/>
    <mergeCell ref="M3:O3"/>
  </mergeCells>
  <pageMargins left="0.25" right="0.25" top="0.75" bottom="0.75" header="0.3" footer="0.3"/>
  <pageSetup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tabColor theme="9" tint="0.79998168889431442"/>
    <pageSetUpPr fitToPage="1"/>
  </sheetPr>
  <dimension ref="B2:M12"/>
  <sheetViews>
    <sheetView showGridLines="0" workbookViewId="0">
      <selection activeCell="B4" sqref="B4:L8"/>
    </sheetView>
  </sheetViews>
  <sheetFormatPr defaultColWidth="9.140625" defaultRowHeight="15" x14ac:dyDescent="0.25"/>
  <cols>
    <col min="1" max="1" width="2.85546875" customWidth="1"/>
    <col min="2" max="2" width="30.85546875" bestFit="1" customWidth="1"/>
    <col min="3" max="3" width="7.140625" customWidth="1"/>
    <col min="4" max="4" width="10.140625" customWidth="1"/>
    <col min="5" max="5" width="12.140625" customWidth="1"/>
    <col min="6" max="6" width="10.7109375" customWidth="1"/>
    <col min="7" max="7" width="14" bestFit="1" customWidth="1"/>
    <col min="8" max="9" width="12.85546875" customWidth="1"/>
    <col min="10" max="12" width="10.7109375" customWidth="1"/>
    <col min="13" max="13" width="10.7109375" bestFit="1" customWidth="1"/>
  </cols>
  <sheetData>
    <row r="2" spans="2:13" ht="15.75" x14ac:dyDescent="0.25">
      <c r="B2" s="218" t="s">
        <v>65</v>
      </c>
      <c r="C2" s="218"/>
      <c r="D2" s="218"/>
      <c r="E2" s="218"/>
      <c r="F2" s="218"/>
      <c r="G2" s="218"/>
      <c r="H2" s="218"/>
      <c r="I2" s="218"/>
      <c r="J2" s="218"/>
      <c r="K2" s="218"/>
      <c r="L2" s="218"/>
      <c r="M2" s="62"/>
    </row>
    <row r="3" spans="2:13" ht="15.75" thickBot="1" x14ac:dyDescent="0.3"/>
    <row r="4" spans="2:13" x14ac:dyDescent="0.25">
      <c r="B4" s="295" t="s">
        <v>129</v>
      </c>
      <c r="C4" s="296"/>
      <c r="D4" s="296"/>
      <c r="E4" s="296"/>
      <c r="F4" s="296"/>
      <c r="G4" s="296"/>
      <c r="H4" s="296"/>
      <c r="I4" s="296"/>
      <c r="J4" s="296"/>
      <c r="K4" s="296"/>
      <c r="L4" s="297"/>
      <c r="M4" s="67"/>
    </row>
    <row r="5" spans="2:13" x14ac:dyDescent="0.25">
      <c r="B5" s="298" t="s">
        <v>26</v>
      </c>
      <c r="C5" s="299" t="s">
        <v>6</v>
      </c>
      <c r="D5" s="300" t="s">
        <v>27</v>
      </c>
      <c r="E5" s="301" t="s">
        <v>32</v>
      </c>
      <c r="F5" s="263" t="s">
        <v>130</v>
      </c>
      <c r="G5" s="264"/>
      <c r="H5" s="263" t="s">
        <v>131</v>
      </c>
      <c r="I5" s="264"/>
      <c r="J5" s="263" t="s">
        <v>132</v>
      </c>
      <c r="K5" s="255"/>
      <c r="L5" s="256"/>
      <c r="M5" s="67"/>
    </row>
    <row r="6" spans="2:13" ht="45" x14ac:dyDescent="0.25">
      <c r="B6" s="298"/>
      <c r="C6" s="299"/>
      <c r="D6" s="300"/>
      <c r="E6" s="302"/>
      <c r="F6" s="46" t="s">
        <v>8</v>
      </c>
      <c r="G6" s="46" t="s">
        <v>36</v>
      </c>
      <c r="H6" s="46" t="s">
        <v>8</v>
      </c>
      <c r="I6" s="46" t="s">
        <v>36</v>
      </c>
      <c r="J6" s="46" t="s">
        <v>37</v>
      </c>
      <c r="K6" s="46" t="s">
        <v>38</v>
      </c>
      <c r="L6" s="47" t="s">
        <v>39</v>
      </c>
    </row>
    <row r="7" spans="2:13" x14ac:dyDescent="0.25">
      <c r="B7" s="48" t="s">
        <v>142</v>
      </c>
      <c r="C7" s="129" t="s">
        <v>32</v>
      </c>
      <c r="D7" s="68">
        <f>'2020 COS Eq Rates and Revenue'!D9</f>
        <v>2960.1858518389645</v>
      </c>
      <c r="E7" s="68">
        <f>'2020 COS Eq Rates and Revenue'!E9</f>
        <v>5874372.3645382812</v>
      </c>
      <c r="F7" s="149">
        <f>'Rate Summary'!F21</f>
        <v>75.61</v>
      </c>
      <c r="G7" s="150">
        <f>'Rate Summary'!F22</f>
        <v>6.0100000000000001E-2</v>
      </c>
      <c r="H7" s="163">
        <f>ROUND(F7*(1+'IRM Adjustment Factor'!H15),2)</f>
        <v>78.790000000000006</v>
      </c>
      <c r="I7" s="164">
        <f>ROUND(G7*(1+'IRM Adjustment Factor'!H15),4)</f>
        <v>6.2600000000000003E-2</v>
      </c>
      <c r="J7" s="147">
        <f>D7*H7*12</f>
        <v>2798796.519196704</v>
      </c>
      <c r="K7" s="147">
        <f>E7*I7</f>
        <v>367735.71002009645</v>
      </c>
      <c r="L7" s="148">
        <f>SUM(J7:K7)</f>
        <v>3166532.2292168005</v>
      </c>
    </row>
    <row r="8" spans="2:13" ht="15.75" thickBot="1" x14ac:dyDescent="0.3">
      <c r="B8" s="172" t="s">
        <v>16</v>
      </c>
      <c r="C8" s="119" t="s">
        <v>32</v>
      </c>
      <c r="D8" s="173">
        <f>'2020 COS Eq Rates and Revenue'!D10</f>
        <v>1127.6033016645551</v>
      </c>
      <c r="E8" s="173">
        <f>'2020 COS Eq Rates and Revenue'!E10</f>
        <v>581104.4520676051</v>
      </c>
      <c r="F8" s="174">
        <f>'Rate Summary'!F25</f>
        <v>2</v>
      </c>
      <c r="G8" s="175">
        <f>'Rate Summary'!F26</f>
        <v>0.3226</v>
      </c>
      <c r="H8" s="176">
        <f>ROUND(F8*(1+'IRM Adjustment Factor'!H15),2)</f>
        <v>2.08</v>
      </c>
      <c r="I8" s="177">
        <f>ROUND(G8*(1+'IRM Adjustment Factor'!H15),4)</f>
        <v>0.33610000000000001</v>
      </c>
      <c r="J8" s="178">
        <f>D8*H8*12</f>
        <v>28144.978409547297</v>
      </c>
      <c r="K8" s="178">
        <f>E8*I8</f>
        <v>195309.20633992209</v>
      </c>
      <c r="L8" s="179">
        <f>SUM(J8:K8)</f>
        <v>223454.18474946939</v>
      </c>
    </row>
    <row r="9" spans="2:13" ht="15.75" hidden="1" thickBot="1" x14ac:dyDescent="0.3">
      <c r="B9" s="166" t="s">
        <v>42</v>
      </c>
      <c r="C9" s="167"/>
      <c r="D9" s="168">
        <f>SUM(D7:D8)</f>
        <v>4087.7891535035196</v>
      </c>
      <c r="E9" s="168">
        <f>SUM(E7:E8)</f>
        <v>6455476.8166058864</v>
      </c>
      <c r="F9" s="169"/>
      <c r="G9" s="169"/>
      <c r="H9" s="169"/>
      <c r="I9" s="169"/>
      <c r="J9" s="170">
        <f>J7+J8</f>
        <v>2826941.4976062514</v>
      </c>
      <c r="K9" s="170">
        <f>K7+K8</f>
        <v>563044.91636001854</v>
      </c>
      <c r="L9" s="171">
        <f>L7+L8</f>
        <v>3389986.4139662702</v>
      </c>
    </row>
    <row r="10" spans="2:13" x14ac:dyDescent="0.25">
      <c r="G10" s="187" t="s">
        <v>133</v>
      </c>
      <c r="H10" s="187"/>
      <c r="I10" s="187"/>
    </row>
    <row r="11" spans="2:13" x14ac:dyDescent="0.25">
      <c r="G11" s="187" t="s">
        <v>15</v>
      </c>
      <c r="H11" s="188">
        <f>H7/F7</f>
        <v>1.0420579288453908</v>
      </c>
      <c r="I11" s="188">
        <f>I7/G7</f>
        <v>1.0415973377703827</v>
      </c>
    </row>
    <row r="12" spans="2:13" x14ac:dyDescent="0.25">
      <c r="G12" s="187" t="s">
        <v>16</v>
      </c>
      <c r="H12" s="188">
        <f>H8/F8</f>
        <v>1.04</v>
      </c>
      <c r="I12" s="188">
        <f>I8/G8</f>
        <v>1.0418474891506511</v>
      </c>
    </row>
  </sheetData>
  <mergeCells count="9">
    <mergeCell ref="B2:L2"/>
    <mergeCell ref="B4:L4"/>
    <mergeCell ref="B5:B6"/>
    <mergeCell ref="C5:C6"/>
    <mergeCell ref="D5:D6"/>
    <mergeCell ref="E5:E6"/>
    <mergeCell ref="F5:G5"/>
    <mergeCell ref="J5:L5"/>
    <mergeCell ref="H5:I5"/>
  </mergeCells>
  <pageMargins left="0.7" right="0.7" top="0.75" bottom="0.75" header="0.3" footer="0.3"/>
  <pageSetup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Stefan, Oana</cp:lastModifiedBy>
  <cp:lastPrinted>2023-08-15T19:51:25Z</cp:lastPrinted>
  <dcterms:created xsi:type="dcterms:W3CDTF">2020-05-21T17:58:27Z</dcterms:created>
  <dcterms:modified xsi:type="dcterms:W3CDTF">2023-10-23T14:19:30Z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